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8_{18F11767-52DB-4EAB-A77C-310511145C75}" xr6:coauthVersionLast="47" xr6:coauthVersionMax="47" xr10:uidLastSave="{00000000-0000-0000-0000-000000000000}"/>
  <bookViews>
    <workbookView xWindow="-108" yWindow="-108" windowWidth="23256" windowHeight="12456" tabRatio="867" firstSheet="5" activeTab="13"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G58" i="126"/>
  <c r="S91" i="126" s="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S128" i="11" l="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I43" i="123"/>
  <c r="S43" i="123"/>
  <c r="F233" i="115"/>
  <c r="G234" i="115"/>
  <c r="W186" i="115" s="1"/>
  <c r="G57" i="114"/>
  <c r="F56" i="114"/>
  <c r="W186" i="11"/>
  <c r="I46" i="124"/>
  <c r="S46" i="124"/>
  <c r="P70" i="124"/>
  <c r="R81" i="124"/>
  <c r="J82" i="124" s="1"/>
  <c r="J89" i="124" s="1"/>
  <c r="J78" i="124"/>
  <c r="J86" i="124" s="1"/>
  <c r="J111" i="124"/>
  <c r="S97" i="117"/>
  <c r="W13" i="117"/>
  <c r="S43" i="124"/>
  <c r="I43" i="124"/>
  <c r="S55" i="122"/>
  <c r="S143" i="11" s="1"/>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J47" i="124" l="1"/>
  <c r="S144" i="124" s="1"/>
  <c r="S186" i="11" s="1"/>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W13" i="124" l="1"/>
  <c r="D103" i="9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276" i="118"/>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D279" i="118" l="1"/>
  <c r="D408" i="118"/>
  <c r="H122" i="118"/>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<sst xmlns="http://schemas.openxmlformats.org/spreadsheetml/2006/main" count="24482" uniqueCount="992">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</sst>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14" fontId="1" fillId="0" borderId="4" xfId="0" applyNumberFormat="1" applyFont="1" applyBorder="1" applyAlignment="1">
      <alignment horizontal="center" vertical="center"/>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1" fillId="0" borderId="0" xfId="0" applyFont="1" applyAlignment="1">
      <alignment horizontal="center" vertical="center"/>
    </xf>
    <xf numFmtId="0" fontId="0" fillId="0" borderId="0" xfId="0" applyAlignment="1">
      <alignment horizontal="center" vertical="center"/>
    </xf>
    <xf numFmtId="0" fontId="63" fillId="0" borderId="10" xfId="0" applyFont="1" applyBorder="1" applyAlignment="1">
      <alignment horizontal="center" vertical="center"/>
    </xf>
    <xf numFmtId="0" fontId="0" fillId="0" borderId="10" xfId="0" applyBorder="1" applyAlignment="1">
      <alignment horizontal="center" vertical="center"/>
    </xf>
    <xf numFmtId="2" fontId="0" fillId="0" borderId="0" xfId="0" applyNumberFormat="1" applyAlignment="1">
      <alignment horizontal="center" vertical="center"/>
    </xf>
    <xf numFmtId="2" fontId="1" fillId="0" borderId="0" xfId="0" applyNumberFormat="1" applyFont="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2" fontId="1" fillId="0" borderId="6" xfId="0" applyNumberFormat="1" applyFont="1" applyBorder="1" applyAlignment="1">
      <alignment horizontal="center" vertical="center"/>
    </xf>
    <xf numFmtId="0" fontId="0" fillId="0" borderId="12" xfId="0" applyBorder="1" applyAlignment="1">
      <alignment horizontal="center" vertical="center"/>
    </xf>
    <xf numFmtId="2" fontId="0" fillId="0" borderId="0" xfId="0" applyNumberFormat="1" applyAlignment="1">
      <alignment horizontal="center" vertical="center" shrinkToFit="1"/>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85" fillId="6"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2" xfId="0" applyFont="1" applyFill="1" applyBorder="1" applyAlignment="1">
      <alignment horizontal="center" vertical="center"/>
    </xf>
    <xf numFmtId="0" fontId="1" fillId="0" borderId="10" xfId="0" applyFont="1" applyBorder="1" applyAlignment="1">
      <alignment horizontal="center" vertical="center"/>
    </xf>
    <xf numFmtId="2" fontId="1" fillId="0" borderId="11" xfId="0" applyNumberFormat="1" applyFont="1" applyBorder="1" applyAlignment="1">
      <alignment horizontal="center" vertical="center"/>
    </xf>
    <xf numFmtId="0" fontId="0" fillId="0" borderId="13" xfId="0" applyBorder="1" applyAlignment="1">
      <alignment horizontal="center" vertical="center"/>
    </xf>
    <xf numFmtId="2" fontId="1" fillId="0" borderId="4" xfId="0" applyNumberFormat="1" applyFont="1" applyBorder="1" applyAlignment="1">
      <alignment horizontal="center" vertical="center"/>
    </xf>
    <xf numFmtId="0" fontId="0" fillId="0" borderId="6" xfId="0" applyBorder="1" applyAlignment="1">
      <alignment horizontal="center" vertical="center"/>
    </xf>
    <xf numFmtId="2" fontId="1" fillId="0" borderId="3" xfId="0" applyNumberFormat="1" applyFont="1" applyBorder="1" applyAlignment="1">
      <alignment horizontal="center" vertical="center"/>
    </xf>
    <xf numFmtId="0" fontId="0" fillId="0" borderId="14" xfId="0" applyBorder="1" applyAlignment="1">
      <alignment horizontal="center"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1" xfId="0" applyFont="1" applyBorder="1" applyAlignment="1">
      <alignment horizontal="center"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2" fontId="1" fillId="0" borderId="14" xfId="0" applyNumberFormat="1" applyFont="1" applyBorder="1" applyAlignment="1">
      <alignment horizontal="center" vertical="center" shrinkToFit="1"/>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0" fontId="1" fillId="0" borderId="12"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0" fontId="1" fillId="0" borderId="12" xfId="0" applyFont="1" applyBorder="1" applyAlignment="1">
      <alignment horizontal="center" vertical="center" shrinkToFit="1"/>
    </xf>
    <xf numFmtId="0" fontId="1" fillId="0" borderId="12" xfId="0" applyFont="1" applyBorder="1" applyAlignment="1">
      <alignment horizontal="center" vertical="center"/>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0" fontId="1" fillId="0" borderId="12" xfId="0" applyFont="1" applyBorder="1" applyAlignment="1">
      <alignment vertical="center" shrinkToFit="1"/>
    </xf>
    <xf numFmtId="0" fontId="1" fillId="0" borderId="12" xfId="0" applyFont="1" applyBorder="1" applyAlignment="1">
      <alignment horizontal="center" vertical="center" wrapText="1" shrinkToFit="1"/>
    </xf>
    <xf numFmtId="167" fontId="1" fillId="0" borderId="12" xfId="0" applyNumberFormat="1" applyFont="1" applyBorder="1" applyAlignment="1">
      <alignment horizontal="center" vertical="center" shrinkToFit="1"/>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18" fillId="0" borderId="0" xfId="0" applyFont="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4" fontId="5" fillId="0" borderId="4" xfId="0" applyNumberFormat="1" applyFont="1" applyBorder="1" applyAlignment="1">
      <alignment horizontal="center"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0" xfId="0" applyFont="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2" fontId="1" fillId="0" borderId="12"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4" xfId="0" applyBorder="1" applyAlignment="1">
      <alignment horizontal="center" vertical="center" wrapText="1"/>
    </xf>
    <xf numFmtId="0" fontId="1" fillId="0" borderId="14" xfId="0" applyFont="1" applyBorder="1" applyAlignment="1">
      <alignment horizontal="center" vertical="center" wrapText="1"/>
    </xf>
    <xf numFmtId="0" fontId="0" fillId="0" borderId="14" xfId="0" applyBorder="1" applyAlignment="1">
      <alignment horizontal="center" vertical="center" shrinkToFit="1"/>
    </xf>
    <xf numFmtId="0" fontId="0" fillId="0" borderId="12" xfId="0" applyBorder="1" applyAlignment="1">
      <alignment horizontal="center" vertical="center" shrinkToFit="1"/>
    </xf>
    <xf numFmtId="0" fontId="12" fillId="0" borderId="12" xfId="0" applyFont="1" applyBorder="1" applyAlignment="1">
      <alignment horizontal="center" vertical="center" wrapText="1"/>
    </xf>
    <xf numFmtId="0" fontId="0" fillId="0" borderId="12" xfId="0" applyBorder="1" applyAlignment="1">
      <alignment horizontal="center" vertical="center" wrapText="1"/>
    </xf>
    <xf numFmtId="2" fontId="1" fillId="0" borderId="1"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4" xfId="0" applyFont="1" applyBorder="1" applyAlignment="1">
      <alignment horizontal="center" vertical="center"/>
    </xf>
    <xf numFmtId="167" fontId="1" fillId="0" borderId="14" xfId="0" applyNumberFormat="1"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2" fontId="1" fillId="0" borderId="12" xfId="0" applyNumberFormat="1" applyFont="1" applyBorder="1" applyAlignment="1">
      <alignment horizontal="center" vertical="center" wrapTex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4" xfId="0" applyFont="1" applyBorder="1" applyAlignment="1">
      <alignment horizontal="right" vertical="center" shrinkToFit="1"/>
    </xf>
    <xf numFmtId="0" fontId="1" fillId="0" borderId="6" xfId="0" applyFont="1" applyBorder="1" applyAlignment="1">
      <alignment horizontal="left"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2" fontId="1" fillId="0" borderId="4" xfId="0" applyNumberFormat="1"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2" fontId="0" fillId="0" borderId="12" xfId="0" applyNumberFormat="1" applyBorder="1" applyAlignment="1">
      <alignment horizontal="center" vertical="center"/>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2" fontId="0" fillId="0" borderId="2" xfId="0" applyNumberFormat="1" applyBorder="1" applyAlignment="1">
      <alignment horizontal="center" vertical="center"/>
    </xf>
    <xf numFmtId="2" fontId="0" fillId="0" borderId="10" xfId="0" applyNumberFormat="1" applyBorder="1" applyAlignment="1">
      <alignment horizontal="center" vertical="center"/>
    </xf>
    <xf numFmtId="0" fontId="0" fillId="0" borderId="15" xfId="0" applyBorder="1" applyAlignment="1">
      <alignment horizontal="center" vertical="center" wrapText="1"/>
    </xf>
    <xf numFmtId="0" fontId="0" fillId="0" borderId="13" xfId="0" applyBorder="1" applyAlignment="1">
      <alignment horizontal="center" vertical="center" wrapText="1"/>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12" fillId="0" borderId="5" xfId="0" applyFont="1" applyBorder="1" applyAlignment="1">
      <alignment horizontal="center" vertical="center"/>
    </xf>
    <xf numFmtId="1" fontId="0" fillId="0" borderId="12" xfId="0" applyNumberFormat="1" applyBorder="1" applyAlignment="1">
      <alignment horizontal="center" vertical="center"/>
    </xf>
    <xf numFmtId="49" fontId="61" fillId="2" borderId="0" xfId="0" applyNumberFormat="1" applyFont="1" applyFill="1" applyAlignment="1" applyProtection="1">
      <alignment horizontal="center" vertical="center" shrinkToFit="1"/>
      <protection locked="0"/>
    </xf>
    <xf numFmtId="0" fontId="50" fillId="0" borderId="0" xfId="0" applyFont="1" applyAlignment="1">
      <alignment horizont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5"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0" fillId="0" borderId="0" xfId="0" applyAlignment="1">
      <alignment horizontal="left" vertical="center" wrapText="1"/>
    </xf>
    <xf numFmtId="0" fontId="42" fillId="2" borderId="12" xfId="0"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2" fontId="1" fillId="0" borderId="12" xfId="0" applyNumberFormat="1" applyFont="1" applyBorder="1" applyAlignment="1">
      <alignment horizontal="center" vertical="center"/>
    </xf>
    <xf numFmtId="0" fontId="50" fillId="0" borderId="12" xfId="0" applyFon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52" fillId="0" borderId="0" xfId="0" applyNumberFormat="1" applyFont="1" applyAlignment="1">
      <alignment horizontal="right"/>
    </xf>
    <xf numFmtId="0" fontId="0" fillId="0" borderId="0" xfId="0"/>
    <xf numFmtId="0" fontId="50" fillId="0" borderId="13" xfId="0" applyFont="1" applyBorder="1" applyAlignment="1">
      <alignment horizontal="center" vertical="center"/>
    </xf>
    <xf numFmtId="165" fontId="1" fillId="0" borderId="0" xfId="0" applyNumberFormat="1" applyFont="1" applyAlignment="1">
      <alignment horizontal="center" vertical="center"/>
    </xf>
    <xf numFmtId="169"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171"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4" fillId="0" borderId="0" xfId="0" applyFont="1" applyAlignment="1">
      <alignment horizontal="center" vertical="center"/>
    </xf>
    <xf numFmtId="166" fontId="1" fillId="0" borderId="0" xfId="0" applyNumberFormat="1" applyFont="1" applyAlignment="1">
      <alignment horizontal="center" vertical="center"/>
    </xf>
    <xf numFmtId="166"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71" fontId="0" fillId="0" borderId="0" xfId="0" applyNumberFormat="1" applyAlignment="1">
      <alignment horizontal="center" vertical="center"/>
    </xf>
    <xf numFmtId="2" fontId="1" fillId="0" borderId="6" xfId="0" applyNumberFormat="1" applyFont="1" applyBorder="1" applyAlignment="1">
      <alignment horizontal="center"/>
    </xf>
    <xf numFmtId="173" fontId="0" fillId="0" borderId="0" xfId="0" applyNumberForma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2" fontId="1" fillId="0" borderId="0" xfId="0" applyNumberFormat="1" applyFont="1" applyAlignment="1">
      <alignment horizontal="center"/>
    </xf>
    <xf numFmtId="49" fontId="92" fillId="2" borderId="0" xfId="0" applyNumberFormat="1" applyFont="1" applyFill="1" applyAlignment="1" applyProtection="1">
      <alignment horizontal="center" vertical="center" wrapText="1" shrinkToFit="1"/>
      <protection locked="0"/>
    </xf>
    <xf numFmtId="0" fontId="0" fillId="0" borderId="10" xfId="0" applyBorder="1"/>
    <xf numFmtId="2" fontId="0" fillId="0" borderId="0" xfId="0" applyNumberFormat="1" applyAlignment="1">
      <alignment horizontal="left" vertical="center"/>
    </xf>
    <xf numFmtId="1" fontId="1" fillId="0" borderId="0" xfId="0" applyNumberFormat="1" applyFont="1" applyAlignment="1">
      <alignment horizontal="center" vertical="center"/>
    </xf>
    <xf numFmtId="0" fontId="1" fillId="0" borderId="0" xfId="0" quotePrefix="1" applyFont="1" applyAlignment="1">
      <alignment horizontal="center" vertical="center"/>
    </xf>
    <xf numFmtId="0" fontId="20" fillId="0" borderId="10" xfId="0" applyFont="1" applyBorder="1" applyAlignment="1">
      <alignment horizontal="center" vertical="center"/>
    </xf>
    <xf numFmtId="0" fontId="20" fillId="0" borderId="0" xfId="0" applyFont="1" applyAlignment="1">
      <alignment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165" fontId="0" fillId="0" borderId="0" xfId="0" applyNumberFormat="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2" fontId="1" fillId="0" borderId="5" xfId="0" applyNumberFormat="1" applyFont="1" applyBorder="1" applyAlignment="1">
      <alignment horizontal="center" vertical="center"/>
    </xf>
    <xf numFmtId="0" fontId="0" fillId="0" borderId="0" xfId="0" applyAlignment="1">
      <alignment vertical="center"/>
    </xf>
    <xf numFmtId="0" fontId="1" fillId="0" borderId="2" xfId="0" quotePrefix="1" applyFont="1" applyBorder="1" applyAlignment="1">
      <alignment horizontal="center" vertical="center"/>
    </xf>
    <xf numFmtId="0" fontId="0" fillId="0" borderId="0" xfId="0" applyAlignment="1">
      <alignment horizontal="left" vertical="center"/>
    </xf>
    <xf numFmtId="0" fontId="86" fillId="6" borderId="12" xfId="0" applyFont="1" applyFill="1" applyBorder="1" applyAlignment="1">
      <alignment horizontal="center"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0" fontId="0" fillId="0" borderId="6" xfId="0" applyBorder="1" applyAlignment="1">
      <alignment vertical="center"/>
    </xf>
    <xf numFmtId="0" fontId="1" fillId="0" borderId="0" xfId="0"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20" fillId="0" borderId="7" xfId="0" applyFont="1" applyBorder="1" applyAlignment="1">
      <alignment horizontal="right" vertical="center"/>
    </xf>
    <xf numFmtId="0" fontId="1" fillId="0" borderId="7" xfId="0" applyFont="1" applyBorder="1" applyAlignment="1">
      <alignment horizontal="right"/>
    </xf>
    <xf numFmtId="1" fontId="1" fillId="0" borderId="0" xfId="0" applyNumberFormat="1" applyFont="1" applyAlignment="1">
      <alignment horizontal="right" vertical="center" shrinkToFit="1"/>
    </xf>
    <xf numFmtId="0" fontId="0" fillId="0" borderId="0" xfId="0" applyAlignment="1">
      <alignment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6" fillId="0" borderId="10" xfId="0"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shrinkToFit="1"/>
    </xf>
    <xf numFmtId="0" fontId="1" fillId="0" borderId="10" xfId="0" applyFont="1" applyBorder="1" applyAlignment="1">
      <alignment shrinkToFit="1"/>
    </xf>
    <xf numFmtId="0" fontId="1" fillId="0" borderId="0" xfId="0" applyFont="1" applyAlignment="1">
      <alignment horizontal="right" vertical="center"/>
    </xf>
    <xf numFmtId="0" fontId="20" fillId="0" borderId="10" xfId="0" quotePrefix="1" applyFont="1" applyBorder="1" applyAlignment="1">
      <alignment horizontal="center" vertical="center"/>
    </xf>
    <xf numFmtId="0" fontId="6" fillId="0" borderId="10" xfId="0" applyFont="1" applyBorder="1" applyAlignment="1">
      <alignment horizontal="center" vertic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0" fillId="0" borderId="4" xfId="0" applyBorder="1" applyAlignment="1">
      <alignment horizontal="center"/>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20" fillId="0" borderId="10" xfId="0" applyFont="1" applyBorder="1" applyAlignment="1">
      <alignment horizontal="center" vertical="center" shrinkToFit="1"/>
    </xf>
    <xf numFmtId="2" fontId="1" fillId="2" borderId="12" xfId="0" applyNumberFormat="1"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85" fillId="2" borderId="1" xfId="0" applyFont="1" applyFill="1" applyBorder="1" applyAlignment="1">
      <alignment horizontal="center" vertical="center"/>
    </xf>
    <xf numFmtId="0" fontId="0" fillId="0" borderId="4" xfId="0" applyBorder="1" applyAlignment="1">
      <alignment vertical="center"/>
    </xf>
    <xf numFmtId="2" fontId="20" fillId="0" borderId="10" xfId="0" quotePrefix="1" applyNumberFormat="1" applyFont="1" applyBorder="1" applyAlignment="1">
      <alignment horizontal="center" vertical="center" shrinkToFit="1"/>
    </xf>
    <xf numFmtId="0" fontId="0" fillId="0" borderId="0" xfId="0" applyAlignment="1">
      <alignment horizontal="right" vertical="center" shrinkToFit="1"/>
    </xf>
    <xf numFmtId="0" fontId="13" fillId="2" borderId="4"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1" fillId="0" borderId="7" xfId="0" applyFont="1" applyBorder="1" applyAlignment="1">
      <alignment horizontal="right" vertical="center"/>
    </xf>
    <xf numFmtId="0" fontId="0" fillId="0" borderId="10" xfId="0" applyBorder="1" applyAlignment="1">
      <alignment vertical="center"/>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0" fillId="2" borderId="12" xfId="0" applyFill="1" applyBorder="1" applyAlignment="1" applyProtection="1">
      <alignment vertical="center"/>
      <protection locked="0"/>
    </xf>
    <xf numFmtId="0" fontId="1" fillId="0" borderId="6" xfId="0" applyFont="1" applyBorder="1" applyAlignment="1">
      <alignment vertical="center"/>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7" xfId="0" applyFont="1" applyBorder="1" applyAlignment="1">
      <alignment vertical="center"/>
    </xf>
    <xf numFmtId="2" fontId="1" fillId="0" borderId="0" xfId="0" applyNumberFormat="1" applyFont="1" applyAlignment="1">
      <alignment horizontal="center" vertical="center" shrinkToFit="1"/>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0" fontId="12" fillId="6" borderId="12" xfId="0" applyFont="1" applyFill="1" applyBorder="1" applyAlignment="1">
      <alignment horizontal="center" vertical="center"/>
    </xf>
    <xf numFmtId="0" fontId="1" fillId="0" borderId="12" xfId="0" applyFont="1" applyBorder="1" applyAlignment="1">
      <alignment vertical="center"/>
    </xf>
    <xf numFmtId="0" fontId="1" fillId="0" borderId="10" xfId="0" applyFont="1" applyBorder="1" applyAlignment="1">
      <alignment vertical="center"/>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2" fontId="1" fillId="0" borderId="12" xfId="0" applyNumberFormat="1" applyFont="1" applyBorder="1" applyAlignment="1">
      <alignment horizontal="right" vertical="center"/>
    </xf>
    <xf numFmtId="0" fontId="0" fillId="0" borderId="12" xfId="0"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3"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42" fillId="0" borderId="7" xfId="0" applyFont="1" applyBorder="1" applyAlignment="1">
      <alignment horizontal="center" vertical="center"/>
    </xf>
    <xf numFmtId="0" fontId="42" fillId="0" borderId="0" xfId="0" applyFont="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12" fillId="0" borderId="4" xfId="0" applyFont="1" applyBorder="1" applyAlignment="1">
      <alignment horizontal="center" vertical="center" shrinkToFit="1"/>
    </xf>
    <xf numFmtId="0" fontId="15" fillId="0" borderId="0" xfId="0" applyFont="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86" fillId="6" borderId="6" xfId="0" applyFont="1" applyFill="1" applyBorder="1" applyAlignment="1">
      <alignment horizontal="center" vertical="center"/>
    </xf>
    <xf numFmtId="0" fontId="12" fillId="0" borderId="6" xfId="0" applyFont="1" applyBorder="1" applyAlignment="1">
      <alignment horizontal="center" vertical="center" shrinkToFit="1"/>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53" fillId="0" borderId="10" xfId="0" applyFont="1" applyBorder="1" applyAlignment="1">
      <alignment horizontal="center" vertical="center"/>
    </xf>
    <xf numFmtId="0" fontId="4" fillId="0" borderId="10" xfId="0" applyFont="1" applyBorder="1" applyAlignment="1">
      <alignment horizontal="center" vertical="center"/>
    </xf>
    <xf numFmtId="169" fontId="0" fillId="0" borderId="0" xfId="0" applyNumberFormat="1" applyAlignment="1">
      <alignment horizontal="center" vertical="center"/>
    </xf>
    <xf numFmtId="0" fontId="1" fillId="0" borderId="2" xfId="0" applyFont="1" applyBorder="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0" fontId="1" fillId="0" borderId="0" xfId="0" applyFont="1" applyAlignment="1" applyProtection="1">
      <alignment horizontal="center" vertical="center"/>
      <protection locked="0"/>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166" fontId="1" fillId="0" borderId="0" xfId="0" applyNumberFormat="1" applyFont="1" applyAlignment="1">
      <alignment horizontal="left" vertical="center"/>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0" fontId="1" fillId="0" borderId="4" xfId="0" quotePrefix="1" applyFont="1" applyBorder="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0" fillId="0" borderId="9" xfId="0" applyBorder="1" applyAlignment="1">
      <alignment horizontal="center" vertical="center"/>
    </xf>
    <xf numFmtId="167" fontId="1" fillId="0" borderId="0" xfId="0" applyNumberFormat="1" applyFont="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752" t="s">
        <v>0</v>
      </c>
      <c r="B1" s="753"/>
      <c r="C1" s="753"/>
      <c r="D1" s="753"/>
      <c r="E1" s="753"/>
      <c r="F1" s="753"/>
      <c r="G1" s="754"/>
      <c r="H1" s="636" t="s">
        <v>1</v>
      </c>
      <c r="I1" s="761"/>
      <c r="J1" s="761"/>
      <c r="K1" s="761"/>
      <c r="L1" s="761"/>
      <c r="M1" s="761"/>
      <c r="N1" s="762"/>
      <c r="O1" s="612" t="s">
        <v>2</v>
      </c>
      <c r="P1" s="613"/>
      <c r="Q1" s="614"/>
      <c r="R1" s="744" t="s">
        <v>3</v>
      </c>
      <c r="S1" s="745"/>
      <c r="T1" s="745"/>
      <c r="U1" s="745"/>
      <c r="V1" s="746"/>
      <c r="W1" s="4"/>
      <c r="X1" s="4"/>
      <c r="Y1" s="5"/>
      <c r="Z1" s="5"/>
      <c r="AA1" s="5"/>
    </row>
    <row r="2" spans="1:27" ht="18" customHeight="1">
      <c r="A2" s="755"/>
      <c r="B2" s="756"/>
      <c r="C2" s="756"/>
      <c r="D2" s="756"/>
      <c r="E2" s="756"/>
      <c r="F2" s="756"/>
      <c r="G2" s="757"/>
      <c r="H2" s="639" t="s">
        <v>4</v>
      </c>
      <c r="I2" s="763"/>
      <c r="J2" s="763"/>
      <c r="K2" s="763"/>
      <c r="L2" s="763"/>
      <c r="M2" s="763"/>
      <c r="N2" s="764"/>
      <c r="O2" s="612" t="s">
        <v>5</v>
      </c>
      <c r="P2" s="613"/>
      <c r="Q2" s="614"/>
      <c r="R2" s="765">
        <v>46106</v>
      </c>
      <c r="S2" s="745"/>
      <c r="T2" s="745"/>
      <c r="U2" s="745"/>
      <c r="V2" s="746"/>
    </row>
    <row r="3" spans="1:27" ht="23.4" customHeight="1">
      <c r="A3" s="755"/>
      <c r="B3" s="756"/>
      <c r="C3" s="756"/>
      <c r="D3" s="756"/>
      <c r="E3" s="756"/>
      <c r="F3" s="756"/>
      <c r="G3" s="757"/>
      <c r="H3" s="766" t="s">
        <v>823</v>
      </c>
      <c r="I3" s="767"/>
      <c r="J3" s="767"/>
      <c r="K3" s="767"/>
      <c r="L3" s="767"/>
      <c r="M3" s="767"/>
      <c r="N3" s="768"/>
      <c r="O3" s="612" t="s">
        <v>6</v>
      </c>
      <c r="P3" s="613"/>
      <c r="Q3" s="614"/>
      <c r="R3" s="772" t="s">
        <v>7</v>
      </c>
      <c r="S3" s="745"/>
      <c r="T3" s="745"/>
      <c r="U3" s="745"/>
      <c r="V3" s="746"/>
      <c r="X3" s="7"/>
    </row>
    <row r="4" spans="1:27" ht="18" customHeight="1">
      <c r="A4" s="758"/>
      <c r="B4" s="759"/>
      <c r="C4" s="759"/>
      <c r="D4" s="759"/>
      <c r="E4" s="759"/>
      <c r="F4" s="759"/>
      <c r="G4" s="760"/>
      <c r="H4" s="769"/>
      <c r="I4" s="770"/>
      <c r="J4" s="770"/>
      <c r="K4" s="770"/>
      <c r="L4" s="770"/>
      <c r="M4" s="770"/>
      <c r="N4" s="771"/>
      <c r="O4" s="612" t="s">
        <v>8</v>
      </c>
      <c r="P4" s="613"/>
      <c r="Q4" s="614"/>
      <c r="R4" s="751" t="s">
        <v>9</v>
      </c>
      <c r="S4" s="745"/>
      <c r="T4" s="745"/>
      <c r="U4" s="745"/>
      <c r="V4" s="746"/>
      <c r="X4" s="7"/>
    </row>
    <row r="5" spans="1:27" ht="18" customHeight="1">
      <c r="A5" s="618" t="s">
        <v>10</v>
      </c>
      <c r="B5" s="620"/>
      <c r="C5" s="8" t="s">
        <v>11</v>
      </c>
      <c r="D5" s="618" t="s">
        <v>12</v>
      </c>
      <c r="E5" s="620"/>
      <c r="F5" s="620"/>
      <c r="G5" s="8" t="s">
        <v>13</v>
      </c>
      <c r="H5" s="741" t="s">
        <v>14</v>
      </c>
      <c r="I5" s="742"/>
      <c r="J5" s="742"/>
      <c r="K5" s="742"/>
      <c r="L5" s="742"/>
      <c r="M5" s="742"/>
      <c r="N5" s="743"/>
      <c r="O5" s="612" t="s">
        <v>15</v>
      </c>
      <c r="P5" s="613"/>
      <c r="Q5" s="614"/>
      <c r="R5" s="744" t="s">
        <v>0</v>
      </c>
      <c r="S5" s="745"/>
      <c r="T5" s="745"/>
      <c r="U5" s="745"/>
      <c r="V5" s="746"/>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747" t="str">
        <f>H3</f>
        <v>LT14 - LEWIS
400/132kV SUBSTATION</v>
      </c>
      <c r="F17" s="747"/>
      <c r="G17" s="747"/>
      <c r="H17" s="747"/>
      <c r="I17" s="747"/>
      <c r="J17" s="747"/>
      <c r="K17" s="747"/>
      <c r="L17" s="747"/>
      <c r="M17" s="747"/>
      <c r="N17" s="747"/>
      <c r="O17" s="747"/>
      <c r="P17" s="747"/>
      <c r="Q17" s="747"/>
      <c r="R17" s="747"/>
      <c r="S17" s="11"/>
      <c r="T17" s="11"/>
      <c r="V17" s="10"/>
    </row>
    <row r="18" spans="1:22" ht="18" customHeight="1">
      <c r="A18" s="9"/>
      <c r="E18" s="747"/>
      <c r="F18" s="747"/>
      <c r="G18" s="747"/>
      <c r="H18" s="747"/>
      <c r="I18" s="747"/>
      <c r="J18" s="747"/>
      <c r="K18" s="747"/>
      <c r="L18" s="747"/>
      <c r="M18" s="747"/>
      <c r="N18" s="747"/>
      <c r="O18" s="747"/>
      <c r="P18" s="747"/>
      <c r="Q18" s="747"/>
      <c r="R18" s="747"/>
      <c r="S18" s="11"/>
      <c r="T18" s="11"/>
      <c r="V18" s="10"/>
    </row>
    <row r="19" spans="1:22" ht="18" customHeight="1">
      <c r="A19" s="9"/>
      <c r="E19" s="747" t="s">
        <v>16</v>
      </c>
      <c r="F19" s="747"/>
      <c r="G19" s="747"/>
      <c r="H19" s="747"/>
      <c r="I19" s="747"/>
      <c r="J19" s="747"/>
      <c r="K19" s="747"/>
      <c r="L19" s="747"/>
      <c r="M19" s="747"/>
      <c r="N19" s="747"/>
      <c r="O19" s="747"/>
      <c r="P19" s="747"/>
      <c r="Q19" s="747"/>
      <c r="R19" s="747"/>
      <c r="S19" s="11"/>
      <c r="T19" s="11"/>
      <c r="V19" s="10"/>
    </row>
    <row r="20" spans="1:22" ht="18" customHeight="1">
      <c r="A20" s="9"/>
      <c r="E20" s="747"/>
      <c r="F20" s="747"/>
      <c r="G20" s="747"/>
      <c r="H20" s="747"/>
      <c r="I20" s="747"/>
      <c r="J20" s="747"/>
      <c r="K20" s="747"/>
      <c r="L20" s="747"/>
      <c r="M20" s="747"/>
      <c r="N20" s="747"/>
      <c r="O20" s="747"/>
      <c r="P20" s="747"/>
      <c r="Q20" s="747"/>
      <c r="R20" s="747"/>
      <c r="S20" s="11"/>
      <c r="T20" s="11"/>
      <c r="V20" s="10"/>
    </row>
    <row r="21" spans="1:22" ht="18" customHeight="1">
      <c r="A21" s="9"/>
      <c r="E21" s="748"/>
      <c r="F21" s="748"/>
      <c r="G21" s="748"/>
      <c r="H21" s="748"/>
      <c r="I21" s="748"/>
      <c r="J21" s="748"/>
      <c r="K21" s="748"/>
      <c r="L21" s="748" t="s">
        <v>17</v>
      </c>
      <c r="M21" s="748"/>
      <c r="N21" s="748"/>
      <c r="O21" s="748"/>
      <c r="P21" s="748"/>
      <c r="Q21" s="748"/>
      <c r="R21" s="748"/>
      <c r="S21" s="11"/>
      <c r="T21" s="11"/>
      <c r="V21" s="10"/>
    </row>
    <row r="22" spans="1:22" ht="18" customHeight="1">
      <c r="A22" s="9"/>
      <c r="E22" s="748"/>
      <c r="F22" s="748"/>
      <c r="G22" s="748"/>
      <c r="H22" s="748"/>
      <c r="I22" s="748"/>
      <c r="J22" s="748"/>
      <c r="K22" s="748"/>
      <c r="L22" s="748"/>
      <c r="M22" s="748"/>
      <c r="N22" s="748"/>
      <c r="O22" s="748"/>
      <c r="P22" s="748"/>
      <c r="Q22" s="748"/>
      <c r="R22" s="748"/>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749">
        <f>R2</f>
        <v>46106</v>
      </c>
      <c r="Q36" s="750"/>
      <c r="R36" s="750"/>
      <c r="S36" s="750"/>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 ref="A5:B5"/>
    <mergeCell ref="D5:F5"/>
    <mergeCell ref="H5:N5"/>
    <mergeCell ref="O5:Q5"/>
    <mergeCell ref="R5:V5"/>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4" t="str">
        <f>Title!R1</f>
        <v>N-19957.1-DF5W</v>
      </c>
      <c r="S1" s="775"/>
      <c r="T1" s="775"/>
      <c r="U1" s="775"/>
      <c r="V1" s="776"/>
      <c r="W1" s="4"/>
      <c r="X1" s="4"/>
      <c r="Y1" s="5"/>
      <c r="Z1" s="5"/>
      <c r="AA1" s="5"/>
    </row>
    <row r="2" spans="1:27" ht="18" customHeight="1">
      <c r="A2" s="630"/>
      <c r="B2" s="631"/>
      <c r="C2" s="631"/>
      <c r="D2" s="631"/>
      <c r="E2" s="631"/>
      <c r="F2" s="631"/>
      <c r="G2" s="632"/>
      <c r="H2" s="639" t="str">
        <f>Title!H2</f>
        <v>ADEQUACY CHECK</v>
      </c>
      <c r="I2" s="640"/>
      <c r="J2" s="640"/>
      <c r="K2" s="640"/>
      <c r="L2" s="640"/>
      <c r="M2" s="640"/>
      <c r="N2" s="641"/>
      <c r="O2" s="612" t="str">
        <f>Title!O2</f>
        <v>Date</v>
      </c>
      <c r="P2" s="613"/>
      <c r="Q2" s="614"/>
      <c r="R2" s="777">
        <f>Title!R2</f>
        <v>46106</v>
      </c>
      <c r="S2" s="775"/>
      <c r="T2" s="775"/>
      <c r="U2" s="775"/>
      <c r="V2" s="776"/>
    </row>
    <row r="3" spans="1:27" ht="21.6"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row>
    <row r="4" spans="1:27" ht="18" customHeight="1">
      <c r="A4" s="633"/>
      <c r="B4" s="634"/>
      <c r="C4" s="634"/>
      <c r="D4" s="634"/>
      <c r="E4" s="634"/>
      <c r="F4" s="634"/>
      <c r="G4" s="635"/>
      <c r="H4" s="648"/>
      <c r="I4" s="649"/>
      <c r="J4" s="649"/>
      <c r="K4" s="649"/>
      <c r="L4" s="649"/>
      <c r="M4" s="649"/>
      <c r="N4" s="650"/>
      <c r="O4" s="612" t="str">
        <f>Title!O4</f>
        <v>Revision No.</v>
      </c>
      <c r="P4" s="613"/>
      <c r="Q4" s="614"/>
      <c r="R4" s="774" t="str">
        <f>Title!R4</f>
        <v>A</v>
      </c>
      <c r="S4" s="775"/>
      <c r="T4" s="775"/>
      <c r="U4" s="775"/>
      <c r="V4" s="776"/>
    </row>
    <row r="5" spans="1:27" ht="18" customHeight="1">
      <c r="A5" s="618" t="str">
        <f>Title!A5</f>
        <v>Prep. By</v>
      </c>
      <c r="B5" s="619"/>
      <c r="C5" s="25" t="str">
        <f>Title!C5</f>
        <v>AP</v>
      </c>
      <c r="D5" s="618" t="str">
        <f>Title!D5</f>
        <v>Checked By</v>
      </c>
      <c r="E5" s="620"/>
      <c r="F5" s="619"/>
      <c r="G5" s="25" t="str">
        <f>Title!G5</f>
        <v>RB</v>
      </c>
      <c r="H5" s="621" t="s">
        <v>27</v>
      </c>
      <c r="I5" s="622"/>
      <c r="J5" s="622"/>
      <c r="K5" s="622"/>
      <c r="L5" s="622"/>
      <c r="M5" s="622"/>
      <c r="N5" s="623"/>
      <c r="O5" s="624" t="str">
        <f>Title!O5</f>
        <v>Contractor</v>
      </c>
      <c r="P5" s="625"/>
      <c r="Q5" s="626"/>
      <c r="R5" s="774" t="str">
        <f>Title!R5</f>
        <v>HITACHI</v>
      </c>
      <c r="S5" s="775"/>
      <c r="T5" s="775"/>
      <c r="U5" s="775"/>
      <c r="V5" s="776"/>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73"/>
      <c r="AB23" s="773"/>
      <c r="AC23" s="773"/>
      <c r="AD23" s="773"/>
      <c r="AE23" s="773"/>
      <c r="AF23" s="773"/>
      <c r="AG23" s="773"/>
      <c r="AH23" s="773"/>
      <c r="AI23" s="773"/>
      <c r="AJ23" s="773"/>
      <c r="AK23" s="773"/>
      <c r="AL23" s="773"/>
      <c r="AM23" s="773"/>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O3:Q3"/>
    <mergeCell ref="R3:V3"/>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4" t="str">
        <f>Title!R1</f>
        <v>N-19957.1-DF5W</v>
      </c>
      <c r="S1" s="775"/>
      <c r="T1" s="775"/>
      <c r="U1" s="775"/>
      <c r="V1" s="776"/>
      <c r="W1" s="4"/>
      <c r="X1" s="4"/>
    </row>
    <row r="2" spans="1:26" ht="18" customHeight="1">
      <c r="A2" s="630"/>
      <c r="B2" s="631"/>
      <c r="C2" s="631"/>
      <c r="D2" s="631"/>
      <c r="E2" s="631"/>
      <c r="F2" s="631"/>
      <c r="G2" s="632"/>
      <c r="H2" s="639" t="str">
        <f>Title!H2</f>
        <v>ADEQUACY CHECK</v>
      </c>
      <c r="I2" s="640"/>
      <c r="J2" s="640"/>
      <c r="K2" s="640"/>
      <c r="L2" s="640"/>
      <c r="M2" s="640"/>
      <c r="N2" s="641"/>
      <c r="O2" s="612" t="str">
        <f>Title!O2</f>
        <v>Date</v>
      </c>
      <c r="P2" s="613"/>
      <c r="Q2" s="614"/>
      <c r="R2" s="777">
        <f>Title!R2</f>
        <v>46106</v>
      </c>
      <c r="S2" s="775"/>
      <c r="T2" s="775"/>
      <c r="U2" s="775"/>
      <c r="V2" s="776"/>
      <c r="W2" s="4"/>
      <c r="X2" s="4"/>
    </row>
    <row r="3" spans="1:26" ht="22.2"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4"/>
      <c r="X3" s="4"/>
    </row>
    <row r="4" spans="1:26" ht="18" customHeight="1">
      <c r="A4" s="633"/>
      <c r="B4" s="634"/>
      <c r="C4" s="634"/>
      <c r="D4" s="634"/>
      <c r="E4" s="634"/>
      <c r="F4" s="634"/>
      <c r="G4" s="635"/>
      <c r="H4" s="648"/>
      <c r="I4" s="649"/>
      <c r="J4" s="649"/>
      <c r="K4" s="649"/>
      <c r="L4" s="649"/>
      <c r="M4" s="649"/>
      <c r="N4" s="650"/>
      <c r="O4" s="612" t="str">
        <f>Title!O4</f>
        <v>Revision No.</v>
      </c>
      <c r="P4" s="613"/>
      <c r="Q4" s="614"/>
      <c r="R4" s="774" t="str">
        <f>Title!R4</f>
        <v>A</v>
      </c>
      <c r="S4" s="775"/>
      <c r="T4" s="775"/>
      <c r="U4" s="775"/>
      <c r="V4" s="776"/>
      <c r="W4" s="68"/>
      <c r="X4" s="68"/>
    </row>
    <row r="5" spans="1:26" ht="18" customHeight="1">
      <c r="A5" s="618" t="str">
        <f>Title!A5</f>
        <v>Prep. By</v>
      </c>
      <c r="B5" s="619"/>
      <c r="C5" s="25" t="str">
        <f>Title!C5</f>
        <v>AP</v>
      </c>
      <c r="D5" s="618" t="str">
        <f>Title!D5</f>
        <v>Checked By</v>
      </c>
      <c r="E5" s="620"/>
      <c r="F5" s="619"/>
      <c r="G5" s="25" t="str">
        <f>Title!G5</f>
        <v>RB</v>
      </c>
      <c r="H5" s="779" t="s">
        <v>77</v>
      </c>
      <c r="I5" s="780"/>
      <c r="J5" s="780"/>
      <c r="K5" s="780"/>
      <c r="L5" s="780"/>
      <c r="M5" s="780"/>
      <c r="N5" s="781"/>
      <c r="O5" s="624" t="str">
        <f>Title!O5</f>
        <v>Contractor</v>
      </c>
      <c r="P5" s="625"/>
      <c r="Q5" s="626"/>
      <c r="R5" s="774" t="str">
        <f>Title!R5</f>
        <v>HITACHI</v>
      </c>
      <c r="S5" s="775"/>
      <c r="T5" s="775"/>
      <c r="U5" s="775"/>
      <c r="V5" s="776"/>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78" t="s">
        <v>839</v>
      </c>
      <c r="D10" s="778"/>
      <c r="E10" s="778"/>
      <c r="F10" s="778"/>
      <c r="G10" s="778"/>
      <c r="H10" s="778"/>
      <c r="I10" s="778"/>
      <c r="J10" s="778"/>
      <c r="K10" s="778"/>
      <c r="L10" s="778"/>
      <c r="M10" s="778"/>
      <c r="N10" s="778"/>
      <c r="O10" s="778"/>
      <c r="P10" s="778"/>
      <c r="Q10" s="778"/>
      <c r="R10" s="778"/>
      <c r="S10" s="778"/>
      <c r="T10" s="778"/>
      <c r="U10" s="778"/>
      <c r="V10" s="71"/>
      <c r="W10" s="4"/>
      <c r="X10" s="4"/>
    </row>
    <row r="11" spans="1:26" ht="18" customHeight="1">
      <c r="A11" s="69"/>
      <c r="B11" s="28"/>
      <c r="C11" s="778"/>
      <c r="D11" s="778"/>
      <c r="E11" s="778"/>
      <c r="F11" s="778"/>
      <c r="G11" s="778"/>
      <c r="H11" s="778"/>
      <c r="I11" s="778"/>
      <c r="J11" s="778"/>
      <c r="K11" s="778"/>
      <c r="L11" s="778"/>
      <c r="M11" s="778"/>
      <c r="N11" s="778"/>
      <c r="O11" s="778"/>
      <c r="P11" s="778"/>
      <c r="Q11" s="778"/>
      <c r="R11" s="778"/>
      <c r="S11" s="778"/>
      <c r="T11" s="778"/>
      <c r="U11" s="778"/>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H5:N5"/>
    <mergeCell ref="O5:Q5"/>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27" t="s">
        <v>0</v>
      </c>
      <c r="B1" s="628"/>
      <c r="C1" s="628"/>
      <c r="D1" s="628"/>
      <c r="E1" s="628"/>
      <c r="F1" s="628"/>
      <c r="G1" s="629"/>
      <c r="H1" s="833" t="str">
        <f>Title!H1&amp;" "&amp;Title!H2</f>
        <v>CT / VT ADEQUACY CHECK</v>
      </c>
      <c r="I1" s="833"/>
      <c r="J1" s="833"/>
      <c r="K1" s="833"/>
      <c r="L1" s="833"/>
      <c r="M1" s="833"/>
      <c r="N1" s="833"/>
      <c r="O1" s="833"/>
      <c r="P1" s="833"/>
      <c r="Q1" s="833"/>
      <c r="R1" s="833"/>
      <c r="S1" s="833"/>
      <c r="T1" s="832" t="str">
        <f>Title!O1</f>
        <v>Contract No.</v>
      </c>
      <c r="U1" s="832"/>
      <c r="V1" s="832"/>
      <c r="W1" s="829" t="str">
        <f>Title!R1</f>
        <v>N-19957.1-DF5W</v>
      </c>
      <c r="X1" s="829"/>
      <c r="Y1" s="14"/>
      <c r="Z1" s="14"/>
    </row>
    <row r="2" spans="1:26" ht="13.2" customHeight="1">
      <c r="A2" s="630"/>
      <c r="B2" s="631"/>
      <c r="C2" s="631"/>
      <c r="D2" s="631"/>
      <c r="E2" s="631"/>
      <c r="F2" s="631"/>
      <c r="G2" s="632"/>
      <c r="H2" s="833"/>
      <c r="I2" s="833"/>
      <c r="J2" s="833"/>
      <c r="K2" s="833"/>
      <c r="L2" s="833"/>
      <c r="M2" s="833"/>
      <c r="N2" s="833"/>
      <c r="O2" s="833"/>
      <c r="P2" s="833"/>
      <c r="Q2" s="833"/>
      <c r="R2" s="833"/>
      <c r="S2" s="833"/>
      <c r="T2" s="832" t="str">
        <f>Title!O2</f>
        <v>Date</v>
      </c>
      <c r="U2" s="832"/>
      <c r="V2" s="832"/>
      <c r="W2" s="834">
        <f>Title!R2</f>
        <v>46106</v>
      </c>
      <c r="X2" s="829"/>
      <c r="Y2" s="14"/>
      <c r="Z2" s="14"/>
    </row>
    <row r="3" spans="1:26" ht="22.2" customHeight="1">
      <c r="A3" s="630"/>
      <c r="B3" s="631"/>
      <c r="C3" s="631"/>
      <c r="D3" s="631"/>
      <c r="E3" s="631"/>
      <c r="F3" s="631"/>
      <c r="G3" s="632"/>
      <c r="H3" s="833" t="str">
        <f>Title!H3</f>
        <v>LT14 - LEWIS
400/132kV SUBSTATION</v>
      </c>
      <c r="I3" s="833"/>
      <c r="J3" s="833"/>
      <c r="K3" s="833"/>
      <c r="L3" s="833"/>
      <c r="M3" s="833"/>
      <c r="N3" s="833"/>
      <c r="O3" s="833"/>
      <c r="P3" s="833"/>
      <c r="Q3" s="833"/>
      <c r="R3" s="833"/>
      <c r="S3" s="833"/>
      <c r="T3" s="832" t="str">
        <f>Title!O3</f>
        <v>Document No.</v>
      </c>
      <c r="U3" s="832"/>
      <c r="V3" s="832"/>
      <c r="W3" s="830" t="str">
        <f>Title!R3</f>
        <v>-</v>
      </c>
      <c r="X3" s="830"/>
      <c r="Y3" s="14"/>
      <c r="Z3" s="14"/>
    </row>
    <row r="4" spans="1:26">
      <c r="A4" s="633"/>
      <c r="B4" s="634"/>
      <c r="C4" s="634"/>
      <c r="D4" s="634"/>
      <c r="E4" s="634"/>
      <c r="F4" s="634"/>
      <c r="G4" s="635"/>
      <c r="H4" s="833"/>
      <c r="I4" s="833"/>
      <c r="J4" s="833"/>
      <c r="K4" s="833"/>
      <c r="L4" s="833"/>
      <c r="M4" s="833"/>
      <c r="N4" s="833"/>
      <c r="O4" s="833"/>
      <c r="P4" s="833"/>
      <c r="Q4" s="833"/>
      <c r="R4" s="833"/>
      <c r="S4" s="833"/>
      <c r="T4" s="832" t="str">
        <f>Title!O4</f>
        <v>Revision No.</v>
      </c>
      <c r="U4" s="832"/>
      <c r="V4" s="832"/>
      <c r="W4" s="829" t="str">
        <f>Title!R4</f>
        <v>A</v>
      </c>
      <c r="X4" s="829"/>
      <c r="Y4" s="14"/>
      <c r="Z4" s="14"/>
    </row>
    <row r="5" spans="1:26" ht="18" customHeight="1">
      <c r="A5" s="830" t="str">
        <f>Title!A5</f>
        <v>Prep. By</v>
      </c>
      <c r="B5" s="830"/>
      <c r="C5" s="25" t="str">
        <f>Title!C5</f>
        <v>AP</v>
      </c>
      <c r="D5" s="830" t="str">
        <f>Title!D5</f>
        <v>Checked By</v>
      </c>
      <c r="E5" s="830"/>
      <c r="F5" s="830"/>
      <c r="G5" s="25" t="str">
        <f>Title!G5</f>
        <v>RB</v>
      </c>
      <c r="H5" s="831" t="s">
        <v>93</v>
      </c>
      <c r="I5" s="831"/>
      <c r="J5" s="831"/>
      <c r="K5" s="831"/>
      <c r="L5" s="831"/>
      <c r="M5" s="831"/>
      <c r="N5" s="831"/>
      <c r="O5" s="831"/>
      <c r="P5" s="831"/>
      <c r="Q5" s="831"/>
      <c r="R5" s="831"/>
      <c r="S5" s="831"/>
      <c r="T5" s="832" t="str">
        <f>Title!O5</f>
        <v>Contractor</v>
      </c>
      <c r="U5" s="832"/>
      <c r="V5" s="832"/>
      <c r="W5" s="829" t="str">
        <f>Title!R5</f>
        <v>HITACHI</v>
      </c>
      <c r="X5" s="829"/>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35" t="s">
        <v>94</v>
      </c>
      <c r="I7" s="835"/>
      <c r="J7" s="835"/>
      <c r="K7" s="835"/>
      <c r="L7" s="835"/>
      <c r="M7" s="835"/>
      <c r="N7" s="835"/>
      <c r="O7" s="835"/>
      <c r="P7" s="835"/>
      <c r="Q7" s="835"/>
      <c r="R7" s="835"/>
      <c r="S7" s="835"/>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16" t="s">
        <v>97</v>
      </c>
      <c r="B10" s="729"/>
      <c r="C10" s="717"/>
      <c r="D10" s="716" t="s">
        <v>98</v>
      </c>
      <c r="E10" s="729"/>
      <c r="F10" s="717"/>
      <c r="G10" s="716" t="s">
        <v>99</v>
      </c>
      <c r="H10" s="717"/>
      <c r="I10" s="716" t="s">
        <v>100</v>
      </c>
      <c r="J10" s="717"/>
      <c r="K10" s="716" t="s">
        <v>101</v>
      </c>
      <c r="L10" s="717"/>
      <c r="M10" s="716" t="s">
        <v>102</v>
      </c>
      <c r="N10" s="717"/>
      <c r="O10" s="716" t="s">
        <v>103</v>
      </c>
      <c r="P10" s="717"/>
      <c r="Q10" s="716" t="s">
        <v>104</v>
      </c>
      <c r="R10" s="717"/>
      <c r="S10" s="800" t="s">
        <v>105</v>
      </c>
      <c r="T10" s="800"/>
      <c r="U10" s="800"/>
      <c r="V10" s="800"/>
      <c r="W10" s="331" t="s">
        <v>106</v>
      </c>
      <c r="X10" s="331"/>
      <c r="Y10" s="30"/>
      <c r="Z10" s="30"/>
    </row>
    <row r="11" spans="1:26" ht="18" hidden="1" customHeight="1">
      <c r="A11" s="733" t="str">
        <f>'[2]RET670_650-PX (LV)'!A398</f>
        <v>BC1</v>
      </c>
      <c r="B11" s="733" t="str">
        <f>'[2]RET670_650-PX (LV)'!B398</f>
        <v>Core1</v>
      </c>
      <c r="C11" s="733"/>
      <c r="D11" s="732">
        <f>'[2]RET670_650-PX (LV)'!D398</f>
        <v>1500</v>
      </c>
      <c r="E11" s="732"/>
      <c r="F11" s="734">
        <f>'[2]RET670_650-PX (LV)'!F398</f>
        <v>1</v>
      </c>
      <c r="G11" s="732">
        <f>'[2]RET670_650-PX (LV)'!G398</f>
        <v>50</v>
      </c>
      <c r="H11" s="794">
        <f>'[2]RET670_650-PX (LV)'!H398</f>
        <v>2.5</v>
      </c>
      <c r="I11" s="794" t="str">
        <f>'[2]RET670_650-PX (LV)'!I398</f>
        <v>PX</v>
      </c>
      <c r="J11" s="794"/>
      <c r="K11" s="728">
        <f>'[2]RET670_650-PX (LV)'!K398</f>
        <v>3</v>
      </c>
      <c r="L11" s="728"/>
      <c r="M11" s="728">
        <f>'[2]RET670_650-PX (LV)'!M398</f>
        <v>1500</v>
      </c>
      <c r="N11" s="728"/>
      <c r="O11" s="732">
        <f>'[2]RET670_650-PX (LV)'!O398</f>
        <v>37.76</v>
      </c>
      <c r="P11" s="732"/>
      <c r="Q11" s="739" t="str">
        <f>'[2]RET670_650-PX (LV)'!Q398</f>
        <v>RET670</v>
      </c>
      <c r="R11" s="739"/>
      <c r="S11" s="732" t="str">
        <f>'[2]RET670_650-PX (LV)'!S398</f>
        <v>Suitably Dimensioned</v>
      </c>
      <c r="T11" s="732"/>
      <c r="U11" s="732"/>
      <c r="V11" s="732"/>
      <c r="W11" s="301">
        <f>'[2]RET670_650-PX (LV)'!H100</f>
        <v>94.143205209421495</v>
      </c>
      <c r="X11" s="275"/>
      <c r="Y11" s="30"/>
      <c r="Z11" s="30"/>
    </row>
    <row r="12" spans="1:26" ht="18" hidden="1" customHeight="1">
      <c r="A12" s="733"/>
      <c r="B12" s="733"/>
      <c r="C12" s="733"/>
      <c r="D12" s="732" t="str">
        <f>'[2]RET670_650-PX (LV)'!D399</f>
        <v>-</v>
      </c>
      <c r="E12" s="732"/>
      <c r="F12" s="735"/>
      <c r="G12" s="732"/>
      <c r="H12" s="732"/>
      <c r="I12" s="794"/>
      <c r="J12" s="794"/>
      <c r="K12" s="728" t="str">
        <f>'[2]RET670_650-PX (LV)'!K399</f>
        <v>-</v>
      </c>
      <c r="L12" s="728"/>
      <c r="M12" s="728" t="str">
        <f>'[2]RET670_650-PX (LV)'!M399</f>
        <v>-</v>
      </c>
      <c r="N12" s="728"/>
      <c r="O12" s="732" t="str">
        <f>'[2]RET670_650-PX (LV)'!O399</f>
        <v>-</v>
      </c>
      <c r="P12" s="732"/>
      <c r="Q12" s="739"/>
      <c r="R12" s="739"/>
      <c r="S12" s="732" t="s">
        <v>7</v>
      </c>
      <c r="T12" s="732"/>
      <c r="U12" s="732"/>
      <c r="V12" s="732"/>
      <c r="W12" s="301" t="s">
        <v>7</v>
      </c>
      <c r="X12" s="275"/>
      <c r="Y12" s="30"/>
      <c r="Z12" s="30"/>
    </row>
    <row r="13" spans="1:26" ht="18" hidden="1" customHeight="1">
      <c r="A13" s="733"/>
      <c r="B13" s="733"/>
      <c r="C13" s="733"/>
      <c r="D13" s="732" t="str">
        <f>'[2]RET670_650-PX (LV)'!D400</f>
        <v>-</v>
      </c>
      <c r="E13" s="732"/>
      <c r="F13" s="736"/>
      <c r="G13" s="732"/>
      <c r="H13" s="732"/>
      <c r="I13" s="794"/>
      <c r="J13" s="794"/>
      <c r="K13" s="728" t="str">
        <f>'[2]RET670_650-PX (LV)'!K400</f>
        <v>-</v>
      </c>
      <c r="L13" s="728"/>
      <c r="M13" s="728" t="str">
        <f>'[2]RET670_650-PX (LV)'!M400</f>
        <v>-</v>
      </c>
      <c r="N13" s="728"/>
      <c r="O13" s="732" t="str">
        <f>'[2]RET670_650-PX (LV)'!O400</f>
        <v>-</v>
      </c>
      <c r="P13" s="732"/>
      <c r="Q13" s="739"/>
      <c r="R13" s="739"/>
      <c r="S13" s="732" t="str">
        <f>'[2]RET670_650-PX (LV)'!S400</f>
        <v>-</v>
      </c>
      <c r="T13" s="732"/>
      <c r="U13" s="732"/>
      <c r="V13" s="732"/>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16" t="s">
        <v>97</v>
      </c>
      <c r="B15" s="729"/>
      <c r="C15" s="717"/>
      <c r="D15" s="716" t="s">
        <v>98</v>
      </c>
      <c r="E15" s="729"/>
      <c r="F15" s="717"/>
      <c r="G15" s="716" t="s">
        <v>99</v>
      </c>
      <c r="H15" s="717"/>
      <c r="I15" s="716" t="s">
        <v>100</v>
      </c>
      <c r="J15" s="717"/>
      <c r="K15" s="716" t="s">
        <v>101</v>
      </c>
      <c r="L15" s="717"/>
      <c r="M15" s="716" t="s">
        <v>102</v>
      </c>
      <c r="N15" s="717"/>
      <c r="O15" s="716" t="s">
        <v>103</v>
      </c>
      <c r="P15" s="717"/>
      <c r="Q15" s="716" t="s">
        <v>104</v>
      </c>
      <c r="R15" s="717"/>
      <c r="S15" s="800" t="s">
        <v>105</v>
      </c>
      <c r="T15" s="800"/>
      <c r="U15" s="800"/>
      <c r="V15" s="800"/>
      <c r="W15" s="331" t="s">
        <v>106</v>
      </c>
      <c r="X15" s="331"/>
      <c r="Y15" s="30"/>
      <c r="Z15" s="30"/>
    </row>
    <row r="16" spans="1:26" ht="18" hidden="1" customHeight="1">
      <c r="A16" s="733" t="str">
        <f>'[2]RET670_650-PX (HV-T12) '!A398</f>
        <v>T12</v>
      </c>
      <c r="B16" s="733" t="str">
        <f>'[2]RET670_650-PX (HV-T12) '!B398</f>
        <v>Core1</v>
      </c>
      <c r="C16" s="733"/>
      <c r="D16" s="732">
        <f>'[2]RET670_650-PX (HV-T12) '!D398</f>
        <v>1200</v>
      </c>
      <c r="E16" s="732"/>
      <c r="F16" s="734">
        <f>'[2]RET670_650-PX (HV-T12) '!F398</f>
        <v>1</v>
      </c>
      <c r="G16" s="732">
        <f>'[2]RET670_650-PX (HV-T12) '!G398</f>
        <v>50</v>
      </c>
      <c r="H16" s="794">
        <f>'[2]RET670_650-PX (HV-T12) '!H398</f>
        <v>2.5</v>
      </c>
      <c r="I16" s="794" t="str">
        <f>'[2]RET670_650-PX (HV-T12) '!I398</f>
        <v>PX</v>
      </c>
      <c r="J16" s="794"/>
      <c r="K16" s="728">
        <f>'[2]RET670_650-PX (HV-T12) '!K398</f>
        <v>5</v>
      </c>
      <c r="L16" s="728"/>
      <c r="M16" s="728">
        <f>'[2]RET670_650-PX (HV-T12) '!M398</f>
        <v>1000</v>
      </c>
      <c r="N16" s="728"/>
      <c r="O16" s="732">
        <f>'[2]RET670_650-PX (HV-T12) '!O398</f>
        <v>30</v>
      </c>
      <c r="P16" s="732"/>
      <c r="Q16" s="739" t="str">
        <f>'[2]RET670_650-PX (HV-T12) '!Q398</f>
        <v>RET670</v>
      </c>
      <c r="R16" s="739"/>
      <c r="S16" s="732" t="str">
        <f>'[2]RET670_650-PX (HV-T12) '!S398</f>
        <v>Suitably Dimensioned</v>
      </c>
      <c r="T16" s="732"/>
      <c r="U16" s="732"/>
      <c r="V16" s="732"/>
      <c r="W16" s="301">
        <f>'[2]RET670_650-PX (HV-T12) '!H100</f>
        <v>177.39685253704729</v>
      </c>
      <c r="X16" s="275"/>
      <c r="Y16" s="30"/>
      <c r="Z16" s="30"/>
    </row>
    <row r="17" spans="1:26" ht="18" hidden="1" customHeight="1">
      <c r="A17" s="733"/>
      <c r="B17" s="733"/>
      <c r="C17" s="733"/>
      <c r="D17" s="732" t="str">
        <f>'[2]RET670_650-PX (HV-T12) '!D399</f>
        <v>-</v>
      </c>
      <c r="E17" s="732"/>
      <c r="F17" s="735"/>
      <c r="G17" s="732"/>
      <c r="H17" s="732"/>
      <c r="I17" s="794"/>
      <c r="J17" s="794"/>
      <c r="K17" s="728" t="str">
        <f>'[2]RET670_650-PX (HV-T12) '!K399</f>
        <v>-</v>
      </c>
      <c r="L17" s="728"/>
      <c r="M17" s="728" t="str">
        <f>'[2]RET670_650-PX (HV-T12) '!M399</f>
        <v>-</v>
      </c>
      <c r="N17" s="728"/>
      <c r="O17" s="732" t="str">
        <f>'[2]RET670_650-PX (HV-T12) '!O399</f>
        <v>-</v>
      </c>
      <c r="P17" s="732"/>
      <c r="Q17" s="739"/>
      <c r="R17" s="739"/>
      <c r="S17" s="732" t="str">
        <f>'[2]RET670_650-PX (HV-T12) '!S399</f>
        <v>-</v>
      </c>
      <c r="T17" s="732"/>
      <c r="U17" s="732"/>
      <c r="V17" s="732"/>
      <c r="W17" s="301" t="s">
        <v>7</v>
      </c>
      <c r="X17" s="275"/>
      <c r="Y17" s="30"/>
      <c r="Z17" s="30"/>
    </row>
    <row r="18" spans="1:26" ht="18" hidden="1" customHeight="1">
      <c r="A18" s="733"/>
      <c r="B18" s="733"/>
      <c r="C18" s="733"/>
      <c r="D18" s="732" t="str">
        <f>'[2]RET670_650-PX (HV-T12) '!D400</f>
        <v>-</v>
      </c>
      <c r="E18" s="732"/>
      <c r="F18" s="736"/>
      <c r="G18" s="732"/>
      <c r="H18" s="732"/>
      <c r="I18" s="794"/>
      <c r="J18" s="794"/>
      <c r="K18" s="728" t="str">
        <f>'[2]RET670_650-PX (HV-T12) '!K400</f>
        <v>-</v>
      </c>
      <c r="L18" s="728"/>
      <c r="M18" s="728" t="str">
        <f>'[2]RET670_650-PX (HV-T12) '!M400</f>
        <v>-</v>
      </c>
      <c r="N18" s="728"/>
      <c r="O18" s="732" t="str">
        <f>'[2]RET670_650-PX (HV-T12) '!O400</f>
        <v>-</v>
      </c>
      <c r="P18" s="732"/>
      <c r="Q18" s="739"/>
      <c r="R18" s="739"/>
      <c r="S18" s="732" t="str">
        <f>'[2]RET670_650-PX (HV-T12) '!S400</f>
        <v>-</v>
      </c>
      <c r="T18" s="732"/>
      <c r="U18" s="732"/>
      <c r="V18" s="732"/>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16" t="s">
        <v>97</v>
      </c>
      <c r="B20" s="729"/>
      <c r="C20" s="717"/>
      <c r="D20" s="716" t="s">
        <v>98</v>
      </c>
      <c r="E20" s="729"/>
      <c r="F20" s="717"/>
      <c r="G20" s="716" t="s">
        <v>99</v>
      </c>
      <c r="H20" s="717"/>
      <c r="I20" s="716" t="s">
        <v>100</v>
      </c>
      <c r="J20" s="717"/>
      <c r="K20" s="716" t="s">
        <v>101</v>
      </c>
      <c r="L20" s="717"/>
      <c r="M20" s="716" t="s">
        <v>102</v>
      </c>
      <c r="N20" s="717"/>
      <c r="O20" s="716" t="s">
        <v>103</v>
      </c>
      <c r="P20" s="717"/>
      <c r="Q20" s="716" t="s">
        <v>104</v>
      </c>
      <c r="R20" s="717"/>
      <c r="S20" s="800" t="s">
        <v>105</v>
      </c>
      <c r="T20" s="800"/>
      <c r="U20" s="800"/>
      <c r="V20" s="800"/>
      <c r="W20" s="331" t="s">
        <v>106</v>
      </c>
      <c r="X20" s="331"/>
      <c r="Y20" s="30"/>
      <c r="Z20" s="30"/>
    </row>
    <row r="21" spans="1:26" ht="18" hidden="1" customHeight="1">
      <c r="A21" s="733" t="str">
        <f>'[2]REF615 OC-5P (5)'!A141</f>
        <v>BC1</v>
      </c>
      <c r="B21" s="733" t="str">
        <f>'[2]REF615 OC-5P (5)'!B141</f>
        <v>Core3</v>
      </c>
      <c r="C21" s="733"/>
      <c r="D21" s="732">
        <f>'[2]REF615 OC-5P (5)'!D141</f>
        <v>1500</v>
      </c>
      <c r="E21" s="732"/>
      <c r="F21" s="734">
        <f>'[2]REF615 OC-5P (5)'!F141</f>
        <v>1</v>
      </c>
      <c r="G21" s="732">
        <f>'[2]REF615 OC-5P (5)'!G141</f>
        <v>50</v>
      </c>
      <c r="H21" s="794">
        <f>'[2]REF615 OC-5P (5)'!H141</f>
        <v>2.5</v>
      </c>
      <c r="I21" s="794" t="str">
        <f>'[2]REF615 OC-5P (5)'!I141</f>
        <v>5P</v>
      </c>
      <c r="J21" s="794"/>
      <c r="K21" s="728">
        <f>'[2]REF615 OC-5P (5)'!K141</f>
        <v>4</v>
      </c>
      <c r="L21" s="728"/>
      <c r="M21" s="728">
        <f>'[2]REF615 OC-5P (5)'!M141</f>
        <v>30</v>
      </c>
      <c r="N21" s="728"/>
      <c r="O21" s="732" t="str">
        <f>'[2]REF615 OC-5P (5)'!O141</f>
        <v>-</v>
      </c>
      <c r="P21" s="732"/>
      <c r="Q21" s="739" t="str">
        <f>'[2]REF615 OC-5P (5)'!Q141</f>
        <v>REF615+REF615</v>
      </c>
      <c r="R21" s="739"/>
      <c r="S21" s="732" t="str">
        <f>'[2]REF615 OC-5P (5)'!S141</f>
        <v>Suitably Dimensioned</v>
      </c>
      <c r="T21" s="732"/>
      <c r="U21" s="732"/>
      <c r="V21" s="732"/>
      <c r="W21" s="301">
        <f>'[2]REF615 OC-5P (5)'!G40</f>
        <v>26.666666666666668</v>
      </c>
      <c r="X21" s="275"/>
      <c r="Y21" s="30"/>
      <c r="Z21" s="30"/>
    </row>
    <row r="22" spans="1:26" ht="18" hidden="1" customHeight="1">
      <c r="A22" s="733"/>
      <c r="B22" s="733"/>
      <c r="C22" s="733"/>
      <c r="D22" s="732" t="str">
        <f>'[2]REF615 OC-5P (5)'!D142</f>
        <v>-</v>
      </c>
      <c r="E22" s="732"/>
      <c r="F22" s="735"/>
      <c r="G22" s="732"/>
      <c r="H22" s="732"/>
      <c r="I22" s="794"/>
      <c r="J22" s="794"/>
      <c r="K22" s="728" t="str">
        <f>'[2]REF615 OC-5P (5)'!K142</f>
        <v>-</v>
      </c>
      <c r="L22" s="728"/>
      <c r="M22" s="728" t="str">
        <f>'[2]REF615 OC-5P (5)'!M142</f>
        <v>-</v>
      </c>
      <c r="N22" s="728"/>
      <c r="O22" s="732" t="str">
        <f>'[2]REF615 OC-5P (5)'!O142</f>
        <v>-</v>
      </c>
      <c r="P22" s="732"/>
      <c r="Q22" s="739"/>
      <c r="R22" s="739"/>
      <c r="S22" s="732" t="str">
        <f>'[2]REF615 OC-5P (5)'!S142</f>
        <v>-</v>
      </c>
      <c r="T22" s="732"/>
      <c r="U22" s="732"/>
      <c r="V22" s="732"/>
      <c r="W22" s="301" t="s">
        <v>7</v>
      </c>
      <c r="X22" s="275"/>
      <c r="Y22" s="30"/>
      <c r="Z22" s="30"/>
    </row>
    <row r="23" spans="1:26" ht="18" hidden="1" customHeight="1">
      <c r="A23" s="733"/>
      <c r="B23" s="733"/>
      <c r="C23" s="733"/>
      <c r="D23" s="732" t="str">
        <f>'[2]REF615 OC-5P (5)'!D143</f>
        <v>-</v>
      </c>
      <c r="E23" s="732"/>
      <c r="F23" s="736"/>
      <c r="G23" s="732"/>
      <c r="H23" s="732"/>
      <c r="I23" s="794"/>
      <c r="J23" s="794"/>
      <c r="K23" s="728" t="str">
        <f>'[2]REF615 OC-5P (5)'!K143</f>
        <v>-</v>
      </c>
      <c r="L23" s="728"/>
      <c r="M23" s="728" t="str">
        <f>'[2]REF615 OC-5P (5)'!M143</f>
        <v>-</v>
      </c>
      <c r="N23" s="728"/>
      <c r="O23" s="732" t="str">
        <f>'[2]REF615 OC-5P (5)'!O143</f>
        <v>-</v>
      </c>
      <c r="P23" s="732"/>
      <c r="Q23" s="739"/>
      <c r="R23" s="739"/>
      <c r="S23" s="732" t="str">
        <f>'[2]REF615 OC-5P (5)'!S143</f>
        <v>-</v>
      </c>
      <c r="T23" s="732"/>
      <c r="U23" s="732"/>
      <c r="V23" s="732"/>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16" t="s">
        <v>97</v>
      </c>
      <c r="B25" s="729"/>
      <c r="C25" s="717"/>
      <c r="D25" s="716" t="s">
        <v>98</v>
      </c>
      <c r="E25" s="729"/>
      <c r="F25" s="717"/>
      <c r="G25" s="716" t="s">
        <v>99</v>
      </c>
      <c r="H25" s="717"/>
      <c r="I25" s="716" t="s">
        <v>100</v>
      </c>
      <c r="J25" s="717"/>
      <c r="K25" s="716" t="s">
        <v>101</v>
      </c>
      <c r="L25" s="717"/>
      <c r="M25" s="716" t="s">
        <v>102</v>
      </c>
      <c r="N25" s="717"/>
      <c r="O25" s="716" t="s">
        <v>103</v>
      </c>
      <c r="P25" s="717"/>
      <c r="Q25" s="716" t="s">
        <v>104</v>
      </c>
      <c r="R25" s="717"/>
      <c r="S25" s="800" t="s">
        <v>105</v>
      </c>
      <c r="T25" s="800"/>
      <c r="U25" s="800"/>
      <c r="V25" s="800"/>
      <c r="W25" s="331" t="s">
        <v>106</v>
      </c>
      <c r="X25" s="331"/>
      <c r="Y25" s="30"/>
      <c r="Z25" s="30"/>
    </row>
    <row r="26" spans="1:26" ht="18" hidden="1" customHeight="1">
      <c r="A26" s="733" t="str">
        <f>'[2]REB500-PX (5)'!A260</f>
        <v>BC1</v>
      </c>
      <c r="B26" s="733" t="str">
        <f>'[2]REB500-PX (5)'!B260</f>
        <v>Core5</v>
      </c>
      <c r="C26" s="733"/>
      <c r="D26" s="732">
        <f>'[2]REB500-PX (5)'!D260</f>
        <v>3150</v>
      </c>
      <c r="E26" s="732"/>
      <c r="F26" s="734">
        <f>'[2]REB500-PX (5)'!F260</f>
        <v>1</v>
      </c>
      <c r="G26" s="732">
        <f>'[2]REB500-PX (5)'!G260</f>
        <v>100</v>
      </c>
      <c r="H26" s="794">
        <f>'[2]REB500-PX (5)'!H260</f>
        <v>4</v>
      </c>
      <c r="I26" s="794" t="str">
        <f>'[2]REB500-PX (5)'!I260</f>
        <v>PX</v>
      </c>
      <c r="J26" s="794"/>
      <c r="K26" s="728">
        <f>'[2]REB500-PX (5)'!K260</f>
        <v>10</v>
      </c>
      <c r="L26" s="728"/>
      <c r="M26" s="728">
        <f>'[2]REB500-PX (5)'!M260</f>
        <v>3150</v>
      </c>
      <c r="N26" s="728"/>
      <c r="O26" s="732">
        <f>'[2]REB500-PX (5)'!O260</f>
        <v>210.8</v>
      </c>
      <c r="P26" s="732"/>
      <c r="Q26" s="739" t="str">
        <f>'[2]REB500-PX (5)'!Q260</f>
        <v>REB500</v>
      </c>
      <c r="R26" s="739"/>
      <c r="S26" s="732" t="str">
        <f>'[2]REB500-PX (5)'!S260</f>
        <v>Suitably Dimensioned</v>
      </c>
      <c r="T26" s="732"/>
      <c r="U26" s="732"/>
      <c r="V26" s="732"/>
      <c r="W26" s="301">
        <f>'[2]REB500-PX (5)'!G148</f>
        <v>10</v>
      </c>
      <c r="X26" s="301"/>
      <c r="Y26" s="30"/>
      <c r="Z26" s="30"/>
    </row>
    <row r="27" spans="1:26" ht="18" hidden="1" customHeight="1">
      <c r="A27" s="733"/>
      <c r="B27" s="733"/>
      <c r="C27" s="733"/>
      <c r="D27" s="732">
        <f>'[2]REB500-PX (5)'!D261</f>
        <v>1500</v>
      </c>
      <c r="E27" s="732"/>
      <c r="F27" s="735"/>
      <c r="G27" s="732"/>
      <c r="H27" s="732"/>
      <c r="I27" s="794"/>
      <c r="J27" s="794"/>
      <c r="K27" s="728">
        <f>'[2]REB500-PX (5)'!K261</f>
        <v>5</v>
      </c>
      <c r="L27" s="728"/>
      <c r="M27" s="728">
        <f>'[2]REB500-PX (5)'!M261</f>
        <v>1000</v>
      </c>
      <c r="N27" s="728"/>
      <c r="O27" s="732">
        <f>'[2]REB500-PX (5)'!O261</f>
        <v>147.72999999999999</v>
      </c>
      <c r="P27" s="732"/>
      <c r="Q27" s="739"/>
      <c r="R27" s="739"/>
      <c r="S27" s="732" t="str">
        <f>'[2]REB500-PX (5)'!S261</f>
        <v>Suitably Dimensioned</v>
      </c>
      <c r="T27" s="732"/>
      <c r="U27" s="732"/>
      <c r="V27" s="732"/>
      <c r="W27" s="301" t="s">
        <v>7</v>
      </c>
      <c r="X27" s="301"/>
      <c r="Y27" s="30"/>
      <c r="Z27" s="30"/>
    </row>
    <row r="28" spans="1:26" ht="18" hidden="1" customHeight="1">
      <c r="A28" s="733"/>
      <c r="B28" s="733"/>
      <c r="C28" s="733"/>
      <c r="D28" s="732" t="str">
        <f>'[2]REB500-PX (5)'!D262</f>
        <v>-</v>
      </c>
      <c r="E28" s="732"/>
      <c r="F28" s="736"/>
      <c r="G28" s="732"/>
      <c r="H28" s="732"/>
      <c r="I28" s="794"/>
      <c r="J28" s="794"/>
      <c r="K28" s="728" t="str">
        <f>'[2]REB500-PX (5)'!K262</f>
        <v>-</v>
      </c>
      <c r="L28" s="728"/>
      <c r="M28" s="728" t="str">
        <f>'[2]REB500-PX (5)'!M262</f>
        <v>-</v>
      </c>
      <c r="N28" s="728"/>
      <c r="O28" s="732" t="str">
        <f>'[2]REB500-PX (5)'!O262</f>
        <v>-</v>
      </c>
      <c r="P28" s="732"/>
      <c r="Q28" s="739"/>
      <c r="R28" s="739"/>
      <c r="S28" s="732" t="str">
        <f>'[2]REB500-PX (5)'!S262</f>
        <v>-</v>
      </c>
      <c r="T28" s="732"/>
      <c r="U28" s="732"/>
      <c r="V28" s="732"/>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16" t="s">
        <v>97</v>
      </c>
      <c r="B34" s="729"/>
      <c r="C34" s="717"/>
      <c r="D34" s="716" t="s">
        <v>98</v>
      </c>
      <c r="E34" s="729"/>
      <c r="F34" s="717"/>
      <c r="G34" s="716" t="s">
        <v>99</v>
      </c>
      <c r="H34" s="717"/>
      <c r="I34" s="716" t="s">
        <v>100</v>
      </c>
      <c r="J34" s="717"/>
      <c r="K34" s="716" t="s">
        <v>101</v>
      </c>
      <c r="L34" s="717"/>
      <c r="M34" s="716" t="s">
        <v>102</v>
      </c>
      <c r="N34" s="717"/>
      <c r="O34" s="716" t="s">
        <v>103</v>
      </c>
      <c r="P34" s="717"/>
      <c r="Q34" s="716" t="s">
        <v>104</v>
      </c>
      <c r="R34" s="717"/>
      <c r="S34" s="800" t="s">
        <v>105</v>
      </c>
      <c r="T34" s="800"/>
      <c r="U34" s="800"/>
      <c r="V34" s="800"/>
      <c r="W34" s="331" t="s">
        <v>106</v>
      </c>
      <c r="X34" s="331"/>
      <c r="Y34" s="30"/>
      <c r="Z34" s="30"/>
    </row>
    <row r="35" spans="1:26" ht="18" hidden="1" customHeight="1">
      <c r="A35" s="733" t="str">
        <f>'[2]RET615_Trafo LV REF (High)'!A91</f>
        <v>BC1</v>
      </c>
      <c r="B35" s="733" t="str">
        <f>'[2]RET615_Trafo LV REF (High)'!B91</f>
        <v>Core2</v>
      </c>
      <c r="C35" s="733"/>
      <c r="D35" s="732">
        <f>'[2]RET615_Trafo LV REF (High)'!D91</f>
        <v>1500</v>
      </c>
      <c r="E35" s="732"/>
      <c r="F35" s="734">
        <f>'[2]RET615_Trafo LV REF (High)'!F91</f>
        <v>1</v>
      </c>
      <c r="G35" s="732">
        <f>'[2]RET615_Trafo LV REF (High)'!G91</f>
        <v>50</v>
      </c>
      <c r="H35" s="794">
        <f>'[2]RET615_Trafo LV REF (High)'!H91</f>
        <v>2.5</v>
      </c>
      <c r="I35" s="794" t="str">
        <f>'[2]RET615_Trafo LV REF (High)'!I91</f>
        <v>PX</v>
      </c>
      <c r="J35" s="794"/>
      <c r="K35" s="728">
        <f>'[2]RET615_Trafo LV REF (High)'!K91</f>
        <v>3</v>
      </c>
      <c r="L35" s="728"/>
      <c r="M35" s="728">
        <f>'[2]RET615_Trafo LV REF (High)'!M91</f>
        <v>1500</v>
      </c>
      <c r="N35" s="728"/>
      <c r="O35" s="732">
        <f>'[2]RET615_Trafo LV REF (High)'!O91</f>
        <v>74.39</v>
      </c>
      <c r="P35" s="732"/>
      <c r="Q35" s="739" t="str">
        <f>'[2]RET615_Trafo LV REF (High)'!Q91</f>
        <v>RET615</v>
      </c>
      <c r="R35" s="739"/>
      <c r="S35" s="732" t="str">
        <f>'[2]RET615_Trafo LV REF (High)'!S91</f>
        <v>Suitably Dimensioned</v>
      </c>
      <c r="T35" s="732"/>
      <c r="U35" s="732"/>
      <c r="V35" s="732"/>
      <c r="W35" s="301">
        <f>'[2]RET615_Trafo LV REF (High)'!G78</f>
        <v>308.19170832649024</v>
      </c>
      <c r="X35" s="275"/>
      <c r="Y35" s="30"/>
      <c r="Z35" s="30"/>
    </row>
    <row r="36" spans="1:26" ht="18" hidden="1" customHeight="1">
      <c r="A36" s="733"/>
      <c r="B36" s="733"/>
      <c r="C36" s="733"/>
      <c r="D36" s="732" t="str">
        <f>'[2]RET615_Trafo LV REF (High)'!D92</f>
        <v>-</v>
      </c>
      <c r="E36" s="732"/>
      <c r="F36" s="735"/>
      <c r="G36" s="732"/>
      <c r="H36" s="732"/>
      <c r="I36" s="794"/>
      <c r="J36" s="794"/>
      <c r="K36" s="728" t="str">
        <f>'[2]RET615_Trafo LV REF (High)'!K92</f>
        <v>-</v>
      </c>
      <c r="L36" s="728"/>
      <c r="M36" s="728" t="str">
        <f>'[2]RET615_Trafo LV REF (High)'!M92</f>
        <v>-</v>
      </c>
      <c r="N36" s="728"/>
      <c r="O36" s="732" t="str">
        <f>'[2]RET615_Trafo LV REF (High)'!O92</f>
        <v>-</v>
      </c>
      <c r="P36" s="732"/>
      <c r="Q36" s="739"/>
      <c r="R36" s="739"/>
      <c r="S36" s="732" t="str">
        <f>'[2]RET615_Trafo LV REF (High)'!S92</f>
        <v>-</v>
      </c>
      <c r="T36" s="732"/>
      <c r="U36" s="732"/>
      <c r="V36" s="732"/>
      <c r="W36" s="301"/>
      <c r="X36" s="275"/>
      <c r="Y36" s="30"/>
      <c r="Z36" s="30"/>
    </row>
    <row r="37" spans="1:26" ht="18" hidden="1" customHeight="1">
      <c r="A37" s="733"/>
      <c r="B37" s="733"/>
      <c r="C37" s="733"/>
      <c r="D37" s="732" t="str">
        <f>'[2]RET615_Trafo LV REF (High)'!D93</f>
        <v>-</v>
      </c>
      <c r="E37" s="732"/>
      <c r="F37" s="736"/>
      <c r="G37" s="732"/>
      <c r="H37" s="732"/>
      <c r="I37" s="794"/>
      <c r="J37" s="794"/>
      <c r="K37" s="728" t="str">
        <f>'[2]RET615_Trafo LV REF (High)'!K93</f>
        <v>-</v>
      </c>
      <c r="L37" s="728"/>
      <c r="M37" s="728" t="str">
        <f>'[2]RET615_Trafo LV REF (High)'!M93</f>
        <v>-</v>
      </c>
      <c r="N37" s="728"/>
      <c r="O37" s="732" t="str">
        <f>'[2]RET615_Trafo LV REF (High)'!O93</f>
        <v>-</v>
      </c>
      <c r="P37" s="732"/>
      <c r="Q37" s="739"/>
      <c r="R37" s="739"/>
      <c r="S37" s="732" t="str">
        <f>'[2]RET615_Trafo LV REF (High)'!S93</f>
        <v>-</v>
      </c>
      <c r="T37" s="732"/>
      <c r="U37" s="732"/>
      <c r="V37" s="732"/>
      <c r="W37" s="275"/>
      <c r="X37" s="275"/>
      <c r="Y37" s="30"/>
      <c r="Z37" s="30"/>
    </row>
    <row r="38" spans="1:26" ht="18" hidden="1" customHeight="1">
      <c r="A38" s="733" t="str">
        <f>'[2]RET615_Trafo LV REF (High)'!A94</f>
        <v>T2N</v>
      </c>
      <c r="B38" s="733" t="str">
        <f>'[2]RET615_Trafo LV REF (High)'!B94</f>
        <v>Core1</v>
      </c>
      <c r="C38" s="733"/>
      <c r="D38" s="732">
        <f>'[2]RET615_Trafo LV REF (High)'!D94</f>
        <v>1500</v>
      </c>
      <c r="E38" s="732"/>
      <c r="F38" s="734">
        <f>'[2]RET615_Trafo LV REF (High)'!F94</f>
        <v>1</v>
      </c>
      <c r="G38" s="732">
        <f>'[2]RET615_Trafo LV REF (High)'!G94</f>
        <v>50</v>
      </c>
      <c r="H38" s="794">
        <f>'[2]RET615_Trafo LV REF (High)'!H94</f>
        <v>2.5</v>
      </c>
      <c r="I38" s="794" t="str">
        <f>'[2]RET615_Trafo LV REF (High)'!I94</f>
        <v>PX</v>
      </c>
      <c r="J38" s="794"/>
      <c r="K38" s="728">
        <f>'[2]RET615_Trafo LV REF (High)'!K94</f>
        <v>10</v>
      </c>
      <c r="L38" s="728"/>
      <c r="M38" s="728">
        <f>'[2]RET615_Trafo LV REF (High)'!M94</f>
        <v>1500</v>
      </c>
      <c r="N38" s="728"/>
      <c r="O38" s="732">
        <f>'[2]RET615_Trafo LV REF (High)'!O94</f>
        <v>100</v>
      </c>
      <c r="P38" s="732"/>
      <c r="Q38" s="739" t="str">
        <f>'[2]RET615_Trafo LV REF (High)'!Q94</f>
        <v>RET615</v>
      </c>
      <c r="R38" s="739"/>
      <c r="S38" s="732" t="str">
        <f>'[2]RET615_Trafo LV REF (High)'!S94</f>
        <v>Suitably Dimensioned</v>
      </c>
      <c r="T38" s="732"/>
      <c r="U38" s="732"/>
      <c r="V38" s="732"/>
      <c r="W38" s="301">
        <f>'[2]RET615_Trafo LV REF (High)'!G78</f>
        <v>308.19170832649024</v>
      </c>
      <c r="X38" s="275"/>
      <c r="Y38" s="30"/>
      <c r="Z38" s="30"/>
    </row>
    <row r="39" spans="1:26" ht="18" hidden="1" customHeight="1">
      <c r="A39" s="733"/>
      <c r="B39" s="733"/>
      <c r="C39" s="733"/>
      <c r="D39" s="732" t="str">
        <f>'[2]RET615_Trafo LV REF (High)'!D95</f>
        <v>-</v>
      </c>
      <c r="E39" s="732"/>
      <c r="F39" s="735"/>
      <c r="G39" s="732"/>
      <c r="H39" s="732"/>
      <c r="I39" s="794"/>
      <c r="J39" s="794"/>
      <c r="K39" s="728" t="str">
        <f>'[2]RET615_Trafo LV REF (High)'!K95</f>
        <v>-</v>
      </c>
      <c r="L39" s="728"/>
      <c r="M39" s="728" t="str">
        <f>'[2]RET615_Trafo LV REF (High)'!M95</f>
        <v>-</v>
      </c>
      <c r="N39" s="728"/>
      <c r="O39" s="732" t="str">
        <f>'[2]RET615_Trafo LV REF (High)'!O95</f>
        <v>-</v>
      </c>
      <c r="P39" s="732"/>
      <c r="Q39" s="739"/>
      <c r="R39" s="739"/>
      <c r="S39" s="732" t="str">
        <f>'[2]RET615_Trafo LV REF (High)'!S95</f>
        <v>-</v>
      </c>
      <c r="T39" s="732"/>
      <c r="U39" s="732"/>
      <c r="V39" s="732"/>
      <c r="W39" s="301"/>
      <c r="X39" s="275"/>
      <c r="Y39" s="30"/>
      <c r="Z39" s="30"/>
    </row>
    <row r="40" spans="1:26" ht="18" hidden="1" customHeight="1">
      <c r="A40" s="733"/>
      <c r="B40" s="733"/>
      <c r="C40" s="733"/>
      <c r="D40" s="732" t="str">
        <f>'[2]RET615_Trafo LV REF (High)'!D96</f>
        <v>-</v>
      </c>
      <c r="E40" s="732"/>
      <c r="F40" s="736"/>
      <c r="G40" s="732"/>
      <c r="H40" s="732"/>
      <c r="I40" s="794"/>
      <c r="J40" s="794"/>
      <c r="K40" s="728" t="str">
        <f>'[2]RET615_Trafo LV REF (High)'!K96</f>
        <v>-</v>
      </c>
      <c r="L40" s="728"/>
      <c r="M40" s="728" t="str">
        <f>'[2]RET615_Trafo LV REF (High)'!M96</f>
        <v>-</v>
      </c>
      <c r="N40" s="728"/>
      <c r="O40" s="732" t="str">
        <f>'[2]RET615_Trafo LV REF (High)'!O96</f>
        <v>-</v>
      </c>
      <c r="P40" s="732"/>
      <c r="Q40" s="739"/>
      <c r="R40" s="739"/>
      <c r="S40" s="732" t="str">
        <f>'[2]RET615_Trafo LV REF (High)'!S96</f>
        <v>-</v>
      </c>
      <c r="T40" s="732"/>
      <c r="U40" s="732"/>
      <c r="V40" s="732"/>
      <c r="W40" s="275"/>
      <c r="X40" s="275"/>
      <c r="Y40" s="30"/>
      <c r="Z40" s="30"/>
    </row>
    <row r="41" spans="1:26" ht="18" hidden="1" customHeight="1">
      <c r="A41" s="733">
        <f>'[2]RET615_Trafo LV REF (High)'!A97</f>
        <v>0</v>
      </c>
      <c r="B41" s="733">
        <f>'[2]RET615_Trafo LV REF (High)'!B97</f>
        <v>0</v>
      </c>
      <c r="C41" s="733"/>
      <c r="D41" s="732">
        <f>'[2]RET615_Trafo LV REF (High)'!D97</f>
        <v>1500</v>
      </c>
      <c r="E41" s="732"/>
      <c r="F41" s="734">
        <f>'[2]RET615_Trafo LV REF (High)'!F97</f>
        <v>1</v>
      </c>
      <c r="G41" s="732">
        <f>'[2]RET615_Trafo LV REF (High)'!G97</f>
        <v>50</v>
      </c>
      <c r="H41" s="794">
        <f>'[2]RET615_Trafo LV REF (High)'!H97</f>
        <v>2.5</v>
      </c>
      <c r="I41" s="794" t="str">
        <f>'[2]RET615_Trafo LV REF (High)'!I97</f>
        <v>PX</v>
      </c>
      <c r="J41" s="794"/>
      <c r="K41" s="728">
        <f>'[2]RET615_Trafo LV REF (High)'!K97</f>
        <v>3</v>
      </c>
      <c r="L41" s="728"/>
      <c r="M41" s="728">
        <f>'[2]RET615_Trafo LV REF (High)'!M97</f>
        <v>1500</v>
      </c>
      <c r="N41" s="728"/>
      <c r="O41" s="732">
        <f>'[2]RET615_Trafo LV REF (High)'!O97</f>
        <v>74.39</v>
      </c>
      <c r="P41" s="732"/>
      <c r="Q41" s="739" t="str">
        <f>'[2]RET615_Trafo LV REF (High)'!Q97</f>
        <v>RET615</v>
      </c>
      <c r="R41" s="739"/>
      <c r="S41" s="732" t="str">
        <f>'[2]RET615_Trafo LV REF (High)'!S97</f>
        <v>Suitably Dimensioned</v>
      </c>
      <c r="T41" s="732"/>
      <c r="U41" s="732"/>
      <c r="V41" s="732"/>
      <c r="W41" s="301">
        <f>'[2]RET615_Trafo LV REF (High)'!G78</f>
        <v>308.19170832649024</v>
      </c>
      <c r="X41" s="275"/>
      <c r="Y41" s="30"/>
      <c r="Z41" s="30"/>
    </row>
    <row r="42" spans="1:26" ht="18" hidden="1" customHeight="1">
      <c r="A42" s="733"/>
      <c r="B42" s="733"/>
      <c r="C42" s="733"/>
      <c r="D42" s="732" t="str">
        <f>'[2]RET615_Trafo LV REF (High)'!D98</f>
        <v>-</v>
      </c>
      <c r="E42" s="732"/>
      <c r="F42" s="735"/>
      <c r="G42" s="732"/>
      <c r="H42" s="732"/>
      <c r="I42" s="794"/>
      <c r="J42" s="794"/>
      <c r="K42" s="728" t="str">
        <f>'[2]RET615_Trafo LV REF (High)'!K98</f>
        <v>-</v>
      </c>
      <c r="L42" s="728"/>
      <c r="M42" s="728" t="str">
        <f>'[2]RET615_Trafo LV REF (High)'!M98</f>
        <v>-</v>
      </c>
      <c r="N42" s="728"/>
      <c r="O42" s="732" t="str">
        <f>'[2]RET615_Trafo LV REF (High)'!O98</f>
        <v>-</v>
      </c>
      <c r="P42" s="732"/>
      <c r="Q42" s="739"/>
      <c r="R42" s="739"/>
      <c r="S42" s="732" t="str">
        <f>'[2]RET615_Trafo LV REF (High)'!S98</f>
        <v>-</v>
      </c>
      <c r="T42" s="732"/>
      <c r="U42" s="732"/>
      <c r="V42" s="732"/>
      <c r="W42" s="301"/>
      <c r="X42" s="275"/>
      <c r="Y42" s="30"/>
      <c r="Z42" s="30"/>
    </row>
    <row r="43" spans="1:26" ht="18" hidden="1" customHeight="1">
      <c r="A43" s="733"/>
      <c r="B43" s="733"/>
      <c r="C43" s="733"/>
      <c r="D43" s="732" t="str">
        <f>'[2]RET615_Trafo LV REF (High)'!D99</f>
        <v>-</v>
      </c>
      <c r="E43" s="732"/>
      <c r="F43" s="736"/>
      <c r="G43" s="732"/>
      <c r="H43" s="732"/>
      <c r="I43" s="794"/>
      <c r="J43" s="794"/>
      <c r="K43" s="728" t="str">
        <f>'[2]RET615_Trafo LV REF (High)'!K99</f>
        <v>-</v>
      </c>
      <c r="L43" s="728"/>
      <c r="M43" s="728" t="str">
        <f>'[2]RET615_Trafo LV REF (High)'!M99</f>
        <v>-</v>
      </c>
      <c r="N43" s="728"/>
      <c r="O43" s="732" t="str">
        <f>'[2]RET615_Trafo LV REF (High)'!O99</f>
        <v>-</v>
      </c>
      <c r="P43" s="732"/>
      <c r="Q43" s="739"/>
      <c r="R43" s="739"/>
      <c r="S43" s="732" t="str">
        <f>'[2]RET615_Trafo LV REF (High)'!S99</f>
        <v>-</v>
      </c>
      <c r="T43" s="732"/>
      <c r="U43" s="732"/>
      <c r="V43" s="732"/>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24"/>
      <c r="X44" s="825"/>
      <c r="Y44" s="30"/>
      <c r="Z44" s="30"/>
    </row>
    <row r="45" spans="1:26" ht="26.4" hidden="1" customHeight="1">
      <c r="A45" s="800" t="s">
        <v>97</v>
      </c>
      <c r="B45" s="800"/>
      <c r="C45" s="728"/>
      <c r="D45" s="800" t="s">
        <v>98</v>
      </c>
      <c r="E45" s="800"/>
      <c r="F45" s="800"/>
      <c r="G45" s="800" t="s">
        <v>99</v>
      </c>
      <c r="H45" s="800"/>
      <c r="I45" s="800" t="s">
        <v>100</v>
      </c>
      <c r="J45" s="800"/>
      <c r="K45" s="716" t="s">
        <v>101</v>
      </c>
      <c r="L45" s="717"/>
      <c r="M45" s="800" t="s">
        <v>112</v>
      </c>
      <c r="N45" s="800"/>
      <c r="O45" s="800"/>
      <c r="P45" s="800"/>
      <c r="Q45" s="716" t="s">
        <v>104</v>
      </c>
      <c r="R45" s="717"/>
      <c r="S45" s="716" t="s">
        <v>105</v>
      </c>
      <c r="T45" s="729"/>
      <c r="U45" s="729"/>
      <c r="V45" s="729"/>
      <c r="W45" s="331"/>
      <c r="X45" s="331"/>
      <c r="Y45" s="30"/>
      <c r="Z45" s="30"/>
    </row>
    <row r="46" spans="1:26" ht="18" hidden="1" customHeight="1">
      <c r="A46" s="733" t="str">
        <f>'[2]BCU-0.2FS  (2)'!A137</f>
        <v>BC1</v>
      </c>
      <c r="B46" s="733" t="str">
        <f>'[2]BCU-0.2FS  (2)'!B137</f>
        <v>Core4</v>
      </c>
      <c r="C46" s="733"/>
      <c r="D46" s="732">
        <f>'[2]BCU-0.2FS  (2)'!D137</f>
        <v>1500</v>
      </c>
      <c r="E46" s="732"/>
      <c r="F46" s="734">
        <f>'[2]BCU-0.2FS  (2)'!F137</f>
        <v>1</v>
      </c>
      <c r="G46" s="732">
        <f>'[2]BCU-0.2FS  (2)'!H137</f>
        <v>50</v>
      </c>
      <c r="H46" s="794">
        <f>'[2]BCU-0.2FS  (2)'!I137</f>
        <v>2.5</v>
      </c>
      <c r="I46" s="785" t="str">
        <f>'[2]BCU-0.2FS  (2)'!J137</f>
        <v>1FS5</v>
      </c>
      <c r="J46" s="803"/>
      <c r="K46" s="728">
        <f>'[2]BCU-0.2FS  (2)'!O137</f>
        <v>20</v>
      </c>
      <c r="L46" s="728"/>
      <c r="M46" s="728">
        <f>'[2]BCU-0.2FS  (2)'!O137</f>
        <v>20</v>
      </c>
      <c r="N46" s="728"/>
      <c r="O46" s="732" t="s">
        <v>7</v>
      </c>
      <c r="P46" s="732"/>
      <c r="Q46" s="739" t="str">
        <f>'[2]BCU-0.2FS  (2)'!R137</f>
        <v>REC670</v>
      </c>
      <c r="R46" s="739"/>
      <c r="S46" s="819" t="str">
        <f>'[2]BCU-0.2FS  (2)'!U137</f>
        <v>Not suitable</v>
      </c>
      <c r="T46" s="820"/>
      <c r="U46" s="820"/>
      <c r="V46" s="821"/>
      <c r="W46" s="300"/>
      <c r="X46" s="275"/>
      <c r="Y46" s="30"/>
      <c r="Z46" s="30"/>
    </row>
    <row r="47" spans="1:26" ht="18" hidden="1" customHeight="1">
      <c r="A47" s="733"/>
      <c r="B47" s="733"/>
      <c r="C47" s="733"/>
      <c r="D47" s="732" t="s">
        <v>7</v>
      </c>
      <c r="E47" s="732"/>
      <c r="F47" s="735"/>
      <c r="G47" s="732"/>
      <c r="H47" s="732"/>
      <c r="I47" s="787"/>
      <c r="J47" s="804"/>
      <c r="K47" s="728" t="s">
        <v>7</v>
      </c>
      <c r="L47" s="728"/>
      <c r="M47" s="728" t="s">
        <v>7</v>
      </c>
      <c r="N47" s="728"/>
      <c r="O47" s="732" t="s">
        <v>7</v>
      </c>
      <c r="P47" s="732"/>
      <c r="Q47" s="739"/>
      <c r="R47" s="739"/>
      <c r="S47" s="819" t="s">
        <v>7</v>
      </c>
      <c r="T47" s="820"/>
      <c r="U47" s="820"/>
      <c r="V47" s="821"/>
      <c r="W47" s="276"/>
      <c r="X47" s="275"/>
      <c r="Y47" s="30"/>
      <c r="Z47" s="30"/>
    </row>
    <row r="48" spans="1:26" ht="18" hidden="1" customHeight="1">
      <c r="A48" s="733"/>
      <c r="B48" s="733"/>
      <c r="C48" s="733"/>
      <c r="D48" s="732" t="s">
        <v>7</v>
      </c>
      <c r="E48" s="732"/>
      <c r="F48" s="736"/>
      <c r="G48" s="732"/>
      <c r="H48" s="732"/>
      <c r="I48" s="789"/>
      <c r="J48" s="805"/>
      <c r="K48" s="728" t="s">
        <v>7</v>
      </c>
      <c r="L48" s="728"/>
      <c r="M48" s="728" t="s">
        <v>7</v>
      </c>
      <c r="N48" s="728"/>
      <c r="O48" s="732" t="s">
        <v>7</v>
      </c>
      <c r="P48" s="732"/>
      <c r="Q48" s="739"/>
      <c r="R48" s="739"/>
      <c r="S48" s="819" t="s">
        <v>7</v>
      </c>
      <c r="T48" s="820"/>
      <c r="U48" s="820"/>
      <c r="V48" s="821"/>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24"/>
      <c r="X49" s="825"/>
      <c r="Y49" s="30"/>
      <c r="Z49" s="30"/>
    </row>
    <row r="50" spans="1:26" ht="26.4" hidden="1">
      <c r="A50" s="800" t="s">
        <v>97</v>
      </c>
      <c r="B50" s="800"/>
      <c r="C50" s="728"/>
      <c r="D50" s="800" t="s">
        <v>98</v>
      </c>
      <c r="E50" s="800"/>
      <c r="F50" s="800"/>
      <c r="G50" s="800" t="s">
        <v>99</v>
      </c>
      <c r="H50" s="800"/>
      <c r="I50" s="800" t="s">
        <v>100</v>
      </c>
      <c r="J50" s="800"/>
      <c r="K50" s="716" t="s">
        <v>101</v>
      </c>
      <c r="L50" s="717"/>
      <c r="M50" s="800" t="s">
        <v>112</v>
      </c>
      <c r="N50" s="800"/>
      <c r="O50" s="800"/>
      <c r="P50" s="800"/>
      <c r="Q50" s="716" t="s">
        <v>104</v>
      </c>
      <c r="R50" s="717"/>
      <c r="S50" s="716" t="s">
        <v>105</v>
      </c>
      <c r="T50" s="729"/>
      <c r="U50" s="729"/>
      <c r="V50" s="729"/>
      <c r="W50" s="331" t="s">
        <v>106</v>
      </c>
      <c r="X50" s="331"/>
      <c r="Y50" s="30"/>
      <c r="Z50" s="30"/>
    </row>
    <row r="51" spans="1:26" ht="18" hidden="1" customHeight="1">
      <c r="A51" s="733" t="str">
        <f>'[2]REF615 OC-5P (SBEF)'!A141</f>
        <v>T2N</v>
      </c>
      <c r="B51" s="733" t="str">
        <f>'[2]REF615 OC-5P (SBEF)'!B141</f>
        <v>Core2</v>
      </c>
      <c r="C51" s="733"/>
      <c r="D51" s="732">
        <f>'[2]REF615 OC-5P (SBEF)'!D141</f>
        <v>1500</v>
      </c>
      <c r="E51" s="732"/>
      <c r="F51" s="734">
        <f>'[2]REF615 OC-5P (SBEF)'!F141</f>
        <v>1</v>
      </c>
      <c r="G51" s="732">
        <f>'[2]REF615 OC-5P (SBEF)'!G141</f>
        <v>50</v>
      </c>
      <c r="H51" s="794">
        <f>'[2]REF615 OC-5P (SBEF)'!H141</f>
        <v>2.5</v>
      </c>
      <c r="I51" s="836" t="str">
        <f>'[2]REF615 OC-5P (SBEF)'!I141</f>
        <v>5P</v>
      </c>
      <c r="J51" s="837">
        <f>'[2]REF615 OC-5P (SBEF)'!J141</f>
        <v>20</v>
      </c>
      <c r="K51" s="728">
        <f>'[2]REF615 OC-5P (SBEF)'!K141</f>
        <v>4</v>
      </c>
      <c r="L51" s="728"/>
      <c r="M51" s="728">
        <f>'[2]REF615 OC-5P (SBEF)'!M141</f>
        <v>15</v>
      </c>
      <c r="N51" s="728"/>
      <c r="O51" s="732" t="str">
        <f>'[2]REF615 OC-5P (SBEF)'!O141</f>
        <v>-</v>
      </c>
      <c r="P51" s="732"/>
      <c r="Q51" s="739" t="str">
        <f>'[2]REF615 OC-5P (SBEF)'!Q141</f>
        <v>REF615</v>
      </c>
      <c r="R51" s="739"/>
      <c r="S51" s="819" t="str">
        <f>'[2]REF615 OC-5P (SBEF)'!S141</f>
        <v>Suitably Dimensioned</v>
      </c>
      <c r="T51" s="820"/>
      <c r="U51" s="820"/>
      <c r="V51" s="821"/>
      <c r="W51" s="300">
        <f>'[2]REF615 OC-5P (SBEF)'!G40</f>
        <v>26.666666666666668</v>
      </c>
      <c r="X51" s="275"/>
      <c r="Y51" s="30"/>
      <c r="Z51" s="30"/>
    </row>
    <row r="52" spans="1:26" ht="18" hidden="1" customHeight="1">
      <c r="A52" s="733"/>
      <c r="B52" s="733"/>
      <c r="C52" s="733"/>
      <c r="D52" s="732" t="str">
        <f>'[2]REF615 OC-5P (SBEF)'!D142</f>
        <v>-</v>
      </c>
      <c r="E52" s="732"/>
      <c r="F52" s="735"/>
      <c r="G52" s="732"/>
      <c r="H52" s="732"/>
      <c r="I52" s="836"/>
      <c r="J52" s="837"/>
      <c r="K52" s="728" t="str">
        <f>'[2]REF615 OC-5P (SBEF)'!K142</f>
        <v>-</v>
      </c>
      <c r="L52" s="728"/>
      <c r="M52" s="728" t="str">
        <f>'[2]REF615 OC-5P (SBEF)'!M142</f>
        <v>-</v>
      </c>
      <c r="N52" s="728"/>
      <c r="O52" s="732" t="str">
        <f>'[2]REF615 OC-5P (SBEF)'!O142</f>
        <v>-</v>
      </c>
      <c r="P52" s="732"/>
      <c r="Q52" s="739"/>
      <c r="R52" s="739"/>
      <c r="S52" s="819" t="str">
        <f>'[2]REF615 OC-5P (SBEF)'!S142</f>
        <v>-</v>
      </c>
      <c r="T52" s="820"/>
      <c r="U52" s="820"/>
      <c r="V52" s="821"/>
      <c r="W52" s="276" t="s">
        <v>7</v>
      </c>
      <c r="X52" s="275"/>
      <c r="Y52" s="30"/>
      <c r="Z52" s="30"/>
    </row>
    <row r="53" spans="1:26" ht="18" hidden="1" customHeight="1">
      <c r="A53" s="733"/>
      <c r="B53" s="733"/>
      <c r="C53" s="733"/>
      <c r="D53" s="732" t="str">
        <f>'[2]REF615 OC-5P (SBEF)'!D143</f>
        <v>-</v>
      </c>
      <c r="E53" s="732"/>
      <c r="F53" s="736"/>
      <c r="G53" s="732"/>
      <c r="H53" s="732"/>
      <c r="I53" s="836"/>
      <c r="J53" s="837"/>
      <c r="K53" s="728" t="str">
        <f>'[2]REF615 OC-5P (SBEF)'!K143</f>
        <v>-</v>
      </c>
      <c r="L53" s="728"/>
      <c r="M53" s="728" t="str">
        <f>'[2]REF615 OC-5P (SBEF)'!M143</f>
        <v>-</v>
      </c>
      <c r="N53" s="728"/>
      <c r="O53" s="732" t="str">
        <f>'[2]REF615 OC-5P (SBEF)'!O143</f>
        <v>-</v>
      </c>
      <c r="P53" s="732"/>
      <c r="Q53" s="739"/>
      <c r="R53" s="739"/>
      <c r="S53" s="819" t="str">
        <f>'[2]REF615 OC-5P (SBEF)'!S143</f>
        <v>-</v>
      </c>
      <c r="T53" s="820"/>
      <c r="U53" s="820"/>
      <c r="V53" s="821"/>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16" t="s">
        <v>97</v>
      </c>
      <c r="B56" s="729"/>
      <c r="C56" s="717"/>
      <c r="D56" s="716" t="s">
        <v>98</v>
      </c>
      <c r="E56" s="729"/>
      <c r="F56" s="717"/>
      <c r="G56" s="716" t="s">
        <v>99</v>
      </c>
      <c r="H56" s="717"/>
      <c r="I56" s="716" t="s">
        <v>100</v>
      </c>
      <c r="J56" s="717"/>
      <c r="K56" s="716" t="s">
        <v>101</v>
      </c>
      <c r="L56" s="717"/>
      <c r="M56" s="716" t="s">
        <v>941</v>
      </c>
      <c r="N56" s="717"/>
      <c r="O56" s="716" t="s">
        <v>103</v>
      </c>
      <c r="P56" s="717"/>
      <c r="Q56" s="716" t="s">
        <v>104</v>
      </c>
      <c r="R56" s="717"/>
      <c r="S56" s="800" t="s">
        <v>105</v>
      </c>
      <c r="T56" s="800"/>
      <c r="U56" s="800"/>
      <c r="V56" s="800"/>
      <c r="W56" s="491" t="s">
        <v>566</v>
      </c>
      <c r="X56" s="331"/>
      <c r="Y56" s="30"/>
      <c r="Z56" s="331" t="s">
        <v>106</v>
      </c>
    </row>
    <row r="57" spans="1:26" ht="18" customHeight="1">
      <c r="A57" s="733" t="str">
        <f>'BUP BCU(1)'!A97</f>
        <v>T1</v>
      </c>
      <c r="B57" s="733" t="str">
        <f>'BUP BCU(1)'!B97</f>
        <v>Core1</v>
      </c>
      <c r="C57" s="733"/>
      <c r="D57" s="732">
        <f>'BUP BCU(1)'!D97</f>
        <v>2500</v>
      </c>
      <c r="E57" s="732"/>
      <c r="F57" s="734">
        <f>'BUP BCU(1)'!F97</f>
        <v>1</v>
      </c>
      <c r="G57" s="732">
        <f>'CT-VT Burdens'!S19</f>
        <v>50</v>
      </c>
      <c r="H57" s="740">
        <f>'CT-VT Burdens'!S10</f>
        <v>6</v>
      </c>
      <c r="I57" s="794" t="str">
        <f>'BUP BCU(1)'!I97</f>
        <v>5P20</v>
      </c>
      <c r="J57" s="794"/>
      <c r="K57" s="728">
        <f>'BUP BCU(1)'!K97</f>
        <v>5</v>
      </c>
      <c r="L57" s="728"/>
      <c r="M57" s="818">
        <f>'BUP BCU(1)'!M97</f>
        <v>20</v>
      </c>
      <c r="N57" s="728"/>
      <c r="O57" s="799" t="s">
        <v>7</v>
      </c>
      <c r="P57" s="732"/>
      <c r="Q57" s="739" t="str">
        <f>'BUP BCU(1)'!Q97</f>
        <v>REF650 REC670</v>
      </c>
      <c r="R57" s="739"/>
      <c r="S57" s="732" t="str">
        <f>'BUP BCU(1)'!S97</f>
        <v>Suitably Dimentioned</v>
      </c>
      <c r="T57" s="732"/>
      <c r="U57" s="732"/>
      <c r="V57" s="732"/>
      <c r="W57" s="357">
        <f>'BUP BCU(1)'!O97</f>
        <v>127.53337418591687</v>
      </c>
      <c r="X57" s="275"/>
      <c r="Y57" s="30"/>
      <c r="Z57" s="300">
        <f>'RET670_650-PX (HV) (2)'!H110</f>
        <v>176.16547008546053</v>
      </c>
    </row>
    <row r="58" spans="1:26" ht="18" customHeight="1">
      <c r="A58" s="733"/>
      <c r="B58" s="733"/>
      <c r="C58" s="733"/>
      <c r="D58" s="799" t="str">
        <f>'RED670_2.2C42-X (2)'!D432</f>
        <v>-</v>
      </c>
      <c r="E58" s="732"/>
      <c r="F58" s="735"/>
      <c r="G58" s="732"/>
      <c r="H58" s="740"/>
      <c r="I58" s="794"/>
      <c r="J58" s="794"/>
      <c r="K58" s="801" t="str">
        <f>'RED670_2.2C42-X (2)'!K432</f>
        <v>-</v>
      </c>
      <c r="L58" s="728"/>
      <c r="M58" s="801" t="str">
        <f>'RED670_2.2C42-X (2)'!M432</f>
        <v>-</v>
      </c>
      <c r="N58" s="728"/>
      <c r="O58" s="799" t="str">
        <f>'RED670_2.2C42-X (2)'!O432</f>
        <v>-</v>
      </c>
      <c r="P58" s="732"/>
      <c r="Q58" s="739"/>
      <c r="R58" s="739"/>
      <c r="S58" s="799" t="str">
        <f>'RED670_2.2C42-X (2)'!S432</f>
        <v>-</v>
      </c>
      <c r="T58" s="732"/>
      <c r="U58" s="732"/>
      <c r="V58" s="732"/>
      <c r="W58" s="357" t="s">
        <v>7</v>
      </c>
      <c r="X58" s="275"/>
      <c r="Y58" s="30"/>
      <c r="Z58" s="300" t="e">
        <f>'RET670_650-PX (HV) (2)'!H250</f>
        <v>#VALUE!</v>
      </c>
    </row>
    <row r="59" spans="1:26" ht="18" customHeight="1">
      <c r="A59" s="733"/>
      <c r="B59" s="733"/>
      <c r="C59" s="733"/>
      <c r="D59" s="732" t="str">
        <f>'RED670_2.2C42-X (2)'!D433</f>
        <v>-</v>
      </c>
      <c r="E59" s="732"/>
      <c r="F59" s="736"/>
      <c r="G59" s="732"/>
      <c r="H59" s="740"/>
      <c r="I59" s="794"/>
      <c r="J59" s="794"/>
      <c r="K59" s="728" t="str">
        <f>'RED670_2.2C42-X (2)'!K433</f>
        <v>-</v>
      </c>
      <c r="L59" s="728"/>
      <c r="M59" s="728" t="str">
        <f>'RED670_2.2C42-X (2)'!M433</f>
        <v>-</v>
      </c>
      <c r="N59" s="728"/>
      <c r="O59" s="732" t="str">
        <f>'RED670_2.2C42-X (2)'!O433</f>
        <v>-</v>
      </c>
      <c r="P59" s="732"/>
      <c r="Q59" s="739"/>
      <c r="R59" s="739"/>
      <c r="S59" s="732" t="str">
        <f>'RED670_2.2C42-X (2)'!S433</f>
        <v>-</v>
      </c>
      <c r="T59" s="732"/>
      <c r="U59" s="732"/>
      <c r="V59" s="732"/>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24"/>
      <c r="X60" s="825"/>
      <c r="Y60" s="30"/>
      <c r="Z60" s="30"/>
    </row>
    <row r="61" spans="1:26" ht="26.4">
      <c r="A61" s="800" t="s">
        <v>97</v>
      </c>
      <c r="B61" s="800"/>
      <c r="C61" s="728"/>
      <c r="D61" s="800" t="s">
        <v>98</v>
      </c>
      <c r="E61" s="800"/>
      <c r="F61" s="800"/>
      <c r="G61" s="800" t="s">
        <v>99</v>
      </c>
      <c r="H61" s="800"/>
      <c r="I61" s="800" t="s">
        <v>100</v>
      </c>
      <c r="J61" s="800"/>
      <c r="K61" s="716" t="s">
        <v>101</v>
      </c>
      <c r="L61" s="717"/>
      <c r="M61" s="800" t="s">
        <v>102</v>
      </c>
      <c r="N61" s="800"/>
      <c r="O61" s="800" t="s">
        <v>103</v>
      </c>
      <c r="P61" s="800"/>
      <c r="Q61" s="716" t="s">
        <v>104</v>
      </c>
      <c r="R61" s="717"/>
      <c r="S61" s="716" t="s">
        <v>105</v>
      </c>
      <c r="T61" s="729"/>
      <c r="U61" s="729"/>
      <c r="V61" s="729"/>
      <c r="W61" s="491" t="s">
        <v>106</v>
      </c>
      <c r="X61" s="331"/>
      <c r="Y61" s="30"/>
      <c r="Z61" s="331" t="s">
        <v>106</v>
      </c>
    </row>
    <row r="62" spans="1:26" ht="18" customHeight="1">
      <c r="A62" s="733" t="str">
        <f>'BBP P743(1)'!A270</f>
        <v>T1</v>
      </c>
      <c r="B62" s="733" t="str">
        <f>'BBP P743(1)'!B270</f>
        <v>Core2</v>
      </c>
      <c r="C62" s="733"/>
      <c r="D62" s="732">
        <f>'BBP P743(1)'!D270</f>
        <v>2500</v>
      </c>
      <c r="E62" s="732"/>
      <c r="F62" s="734">
        <f>'BBP P743(1)'!F270</f>
        <v>1</v>
      </c>
      <c r="G62" s="732">
        <f>'CT-VT Burdens'!S19</f>
        <v>50</v>
      </c>
      <c r="H62" s="740">
        <f>'CT-VT Burdens'!S10</f>
        <v>6</v>
      </c>
      <c r="I62" s="802" t="str">
        <f>'BBP P743(1)'!I270</f>
        <v>PX-B</v>
      </c>
      <c r="J62" s="803"/>
      <c r="K62" s="838">
        <f>'BBP P743(1)'!K270</f>
        <v>5</v>
      </c>
      <c r="L62" s="838"/>
      <c r="M62" s="728">
        <f>'BBP P743(1)'!M270</f>
        <v>750</v>
      </c>
      <c r="N62" s="728"/>
      <c r="O62" s="732">
        <f>'BBP P743(1)'!O270</f>
        <v>60</v>
      </c>
      <c r="P62" s="732"/>
      <c r="Q62" s="839" t="str">
        <f>'BBP P743(1)'!Q270</f>
        <v>P743</v>
      </c>
      <c r="R62" s="840"/>
      <c r="S62" s="819" t="str">
        <f>'BBP P743(1)'!S270</f>
        <v>Suitably Dimentioned</v>
      </c>
      <c r="T62" s="820"/>
      <c r="U62" s="820"/>
      <c r="V62" s="820"/>
      <c r="W62" s="357">
        <f>'BBP P743(1)'!H56</f>
        <v>110.97518700000001</v>
      </c>
      <c r="X62" s="300"/>
      <c r="Y62" s="30"/>
      <c r="Z62" s="300">
        <f>'SEL487E-X'!H71</f>
        <v>176.67334444818249</v>
      </c>
    </row>
    <row r="63" spans="1:26" ht="19.2" customHeight="1">
      <c r="A63" s="733"/>
      <c r="B63" s="733"/>
      <c r="C63" s="733"/>
      <c r="D63" s="799" t="str">
        <f>'BUP BCU'!D99</f>
        <v>-</v>
      </c>
      <c r="E63" s="732"/>
      <c r="F63" s="735"/>
      <c r="G63" s="732"/>
      <c r="H63" s="740"/>
      <c r="I63" s="787"/>
      <c r="J63" s="804"/>
      <c r="K63" s="801" t="s">
        <v>7</v>
      </c>
      <c r="L63" s="728"/>
      <c r="M63" s="801" t="str">
        <f>'BUP BCU'!M99</f>
        <v>-</v>
      </c>
      <c r="N63" s="728"/>
      <c r="O63" s="799" t="str">
        <f>'BUP BCU'!O99</f>
        <v>-</v>
      </c>
      <c r="P63" s="732"/>
      <c r="Q63" s="841"/>
      <c r="R63" s="842"/>
      <c r="S63" s="812" t="str">
        <f>'BUP BCU'!S99</f>
        <v>-</v>
      </c>
      <c r="T63" s="820"/>
      <c r="U63" s="820"/>
      <c r="V63" s="820"/>
      <c r="W63" s="357" t="s">
        <v>7</v>
      </c>
      <c r="X63" s="300"/>
      <c r="Y63" s="30"/>
      <c r="Z63" s="300">
        <f>'SEL487E-X'!H153</f>
        <v>194.28229653285098</v>
      </c>
    </row>
    <row r="64" spans="1:26" ht="18" customHeight="1">
      <c r="A64" s="733"/>
      <c r="B64" s="733"/>
      <c r="C64" s="733"/>
      <c r="D64" s="732" t="str">
        <f>'BUP BCU'!D100</f>
        <v>-</v>
      </c>
      <c r="E64" s="732"/>
      <c r="F64" s="736"/>
      <c r="G64" s="732"/>
      <c r="H64" s="740"/>
      <c r="I64" s="789"/>
      <c r="J64" s="805"/>
      <c r="K64" s="728" t="str">
        <f>'BUP BCU'!K100</f>
        <v>-</v>
      </c>
      <c r="L64" s="728"/>
      <c r="M64" s="728" t="str">
        <f>'BUP BCU'!M100</f>
        <v>-</v>
      </c>
      <c r="N64" s="728"/>
      <c r="O64" s="732" t="str">
        <f>'BUP BCU'!O100</f>
        <v>-</v>
      </c>
      <c r="P64" s="732"/>
      <c r="Q64" s="843"/>
      <c r="R64" s="844"/>
      <c r="S64" s="819" t="str">
        <f>'BUP BCU'!S100</f>
        <v>-</v>
      </c>
      <c r="T64" s="820"/>
      <c r="U64" s="820"/>
      <c r="V64" s="821"/>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16" t="s">
        <v>97</v>
      </c>
      <c r="B66" s="729"/>
      <c r="C66" s="717"/>
      <c r="D66" s="716" t="s">
        <v>98</v>
      </c>
      <c r="E66" s="729"/>
      <c r="F66" s="717"/>
      <c r="G66" s="716" t="s">
        <v>99</v>
      </c>
      <c r="H66" s="717"/>
      <c r="I66" s="716" t="s">
        <v>100</v>
      </c>
      <c r="J66" s="717"/>
      <c r="K66" s="716" t="s">
        <v>101</v>
      </c>
      <c r="L66" s="717"/>
      <c r="M66" s="716" t="s">
        <v>102</v>
      </c>
      <c r="N66" s="717"/>
      <c r="O66" s="716" t="s">
        <v>103</v>
      </c>
      <c r="P66" s="717"/>
      <c r="Q66" s="716" t="s">
        <v>104</v>
      </c>
      <c r="R66" s="717"/>
      <c r="S66" s="800" t="s">
        <v>105</v>
      </c>
      <c r="T66" s="800"/>
      <c r="U66" s="800"/>
      <c r="V66" s="800"/>
      <c r="W66" s="331" t="s">
        <v>106</v>
      </c>
      <c r="X66" s="331"/>
      <c r="Y66" s="30"/>
      <c r="Z66" s="331" t="s">
        <v>106</v>
      </c>
    </row>
    <row r="67" spans="1:26" ht="18" customHeight="1">
      <c r="A67" s="733" t="str">
        <f>'BBP FU1 - REB500'!A265</f>
        <v>T1</v>
      </c>
      <c r="B67" s="733" t="str">
        <f>'BBP FU1 - REB500'!B265</f>
        <v>Core3</v>
      </c>
      <c r="C67" s="733"/>
      <c r="D67" s="732">
        <f>'BBP FU1 - REB500'!D265</f>
        <v>2500</v>
      </c>
      <c r="E67" s="732"/>
      <c r="F67" s="734">
        <f>'BBP FU1 - REB500'!F265</f>
        <v>1</v>
      </c>
      <c r="G67" s="725">
        <f>'BBP FU1 - REB500'!G265</f>
        <v>50</v>
      </c>
      <c r="H67" s="807">
        <f>'CT-VT Burdens'!S10</f>
        <v>6</v>
      </c>
      <c r="I67" s="802" t="str">
        <f>'BBP FU1 - REB500'!I265</f>
        <v>PX - B</v>
      </c>
      <c r="J67" s="847"/>
      <c r="K67" s="728">
        <f>'BBP FU1 - REB500'!K265</f>
        <v>5</v>
      </c>
      <c r="L67" s="728"/>
      <c r="M67" s="728">
        <f>'BBP FU1 - REB500'!M265</f>
        <v>750</v>
      </c>
      <c r="N67" s="728"/>
      <c r="O67" s="732">
        <f>'BBP FU1 - REB500'!O265</f>
        <v>60</v>
      </c>
      <c r="P67" s="732"/>
      <c r="Q67" s="739" t="str">
        <f>'BBP FU1 - REB500'!Q265</f>
        <v>REB500</v>
      </c>
      <c r="R67" s="739"/>
      <c r="S67" s="732" t="str">
        <f>'BBP FU1 - REB500'!S265</f>
        <v>Suitable Dimensions</v>
      </c>
      <c r="T67" s="732"/>
      <c r="U67" s="732"/>
      <c r="V67" s="732"/>
      <c r="W67" s="357">
        <f>'BBP FU1 - REB500'!M82</f>
        <v>52.500089760000002</v>
      </c>
      <c r="X67" s="275"/>
      <c r="Y67" s="30"/>
      <c r="Z67" s="301">
        <f>'BCU+OC-5P SEL751+7SJ85'!G41</f>
        <v>10</v>
      </c>
    </row>
    <row r="68" spans="1:26" ht="18" customHeight="1">
      <c r="A68" s="733"/>
      <c r="B68" s="733"/>
      <c r="C68" s="733"/>
      <c r="D68" s="799" t="s">
        <v>7</v>
      </c>
      <c r="E68" s="732"/>
      <c r="F68" s="735"/>
      <c r="G68" s="726"/>
      <c r="H68" s="845"/>
      <c r="I68" s="848"/>
      <c r="J68" s="849"/>
      <c r="K68" s="801" t="s">
        <v>7</v>
      </c>
      <c r="L68" s="728"/>
      <c r="M68" s="801" t="s">
        <v>7</v>
      </c>
      <c r="N68" s="728"/>
      <c r="O68" s="732" t="str">
        <f>'BCU+OC-5P SEL751+7SJ85'!O139</f>
        <v>-</v>
      </c>
      <c r="P68" s="732"/>
      <c r="Q68" s="739"/>
      <c r="R68" s="739"/>
      <c r="S68" s="799" t="s">
        <v>7</v>
      </c>
      <c r="T68" s="732"/>
      <c r="U68" s="732"/>
      <c r="V68" s="732"/>
      <c r="W68" s="357" t="s">
        <v>7</v>
      </c>
      <c r="X68" s="275"/>
      <c r="Y68" s="30"/>
      <c r="Z68" s="301">
        <f>'BCU+OC-5P SEL751+7SJ85'!G82</f>
        <v>15.75</v>
      </c>
    </row>
    <row r="69" spans="1:26" ht="18" customHeight="1">
      <c r="A69" s="733"/>
      <c r="B69" s="733"/>
      <c r="C69" s="733"/>
      <c r="D69" s="732" t="str">
        <f>'BCU+OC-5P SEL751+7SJ85'!D140</f>
        <v>-</v>
      </c>
      <c r="E69" s="732"/>
      <c r="F69" s="736"/>
      <c r="G69" s="727"/>
      <c r="H69" s="846"/>
      <c r="I69" s="850"/>
      <c r="J69" s="851"/>
      <c r="K69" s="728" t="str">
        <f>'BCU+OC-5P SEL751+7SJ85'!K140</f>
        <v>-</v>
      </c>
      <c r="L69" s="728"/>
      <c r="M69" s="728" t="str">
        <f>'BCU+OC-5P SEL751+7SJ85'!M140</f>
        <v>-</v>
      </c>
      <c r="N69" s="728"/>
      <c r="O69" s="732" t="str">
        <f>'BCU+OC-5P SEL751+7SJ85'!O140</f>
        <v>-</v>
      </c>
      <c r="P69" s="732"/>
      <c r="Q69" s="739"/>
      <c r="R69" s="739"/>
      <c r="S69" s="732" t="str">
        <f>'BCU+OC-5P SEL751+7SJ85'!S140</f>
        <v>-</v>
      </c>
      <c r="T69" s="732"/>
      <c r="U69" s="732"/>
      <c r="V69" s="732"/>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24"/>
      <c r="X73" s="825"/>
      <c r="Y73" s="30"/>
      <c r="Z73" s="30"/>
    </row>
    <row r="74" spans="1:26" ht="28.95" customHeight="1">
      <c r="A74" s="800" t="s">
        <v>97</v>
      </c>
      <c r="B74" s="800"/>
      <c r="C74" s="728"/>
      <c r="D74" s="800" t="s">
        <v>98</v>
      </c>
      <c r="E74" s="800"/>
      <c r="F74" s="800"/>
      <c r="G74" s="800" t="s">
        <v>99</v>
      </c>
      <c r="H74" s="800"/>
      <c r="I74" s="800" t="s">
        <v>100</v>
      </c>
      <c r="J74" s="800"/>
      <c r="K74" s="716" t="s">
        <v>101</v>
      </c>
      <c r="L74" s="717"/>
      <c r="M74" s="800" t="s">
        <v>123</v>
      </c>
      <c r="N74" s="800"/>
      <c r="O74" s="800" t="s">
        <v>103</v>
      </c>
      <c r="P74" s="800"/>
      <c r="Q74" s="716" t="s">
        <v>104</v>
      </c>
      <c r="R74" s="717"/>
      <c r="S74" s="716" t="s">
        <v>105</v>
      </c>
      <c r="T74" s="729"/>
      <c r="U74" s="729"/>
      <c r="V74" s="729"/>
      <c r="W74" s="491" t="s">
        <v>566</v>
      </c>
      <c r="X74" s="331"/>
      <c r="Y74" s="30"/>
      <c r="Z74" s="331" t="s">
        <v>106</v>
      </c>
    </row>
    <row r="75" spans="1:26" ht="18" customHeight="1">
      <c r="A75" s="733" t="str">
        <f>'HVC1 - REF650'!A266</f>
        <v>T1</v>
      </c>
      <c r="B75" s="733" t="str">
        <f>'RET670_650-PX (HV) (2)'!B418</f>
        <v>Core1</v>
      </c>
      <c r="C75" s="733"/>
      <c r="D75" s="732">
        <f>'HVC1 - REF650'!D266</f>
        <v>1250</v>
      </c>
      <c r="E75" s="732"/>
      <c r="F75" s="734">
        <f>'HVC1 - REF650'!F266</f>
        <v>1</v>
      </c>
      <c r="G75" s="732">
        <f>'CT-VT Burdens'!S19</f>
        <v>50</v>
      </c>
      <c r="H75" s="740">
        <f>'CT-VT Burdens'!S10</f>
        <v>6</v>
      </c>
      <c r="I75" s="802" t="str">
        <f>'HVC1 - REF650'!I266</f>
        <v>PX-B</v>
      </c>
      <c r="J75" s="803"/>
      <c r="K75" s="728">
        <f>'HVC1 - REF650'!K266</f>
        <v>5</v>
      </c>
      <c r="L75" s="728"/>
      <c r="M75" s="818">
        <f>'HVC1 - REF650'!M266</f>
        <v>750</v>
      </c>
      <c r="N75" s="728"/>
      <c r="O75" s="732">
        <f>'HVC1 - REF650'!O266</f>
        <v>60</v>
      </c>
      <c r="P75" s="732"/>
      <c r="Q75" s="739" t="str">
        <f>'HVC1 - REF650'!Q266</f>
        <v>REF650</v>
      </c>
      <c r="R75" s="739"/>
      <c r="S75" s="819" t="str">
        <f>'HVC1 - REF650'!S266</f>
        <v>Suitably Dimentioned</v>
      </c>
      <c r="T75" s="820"/>
      <c r="U75" s="820"/>
      <c r="V75" s="820"/>
      <c r="W75" s="357">
        <f>'HVC1 - REF650'!D55</f>
        <v>126.23808078653238</v>
      </c>
      <c r="X75" s="300"/>
      <c r="Y75" s="30"/>
      <c r="Z75" s="300">
        <f>'[2]REF615 OC-5P_HV_SBEF(8)'!G40</f>
        <v>33.333333333333336</v>
      </c>
    </row>
    <row r="76" spans="1:26" ht="18" customHeight="1">
      <c r="A76" s="733"/>
      <c r="B76" s="733"/>
      <c r="C76" s="733"/>
      <c r="D76" s="799" t="s">
        <v>7</v>
      </c>
      <c r="E76" s="732"/>
      <c r="F76" s="735"/>
      <c r="G76" s="732"/>
      <c r="H76" s="740"/>
      <c r="I76" s="787"/>
      <c r="J76" s="804"/>
      <c r="K76" s="728" t="str">
        <f>'RET670_650-PX (HV) (2)'!K419</f>
        <v>-</v>
      </c>
      <c r="L76" s="728"/>
      <c r="M76" s="728" t="str">
        <f>'RET670_650-PX (HV) (2)'!M419</f>
        <v>-</v>
      </c>
      <c r="N76" s="728"/>
      <c r="O76" s="732" t="str">
        <f>'RET670_650-PX (HV) (2)'!O419</f>
        <v>-</v>
      </c>
      <c r="P76" s="732"/>
      <c r="Q76" s="739"/>
      <c r="R76" s="739"/>
      <c r="S76" s="819" t="str">
        <f>'RET670_650-PX (HV) (2)'!S419</f>
        <v>-</v>
      </c>
      <c r="T76" s="820"/>
      <c r="U76" s="820"/>
      <c r="V76" s="821"/>
      <c r="W76" s="499" t="s">
        <v>7</v>
      </c>
      <c r="X76" s="300"/>
      <c r="Y76" s="30"/>
      <c r="Z76" s="30"/>
    </row>
    <row r="77" spans="1:26" ht="18" customHeight="1">
      <c r="A77" s="733"/>
      <c r="B77" s="733"/>
      <c r="C77" s="733"/>
      <c r="D77" s="799" t="s">
        <v>7</v>
      </c>
      <c r="E77" s="732"/>
      <c r="F77" s="736"/>
      <c r="G77" s="732"/>
      <c r="H77" s="740"/>
      <c r="I77" s="789"/>
      <c r="J77" s="805"/>
      <c r="K77" s="728" t="str">
        <f>'RET670_650-PX (HV) (2)'!K420</f>
        <v>-</v>
      </c>
      <c r="L77" s="728"/>
      <c r="M77" s="728" t="str">
        <f>'RET670_650-PX (HV) (2)'!M420</f>
        <v>-</v>
      </c>
      <c r="N77" s="728"/>
      <c r="O77" s="732" t="str">
        <f>'RET670_650-PX (HV) (2)'!O420</f>
        <v>-</v>
      </c>
      <c r="P77" s="732"/>
      <c r="Q77" s="739"/>
      <c r="R77" s="739"/>
      <c r="S77" s="819" t="str">
        <f>'RET670_650-PX (HV) (2)'!S420</f>
        <v>-</v>
      </c>
      <c r="T77" s="820"/>
      <c r="U77" s="820"/>
      <c r="V77" s="821"/>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24"/>
      <c r="X78" s="825"/>
      <c r="Y78" s="30"/>
      <c r="Z78" s="30"/>
    </row>
    <row r="79" spans="1:26" ht="28.2" customHeight="1">
      <c r="A79" s="800" t="s">
        <v>97</v>
      </c>
      <c r="B79" s="800"/>
      <c r="C79" s="728"/>
      <c r="D79" s="800" t="s">
        <v>98</v>
      </c>
      <c r="E79" s="800"/>
      <c r="F79" s="800"/>
      <c r="G79" s="800" t="s">
        <v>99</v>
      </c>
      <c r="H79" s="800"/>
      <c r="I79" s="800" t="s">
        <v>100</v>
      </c>
      <c r="J79" s="800"/>
      <c r="K79" s="716" t="s">
        <v>101</v>
      </c>
      <c r="L79" s="717"/>
      <c r="M79" s="800" t="s">
        <v>102</v>
      </c>
      <c r="N79" s="800"/>
      <c r="O79" s="800" t="s">
        <v>103</v>
      </c>
      <c r="P79" s="800"/>
      <c r="Q79" s="716" t="s">
        <v>104</v>
      </c>
      <c r="R79" s="717"/>
      <c r="S79" s="716" t="s">
        <v>105</v>
      </c>
      <c r="T79" s="729"/>
      <c r="U79" s="729"/>
      <c r="V79" s="729"/>
      <c r="W79" s="491" t="s">
        <v>106</v>
      </c>
      <c r="X79" s="331"/>
      <c r="Y79" s="30"/>
      <c r="Z79" s="30"/>
    </row>
    <row r="80" spans="1:26" ht="18" customHeight="1">
      <c r="A80" s="806" t="str">
        <f>'MFAC+MVTP'!A51</f>
        <v>T1</v>
      </c>
      <c r="B80" s="782" t="str">
        <f>'MFAC+MVTP'!B51</f>
        <v>Core2</v>
      </c>
      <c r="C80" s="711"/>
      <c r="D80" s="819">
        <f>'MFAC+MVTP'!D51</f>
        <v>1250</v>
      </c>
      <c r="E80" s="821"/>
      <c r="F80" s="734">
        <f>'MFAC+MVTP'!F51</f>
        <v>1</v>
      </c>
      <c r="G80" s="734">
        <f>'CT-VT Burdens'!S19</f>
        <v>50</v>
      </c>
      <c r="H80" s="807">
        <f>'CT-VT Burdens'!S10</f>
        <v>6</v>
      </c>
      <c r="I80" s="802" t="str">
        <f>'MFAC+MVTP'!I51</f>
        <v>PX-B</v>
      </c>
      <c r="J80" s="803"/>
      <c r="K80" s="852">
        <f>'MFAC+MVTP'!K51</f>
        <v>5</v>
      </c>
      <c r="L80" s="853"/>
      <c r="M80" s="852">
        <f>'MFAC+MVTP'!M51</f>
        <v>750</v>
      </c>
      <c r="N80" s="853"/>
      <c r="O80" s="819">
        <f>'MFAC+MVTP'!O51</f>
        <v>60</v>
      </c>
      <c r="P80" s="821"/>
      <c r="Q80" s="839" t="str">
        <f>'MFAC+MVTP'!Q51</f>
        <v>MFAC MVTP</v>
      </c>
      <c r="R80" s="840"/>
      <c r="S80" s="819" t="str">
        <f>'MFAC+MVTP'!S51</f>
        <v>Suitably Dimentioned</v>
      </c>
      <c r="T80" s="820"/>
      <c r="U80" s="820"/>
      <c r="V80" s="821"/>
      <c r="W80" s="357">
        <f>'MFAC+MVTP'!H43</f>
        <v>251.87776873754999</v>
      </c>
      <c r="X80" s="300"/>
      <c r="Y80" s="30"/>
      <c r="Z80" s="30"/>
    </row>
    <row r="81" spans="1:26" ht="18" customHeight="1">
      <c r="A81" s="854"/>
      <c r="B81" s="783"/>
      <c r="C81" s="784"/>
      <c r="D81" s="819" t="str">
        <f>'MFAC+MVTP'!D52</f>
        <v>-</v>
      </c>
      <c r="E81" s="821"/>
      <c r="F81" s="735"/>
      <c r="G81" s="735"/>
      <c r="H81" s="845"/>
      <c r="I81" s="787"/>
      <c r="J81" s="804"/>
      <c r="K81" s="852" t="str">
        <f>'7UT635-X'!K286</f>
        <v>-</v>
      </c>
      <c r="L81" s="853"/>
      <c r="M81" s="852" t="str">
        <f>'7UT635-X'!M286</f>
        <v>-</v>
      </c>
      <c r="N81" s="853"/>
      <c r="O81" s="819" t="str">
        <f>'7UT635-X'!O286</f>
        <v>-</v>
      </c>
      <c r="P81" s="821"/>
      <c r="Q81" s="841"/>
      <c r="R81" s="842"/>
      <c r="S81" s="819" t="str">
        <f>'7UT635-X'!S286</f>
        <v>-</v>
      </c>
      <c r="T81" s="820"/>
      <c r="U81" s="820"/>
      <c r="V81" s="821"/>
      <c r="W81" s="499" t="s">
        <v>7</v>
      </c>
      <c r="X81" s="300"/>
      <c r="Y81" s="30"/>
      <c r="Z81" s="30"/>
    </row>
    <row r="82" spans="1:26" ht="15.6" customHeight="1">
      <c r="A82" s="855"/>
      <c r="B82" s="712"/>
      <c r="C82" s="713"/>
      <c r="D82" s="819" t="str">
        <f>'7UT635-X'!D287</f>
        <v>-</v>
      </c>
      <c r="E82" s="821"/>
      <c r="F82" s="736"/>
      <c r="G82" s="736"/>
      <c r="H82" s="846"/>
      <c r="I82" s="789"/>
      <c r="J82" s="805"/>
      <c r="K82" s="852" t="str">
        <f>'7UT635-X'!K287</f>
        <v>-</v>
      </c>
      <c r="L82" s="853"/>
      <c r="M82" s="852" t="str">
        <f>'7UT635-X'!M287</f>
        <v>-</v>
      </c>
      <c r="N82" s="853"/>
      <c r="O82" s="819" t="str">
        <f>'7UT635-X'!O287</f>
        <v>-</v>
      </c>
      <c r="P82" s="821"/>
      <c r="Q82" s="843"/>
      <c r="R82" s="844"/>
      <c r="S82" s="819" t="str">
        <f>'7UT635-X'!S287</f>
        <v>-</v>
      </c>
      <c r="T82" s="820"/>
      <c r="U82" s="820"/>
      <c r="V82" s="821"/>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800" t="s">
        <v>97</v>
      </c>
      <c r="B84" s="800"/>
      <c r="C84" s="728"/>
      <c r="D84" s="800" t="s">
        <v>98</v>
      </c>
      <c r="E84" s="800"/>
      <c r="F84" s="800"/>
      <c r="G84" s="800" t="s">
        <v>99</v>
      </c>
      <c r="H84" s="800"/>
      <c r="I84" s="800" t="s">
        <v>100</v>
      </c>
      <c r="J84" s="800"/>
      <c r="K84" s="716" t="s">
        <v>101</v>
      </c>
      <c r="L84" s="717"/>
      <c r="M84" s="800" t="s">
        <v>941</v>
      </c>
      <c r="N84" s="800"/>
      <c r="O84" s="800" t="s">
        <v>103</v>
      </c>
      <c r="P84" s="800"/>
      <c r="Q84" s="716" t="s">
        <v>104</v>
      </c>
      <c r="R84" s="717"/>
      <c r="S84" s="716" t="s">
        <v>105</v>
      </c>
      <c r="T84" s="729"/>
      <c r="U84" s="729"/>
      <c r="V84" s="729"/>
      <c r="W84" s="491" t="s">
        <v>566</v>
      </c>
      <c r="X84" s="331"/>
      <c r="Y84" s="30"/>
      <c r="Z84" s="30"/>
    </row>
    <row r="85" spans="1:26" ht="15.6" customHeight="1">
      <c r="A85" s="806" t="str">
        <f>'BUP BCU(2)'!A95</f>
        <v>T1</v>
      </c>
      <c r="B85" s="782" t="str">
        <f>'BUP BCU(2)'!B95</f>
        <v>Core3</v>
      </c>
      <c r="C85" s="711"/>
      <c r="D85" s="819">
        <f>'BUP BCU(2)'!D95</f>
        <v>1250</v>
      </c>
      <c r="E85" s="821"/>
      <c r="F85" s="734">
        <f>'BUP BCU(2)'!F95</f>
        <v>1</v>
      </c>
      <c r="G85" s="734">
        <f>'CT-VT Burdens'!S19</f>
        <v>50</v>
      </c>
      <c r="H85" s="807">
        <f>'CT-VT Burdens'!S10</f>
        <v>6</v>
      </c>
      <c r="I85" s="802" t="str">
        <f>'BUP BCU(2)'!I95</f>
        <v>5P20</v>
      </c>
      <c r="J85" s="803"/>
      <c r="K85" s="852">
        <f>'BUP BCU(2)'!K95</f>
        <v>5</v>
      </c>
      <c r="L85" s="853"/>
      <c r="M85" s="856">
        <f>'BUP BCU(2)'!G59</f>
        <v>40</v>
      </c>
      <c r="N85" s="853"/>
      <c r="O85" s="812" t="s">
        <v>7</v>
      </c>
      <c r="P85" s="821"/>
      <c r="Q85" s="839" t="str">
        <f>'BUP BCU(2)'!Q95</f>
        <v>REF650 REC670 IDM+18</v>
      </c>
      <c r="R85" s="840"/>
      <c r="S85" s="819" t="str">
        <f>'BUP BCU(1)'!S97</f>
        <v>Suitably Dimentioned</v>
      </c>
      <c r="T85" s="820"/>
      <c r="U85" s="820"/>
      <c r="V85" s="821"/>
      <c r="W85" s="357">
        <f>'BUP BCU(2)'!D59</f>
        <v>125.29625067884837</v>
      </c>
      <c r="X85" s="300"/>
      <c r="Y85" s="30"/>
      <c r="Z85" s="30"/>
    </row>
    <row r="86" spans="1:26" ht="15.6" customHeight="1">
      <c r="A86" s="854"/>
      <c r="B86" s="783"/>
      <c r="C86" s="784"/>
      <c r="D86" s="819" t="str">
        <f>'OC+BCPU+FMS-X (2)'!D287</f>
        <v>-</v>
      </c>
      <c r="E86" s="821"/>
      <c r="F86" s="735"/>
      <c r="G86" s="735"/>
      <c r="H86" s="845"/>
      <c r="I86" s="787"/>
      <c r="J86" s="804"/>
      <c r="K86" s="852" t="str">
        <f>'OC+BCPU+FMS-X (2)'!K287</f>
        <v>-</v>
      </c>
      <c r="L86" s="853"/>
      <c r="M86" s="852" t="str">
        <f>'OC+BCPU+FMS-X (2)'!M287</f>
        <v>-</v>
      </c>
      <c r="N86" s="853"/>
      <c r="O86" s="819" t="str">
        <f>'OC+BCPU+FMS-X (2)'!O287</f>
        <v>-</v>
      </c>
      <c r="P86" s="821"/>
      <c r="Q86" s="841"/>
      <c r="R86" s="842"/>
      <c r="S86" s="819" t="str">
        <f>'OC+BCPU+FMS-X (2)'!S287</f>
        <v>-</v>
      </c>
      <c r="T86" s="820"/>
      <c r="U86" s="820"/>
      <c r="V86" s="821"/>
      <c r="W86" s="499" t="s">
        <v>7</v>
      </c>
      <c r="X86" s="300"/>
      <c r="Y86" s="30"/>
      <c r="Z86" s="30"/>
    </row>
    <row r="87" spans="1:26" ht="15.6" customHeight="1">
      <c r="A87" s="855"/>
      <c r="B87" s="712"/>
      <c r="C87" s="713"/>
      <c r="D87" s="819" t="str">
        <f>'OC+BCPU+FMS-X (2)'!D288</f>
        <v>-</v>
      </c>
      <c r="E87" s="821"/>
      <c r="F87" s="736"/>
      <c r="G87" s="736"/>
      <c r="H87" s="846"/>
      <c r="I87" s="789"/>
      <c r="J87" s="805"/>
      <c r="K87" s="852" t="str">
        <f>'OC+BCPU+FMS-X (2)'!K288</f>
        <v>-</v>
      </c>
      <c r="L87" s="853"/>
      <c r="M87" s="852" t="str">
        <f>'OC+BCPU+FMS-X (2)'!M288</f>
        <v>-</v>
      </c>
      <c r="N87" s="853"/>
      <c r="O87" s="819" t="str">
        <f>'OC+BCPU+FMS-X (2)'!O288</f>
        <v>-</v>
      </c>
      <c r="P87" s="821"/>
      <c r="Q87" s="843"/>
      <c r="R87" s="844"/>
      <c r="S87" s="819" t="str">
        <f>'OC+BCPU+FMS-X (2)'!S288</f>
        <v>-</v>
      </c>
      <c r="T87" s="820"/>
      <c r="U87" s="820"/>
      <c r="V87" s="821"/>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16" t="s">
        <v>97</v>
      </c>
      <c r="B89" s="729"/>
      <c r="C89" s="717"/>
      <c r="D89" s="716" t="s">
        <v>98</v>
      </c>
      <c r="E89" s="729"/>
      <c r="F89" s="717"/>
      <c r="G89" s="716" t="s">
        <v>99</v>
      </c>
      <c r="H89" s="717"/>
      <c r="I89" s="716" t="s">
        <v>100</v>
      </c>
      <c r="J89" s="717"/>
      <c r="K89" s="716" t="s">
        <v>101</v>
      </c>
      <c r="L89" s="717"/>
      <c r="M89" s="716" t="s">
        <v>943</v>
      </c>
      <c r="N89" s="717"/>
      <c r="O89" s="716" t="s">
        <v>103</v>
      </c>
      <c r="P89" s="717"/>
      <c r="Q89" s="716" t="s">
        <v>104</v>
      </c>
      <c r="R89" s="717"/>
      <c r="S89" s="800" t="s">
        <v>105</v>
      </c>
      <c r="T89" s="800"/>
      <c r="U89" s="800"/>
      <c r="V89" s="800"/>
      <c r="W89" s="331" t="s">
        <v>106</v>
      </c>
      <c r="X89" s="331"/>
      <c r="Y89" s="30"/>
      <c r="Z89" s="30"/>
    </row>
    <row r="90" spans="1:26" ht="15.6" customHeight="1">
      <c r="A90" s="733" t="str">
        <f>'BBP FU1 - REB500 (2)'!A264</f>
        <v>T1</v>
      </c>
      <c r="B90" s="733" t="str">
        <f>'BBP FU1 - REB500 (2)'!B264</f>
        <v>Core4</v>
      </c>
      <c r="C90" s="733"/>
      <c r="D90" s="732">
        <f>'BBP FU1 - REB500 (2)'!D264</f>
        <v>2500</v>
      </c>
      <c r="E90" s="732"/>
      <c r="F90" s="734">
        <f>'BBP FU1 - REB500 (2)'!F264</f>
        <v>1</v>
      </c>
      <c r="G90" s="737">
        <f>'CT-VT Burdens'!S19</f>
        <v>50</v>
      </c>
      <c r="H90" s="740">
        <f>'CT-VT Burdens'!S10</f>
        <v>6</v>
      </c>
      <c r="I90" s="802" t="str">
        <f>'BBP FU1 - REB500 (2)'!I264</f>
        <v>PX-B</v>
      </c>
      <c r="J90" s="847"/>
      <c r="K90" s="728">
        <f>'BBP FU1 - REB500 (2)'!K264</f>
        <v>5</v>
      </c>
      <c r="L90" s="728"/>
      <c r="M90" s="728">
        <f>'BBP FU1 - REB500 (2)'!M264</f>
        <v>750</v>
      </c>
      <c r="N90" s="728"/>
      <c r="O90" s="732">
        <f>'BBP FU1 - REB500 (2)'!O264</f>
        <v>60</v>
      </c>
      <c r="P90" s="732"/>
      <c r="Q90" s="739" t="str">
        <f>'BBP FU1 - REB500 (2)'!Q264</f>
        <v>REB500</v>
      </c>
      <c r="R90" s="739"/>
      <c r="S90" s="732" t="str">
        <f>'BBP FU1 - REB500 (2)'!S264</f>
        <v>Suitable Dimensions</v>
      </c>
      <c r="T90" s="732"/>
      <c r="U90" s="732"/>
      <c r="V90" s="732"/>
      <c r="W90" s="357">
        <f>'BBP FU1 - REB500 (2)'!M82</f>
        <v>52.500089760000002</v>
      </c>
      <c r="X90" s="275"/>
      <c r="Y90" s="30"/>
      <c r="Z90" s="30"/>
    </row>
    <row r="91" spans="1:26" ht="15.6" customHeight="1">
      <c r="A91" s="733"/>
      <c r="B91" s="733"/>
      <c r="C91" s="733"/>
      <c r="D91" s="799" t="str">
        <f>'Main Tariff Meter '!D145</f>
        <v>-</v>
      </c>
      <c r="E91" s="732"/>
      <c r="F91" s="735"/>
      <c r="G91" s="732"/>
      <c r="H91" s="740"/>
      <c r="I91" s="848"/>
      <c r="J91" s="849"/>
      <c r="K91" s="801" t="str">
        <f>'Main Tariff Meter '!K145</f>
        <v>-</v>
      </c>
      <c r="L91" s="728"/>
      <c r="M91" s="801" t="str">
        <f>'Main Tariff Meter '!M145</f>
        <v>-</v>
      </c>
      <c r="N91" s="728"/>
      <c r="O91" s="732" t="str">
        <f>'Main Tariff Meter '!O145</f>
        <v>-</v>
      </c>
      <c r="P91" s="732"/>
      <c r="Q91" s="739"/>
      <c r="R91" s="739"/>
      <c r="S91" s="799" t="str">
        <f>'Main Tariff Meter '!S145</f>
        <v>-</v>
      </c>
      <c r="T91" s="732"/>
      <c r="U91" s="732"/>
      <c r="V91" s="732"/>
      <c r="W91" s="357" t="s">
        <v>7</v>
      </c>
      <c r="X91" s="275"/>
      <c r="Y91" s="30"/>
      <c r="Z91" s="30"/>
    </row>
    <row r="92" spans="1:26" ht="18.75" customHeight="1">
      <c r="A92" s="806"/>
      <c r="B92" s="806"/>
      <c r="C92" s="806"/>
      <c r="D92" s="734" t="str">
        <f>'Main Tariff Meter '!D146</f>
        <v>-</v>
      </c>
      <c r="E92" s="734"/>
      <c r="F92" s="735"/>
      <c r="G92" s="734"/>
      <c r="H92" s="807"/>
      <c r="I92" s="848"/>
      <c r="J92" s="849"/>
      <c r="K92" s="797" t="str">
        <f>'Main Tariff Meter '!K146</f>
        <v>-</v>
      </c>
      <c r="L92" s="797"/>
      <c r="M92" s="797" t="str">
        <f>'Main Tariff Meter '!M146</f>
        <v>-</v>
      </c>
      <c r="N92" s="797"/>
      <c r="O92" s="734" t="str">
        <f>'Main Tariff Meter '!O146</f>
        <v>-</v>
      </c>
      <c r="P92" s="734"/>
      <c r="Q92" s="795"/>
      <c r="R92" s="795"/>
      <c r="S92" s="734" t="str">
        <f>'Main Tariff Meter '!S146</f>
        <v>-</v>
      </c>
      <c r="T92" s="734"/>
      <c r="U92" s="734"/>
      <c r="V92" s="734"/>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16" t="s">
        <v>97</v>
      </c>
      <c r="B94" s="729"/>
      <c r="C94" s="717"/>
      <c r="D94" s="716" t="s">
        <v>98</v>
      </c>
      <c r="E94" s="729"/>
      <c r="F94" s="717"/>
      <c r="G94" s="716" t="s">
        <v>99</v>
      </c>
      <c r="H94" s="717"/>
      <c r="I94" s="716" t="s">
        <v>100</v>
      </c>
      <c r="J94" s="717"/>
      <c r="K94" s="716" t="s">
        <v>101</v>
      </c>
      <c r="L94" s="717"/>
      <c r="M94" s="716" t="s">
        <v>943</v>
      </c>
      <c r="N94" s="717"/>
      <c r="O94" s="716" t="s">
        <v>103</v>
      </c>
      <c r="P94" s="717"/>
      <c r="Q94" s="716" t="s">
        <v>104</v>
      </c>
      <c r="R94" s="717"/>
      <c r="S94" s="800" t="s">
        <v>105</v>
      </c>
      <c r="T94" s="800"/>
      <c r="U94" s="800"/>
      <c r="V94" s="800"/>
      <c r="W94" s="331" t="s">
        <v>106</v>
      </c>
      <c r="X94" s="331"/>
      <c r="Y94" s="30"/>
      <c r="Z94" s="30"/>
    </row>
    <row r="95" spans="1:26" ht="17.25" customHeight="1">
      <c r="A95" s="733" t="str">
        <f>'BBP 743(2)'!A268</f>
        <v>T1</v>
      </c>
      <c r="B95" s="733" t="str">
        <f>'BBP 743(2)'!B268</f>
        <v>Core5</v>
      </c>
      <c r="C95" s="733"/>
      <c r="D95" s="732">
        <f>'BBP 743(2)'!D268</f>
        <v>2500</v>
      </c>
      <c r="E95" s="732"/>
      <c r="F95" s="734">
        <f>-'BBP 743(2)'!F268</f>
        <v>-1</v>
      </c>
      <c r="G95" s="737">
        <f>'CT-VT Burdens'!S19</f>
        <v>50</v>
      </c>
      <c r="H95" s="740">
        <f>'CT-VT Burdens'!S10</f>
        <v>6</v>
      </c>
      <c r="I95" s="802">
        <f>'Main Tariff Meter '!I153</f>
        <v>0</v>
      </c>
      <c r="J95" s="847"/>
      <c r="K95" s="728">
        <f>'BBP 743(2)'!K268</f>
        <v>5</v>
      </c>
      <c r="L95" s="728"/>
      <c r="M95" s="728">
        <f>'BBP 743(2)'!M268</f>
        <v>750</v>
      </c>
      <c r="N95" s="728"/>
      <c r="O95" s="732">
        <f>'BBP 743(2)'!O268</f>
        <v>60</v>
      </c>
      <c r="P95" s="732"/>
      <c r="Q95" s="739" t="str">
        <f>'BBP 743(2)'!Q268</f>
        <v>P743</v>
      </c>
      <c r="R95" s="739"/>
      <c r="S95" s="732" t="str">
        <f>'BBP 743(2)'!S268</f>
        <v>Suitably Dimentioned</v>
      </c>
      <c r="T95" s="732"/>
      <c r="U95" s="732"/>
      <c r="V95" s="732"/>
      <c r="W95" s="357">
        <f>'BBP 743(2)'!H55</f>
        <v>110.97518700000001</v>
      </c>
      <c r="X95" s="275"/>
      <c r="Y95" s="30"/>
      <c r="Z95" s="30"/>
    </row>
    <row r="96" spans="1:26" ht="15.6" customHeight="1">
      <c r="A96" s="733"/>
      <c r="B96" s="733"/>
      <c r="C96" s="733"/>
      <c r="D96" s="799" t="s">
        <v>7</v>
      </c>
      <c r="E96" s="732"/>
      <c r="F96" s="735"/>
      <c r="G96" s="732"/>
      <c r="H96" s="740"/>
      <c r="I96" s="848"/>
      <c r="J96" s="849"/>
      <c r="K96" s="801">
        <f>'Main Tariff Meter '!K154</f>
        <v>0</v>
      </c>
      <c r="L96" s="728"/>
      <c r="M96" s="801">
        <f>'Main Tariff Meter '!M154</f>
        <v>0</v>
      </c>
      <c r="N96" s="728"/>
      <c r="O96" s="732">
        <f>'Main Tariff Meter '!O154</f>
        <v>0</v>
      </c>
      <c r="P96" s="732"/>
      <c r="Q96" s="739"/>
      <c r="R96" s="739"/>
      <c r="S96" s="799">
        <f>'Main Tariff Meter '!S154</f>
        <v>0</v>
      </c>
      <c r="T96" s="732"/>
      <c r="U96" s="732"/>
      <c r="V96" s="732"/>
      <c r="W96" s="357" t="s">
        <v>7</v>
      </c>
      <c r="X96" s="275"/>
      <c r="Y96" s="30"/>
      <c r="Z96" s="30"/>
    </row>
    <row r="97" spans="1:26" ht="15.6" customHeight="1">
      <c r="A97" s="733"/>
      <c r="B97" s="733"/>
      <c r="C97" s="733"/>
      <c r="D97" s="799" t="s">
        <v>7</v>
      </c>
      <c r="E97" s="732"/>
      <c r="F97" s="736"/>
      <c r="G97" s="732"/>
      <c r="H97" s="740"/>
      <c r="I97" s="850"/>
      <c r="J97" s="851"/>
      <c r="K97" s="728">
        <f>'Main Tariff Meter '!K155</f>
        <v>0</v>
      </c>
      <c r="L97" s="728"/>
      <c r="M97" s="728">
        <f>'Main Tariff Meter '!M155</f>
        <v>0</v>
      </c>
      <c r="N97" s="728"/>
      <c r="O97" s="732">
        <f>'Main Tariff Meter '!O155</f>
        <v>0</v>
      </c>
      <c r="P97" s="732"/>
      <c r="Q97" s="739"/>
      <c r="R97" s="739"/>
      <c r="S97" s="732">
        <f>'Main Tariff Meter '!S155</f>
        <v>0</v>
      </c>
      <c r="T97" s="732"/>
      <c r="U97" s="732"/>
      <c r="V97" s="732"/>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24"/>
      <c r="X101" s="825"/>
      <c r="Y101" s="30"/>
      <c r="Z101" s="30"/>
    </row>
    <row r="102" spans="1:26" ht="28.95" customHeight="1">
      <c r="A102" s="800" t="s">
        <v>97</v>
      </c>
      <c r="B102" s="800"/>
      <c r="C102" s="728"/>
      <c r="D102" s="800" t="s">
        <v>98</v>
      </c>
      <c r="E102" s="800"/>
      <c r="F102" s="800"/>
      <c r="G102" s="800" t="s">
        <v>99</v>
      </c>
      <c r="H102" s="800"/>
      <c r="I102" s="800" t="s">
        <v>100</v>
      </c>
      <c r="J102" s="800"/>
      <c r="K102" s="716" t="s">
        <v>101</v>
      </c>
      <c r="L102" s="717"/>
      <c r="M102" s="800" t="s">
        <v>102</v>
      </c>
      <c r="N102" s="800"/>
      <c r="O102" s="800" t="s">
        <v>103</v>
      </c>
      <c r="P102" s="800"/>
      <c r="Q102" s="716" t="s">
        <v>104</v>
      </c>
      <c r="R102" s="717"/>
      <c r="S102" s="716" t="s">
        <v>105</v>
      </c>
      <c r="T102" s="729"/>
      <c r="U102" s="729"/>
      <c r="V102" s="729"/>
      <c r="W102" s="491" t="s">
        <v>106</v>
      </c>
      <c r="X102" s="331"/>
      <c r="Y102" s="30"/>
      <c r="Z102" s="30"/>
    </row>
    <row r="103" spans="1:26" ht="24.6" customHeight="1">
      <c r="A103" s="782" t="str">
        <f>'IFP1-RED670'!A384</f>
        <v>T1</v>
      </c>
      <c r="B103" s="782" t="str">
        <f>'IFP1-RED670'!B384</f>
        <v>Core1</v>
      </c>
      <c r="C103" s="711"/>
      <c r="D103" s="785">
        <f>'IFP1-RED670'!D384</f>
        <v>1600</v>
      </c>
      <c r="E103" s="786"/>
      <c r="F103" s="734">
        <f>'IFP1-RED670'!F384</f>
        <v>1</v>
      </c>
      <c r="G103" s="734">
        <f>'CT-VT Burdens'!S19</f>
        <v>50</v>
      </c>
      <c r="H103" s="826">
        <f>'CT-VT Burdens'!S10</f>
        <v>6</v>
      </c>
      <c r="I103" s="785" t="str">
        <f>'IFP1-RED670'!Q384</f>
        <v>RED670</v>
      </c>
      <c r="J103" s="786"/>
      <c r="K103" s="728">
        <f>'IFP1-RED670'!K384</f>
        <v>12</v>
      </c>
      <c r="L103" s="728"/>
      <c r="M103" s="728">
        <f>'IFP1-RED670'!M384</f>
        <v>3500</v>
      </c>
      <c r="N103" s="728"/>
      <c r="O103" s="732">
        <f>'IFP1-RED670'!O384</f>
        <v>40</v>
      </c>
      <c r="P103" s="732"/>
      <c r="Q103" s="791" t="str">
        <f>'IFP1-RED670'!Q384</f>
        <v>RED670</v>
      </c>
      <c r="R103" s="791"/>
      <c r="S103" s="819" t="str">
        <f>'IFP1-RED670'!S384</f>
        <v>Suitably Dimensioned</v>
      </c>
      <c r="T103" s="820"/>
      <c r="U103" s="820"/>
      <c r="V103" s="820"/>
      <c r="W103" s="357">
        <f>'IFP1-RED670'!H122</f>
        <v>632.78933398619927</v>
      </c>
      <c r="X103" s="300"/>
      <c r="Y103" s="30"/>
      <c r="Z103" s="30"/>
    </row>
    <row r="104" spans="1:26" ht="15.6" customHeight="1">
      <c r="A104" s="783"/>
      <c r="B104" s="783"/>
      <c r="C104" s="784"/>
      <c r="D104" s="787"/>
      <c r="E104" s="788"/>
      <c r="F104" s="735"/>
      <c r="G104" s="735"/>
      <c r="H104" s="827"/>
      <c r="I104" s="787"/>
      <c r="J104" s="788"/>
      <c r="K104" s="728" t="str">
        <f>'OC+BCPU+FMS-X (3)'!K287</f>
        <v>-</v>
      </c>
      <c r="L104" s="728"/>
      <c r="M104" s="728" t="str">
        <f>'OC+BCPU+FMS-X (3)'!M287</f>
        <v>-</v>
      </c>
      <c r="N104" s="728"/>
      <c r="O104" s="732" t="str">
        <f>'OC+BCPU+FMS-X (3)'!O287</f>
        <v>-</v>
      </c>
      <c r="P104" s="732"/>
      <c r="Q104" s="792"/>
      <c r="R104" s="792"/>
      <c r="S104" s="819" t="str">
        <f>'OC+BCPU+FMS-X (3)'!S287</f>
        <v>-</v>
      </c>
      <c r="T104" s="820"/>
      <c r="U104" s="820"/>
      <c r="V104" s="821"/>
      <c r="W104" s="499" t="s">
        <v>7</v>
      </c>
      <c r="X104" s="300"/>
      <c r="Y104" s="30"/>
      <c r="Z104" s="30"/>
    </row>
    <row r="105" spans="1:26" ht="15.6" hidden="1" customHeight="1">
      <c r="A105" s="783"/>
      <c r="B105" s="783"/>
      <c r="C105" s="784"/>
      <c r="D105" s="787"/>
      <c r="E105" s="788"/>
      <c r="F105" s="735"/>
      <c r="G105" s="735"/>
      <c r="H105" s="827"/>
      <c r="I105" s="787"/>
      <c r="J105" s="788"/>
      <c r="K105" s="728" t="str">
        <f>'OC+BCPU+FMS-X (3)'!K288</f>
        <v>-</v>
      </c>
      <c r="L105" s="728"/>
      <c r="M105" s="728" t="str">
        <f>'OC+BCPU+FMS-X (3)'!M288</f>
        <v>-</v>
      </c>
      <c r="N105" s="728"/>
      <c r="O105" s="732" t="str">
        <f>'OC+BCPU+FMS-X (3)'!O288</f>
        <v>-</v>
      </c>
      <c r="P105" s="732"/>
      <c r="Q105" s="792"/>
      <c r="R105" s="792"/>
      <c r="S105" s="819" t="str">
        <f>'OC+BCPU+FMS-X (3)'!S288</f>
        <v>-</v>
      </c>
      <c r="T105" s="820"/>
      <c r="U105" s="820"/>
      <c r="V105" s="821"/>
      <c r="W105" s="487" t="s">
        <v>7</v>
      </c>
      <c r="X105" s="275"/>
      <c r="Y105" s="30"/>
      <c r="Z105" s="30"/>
    </row>
    <row r="106" spans="1:26" ht="26.4" hidden="1" customHeight="1">
      <c r="A106" s="783"/>
      <c r="B106" s="783"/>
      <c r="C106" s="784"/>
      <c r="D106" s="787"/>
      <c r="E106" s="788"/>
      <c r="F106" s="735"/>
      <c r="G106" s="735"/>
      <c r="H106" s="827"/>
      <c r="I106" s="787"/>
      <c r="J106" s="788"/>
      <c r="K106" s="348"/>
      <c r="L106" s="348"/>
      <c r="M106" s="348"/>
      <c r="N106" s="348"/>
      <c r="O106" s="348"/>
      <c r="P106" s="348"/>
      <c r="Q106" s="792"/>
      <c r="R106" s="792"/>
      <c r="S106" s="348"/>
      <c r="T106" s="348"/>
      <c r="U106" s="348"/>
      <c r="V106" s="348"/>
      <c r="W106" s="824"/>
      <c r="X106" s="825"/>
      <c r="Y106" s="30"/>
      <c r="Z106" s="30"/>
    </row>
    <row r="107" spans="1:26" ht="15.6" hidden="1" customHeight="1">
      <c r="A107" s="783"/>
      <c r="B107" s="783"/>
      <c r="C107" s="784"/>
      <c r="D107" s="787"/>
      <c r="E107" s="788"/>
      <c r="F107" s="735"/>
      <c r="G107" s="735"/>
      <c r="H107" s="827"/>
      <c r="I107" s="787"/>
      <c r="J107" s="788"/>
      <c r="K107" s="716" t="s">
        <v>101</v>
      </c>
      <c r="L107" s="717"/>
      <c r="M107" s="800" t="s">
        <v>112</v>
      </c>
      <c r="N107" s="800"/>
      <c r="O107" s="800"/>
      <c r="P107" s="800"/>
      <c r="Q107" s="792"/>
      <c r="R107" s="792"/>
      <c r="S107" s="716" t="s">
        <v>105</v>
      </c>
      <c r="T107" s="729"/>
      <c r="U107" s="729"/>
      <c r="V107" s="729"/>
      <c r="W107" s="331" t="s">
        <v>115</v>
      </c>
      <c r="X107" s="331"/>
      <c r="Y107" s="30"/>
      <c r="Z107" s="30"/>
    </row>
    <row r="108" spans="1:26" ht="15.6" hidden="1" customHeight="1">
      <c r="A108" s="783"/>
      <c r="B108" s="783"/>
      <c r="C108" s="784"/>
      <c r="D108" s="787"/>
      <c r="E108" s="788"/>
      <c r="F108" s="735"/>
      <c r="G108" s="735"/>
      <c r="H108" s="827"/>
      <c r="I108" s="787"/>
      <c r="J108" s="788"/>
      <c r="K108" s="728">
        <f>'(Metering + Ammeter) (2)'!K144</f>
        <v>1</v>
      </c>
      <c r="L108" s="728"/>
      <c r="M108" s="728">
        <f>'(Metering + Ammeter) (2)'!M144</f>
        <v>5</v>
      </c>
      <c r="N108" s="728"/>
      <c r="O108" s="732" t="str">
        <f>'(Metering + Ammeter) (2)'!O144</f>
        <v>-</v>
      </c>
      <c r="P108" s="732"/>
      <c r="Q108" s="792"/>
      <c r="R108" s="792"/>
      <c r="S108" s="819" t="str">
        <f>'(Metering + Ammeter) (2)'!S144</f>
        <v>Suitable Dimensions</v>
      </c>
      <c r="T108" s="820"/>
      <c r="U108" s="820"/>
      <c r="V108" s="821"/>
      <c r="W108" s="276">
        <f>'(Metering + Ammeter) (2)'!J46</f>
        <v>11.083364319033386</v>
      </c>
      <c r="X108" s="300"/>
      <c r="Y108" s="30"/>
      <c r="Z108" s="30"/>
    </row>
    <row r="109" spans="1:26" ht="15.6" hidden="1" customHeight="1">
      <c r="A109" s="783"/>
      <c r="B109" s="783"/>
      <c r="C109" s="784"/>
      <c r="D109" s="787"/>
      <c r="E109" s="788"/>
      <c r="F109" s="735"/>
      <c r="G109" s="735"/>
      <c r="H109" s="827"/>
      <c r="I109" s="787"/>
      <c r="J109" s="788"/>
      <c r="K109" s="728" t="str">
        <f>'(Metering + Ammeter) (2)'!K145</f>
        <v>-</v>
      </c>
      <c r="L109" s="728"/>
      <c r="M109" s="728" t="str">
        <f>'(Metering + Ammeter) (2)'!M145</f>
        <v>-</v>
      </c>
      <c r="N109" s="728"/>
      <c r="O109" s="732" t="str">
        <f>'(Metering + Ammeter) (2)'!O145</f>
        <v>-</v>
      </c>
      <c r="P109" s="732"/>
      <c r="Q109" s="792"/>
      <c r="R109" s="792"/>
      <c r="S109" s="819" t="str">
        <f>'(Metering + Ammeter) (2)'!S145</f>
        <v>-</v>
      </c>
      <c r="T109" s="820"/>
      <c r="U109" s="820"/>
      <c r="V109" s="821"/>
      <c r="W109" s="499" t="s">
        <v>7</v>
      </c>
      <c r="X109" s="300"/>
      <c r="Y109" s="30"/>
      <c r="Z109" s="30"/>
    </row>
    <row r="110" spans="1:26" ht="15.6" hidden="1" customHeight="1">
      <c r="A110" s="783"/>
      <c r="B110" s="783"/>
      <c r="C110" s="784"/>
      <c r="D110" s="787"/>
      <c r="E110" s="788"/>
      <c r="F110" s="735"/>
      <c r="G110" s="735"/>
      <c r="H110" s="827"/>
      <c r="I110" s="787"/>
      <c r="J110" s="788"/>
      <c r="K110" s="728" t="str">
        <f>'(Metering + Ammeter) (2)'!K146</f>
        <v>-</v>
      </c>
      <c r="L110" s="728"/>
      <c r="M110" s="728" t="str">
        <f>'(Metering + Ammeter) (2)'!M146</f>
        <v>-</v>
      </c>
      <c r="N110" s="728"/>
      <c r="O110" s="732" t="str">
        <f>'(Metering + Ammeter) (2)'!O146</f>
        <v>-</v>
      </c>
      <c r="P110" s="732"/>
      <c r="Q110" s="792"/>
      <c r="R110" s="792"/>
      <c r="S110" s="819" t="str">
        <f>'(Metering + Ammeter) (2)'!S146</f>
        <v>-</v>
      </c>
      <c r="T110" s="820"/>
      <c r="U110" s="820"/>
      <c r="V110" s="821"/>
      <c r="W110" s="487" t="s">
        <v>7</v>
      </c>
      <c r="X110" s="275"/>
      <c r="Y110" s="30"/>
      <c r="Z110" s="30"/>
    </row>
    <row r="111" spans="1:26" ht="26.4" hidden="1" customHeight="1">
      <c r="A111" s="783"/>
      <c r="B111" s="783"/>
      <c r="C111" s="784"/>
      <c r="D111" s="787"/>
      <c r="E111" s="788"/>
      <c r="F111" s="735"/>
      <c r="G111" s="735"/>
      <c r="H111" s="827"/>
      <c r="I111" s="787"/>
      <c r="J111" s="788"/>
      <c r="K111" s="348"/>
      <c r="L111" s="348"/>
      <c r="M111" s="348"/>
      <c r="N111" s="348"/>
      <c r="O111" s="348"/>
      <c r="P111" s="348"/>
      <c r="Q111" s="792"/>
      <c r="R111" s="792"/>
      <c r="S111" s="348"/>
      <c r="T111" s="348"/>
      <c r="U111" s="348"/>
      <c r="V111" s="348"/>
      <c r="W111" s="349"/>
      <c r="X111" s="350"/>
      <c r="Y111" s="30"/>
      <c r="Z111" s="30"/>
    </row>
    <row r="112" spans="1:26" ht="15.6" hidden="1" customHeight="1">
      <c r="A112" s="783"/>
      <c r="B112" s="783"/>
      <c r="C112" s="784"/>
      <c r="D112" s="787"/>
      <c r="E112" s="788"/>
      <c r="F112" s="735"/>
      <c r="G112" s="735"/>
      <c r="H112" s="827"/>
      <c r="I112" s="787"/>
      <c r="J112" s="788"/>
      <c r="K112" s="716" t="s">
        <v>101</v>
      </c>
      <c r="L112" s="717"/>
      <c r="M112" s="716" t="s">
        <v>114</v>
      </c>
      <c r="N112" s="717"/>
      <c r="O112" s="716" t="s">
        <v>103</v>
      </c>
      <c r="P112" s="717"/>
      <c r="Q112" s="792"/>
      <c r="R112" s="792"/>
      <c r="S112" s="800" t="s">
        <v>105</v>
      </c>
      <c r="T112" s="800"/>
      <c r="U112" s="800"/>
      <c r="V112" s="800"/>
      <c r="W112" s="498" t="s">
        <v>116</v>
      </c>
      <c r="X112" s="498" t="s">
        <v>117</v>
      </c>
      <c r="Y112" s="30"/>
      <c r="Z112" s="30"/>
    </row>
    <row r="113" spans="1:26" ht="15.6" hidden="1" customHeight="1">
      <c r="A113" s="783"/>
      <c r="B113" s="783"/>
      <c r="C113" s="784"/>
      <c r="D113" s="787"/>
      <c r="E113" s="788"/>
      <c r="F113" s="735"/>
      <c r="G113" s="735"/>
      <c r="H113" s="827"/>
      <c r="I113" s="787"/>
      <c r="J113" s="788"/>
      <c r="K113" s="728" t="e">
        <f>#REF!</f>
        <v>#REF!</v>
      </c>
      <c r="L113" s="728"/>
      <c r="M113" s="728" t="e">
        <f>#REF!</f>
        <v>#REF!</v>
      </c>
      <c r="N113" s="728"/>
      <c r="O113" s="732" t="e">
        <f>#REF!</f>
        <v>#REF!</v>
      </c>
      <c r="P113" s="732"/>
      <c r="Q113" s="792"/>
      <c r="R113" s="792"/>
      <c r="S113" s="732" t="e">
        <f>#REF!</f>
        <v>#REF!</v>
      </c>
      <c r="T113" s="732"/>
      <c r="U113" s="732"/>
      <c r="V113" s="732"/>
      <c r="W113" s="276" t="e">
        <f>#REF!</f>
        <v>#REF!</v>
      </c>
      <c r="X113" s="276" t="e">
        <f>#REF!</f>
        <v>#REF!</v>
      </c>
      <c r="Y113" s="30"/>
      <c r="Z113" s="30"/>
    </row>
    <row r="114" spans="1:26" ht="15.6" hidden="1" customHeight="1">
      <c r="A114" s="783"/>
      <c r="B114" s="783"/>
      <c r="C114" s="784"/>
      <c r="D114" s="787"/>
      <c r="E114" s="788"/>
      <c r="F114" s="735"/>
      <c r="G114" s="735"/>
      <c r="H114" s="827"/>
      <c r="I114" s="787"/>
      <c r="J114" s="788"/>
      <c r="K114" s="728" t="e">
        <f>#REF!</f>
        <v>#REF!</v>
      </c>
      <c r="L114" s="728"/>
      <c r="M114" s="728" t="e">
        <f>#REF!</f>
        <v>#REF!</v>
      </c>
      <c r="N114" s="728"/>
      <c r="O114" s="732" t="e">
        <f>#REF!</f>
        <v>#REF!</v>
      </c>
      <c r="P114" s="732"/>
      <c r="Q114" s="792"/>
      <c r="R114" s="792"/>
      <c r="S114" s="732" t="e">
        <f>#REF!</f>
        <v>#REF!</v>
      </c>
      <c r="T114" s="732"/>
      <c r="U114" s="732"/>
      <c r="V114" s="732"/>
      <c r="W114" s="276" t="e">
        <f>#REF!</f>
        <v>#REF!</v>
      </c>
      <c r="X114" s="276" t="e">
        <f>#REF!</f>
        <v>#REF!</v>
      </c>
      <c r="Y114" s="30"/>
      <c r="Z114" s="30"/>
    </row>
    <row r="115" spans="1:26" ht="15.6" customHeight="1">
      <c r="A115" s="712"/>
      <c r="B115" s="712"/>
      <c r="C115" s="713"/>
      <c r="D115" s="789"/>
      <c r="E115" s="790"/>
      <c r="F115" s="736"/>
      <c r="G115" s="736"/>
      <c r="H115" s="828"/>
      <c r="I115" s="789"/>
      <c r="J115" s="790"/>
      <c r="K115" s="801" t="s">
        <v>7</v>
      </c>
      <c r="L115" s="728"/>
      <c r="M115" s="801" t="s">
        <v>7</v>
      </c>
      <c r="N115" s="728"/>
      <c r="O115" s="799" t="s">
        <v>7</v>
      </c>
      <c r="P115" s="732"/>
      <c r="Q115" s="793"/>
      <c r="R115" s="793"/>
      <c r="S115" s="799" t="s">
        <v>7</v>
      </c>
      <c r="T115" s="732"/>
      <c r="U115" s="732"/>
      <c r="V115" s="732"/>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800" t="s">
        <v>97</v>
      </c>
      <c r="B117" s="800"/>
      <c r="C117" s="800"/>
      <c r="D117" s="800" t="s">
        <v>98</v>
      </c>
      <c r="E117" s="800"/>
      <c r="F117" s="800"/>
      <c r="G117" s="800" t="s">
        <v>99</v>
      </c>
      <c r="H117" s="800"/>
      <c r="I117" s="800" t="s">
        <v>100</v>
      </c>
      <c r="J117" s="800"/>
      <c r="K117" s="800" t="s">
        <v>101</v>
      </c>
      <c r="L117" s="800"/>
      <c r="M117" s="800" t="s">
        <v>102</v>
      </c>
      <c r="N117" s="800"/>
      <c r="O117" s="800" t="s">
        <v>103</v>
      </c>
      <c r="P117" s="800"/>
      <c r="Q117" s="800" t="s">
        <v>104</v>
      </c>
      <c r="R117" s="800"/>
      <c r="S117" s="800" t="s">
        <v>105</v>
      </c>
      <c r="T117" s="800"/>
      <c r="U117" s="800"/>
      <c r="V117" s="800"/>
      <c r="W117" s="498" t="s">
        <v>106</v>
      </c>
      <c r="X117" s="498"/>
      <c r="Y117" s="30"/>
      <c r="Z117" s="30"/>
    </row>
    <row r="118" spans="1:26" ht="20.25" customHeight="1">
      <c r="A118" s="733" t="str">
        <f>'IFP2 P545 (3)'!A128</f>
        <v>T1</v>
      </c>
      <c r="B118" s="733" t="str">
        <f>'IFP2 P545 (3)'!B128</f>
        <v>Core2</v>
      </c>
      <c r="C118" s="733"/>
      <c r="D118" s="819">
        <f>'IFP2 P545 (3)'!D128</f>
        <v>2500</v>
      </c>
      <c r="E118" s="821"/>
      <c r="F118" s="732">
        <f>'IFP2 P545 (3)'!F128</f>
        <v>1</v>
      </c>
      <c r="G118" s="799">
        <f>'CT-VT Burdens'!S19</f>
        <v>50</v>
      </c>
      <c r="H118" s="794">
        <f>'CT-VT Burdens'!S10</f>
        <v>6</v>
      </c>
      <c r="I118" s="794" t="str">
        <f>'IFP2 P545 (3)'!I128</f>
        <v>PX-A</v>
      </c>
      <c r="J118" s="794"/>
      <c r="K118" s="728">
        <f>'IFP2 P545 (3)'!K128</f>
        <v>5</v>
      </c>
      <c r="L118" s="728"/>
      <c r="M118" s="728">
        <f>'IFP2 P545 (3)'!M128</f>
        <v>3750</v>
      </c>
      <c r="N118" s="728"/>
      <c r="O118" s="732">
        <f>'IFP2 P545 (3)'!O128</f>
        <v>60</v>
      </c>
      <c r="P118" s="732"/>
      <c r="Q118" s="839" t="str">
        <f>'IFP2 P545 (3)'!Q128</f>
        <v>P545</v>
      </c>
      <c r="R118" s="840"/>
      <c r="S118" s="732" t="str">
        <f>'IFP2 P545 (3)'!S128</f>
        <v>Suitably Dimensioned</v>
      </c>
      <c r="T118" s="732"/>
      <c r="U118" s="732"/>
      <c r="V118" s="732"/>
      <c r="W118" s="276">
        <f>'IFP2 P545 (3)'!G92</f>
        <v>792.97010575000002</v>
      </c>
      <c r="X118" s="276"/>
      <c r="Y118" s="30"/>
      <c r="Z118" s="30"/>
    </row>
    <row r="119" spans="1:26" ht="15.6" customHeight="1">
      <c r="A119" s="733"/>
      <c r="B119" s="733"/>
      <c r="C119" s="733"/>
      <c r="D119" s="819"/>
      <c r="E119" s="821"/>
      <c r="F119" s="732"/>
      <c r="G119" s="732"/>
      <c r="H119" s="732"/>
      <c r="I119" s="794"/>
      <c r="J119" s="794"/>
      <c r="K119" s="801" t="s">
        <v>7</v>
      </c>
      <c r="L119" s="728"/>
      <c r="M119" s="801" t="s">
        <v>7</v>
      </c>
      <c r="N119" s="728"/>
      <c r="O119" s="799" t="s">
        <v>7</v>
      </c>
      <c r="P119" s="732"/>
      <c r="Q119" s="841"/>
      <c r="R119" s="842"/>
      <c r="S119" s="799" t="s">
        <v>7</v>
      </c>
      <c r="T119" s="732"/>
      <c r="U119" s="732"/>
      <c r="V119" s="732"/>
      <c r="W119" s="499" t="s">
        <v>7</v>
      </c>
      <c r="X119" s="276"/>
      <c r="Y119" s="30"/>
      <c r="Z119" s="30"/>
    </row>
    <row r="120" spans="1:26" ht="15.75" customHeight="1">
      <c r="A120" s="733"/>
      <c r="B120" s="733"/>
      <c r="C120" s="733"/>
      <c r="D120" s="789"/>
      <c r="E120" s="805"/>
      <c r="F120" s="732"/>
      <c r="G120" s="732"/>
      <c r="H120" s="732"/>
      <c r="I120" s="794"/>
      <c r="J120" s="794"/>
      <c r="K120" s="801" t="s">
        <v>7</v>
      </c>
      <c r="L120" s="728"/>
      <c r="M120" s="801" t="s">
        <v>7</v>
      </c>
      <c r="N120" s="728"/>
      <c r="O120" s="799" t="s">
        <v>7</v>
      </c>
      <c r="P120" s="732"/>
      <c r="Q120" s="843"/>
      <c r="R120" s="844"/>
      <c r="S120" s="799" t="s">
        <v>7</v>
      </c>
      <c r="T120" s="732"/>
      <c r="U120" s="732"/>
      <c r="V120" s="732"/>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800" t="s">
        <v>97</v>
      </c>
      <c r="B122" s="800"/>
      <c r="C122" s="800"/>
      <c r="D122" s="800" t="s">
        <v>98</v>
      </c>
      <c r="E122" s="800"/>
      <c r="F122" s="800"/>
      <c r="G122" s="800" t="s">
        <v>99</v>
      </c>
      <c r="H122" s="800"/>
      <c r="I122" s="800" t="s">
        <v>100</v>
      </c>
      <c r="J122" s="800"/>
      <c r="K122" s="800" t="s">
        <v>101</v>
      </c>
      <c r="L122" s="800"/>
      <c r="M122" s="800" t="s">
        <v>123</v>
      </c>
      <c r="N122" s="800"/>
      <c r="O122" s="800" t="s">
        <v>103</v>
      </c>
      <c r="P122" s="800"/>
      <c r="Q122" s="800" t="s">
        <v>104</v>
      </c>
      <c r="R122" s="800"/>
      <c r="S122" s="800" t="s">
        <v>105</v>
      </c>
      <c r="T122" s="800"/>
      <c r="U122" s="800"/>
      <c r="V122" s="800"/>
      <c r="W122" s="491" t="s">
        <v>566</v>
      </c>
      <c r="X122" s="331"/>
      <c r="Y122" s="30"/>
      <c r="Z122" s="30"/>
    </row>
    <row r="123" spans="1:26" ht="18.75" customHeight="1">
      <c r="A123" s="679" t="str">
        <f>'BUP BCU(3)'!A274</f>
        <v>T1</v>
      </c>
      <c r="B123" s="679" t="str">
        <f>'BUP BCU(3)'!B274</f>
        <v>Core3</v>
      </c>
      <c r="C123" s="733"/>
      <c r="D123" s="732">
        <f>'BUP BCU(3)'!D274</f>
        <v>2500</v>
      </c>
      <c r="E123" s="732"/>
      <c r="F123" s="732">
        <f>'BUP BCU(3)'!F274</f>
        <v>1</v>
      </c>
      <c r="G123" s="732">
        <f>'CT-VT Burdens'!S19</f>
        <v>50</v>
      </c>
      <c r="H123" s="740">
        <f>'CT-VT Burdens'!S10</f>
        <v>6</v>
      </c>
      <c r="I123" s="794" t="str">
        <f>'BUP BCU(3)'!I274</f>
        <v>5P20</v>
      </c>
      <c r="J123" s="794"/>
      <c r="K123" s="728">
        <f>'BUP BCU(3)'!K274</f>
        <v>5</v>
      </c>
      <c r="L123" s="728"/>
      <c r="M123" s="818">
        <f>'BUP BCU(3)'!G60</f>
        <v>20</v>
      </c>
      <c r="N123" s="728"/>
      <c r="O123" s="799" t="s">
        <v>7</v>
      </c>
      <c r="P123" s="732"/>
      <c r="Q123" s="739" t="str">
        <f>'BUP BCU(3)'!Q274</f>
        <v>REF650 REC670 IDM+9</v>
      </c>
      <c r="R123" s="739"/>
      <c r="S123" s="732" t="str">
        <f>'BUP BCU(3)'!S274</f>
        <v>Suitably Dimentioned</v>
      </c>
      <c r="T123" s="732"/>
      <c r="U123" s="732"/>
      <c r="V123" s="732"/>
      <c r="W123" s="276">
        <f>'BUP BCU(3)'!D60</f>
        <v>126.19981431139607</v>
      </c>
      <c r="X123" s="275"/>
      <c r="Y123" s="30"/>
      <c r="Z123" s="30"/>
    </row>
    <row r="124" spans="1:26" ht="15.6" customHeight="1">
      <c r="A124" s="733"/>
      <c r="B124" s="733"/>
      <c r="C124" s="733"/>
      <c r="D124" s="732" t="str">
        <f>'BBP FU1 - REB500'!D266</f>
        <v>-</v>
      </c>
      <c r="E124" s="732"/>
      <c r="F124" s="732"/>
      <c r="G124" s="732"/>
      <c r="H124" s="740"/>
      <c r="I124" s="794"/>
      <c r="J124" s="794"/>
      <c r="K124" s="728" t="str">
        <f>'BBP FU1 - REB500'!K266</f>
        <v>-</v>
      </c>
      <c r="L124" s="728"/>
      <c r="M124" s="728" t="str">
        <f>'BBP FU1 - REB500'!M266</f>
        <v>-</v>
      </c>
      <c r="N124" s="728"/>
      <c r="O124" s="732" t="str">
        <f>'BBP FU1 - REB500'!O266</f>
        <v>-</v>
      </c>
      <c r="P124" s="732"/>
      <c r="Q124" s="739"/>
      <c r="R124" s="739"/>
      <c r="S124" s="732" t="str">
        <f>'BBP FU1 - REB500'!S266</f>
        <v>-</v>
      </c>
      <c r="T124" s="732"/>
      <c r="U124" s="732"/>
      <c r="V124" s="732"/>
      <c r="W124" s="533" t="s">
        <v>7</v>
      </c>
      <c r="X124" s="275"/>
      <c r="Y124" s="30"/>
      <c r="Z124" s="30"/>
    </row>
    <row r="125" spans="1:26" ht="15.6" customHeight="1">
      <c r="A125" s="806"/>
      <c r="B125" s="806"/>
      <c r="C125" s="806"/>
      <c r="D125" s="863" t="str">
        <f>'BBP FU1 - REB500'!D267</f>
        <v>-</v>
      </c>
      <c r="E125" s="864"/>
      <c r="F125" s="734"/>
      <c r="G125" s="734"/>
      <c r="H125" s="807"/>
      <c r="I125" s="722"/>
      <c r="J125" s="722"/>
      <c r="K125" s="865" t="str">
        <f>'BBP FU1 - REB500'!K267</f>
        <v>-</v>
      </c>
      <c r="L125" s="866"/>
      <c r="M125" s="865" t="str">
        <f>'BBP FU1 - REB500'!M267</f>
        <v>-</v>
      </c>
      <c r="N125" s="866"/>
      <c r="O125" s="863" t="str">
        <f>'BBP FU1 - REB500'!O267</f>
        <v>-</v>
      </c>
      <c r="P125" s="864"/>
      <c r="Q125" s="795"/>
      <c r="R125" s="795"/>
      <c r="S125" s="863" t="str">
        <f>'BBP FU1 - REB500'!S267</f>
        <v>-</v>
      </c>
      <c r="T125" s="867"/>
      <c r="U125" s="867"/>
      <c r="V125" s="864"/>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800" t="s">
        <v>97</v>
      </c>
      <c r="B127" s="800"/>
      <c r="C127" s="800"/>
      <c r="D127" s="800" t="s">
        <v>98</v>
      </c>
      <c r="E127" s="800"/>
      <c r="F127" s="800"/>
      <c r="G127" s="800" t="s">
        <v>99</v>
      </c>
      <c r="H127" s="800"/>
      <c r="I127" s="800" t="s">
        <v>100</v>
      </c>
      <c r="J127" s="800"/>
      <c r="K127" s="800" t="s">
        <v>101</v>
      </c>
      <c r="L127" s="800"/>
      <c r="M127" s="800" t="s">
        <v>123</v>
      </c>
      <c r="N127" s="800"/>
      <c r="O127" s="800" t="s">
        <v>103</v>
      </c>
      <c r="P127" s="800"/>
      <c r="Q127" s="800" t="s">
        <v>104</v>
      </c>
      <c r="R127" s="800"/>
      <c r="S127" s="800" t="s">
        <v>105</v>
      </c>
      <c r="T127" s="800"/>
      <c r="U127" s="800"/>
      <c r="V127" s="800"/>
      <c r="W127" s="491" t="s">
        <v>566</v>
      </c>
      <c r="X127" s="331"/>
      <c r="Y127" s="30"/>
      <c r="Z127" s="30"/>
    </row>
    <row r="128" spans="1:26" ht="18.75" customHeight="1">
      <c r="A128" s="679" t="str">
        <f>'GIB - REF650'!A91</f>
        <v>T1</v>
      </c>
      <c r="B128" s="679" t="str">
        <f>'GIB - REF650'!B91</f>
        <v>Core4</v>
      </c>
      <c r="C128" s="733"/>
      <c r="D128" s="732">
        <f>'GIB - REF650'!D91</f>
        <v>2500</v>
      </c>
      <c r="E128" s="732"/>
      <c r="F128" s="732">
        <f>'GIB - REF650'!F91</f>
        <v>1</v>
      </c>
      <c r="G128" s="732">
        <f>'CT-VT Burdens'!S19</f>
        <v>50</v>
      </c>
      <c r="H128" s="740">
        <f>'CT-VT Burdens'!S10</f>
        <v>6</v>
      </c>
      <c r="I128" s="794" t="str">
        <f>'GIB - REF650'!I91</f>
        <v>PX-B</v>
      </c>
      <c r="J128" s="794"/>
      <c r="K128" s="728">
        <f>'GIB - REF650'!K91</f>
        <v>5</v>
      </c>
      <c r="L128" s="728"/>
      <c r="M128" s="818">
        <f>'GIB - REF650'!G57</f>
        <v>20</v>
      </c>
      <c r="N128" s="728"/>
      <c r="O128" s="732">
        <f>'GIB - REF650'!O91</f>
        <v>60</v>
      </c>
      <c r="P128" s="732"/>
      <c r="Q128" s="739" t="str">
        <f>'GIB - REF650'!Q91</f>
        <v>REF650</v>
      </c>
      <c r="R128" s="739"/>
      <c r="S128" s="732" t="str">
        <f>'GIB - REF650'!S91</f>
        <v>Suitably Dimentioned</v>
      </c>
      <c r="T128" s="732"/>
      <c r="U128" s="732"/>
      <c r="V128" s="732"/>
      <c r="W128" s="276">
        <f>'GIB - REF650'!D57</f>
        <v>126.23808078653238</v>
      </c>
      <c r="X128" s="275"/>
      <c r="Y128" s="30"/>
      <c r="Z128" s="30"/>
    </row>
    <row r="129" spans="1:26" ht="18.75" customHeight="1">
      <c r="A129" s="733"/>
      <c r="B129" s="733"/>
      <c r="C129" s="733"/>
      <c r="D129" s="732" t="str">
        <f>'GIB - REF650'!D92</f>
        <v>-</v>
      </c>
      <c r="E129" s="732"/>
      <c r="F129" s="732"/>
      <c r="G129" s="732"/>
      <c r="H129" s="740"/>
      <c r="I129" s="794"/>
      <c r="J129" s="794"/>
      <c r="K129" s="801" t="s">
        <v>7</v>
      </c>
      <c r="L129" s="728"/>
      <c r="M129" s="801" t="s">
        <v>7</v>
      </c>
      <c r="N129" s="728"/>
      <c r="O129" s="799" t="s">
        <v>7</v>
      </c>
      <c r="P129" s="732"/>
      <c r="Q129" s="739"/>
      <c r="R129" s="739"/>
      <c r="S129" s="799" t="s">
        <v>7</v>
      </c>
      <c r="T129" s="732"/>
      <c r="U129" s="732"/>
      <c r="V129" s="732"/>
      <c r="W129" s="533" t="s">
        <v>7</v>
      </c>
      <c r="X129" s="275"/>
      <c r="Y129" s="30"/>
      <c r="Z129" s="30"/>
    </row>
    <row r="130" spans="1:26" ht="15.6" customHeight="1">
      <c r="A130" s="806"/>
      <c r="B130" s="806"/>
      <c r="C130" s="806"/>
      <c r="D130" s="863" t="s">
        <v>7</v>
      </c>
      <c r="E130" s="864"/>
      <c r="F130" s="734"/>
      <c r="G130" s="734"/>
      <c r="H130" s="807"/>
      <c r="I130" s="722"/>
      <c r="J130" s="722"/>
      <c r="K130" s="865" t="s">
        <v>7</v>
      </c>
      <c r="L130" s="866"/>
      <c r="M130" s="865" t="s">
        <v>7</v>
      </c>
      <c r="N130" s="866"/>
      <c r="O130" s="863" t="s">
        <v>7</v>
      </c>
      <c r="P130" s="864"/>
      <c r="Q130" s="795"/>
      <c r="R130" s="795"/>
      <c r="S130" s="863" t="s">
        <v>7</v>
      </c>
      <c r="T130" s="867"/>
      <c r="U130" s="867"/>
      <c r="V130" s="864"/>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800" t="s">
        <v>97</v>
      </c>
      <c r="B132" s="800"/>
      <c r="C132" s="800"/>
      <c r="D132" s="800" t="s">
        <v>98</v>
      </c>
      <c r="E132" s="800"/>
      <c r="F132" s="800"/>
      <c r="G132" s="800" t="s">
        <v>99</v>
      </c>
      <c r="H132" s="800"/>
      <c r="I132" s="800" t="s">
        <v>100</v>
      </c>
      <c r="J132" s="800"/>
      <c r="K132" s="800" t="s">
        <v>101</v>
      </c>
      <c r="L132" s="800"/>
      <c r="M132" s="800" t="s">
        <v>102</v>
      </c>
      <c r="N132" s="800"/>
      <c r="O132" s="800" t="s">
        <v>103</v>
      </c>
      <c r="P132" s="800"/>
      <c r="Q132" s="800" t="s">
        <v>104</v>
      </c>
      <c r="R132" s="800"/>
      <c r="S132" s="800" t="s">
        <v>105</v>
      </c>
      <c r="T132" s="800"/>
      <c r="U132" s="800"/>
      <c r="V132" s="800"/>
      <c r="W132" s="491" t="s">
        <v>106</v>
      </c>
      <c r="X132" s="331"/>
      <c r="Y132" s="30"/>
      <c r="Z132" s="30"/>
    </row>
    <row r="133" spans="1:26" ht="18" customHeight="1">
      <c r="A133" s="679" t="str">
        <f>'BBP FU1 - REB500 (3)'!A297</f>
        <v>T1</v>
      </c>
      <c r="B133" s="679" t="str">
        <f>'BBP FU1 - REB500 (3)'!B297</f>
        <v>Core5</v>
      </c>
      <c r="C133" s="733"/>
      <c r="D133" s="732">
        <f>'BBP FU1 - REB500 (3)'!D297</f>
        <v>2500</v>
      </c>
      <c r="E133" s="732"/>
      <c r="F133" s="732">
        <f>'BBP FU1 - REB500 (3)'!F297</f>
        <v>1</v>
      </c>
      <c r="G133" s="732">
        <f>'CT-VT Burdens'!S19</f>
        <v>50</v>
      </c>
      <c r="H133" s="740">
        <f>'CT-VT Burdens'!S10</f>
        <v>6</v>
      </c>
      <c r="I133" s="794" t="str">
        <f>'BBP FU1 - REB500 (3)'!I297</f>
        <v>PX-B</v>
      </c>
      <c r="J133" s="794"/>
      <c r="K133" s="728">
        <f>'BBP FU1 - REB500 (3)'!K297</f>
        <v>5</v>
      </c>
      <c r="L133" s="728"/>
      <c r="M133" s="728">
        <f>'BBP FU1 - REB500 (3)'!M297</f>
        <v>750</v>
      </c>
      <c r="N133" s="728"/>
      <c r="O133" s="868">
        <f>'BBP FU1 - REB500 (3)'!O297</f>
        <v>60</v>
      </c>
      <c r="P133" s="732"/>
      <c r="Q133" s="739" t="str">
        <f>'BBP FU1 - REB500 (3)'!Q297</f>
        <v>REB500 P743</v>
      </c>
      <c r="R133" s="739"/>
      <c r="S133" s="732" t="str">
        <f>'BBP FU1 - REB500 (3)'!S297</f>
        <v>Suitable Dimensions</v>
      </c>
      <c r="T133" s="732"/>
      <c r="U133" s="732"/>
      <c r="V133" s="732"/>
      <c r="W133" s="276">
        <f>'BBP FU1 - REB500 (3)'!M81</f>
        <v>53.460089760000002</v>
      </c>
      <c r="X133" s="275"/>
      <c r="Y133" s="30"/>
      <c r="Z133" s="30"/>
    </row>
    <row r="134" spans="1:26" ht="16.5" customHeight="1">
      <c r="A134" s="733"/>
      <c r="B134" s="733"/>
      <c r="C134" s="733"/>
      <c r="D134" s="799" t="s">
        <v>7</v>
      </c>
      <c r="E134" s="732"/>
      <c r="F134" s="732"/>
      <c r="G134" s="732"/>
      <c r="H134" s="740"/>
      <c r="I134" s="794"/>
      <c r="J134" s="794"/>
      <c r="K134" s="728">
        <f>'BBP FU1 - REB500 (3)'!K297</f>
        <v>5</v>
      </c>
      <c r="L134" s="728"/>
      <c r="M134" s="728">
        <f>'BBP FU1 - REB500 (3)'!M297</f>
        <v>750</v>
      </c>
      <c r="N134" s="728"/>
      <c r="O134" s="732">
        <f>'BBP FU1 - REB500 (3)'!O297</f>
        <v>60</v>
      </c>
      <c r="P134" s="732"/>
      <c r="Q134" s="739"/>
      <c r="R134" s="739"/>
      <c r="S134" s="732" t="str">
        <f>'BBP FU1 - REB500 (3)'!S298</f>
        <v>Suitably Dimentioned</v>
      </c>
      <c r="T134" s="732"/>
      <c r="U134" s="732"/>
      <c r="V134" s="732"/>
      <c r="W134" s="533">
        <f>'BBP FU1 - REB500 (3)'!H285</f>
        <v>111.17518699999999</v>
      </c>
      <c r="X134" s="275"/>
      <c r="Y134" s="30"/>
      <c r="Z134" s="30"/>
    </row>
    <row r="135" spans="1:26" ht="15.6" customHeight="1">
      <c r="A135" s="733"/>
      <c r="B135" s="733"/>
      <c r="C135" s="733"/>
      <c r="D135" s="812" t="s">
        <v>7</v>
      </c>
      <c r="E135" s="814"/>
      <c r="F135" s="732"/>
      <c r="G135" s="732"/>
      <c r="H135" s="740"/>
      <c r="I135" s="794"/>
      <c r="J135" s="794"/>
      <c r="K135" s="869">
        <f>'BBP FU1 - REB500'!K277</f>
        <v>0</v>
      </c>
      <c r="L135" s="870"/>
      <c r="M135" s="869">
        <f>'BBP FU1 - REB500'!M277</f>
        <v>0</v>
      </c>
      <c r="N135" s="870"/>
      <c r="O135" s="812">
        <f>'BBP FU1 - REB500'!O277</f>
        <v>0</v>
      </c>
      <c r="P135" s="814"/>
      <c r="Q135" s="739"/>
      <c r="R135" s="739"/>
      <c r="S135" s="812">
        <f>'BBP FU1 - REB500'!S277</f>
        <v>0</v>
      </c>
      <c r="T135" s="813"/>
      <c r="U135" s="813"/>
      <c r="V135" s="814"/>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800" t="s">
        <v>97</v>
      </c>
      <c r="B137" s="800"/>
      <c r="C137" s="800"/>
      <c r="D137" s="800" t="s">
        <v>98</v>
      </c>
      <c r="E137" s="800"/>
      <c r="F137" s="800"/>
      <c r="G137" s="800" t="s">
        <v>99</v>
      </c>
      <c r="H137" s="800"/>
      <c r="I137" s="800" t="s">
        <v>100</v>
      </c>
      <c r="J137" s="800"/>
      <c r="K137" s="800" t="s">
        <v>101</v>
      </c>
      <c r="L137" s="800"/>
      <c r="M137" s="800" t="s">
        <v>112</v>
      </c>
      <c r="N137" s="800"/>
      <c r="O137" s="800" t="s">
        <v>103</v>
      </c>
      <c r="P137" s="800"/>
      <c r="Q137" s="800" t="s">
        <v>104</v>
      </c>
      <c r="R137" s="800"/>
      <c r="S137" s="800" t="s">
        <v>105</v>
      </c>
      <c r="T137" s="800"/>
      <c r="U137" s="800"/>
      <c r="V137" s="800"/>
      <c r="W137" s="491" t="s">
        <v>115</v>
      </c>
      <c r="X137" s="331"/>
      <c r="Y137" s="30"/>
      <c r="Z137" s="30"/>
    </row>
    <row r="138" spans="1:26" ht="18.75" customHeight="1">
      <c r="A138" s="679" t="str">
        <f>'COP MAIN'!A55</f>
        <v>T1</v>
      </c>
      <c r="B138" s="679" t="str">
        <f>'COP MAIN'!B55</f>
        <v>Core6</v>
      </c>
      <c r="C138" s="733"/>
      <c r="D138" s="732">
        <f>'COP MAIN'!D55</f>
        <v>2500</v>
      </c>
      <c r="E138" s="732"/>
      <c r="F138" s="732">
        <f>'COP MAIN'!F55</f>
        <v>1</v>
      </c>
      <c r="G138" s="732">
        <f>'CT-VT Burdens'!S19</f>
        <v>50</v>
      </c>
      <c r="H138" s="740">
        <f>'CT-VT Burdens'!S10</f>
        <v>6</v>
      </c>
      <c r="I138" s="794" t="str">
        <f>'COP MAIN'!I55</f>
        <v>0.2S</v>
      </c>
      <c r="J138" s="794"/>
      <c r="K138" s="728">
        <f>'COP MAIN'!K55</f>
        <v>5</v>
      </c>
      <c r="L138" s="728"/>
      <c r="M138" s="728">
        <f>'COP MAIN'!M55</f>
        <v>10</v>
      </c>
      <c r="N138" s="728"/>
      <c r="O138" s="799" t="s">
        <v>7</v>
      </c>
      <c r="P138" s="732"/>
      <c r="Q138" s="739" t="str">
        <f>'COP MAIN'!Q55</f>
        <v xml:space="preserve">XC-RACK   </v>
      </c>
      <c r="R138" s="739"/>
      <c r="S138" s="732" t="str">
        <f>'COP MAIN'!S55</f>
        <v>Suitable Dimensions</v>
      </c>
      <c r="T138" s="732"/>
      <c r="U138" s="732"/>
      <c r="V138" s="732"/>
      <c r="W138" s="276">
        <f>'COP MAIN'!J46</f>
        <v>13.744421402787349</v>
      </c>
      <c r="X138" s="275"/>
      <c r="Y138" s="30"/>
      <c r="Z138" s="30"/>
    </row>
    <row r="139" spans="1:26" ht="15" customHeight="1">
      <c r="A139" s="733"/>
      <c r="B139" s="733"/>
      <c r="C139" s="733"/>
      <c r="D139" s="799" t="s">
        <v>7</v>
      </c>
      <c r="E139" s="732"/>
      <c r="F139" s="732"/>
      <c r="G139" s="732"/>
      <c r="H139" s="740"/>
      <c r="I139" s="794"/>
      <c r="J139" s="794"/>
      <c r="K139" s="801" t="s">
        <v>7</v>
      </c>
      <c r="L139" s="728"/>
      <c r="M139" s="801" t="s">
        <v>7</v>
      </c>
      <c r="N139" s="728"/>
      <c r="O139" s="799" t="s">
        <v>7</v>
      </c>
      <c r="P139" s="732"/>
      <c r="Q139" s="739"/>
      <c r="R139" s="739"/>
      <c r="S139" s="799" t="s">
        <v>7</v>
      </c>
      <c r="T139" s="732"/>
      <c r="U139" s="732"/>
      <c r="V139" s="732"/>
      <c r="W139" s="533" t="s">
        <v>7</v>
      </c>
      <c r="X139" s="275"/>
      <c r="Y139" s="30"/>
      <c r="Z139" s="30"/>
    </row>
    <row r="140" spans="1:26" ht="15.6" customHeight="1">
      <c r="A140" s="806"/>
      <c r="B140" s="806"/>
      <c r="C140" s="806"/>
      <c r="D140" s="863" t="s">
        <v>7</v>
      </c>
      <c r="E140" s="864"/>
      <c r="F140" s="734"/>
      <c r="G140" s="734"/>
      <c r="H140" s="807"/>
      <c r="I140" s="722"/>
      <c r="J140" s="722"/>
      <c r="K140" s="865" t="s">
        <v>7</v>
      </c>
      <c r="L140" s="866"/>
      <c r="M140" s="865" t="s">
        <v>7</v>
      </c>
      <c r="N140" s="866"/>
      <c r="O140" s="863" t="s">
        <v>7</v>
      </c>
      <c r="P140" s="864"/>
      <c r="Q140" s="795"/>
      <c r="R140" s="795"/>
      <c r="S140" s="863" t="s">
        <v>7</v>
      </c>
      <c r="T140" s="867"/>
      <c r="U140" s="867"/>
      <c r="V140" s="864"/>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800" t="s">
        <v>97</v>
      </c>
      <c r="B142" s="800"/>
      <c r="C142" s="800"/>
      <c r="D142" s="800" t="s">
        <v>98</v>
      </c>
      <c r="E142" s="800"/>
      <c r="F142" s="800"/>
      <c r="G142" s="800" t="s">
        <v>99</v>
      </c>
      <c r="H142" s="800"/>
      <c r="I142" s="800" t="s">
        <v>100</v>
      </c>
      <c r="J142" s="800"/>
      <c r="K142" s="800" t="s">
        <v>101</v>
      </c>
      <c r="L142" s="800"/>
      <c r="M142" s="800" t="s">
        <v>112</v>
      </c>
      <c r="N142" s="800"/>
      <c r="O142" s="800" t="s">
        <v>103</v>
      </c>
      <c r="P142" s="800"/>
      <c r="Q142" s="800" t="s">
        <v>104</v>
      </c>
      <c r="R142" s="800"/>
      <c r="S142" s="800" t="s">
        <v>105</v>
      </c>
      <c r="T142" s="800"/>
      <c r="U142" s="800"/>
      <c r="V142" s="800"/>
      <c r="W142" s="491" t="s">
        <v>115</v>
      </c>
      <c r="X142" s="331"/>
      <c r="Y142" s="30"/>
      <c r="Z142" s="30"/>
    </row>
    <row r="143" spans="1:26" ht="20.25" customHeight="1">
      <c r="A143" s="679" t="str">
        <f>'COP CHECK'!A55</f>
        <v>T1</v>
      </c>
      <c r="B143" s="679" t="str">
        <f>'COP CHECK'!B55</f>
        <v>Core7</v>
      </c>
      <c r="C143" s="733"/>
      <c r="D143" s="732">
        <f>'COP CHECK'!D55</f>
        <v>2000</v>
      </c>
      <c r="E143" s="732"/>
      <c r="F143" s="732">
        <f>'COP CHECK'!F55</f>
        <v>1</v>
      </c>
      <c r="G143" s="732">
        <f>'CT-VT Burdens'!S19</f>
        <v>50</v>
      </c>
      <c r="H143" s="740">
        <f>'CT-VT Burdens'!S10</f>
        <v>6</v>
      </c>
      <c r="I143" s="794" t="str">
        <f>'COP CHECK'!I55</f>
        <v>0.2S</v>
      </c>
      <c r="J143" s="794"/>
      <c r="K143" s="728">
        <f>'COP CHECK'!K55</f>
        <v>5</v>
      </c>
      <c r="L143" s="728"/>
      <c r="M143" s="728">
        <f>'COP CHECK'!M55</f>
        <v>10</v>
      </c>
      <c r="N143" s="728"/>
      <c r="O143" s="799" t="s">
        <v>7</v>
      </c>
      <c r="P143" s="732"/>
      <c r="Q143" s="739" t="str">
        <f>'COP CHECK'!Q55</f>
        <v xml:space="preserve">XC-RACK   </v>
      </c>
      <c r="R143" s="739"/>
      <c r="S143" s="732" t="str">
        <f>'COP CHECK'!S55</f>
        <v>Suitable Dimensions</v>
      </c>
      <c r="T143" s="732"/>
      <c r="U143" s="732"/>
      <c r="V143" s="732"/>
      <c r="W143" s="276">
        <f>'COP CHECK'!J45</f>
        <v>13.744421402787349</v>
      </c>
      <c r="X143" s="275"/>
      <c r="Y143" s="30"/>
      <c r="Z143" s="30"/>
    </row>
    <row r="144" spans="1:26" ht="17.25" customHeight="1">
      <c r="A144" s="733"/>
      <c r="B144" s="733"/>
      <c r="C144" s="733"/>
      <c r="D144" s="799" t="s">
        <v>7</v>
      </c>
      <c r="E144" s="732"/>
      <c r="F144" s="732"/>
      <c r="G144" s="732"/>
      <c r="H144" s="740"/>
      <c r="I144" s="794"/>
      <c r="J144" s="794"/>
      <c r="K144" s="801" t="s">
        <v>7</v>
      </c>
      <c r="L144" s="728"/>
      <c r="M144" s="801" t="s">
        <v>7</v>
      </c>
      <c r="N144" s="728"/>
      <c r="O144" s="799" t="s">
        <v>7</v>
      </c>
      <c r="P144" s="732"/>
      <c r="Q144" s="739"/>
      <c r="R144" s="739"/>
      <c r="S144" s="799" t="s">
        <v>7</v>
      </c>
      <c r="T144" s="732"/>
      <c r="U144" s="732"/>
      <c r="V144" s="732"/>
      <c r="W144" s="533" t="s">
        <v>7</v>
      </c>
      <c r="X144" s="275"/>
      <c r="Y144" s="30"/>
      <c r="Z144" s="30"/>
    </row>
    <row r="145" spans="1:26" ht="15.6" customHeight="1">
      <c r="A145" s="733"/>
      <c r="B145" s="733"/>
      <c r="C145" s="733"/>
      <c r="D145" s="812" t="s">
        <v>7</v>
      </c>
      <c r="E145" s="814"/>
      <c r="F145" s="732"/>
      <c r="G145" s="732"/>
      <c r="H145" s="740"/>
      <c r="I145" s="794"/>
      <c r="J145" s="794"/>
      <c r="K145" s="869" t="s">
        <v>7</v>
      </c>
      <c r="L145" s="870"/>
      <c r="M145" s="869" t="s">
        <v>7</v>
      </c>
      <c r="N145" s="870"/>
      <c r="O145" s="812" t="s">
        <v>7</v>
      </c>
      <c r="P145" s="814"/>
      <c r="Q145" s="739"/>
      <c r="R145" s="739"/>
      <c r="S145" s="812" t="s">
        <v>7</v>
      </c>
      <c r="T145" s="813"/>
      <c r="U145" s="813"/>
      <c r="V145" s="814"/>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800" t="s">
        <v>97</v>
      </c>
      <c r="B147" s="800"/>
      <c r="C147" s="800"/>
      <c r="D147" s="800" t="s">
        <v>98</v>
      </c>
      <c r="E147" s="800"/>
      <c r="F147" s="800"/>
      <c r="G147" s="800" t="s">
        <v>99</v>
      </c>
      <c r="H147" s="800"/>
      <c r="I147" s="800" t="s">
        <v>100</v>
      </c>
      <c r="J147" s="800"/>
      <c r="K147" s="800" t="s">
        <v>101</v>
      </c>
      <c r="L147" s="800"/>
      <c r="M147" s="800" t="s">
        <v>123</v>
      </c>
      <c r="N147" s="800"/>
      <c r="O147" s="800" t="s">
        <v>103</v>
      </c>
      <c r="P147" s="800"/>
      <c r="Q147" s="800" t="s">
        <v>104</v>
      </c>
      <c r="R147" s="800"/>
      <c r="S147" s="800" t="s">
        <v>105</v>
      </c>
      <c r="T147" s="800"/>
      <c r="U147" s="800"/>
      <c r="V147" s="800"/>
      <c r="W147" s="491" t="s">
        <v>566</v>
      </c>
      <c r="X147" s="331"/>
      <c r="Y147" s="30"/>
      <c r="Z147" s="30"/>
    </row>
    <row r="148" spans="1:26" ht="15.6" customHeight="1">
      <c r="A148" s="679" t="str">
        <f>'GIB - REF650'!A91</f>
        <v>T1</v>
      </c>
      <c r="B148" s="679" t="s">
        <v>396</v>
      </c>
      <c r="C148" s="733"/>
      <c r="D148" s="732">
        <f>'GIB - REF650'!D91</f>
        <v>2500</v>
      </c>
      <c r="E148" s="732"/>
      <c r="F148" s="732">
        <f>'GIB - REF650'!F91</f>
        <v>1</v>
      </c>
      <c r="G148" s="732">
        <f>'CT-VT Burdens'!S19</f>
        <v>50</v>
      </c>
      <c r="H148" s="740">
        <f>'CT-VT Burdens'!S10</f>
        <v>6</v>
      </c>
      <c r="I148" s="794" t="str">
        <f>'GIB - REF650'!I91</f>
        <v>PX-B</v>
      </c>
      <c r="J148" s="794"/>
      <c r="K148" s="728">
        <f>'GIB - REF650'!K91</f>
        <v>5</v>
      </c>
      <c r="L148" s="728"/>
      <c r="M148" s="818">
        <f>'GIB - REF650'!G57</f>
        <v>20</v>
      </c>
      <c r="N148" s="728"/>
      <c r="O148" s="732">
        <f>'GIB - REF650'!O91</f>
        <v>60</v>
      </c>
      <c r="P148" s="732"/>
      <c r="Q148" s="739" t="str">
        <f>'GIB - REF650'!Q91</f>
        <v>REF650</v>
      </c>
      <c r="R148" s="739"/>
      <c r="S148" s="732" t="str">
        <f>'GIB - REF650'!S91</f>
        <v>Suitably Dimentioned</v>
      </c>
      <c r="T148" s="732"/>
      <c r="U148" s="732"/>
      <c r="V148" s="732"/>
      <c r="W148" s="276">
        <f>'GIB - REF650'!D57</f>
        <v>126.23808078653238</v>
      </c>
      <c r="X148" s="275"/>
      <c r="Y148" s="30"/>
      <c r="Z148" s="30"/>
    </row>
    <row r="149" spans="1:26" ht="15.6" customHeight="1">
      <c r="A149" s="733"/>
      <c r="B149" s="733"/>
      <c r="C149" s="733"/>
      <c r="D149" s="732" t="str">
        <f>'GIB - REF650'!D92</f>
        <v>-</v>
      </c>
      <c r="E149" s="732"/>
      <c r="F149" s="732"/>
      <c r="G149" s="732"/>
      <c r="H149" s="740"/>
      <c r="I149" s="794"/>
      <c r="J149" s="794"/>
      <c r="K149" s="801" t="s">
        <v>7</v>
      </c>
      <c r="L149" s="728"/>
      <c r="M149" s="801" t="s">
        <v>7</v>
      </c>
      <c r="N149" s="728"/>
      <c r="O149" s="799" t="s">
        <v>7</v>
      </c>
      <c r="P149" s="732"/>
      <c r="Q149" s="739"/>
      <c r="R149" s="739"/>
      <c r="S149" s="799" t="s">
        <v>7</v>
      </c>
      <c r="T149" s="732"/>
      <c r="U149" s="732"/>
      <c r="V149" s="732"/>
      <c r="W149" s="533" t="s">
        <v>7</v>
      </c>
      <c r="X149" s="275"/>
      <c r="Y149" s="30"/>
      <c r="Z149" s="30"/>
    </row>
    <row r="150" spans="1:26" ht="15.6" customHeight="1">
      <c r="A150" s="733"/>
      <c r="B150" s="733"/>
      <c r="C150" s="733"/>
      <c r="D150" s="812" t="s">
        <v>7</v>
      </c>
      <c r="E150" s="814"/>
      <c r="F150" s="732"/>
      <c r="G150" s="732"/>
      <c r="H150" s="740"/>
      <c r="I150" s="794"/>
      <c r="J150" s="794"/>
      <c r="K150" s="869" t="s">
        <v>7</v>
      </c>
      <c r="L150" s="870"/>
      <c r="M150" s="869" t="s">
        <v>7</v>
      </c>
      <c r="N150" s="870"/>
      <c r="O150" s="812" t="s">
        <v>7</v>
      </c>
      <c r="P150" s="814"/>
      <c r="Q150" s="739"/>
      <c r="R150" s="739"/>
      <c r="S150" s="812" t="s">
        <v>7</v>
      </c>
      <c r="T150" s="813"/>
      <c r="U150" s="813"/>
      <c r="V150" s="814"/>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24"/>
      <c r="X154" s="825"/>
      <c r="Y154" s="30"/>
      <c r="Z154" s="30"/>
    </row>
    <row r="155" spans="1:26" ht="27.6" customHeight="1">
      <c r="A155" s="800" t="s">
        <v>97</v>
      </c>
      <c r="B155" s="800"/>
      <c r="C155" s="728"/>
      <c r="D155" s="800" t="s">
        <v>98</v>
      </c>
      <c r="E155" s="800"/>
      <c r="F155" s="800"/>
      <c r="G155" s="800" t="s">
        <v>99</v>
      </c>
      <c r="H155" s="800"/>
      <c r="I155" s="800" t="s">
        <v>100</v>
      </c>
      <c r="J155" s="800"/>
      <c r="K155" s="716" t="s">
        <v>101</v>
      </c>
      <c r="L155" s="717"/>
      <c r="M155" s="800" t="s">
        <v>102</v>
      </c>
      <c r="N155" s="800"/>
      <c r="O155" s="800" t="s">
        <v>103</v>
      </c>
      <c r="P155" s="800"/>
      <c r="Q155" s="716" t="s">
        <v>104</v>
      </c>
      <c r="R155" s="717"/>
      <c r="S155" s="716" t="s">
        <v>105</v>
      </c>
      <c r="T155" s="729"/>
      <c r="U155" s="729"/>
      <c r="V155" s="729"/>
      <c r="W155" s="491" t="s">
        <v>106</v>
      </c>
      <c r="X155" s="331"/>
      <c r="Y155" s="30"/>
      <c r="Z155" s="30"/>
    </row>
    <row r="156" spans="1:26" ht="24.75" customHeight="1">
      <c r="A156" s="733" t="str">
        <f>'IFP1-RED670 (2)'!A431</f>
        <v>T1</v>
      </c>
      <c r="B156" s="733" t="str">
        <f>'IFP1-RED670 (2)'!B431</f>
        <v>Core1</v>
      </c>
      <c r="C156" s="733"/>
      <c r="D156" s="732">
        <f>'IFP1-RED670 (2)'!D431</f>
        <v>2500</v>
      </c>
      <c r="E156" s="732"/>
      <c r="F156" s="734">
        <f>'IFP1-RED670 (2)'!F431</f>
        <v>1</v>
      </c>
      <c r="G156" s="732">
        <f>'CT-VT Burdens'!S19</f>
        <v>50</v>
      </c>
      <c r="H156" s="740">
        <f>'CT-VT Burdens'!S10</f>
        <v>6</v>
      </c>
      <c r="I156" s="802" t="str">
        <f>'IFP1-RED670 (2)'!I431</f>
        <v>PX-A</v>
      </c>
      <c r="J156" s="803"/>
      <c r="K156" s="728">
        <f>'IFP1-RED670 (2)'!K431</f>
        <v>5</v>
      </c>
      <c r="L156" s="728"/>
      <c r="M156" s="728">
        <f>'IFP1-RED670 (2)'!M431</f>
        <v>3750</v>
      </c>
      <c r="N156" s="728"/>
      <c r="O156" s="732">
        <f>'IFP1-RED670 (2)'!O431</f>
        <v>60</v>
      </c>
      <c r="P156" s="732"/>
      <c r="Q156" s="739" t="str">
        <f>'IFP1-RED670 (2)'!Q431</f>
        <v>RED670</v>
      </c>
      <c r="R156" s="739"/>
      <c r="S156" s="819" t="str">
        <f>'IFP1-RED670 (2)'!S431</f>
        <v>Suitably Dimensioned</v>
      </c>
      <c r="T156" s="820"/>
      <c r="U156" s="820"/>
      <c r="V156" s="820"/>
      <c r="W156" s="357">
        <f>'IFP1-RED670 (2)'!H122</f>
        <v>177.98935000201561</v>
      </c>
      <c r="X156" s="300"/>
      <c r="Y156" s="30"/>
      <c r="Z156" s="30"/>
    </row>
    <row r="157" spans="1:26" ht="15.6" customHeight="1">
      <c r="A157" s="733"/>
      <c r="B157" s="733"/>
      <c r="C157" s="733"/>
      <c r="D157" s="732" t="str">
        <f>'OC+BCPU+FMS-X (4)'!D287</f>
        <v>-</v>
      </c>
      <c r="E157" s="732"/>
      <c r="F157" s="735"/>
      <c r="G157" s="732"/>
      <c r="H157" s="740"/>
      <c r="I157" s="787"/>
      <c r="J157" s="804"/>
      <c r="K157" s="728" t="str">
        <f>'OC+BCPU+FMS-X (4)'!K287</f>
        <v>-</v>
      </c>
      <c r="L157" s="728"/>
      <c r="M157" s="728" t="str">
        <f>'OC+BCPU+FMS-X (4)'!M287</f>
        <v>-</v>
      </c>
      <c r="N157" s="728"/>
      <c r="O157" s="732" t="str">
        <f>'OC+BCPU+FMS-X (4)'!O287</f>
        <v>-</v>
      </c>
      <c r="P157" s="732"/>
      <c r="Q157" s="739"/>
      <c r="R157" s="739"/>
      <c r="S157" s="819" t="str">
        <f>'OC+BCPU+FMS-X (4)'!S287</f>
        <v>-</v>
      </c>
      <c r="T157" s="820"/>
      <c r="U157" s="820"/>
      <c r="V157" s="821"/>
      <c r="W157" s="499" t="s">
        <v>7</v>
      </c>
      <c r="X157" s="300"/>
      <c r="Y157" s="30"/>
      <c r="Z157" s="30"/>
    </row>
    <row r="158" spans="1:26" ht="12.75" customHeight="1">
      <c r="A158" s="733"/>
      <c r="B158" s="733"/>
      <c r="C158" s="733"/>
      <c r="D158" s="732" t="str">
        <f>'OC+BCPU+FMS-X (4)'!D288</f>
        <v>-</v>
      </c>
      <c r="E158" s="732"/>
      <c r="F158" s="736"/>
      <c r="G158" s="732"/>
      <c r="H158" s="740"/>
      <c r="I158" s="789"/>
      <c r="J158" s="805"/>
      <c r="K158" s="728" t="str">
        <f>'OC+BCPU+FMS-X (4)'!K288</f>
        <v>-</v>
      </c>
      <c r="L158" s="728"/>
      <c r="M158" s="728" t="str">
        <f>'OC+BCPU+FMS-X (4)'!M288</f>
        <v>-</v>
      </c>
      <c r="N158" s="728"/>
      <c r="O158" s="732" t="str">
        <f>'OC+BCPU+FMS-X (4)'!O288</f>
        <v>-</v>
      </c>
      <c r="P158" s="732"/>
      <c r="Q158" s="739"/>
      <c r="R158" s="739"/>
      <c r="S158" s="819" t="str">
        <f>'OC+BCPU+FMS-X (4)'!S288</f>
        <v>-</v>
      </c>
      <c r="T158" s="820"/>
      <c r="U158" s="820"/>
      <c r="V158" s="821"/>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2"/>
      <c r="X159" s="823"/>
      <c r="Y159" s="30"/>
      <c r="Z159" s="30"/>
    </row>
    <row r="160" spans="1:26" ht="27.6" customHeight="1">
      <c r="A160" s="800" t="s">
        <v>97</v>
      </c>
      <c r="B160" s="800"/>
      <c r="C160" s="728"/>
      <c r="D160" s="800" t="s">
        <v>98</v>
      </c>
      <c r="E160" s="800"/>
      <c r="F160" s="800"/>
      <c r="G160" s="800" t="s">
        <v>99</v>
      </c>
      <c r="H160" s="800"/>
      <c r="I160" s="800" t="s">
        <v>100</v>
      </c>
      <c r="J160" s="800"/>
      <c r="K160" s="716" t="s">
        <v>101</v>
      </c>
      <c r="L160" s="717"/>
      <c r="M160" s="800" t="s">
        <v>102</v>
      </c>
      <c r="N160" s="800"/>
      <c r="O160" s="800" t="s">
        <v>103</v>
      </c>
      <c r="P160" s="800"/>
      <c r="Q160" s="716" t="s">
        <v>104</v>
      </c>
      <c r="R160" s="717"/>
      <c r="S160" s="716" t="s">
        <v>105</v>
      </c>
      <c r="T160" s="729"/>
      <c r="U160" s="729"/>
      <c r="V160" s="729"/>
      <c r="W160" s="331" t="s">
        <v>106</v>
      </c>
      <c r="X160" s="331"/>
      <c r="Y160" s="30"/>
      <c r="Z160" s="30"/>
    </row>
    <row r="161" spans="1:26" ht="18" customHeight="1">
      <c r="A161" s="733" t="str">
        <f>'IFP2 P545 (4)'!A385</f>
        <v>T1</v>
      </c>
      <c r="B161" s="733" t="str">
        <f>'(Metering + Ammeter) (3)'!B144</f>
        <v>Core2</v>
      </c>
      <c r="C161" s="733"/>
      <c r="D161" s="732">
        <f>'(Metering + Ammeter) (3)'!D144</f>
        <v>2500</v>
      </c>
      <c r="E161" s="732"/>
      <c r="F161" s="734">
        <f>'(Metering + Ammeter) (3)'!F144</f>
        <v>1</v>
      </c>
      <c r="G161" s="732">
        <f>'CT-VT Burdens'!S19</f>
        <v>50</v>
      </c>
      <c r="H161" s="740">
        <f>'CT-VT Burdens'!S10</f>
        <v>6</v>
      </c>
      <c r="I161" s="802" t="str">
        <f>'IFP2 P545 (4)'!I385</f>
        <v>PX-A</v>
      </c>
      <c r="J161" s="803"/>
      <c r="K161" s="728">
        <f>'IFP2 P545 (4)'!K385</f>
        <v>5</v>
      </c>
      <c r="L161" s="728"/>
      <c r="M161" s="728">
        <f>'IFP2 P545 (4)'!M385</f>
        <v>3750</v>
      </c>
      <c r="N161" s="728"/>
      <c r="O161" s="732">
        <f>'IFP2 P545 (4)'!O385</f>
        <v>60</v>
      </c>
      <c r="P161" s="732"/>
      <c r="Q161" s="739" t="str">
        <f>'IFP2 P545 (4)'!Q385</f>
        <v>P545</v>
      </c>
      <c r="R161" s="739"/>
      <c r="S161" s="819" t="str">
        <f>'IFP2 P545 (4)'!S385</f>
        <v>Suitably Dimensioned</v>
      </c>
      <c r="T161" s="820"/>
      <c r="U161" s="820"/>
      <c r="V161" s="821"/>
      <c r="W161" s="276">
        <f>'IFP2 P545 (4)'!G92</f>
        <v>355.46935775000003</v>
      </c>
      <c r="X161" s="300"/>
      <c r="Y161" s="30"/>
      <c r="Z161" s="30"/>
    </row>
    <row r="162" spans="1:26" ht="21" customHeight="1">
      <c r="A162" s="733"/>
      <c r="B162" s="733"/>
      <c r="C162" s="733"/>
      <c r="D162" s="732" t="str">
        <f>'(Metering + Ammeter) (3)'!D145</f>
        <v>-</v>
      </c>
      <c r="E162" s="732"/>
      <c r="F162" s="735"/>
      <c r="G162" s="732"/>
      <c r="H162" s="740"/>
      <c r="I162" s="787"/>
      <c r="J162" s="804"/>
      <c r="K162" s="728" t="str">
        <f>'(Metering + Ammeter) (3)'!K145</f>
        <v>-</v>
      </c>
      <c r="L162" s="728"/>
      <c r="M162" s="728" t="str">
        <f>'(Metering + Ammeter) (3)'!M145</f>
        <v>-</v>
      </c>
      <c r="N162" s="728"/>
      <c r="O162" s="732" t="str">
        <f>'(Metering + Ammeter) (3)'!O145</f>
        <v>-</v>
      </c>
      <c r="P162" s="732"/>
      <c r="Q162" s="739"/>
      <c r="R162" s="739"/>
      <c r="S162" s="819" t="str">
        <f>'(Metering + Ammeter) (3)'!S145</f>
        <v>-</v>
      </c>
      <c r="T162" s="820"/>
      <c r="U162" s="820"/>
      <c r="V162" s="821"/>
      <c r="W162" s="499" t="s">
        <v>7</v>
      </c>
      <c r="X162" s="300"/>
      <c r="Y162" s="30"/>
      <c r="Z162" s="30"/>
    </row>
    <row r="163" spans="1:26" ht="15.6" customHeight="1">
      <c r="A163" s="733"/>
      <c r="B163" s="733"/>
      <c r="C163" s="733"/>
      <c r="D163" s="732" t="str">
        <f>'(Metering + Ammeter) (3)'!D146</f>
        <v>-</v>
      </c>
      <c r="E163" s="732"/>
      <c r="F163" s="736"/>
      <c r="G163" s="732"/>
      <c r="H163" s="740"/>
      <c r="I163" s="789"/>
      <c r="J163" s="805"/>
      <c r="K163" s="728" t="str">
        <f>'(Metering + Ammeter) (3)'!K146</f>
        <v>-</v>
      </c>
      <c r="L163" s="728"/>
      <c r="M163" s="728" t="str">
        <f>'(Metering + Ammeter) (3)'!M146</f>
        <v>-</v>
      </c>
      <c r="N163" s="728"/>
      <c r="O163" s="732" t="str">
        <f>'(Metering + Ammeter) (3)'!O146</f>
        <v>-</v>
      </c>
      <c r="P163" s="732"/>
      <c r="Q163" s="739"/>
      <c r="R163" s="739"/>
      <c r="S163" s="819" t="str">
        <f>'(Metering + Ammeter) (3)'!S146</f>
        <v>-</v>
      </c>
      <c r="T163" s="820"/>
      <c r="U163" s="820"/>
      <c r="V163" s="821"/>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16" t="s">
        <v>97</v>
      </c>
      <c r="B165" s="729"/>
      <c r="C165" s="717"/>
      <c r="D165" s="716" t="s">
        <v>98</v>
      </c>
      <c r="E165" s="729"/>
      <c r="F165" s="717"/>
      <c r="G165" s="716" t="s">
        <v>99</v>
      </c>
      <c r="H165" s="717"/>
      <c r="I165" s="716" t="s">
        <v>100</v>
      </c>
      <c r="J165" s="717"/>
      <c r="K165" s="716" t="s">
        <v>101</v>
      </c>
      <c r="L165" s="717"/>
      <c r="M165" s="716" t="s">
        <v>123</v>
      </c>
      <c r="N165" s="717"/>
      <c r="O165" s="716" t="s">
        <v>103</v>
      </c>
      <c r="P165" s="717"/>
      <c r="Q165" s="716" t="s">
        <v>104</v>
      </c>
      <c r="R165" s="717"/>
      <c r="S165" s="800" t="s">
        <v>105</v>
      </c>
      <c r="T165" s="800"/>
      <c r="U165" s="800"/>
      <c r="V165" s="800"/>
      <c r="W165" s="331" t="s">
        <v>947</v>
      </c>
      <c r="X165" s="498"/>
      <c r="Y165" s="30"/>
      <c r="Z165" s="30"/>
    </row>
    <row r="166" spans="1:26" ht="21" customHeight="1">
      <c r="A166" s="733" t="str">
        <f>'BUP BCU(4)'!A265</f>
        <v>T1</v>
      </c>
      <c r="B166" s="733" t="str">
        <f>'BUP BCU(4)'!B265</f>
        <v>Core3</v>
      </c>
      <c r="C166" s="733"/>
      <c r="D166" s="732">
        <f>'BUP BCU(4)'!D265</f>
        <v>2500</v>
      </c>
      <c r="E166" s="732"/>
      <c r="F166" s="732">
        <f>'BUP BCU(4)'!F265</f>
        <v>1</v>
      </c>
      <c r="G166" s="737">
        <f>'CT-VT Burdens'!S19</f>
        <v>50</v>
      </c>
      <c r="H166" s="740">
        <f>'CT-VT Burdens'!S10</f>
        <v>6</v>
      </c>
      <c r="I166" s="794" t="str">
        <f>'BUP BCU(4)'!I265</f>
        <v>5P20</v>
      </c>
      <c r="J166" s="794"/>
      <c r="K166" s="728">
        <f>'BUP BCU(4)'!K265</f>
        <v>5</v>
      </c>
      <c r="L166" s="728"/>
      <c r="M166" s="818">
        <f>'BUP BCU(4)'!G56</f>
        <v>20</v>
      </c>
      <c r="N166" s="728"/>
      <c r="O166" s="799" t="s">
        <v>7</v>
      </c>
      <c r="P166" s="732"/>
      <c r="Q166" s="739" t="str">
        <f>'BUP BCU(4)'!Q265</f>
        <v>REF650 REC670 IDM+9</v>
      </c>
      <c r="R166" s="739"/>
      <c r="S166" s="732" t="str">
        <f>'BUP BCU(4)'!S265</f>
        <v>Suitably Dimentioned</v>
      </c>
      <c r="T166" s="732"/>
      <c r="U166" s="732"/>
      <c r="V166" s="732"/>
      <c r="W166" s="276">
        <f>'BUP BCU(4)'!D56</f>
        <v>126.19981431139607</v>
      </c>
      <c r="X166" s="276"/>
      <c r="Y166" s="30"/>
      <c r="Z166" s="30"/>
    </row>
    <row r="167" spans="1:26" ht="15" customHeight="1">
      <c r="A167" s="733"/>
      <c r="B167" s="733"/>
      <c r="C167" s="733"/>
      <c r="D167" s="732" t="str">
        <f>'BUP BCU(4)'!D266</f>
        <v>-</v>
      </c>
      <c r="E167" s="732"/>
      <c r="F167" s="732"/>
      <c r="G167" s="737"/>
      <c r="H167" s="740"/>
      <c r="I167" s="794"/>
      <c r="J167" s="794"/>
      <c r="K167" s="801" t="s">
        <v>7</v>
      </c>
      <c r="L167" s="728"/>
      <c r="M167" s="801" t="s">
        <v>7</v>
      </c>
      <c r="N167" s="728"/>
      <c r="O167" s="799" t="s">
        <v>7</v>
      </c>
      <c r="P167" s="732"/>
      <c r="Q167" s="739"/>
      <c r="R167" s="739"/>
      <c r="S167" s="799" t="s">
        <v>7</v>
      </c>
      <c r="T167" s="732"/>
      <c r="U167" s="732"/>
      <c r="V167" s="732"/>
      <c r="W167" s="499" t="s">
        <v>7</v>
      </c>
      <c r="X167" s="276"/>
      <c r="Y167" s="30"/>
      <c r="Z167" s="30"/>
    </row>
    <row r="168" spans="1:26" ht="15.6" customHeight="1">
      <c r="A168" s="733"/>
      <c r="B168" s="733"/>
      <c r="C168" s="733"/>
      <c r="D168" s="732" t="str">
        <f>'BUP BCU(4)'!D267</f>
        <v>-</v>
      </c>
      <c r="E168" s="732"/>
      <c r="F168" s="732"/>
      <c r="G168" s="737"/>
      <c r="H168" s="740"/>
      <c r="I168" s="794"/>
      <c r="J168" s="794"/>
      <c r="K168" s="801" t="s">
        <v>7</v>
      </c>
      <c r="L168" s="728"/>
      <c r="M168" s="801" t="s">
        <v>7</v>
      </c>
      <c r="N168" s="728"/>
      <c r="O168" s="799" t="s">
        <v>7</v>
      </c>
      <c r="P168" s="732"/>
      <c r="Q168" s="739"/>
      <c r="R168" s="739"/>
      <c r="S168" s="799" t="s">
        <v>7</v>
      </c>
      <c r="T168" s="732"/>
      <c r="U168" s="732"/>
      <c r="V168" s="732"/>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800" t="s">
        <v>97</v>
      </c>
      <c r="B170" s="800"/>
      <c r="C170" s="800"/>
      <c r="D170" s="800" t="s">
        <v>98</v>
      </c>
      <c r="E170" s="800"/>
      <c r="F170" s="800"/>
      <c r="G170" s="800" t="s">
        <v>99</v>
      </c>
      <c r="H170" s="800"/>
      <c r="I170" s="800" t="s">
        <v>100</v>
      </c>
      <c r="J170" s="800"/>
      <c r="K170" s="800" t="s">
        <v>101</v>
      </c>
      <c r="L170" s="800"/>
      <c r="M170" s="800" t="s">
        <v>102</v>
      </c>
      <c r="N170" s="800"/>
      <c r="O170" s="800" t="s">
        <v>103</v>
      </c>
      <c r="P170" s="800"/>
      <c r="Q170" s="800" t="s">
        <v>104</v>
      </c>
      <c r="R170" s="800"/>
      <c r="S170" s="800" t="s">
        <v>105</v>
      </c>
      <c r="T170" s="800"/>
      <c r="U170" s="800"/>
      <c r="V170" s="800"/>
      <c r="W170" s="498" t="s">
        <v>106</v>
      </c>
      <c r="X170" s="498"/>
      <c r="Y170" s="30"/>
      <c r="Z170" s="30"/>
    </row>
    <row r="171" spans="1:26" ht="18" customHeight="1">
      <c r="A171" s="733" t="str">
        <f>'BBP FU1 - REB500 (4)'!A264</f>
        <v>T1</v>
      </c>
      <c r="B171" s="733" t="str">
        <f>'BBP FU1 - REB500 (4)'!B264</f>
        <v>Core4</v>
      </c>
      <c r="C171" s="733"/>
      <c r="D171" s="732">
        <f>'BBP FU1 - REB500 (4)'!D264</f>
        <v>2500</v>
      </c>
      <c r="E171" s="732"/>
      <c r="F171" s="732">
        <f>'BBP FU1 - REB500 (4)'!F264</f>
        <v>1</v>
      </c>
      <c r="G171" s="732">
        <f>'CT-VT Burdens'!S19</f>
        <v>50</v>
      </c>
      <c r="H171" s="794">
        <f>'CT-VT Burdens'!S10</f>
        <v>6</v>
      </c>
      <c r="I171" s="794" t="str">
        <f>'BBP FU1 - REB500 (4)'!I264</f>
        <v>PX-B</v>
      </c>
      <c r="J171" s="794"/>
      <c r="K171" s="728">
        <f>'BBP FU1 - REB500 (4)'!K264</f>
        <v>5</v>
      </c>
      <c r="L171" s="728"/>
      <c r="M171" s="728">
        <f>'BBP FU1 - REB500 (4)'!M264</f>
        <v>750</v>
      </c>
      <c r="N171" s="728"/>
      <c r="O171" s="732">
        <f>'BBP FU1 - REB500 (4)'!O264</f>
        <v>60</v>
      </c>
      <c r="P171" s="732"/>
      <c r="Q171" s="739" t="str">
        <f>'BBP FU1 - REB500 (4)'!Q264</f>
        <v>REB500</v>
      </c>
      <c r="R171" s="739"/>
      <c r="S171" s="732" t="str">
        <f>'BBP FU1 - REB500 (4)'!S264</f>
        <v>Suitable Dimensions</v>
      </c>
      <c r="T171" s="732"/>
      <c r="U171" s="732"/>
      <c r="V171" s="732"/>
      <c r="W171" s="276">
        <f>'BBP FU1 - REB500 (4)'!M82</f>
        <v>52.500089760000002</v>
      </c>
      <c r="X171" s="276"/>
      <c r="Y171" s="30"/>
      <c r="Z171" s="30"/>
    </row>
    <row r="172" spans="1:26" ht="15.75" customHeight="1">
      <c r="A172" s="733"/>
      <c r="B172" s="733"/>
      <c r="C172" s="733"/>
      <c r="D172" s="799" t="s">
        <v>7</v>
      </c>
      <c r="E172" s="732"/>
      <c r="F172" s="732"/>
      <c r="G172" s="732"/>
      <c r="H172" s="732"/>
      <c r="I172" s="794"/>
      <c r="J172" s="794"/>
      <c r="K172" s="801" t="s">
        <v>7</v>
      </c>
      <c r="L172" s="728"/>
      <c r="M172" s="801" t="s">
        <v>7</v>
      </c>
      <c r="N172" s="728"/>
      <c r="O172" s="799" t="s">
        <v>7</v>
      </c>
      <c r="P172" s="732"/>
      <c r="Q172" s="739"/>
      <c r="R172" s="739"/>
      <c r="S172" s="799" t="s">
        <v>7</v>
      </c>
      <c r="T172" s="732"/>
      <c r="U172" s="732"/>
      <c r="V172" s="732"/>
      <c r="W172" s="499" t="s">
        <v>7</v>
      </c>
      <c r="X172" s="276"/>
      <c r="Y172" s="30"/>
      <c r="Z172" s="30"/>
    </row>
    <row r="173" spans="1:26" ht="15.6" customHeight="1">
      <c r="A173" s="733"/>
      <c r="B173" s="733"/>
      <c r="C173" s="733"/>
      <c r="D173" s="799" t="s">
        <v>7</v>
      </c>
      <c r="E173" s="732"/>
      <c r="F173" s="732"/>
      <c r="G173" s="732"/>
      <c r="H173" s="732"/>
      <c r="I173" s="794"/>
      <c r="J173" s="794"/>
      <c r="K173" s="801" t="s">
        <v>7</v>
      </c>
      <c r="L173" s="728"/>
      <c r="M173" s="801" t="s">
        <v>7</v>
      </c>
      <c r="N173" s="728"/>
      <c r="O173" s="799" t="s">
        <v>7</v>
      </c>
      <c r="P173" s="732"/>
      <c r="Q173" s="739"/>
      <c r="R173" s="739"/>
      <c r="S173" s="799" t="s">
        <v>7</v>
      </c>
      <c r="T173" s="732"/>
      <c r="U173" s="732"/>
      <c r="V173" s="732"/>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16" t="s">
        <v>97</v>
      </c>
      <c r="B175" s="729"/>
      <c r="C175" s="717"/>
      <c r="D175" s="716" t="s">
        <v>98</v>
      </c>
      <c r="E175" s="729"/>
      <c r="F175" s="717"/>
      <c r="G175" s="716" t="s">
        <v>99</v>
      </c>
      <c r="H175" s="717"/>
      <c r="I175" s="716" t="s">
        <v>100</v>
      </c>
      <c r="J175" s="717"/>
      <c r="K175" s="716" t="s">
        <v>101</v>
      </c>
      <c r="L175" s="717"/>
      <c r="M175" s="716" t="s">
        <v>102</v>
      </c>
      <c r="N175" s="717"/>
      <c r="O175" s="716" t="s">
        <v>103</v>
      </c>
      <c r="P175" s="717"/>
      <c r="Q175" s="716" t="s">
        <v>104</v>
      </c>
      <c r="R175" s="717"/>
      <c r="S175" s="800" t="s">
        <v>105</v>
      </c>
      <c r="T175" s="800"/>
      <c r="U175" s="800"/>
      <c r="V175" s="800"/>
      <c r="W175" s="491" t="s">
        <v>106</v>
      </c>
      <c r="X175" s="331"/>
      <c r="Y175" s="30"/>
      <c r="Z175" s="30"/>
    </row>
    <row r="176" spans="1:26" ht="15.6" customHeight="1">
      <c r="A176" s="733" t="str">
        <f>'P74X-X (4)'!A268</f>
        <v>T1</v>
      </c>
      <c r="B176" s="679" t="str">
        <f>'P74X-X (4)'!B268</f>
        <v>Core5</v>
      </c>
      <c r="C176" s="733"/>
      <c r="D176" s="732">
        <f>'P74X-X (4)'!D268</f>
        <v>2500</v>
      </c>
      <c r="E176" s="732"/>
      <c r="F176" s="734">
        <f>'P74X-X (4)'!F268</f>
        <v>1</v>
      </c>
      <c r="G176" s="732">
        <f>'CT-VT Burdens'!S19</f>
        <v>50</v>
      </c>
      <c r="H176" s="740">
        <f>'CT-VT Burdens'!S10</f>
        <v>6</v>
      </c>
      <c r="I176" s="794" t="str">
        <f>'P74X-X (4)'!I268</f>
        <v>PX-B</v>
      </c>
      <c r="J176" s="794"/>
      <c r="K176" s="728">
        <f>'P74X-X (4)'!K268</f>
        <v>5</v>
      </c>
      <c r="L176" s="728"/>
      <c r="M176" s="728">
        <f>'P74X-X (4)'!M268</f>
        <v>750</v>
      </c>
      <c r="N176" s="728"/>
      <c r="O176" s="732">
        <f>'P74X-X (4)'!O268</f>
        <v>60</v>
      </c>
      <c r="P176" s="732"/>
      <c r="Q176" s="739" t="str">
        <f>'P74X-X (4)'!Q268</f>
        <v>P743</v>
      </c>
      <c r="R176" s="739"/>
      <c r="S176" s="732" t="str">
        <f>'P74X-X (4)'!S268</f>
        <v>Suitably Dimentioned</v>
      </c>
      <c r="T176" s="732"/>
      <c r="U176" s="732"/>
      <c r="V176" s="732"/>
      <c r="W176" s="357">
        <f>'P74X-X (4)'!H55</f>
        <v>110.97518700000001</v>
      </c>
      <c r="X176" s="275"/>
      <c r="Y176" s="30"/>
      <c r="Z176" s="30"/>
    </row>
    <row r="177" spans="1:50" ht="18" customHeight="1">
      <c r="A177" s="733"/>
      <c r="B177" s="733"/>
      <c r="C177" s="733"/>
      <c r="D177" s="732" t="str">
        <f>'BBP FU1 - REB500'!D266</f>
        <v>-</v>
      </c>
      <c r="E177" s="732"/>
      <c r="F177" s="735"/>
      <c r="G177" s="732"/>
      <c r="H177" s="740"/>
      <c r="I177" s="794"/>
      <c r="J177" s="794"/>
      <c r="K177" s="728" t="str">
        <f>'BBP FU1 - REB500'!K266</f>
        <v>-</v>
      </c>
      <c r="L177" s="728"/>
      <c r="M177" s="728" t="str">
        <f>'BBP FU1 - REB500'!M266</f>
        <v>-</v>
      </c>
      <c r="N177" s="728"/>
      <c r="O177" s="732" t="str">
        <f>'BBP FU1 - REB500'!O266</f>
        <v>-</v>
      </c>
      <c r="P177" s="732"/>
      <c r="Q177" s="739"/>
      <c r="R177" s="739"/>
      <c r="S177" s="732" t="str">
        <f>'BBP FU1 - REB500'!S266</f>
        <v>-</v>
      </c>
      <c r="T177" s="732"/>
      <c r="U177" s="732"/>
      <c r="V177" s="732"/>
      <c r="W177" s="357" t="s">
        <v>7</v>
      </c>
      <c r="X177" s="275"/>
      <c r="Y177" s="30"/>
      <c r="Z177" s="30"/>
    </row>
    <row r="178" spans="1:50" ht="15.6" customHeight="1">
      <c r="A178" s="733"/>
      <c r="B178" s="733"/>
      <c r="C178" s="733"/>
      <c r="D178" s="732" t="str">
        <f>'BBP FU1 - REB500'!D267</f>
        <v>-</v>
      </c>
      <c r="E178" s="732"/>
      <c r="F178" s="736"/>
      <c r="G178" s="732"/>
      <c r="H178" s="740"/>
      <c r="I178" s="794"/>
      <c r="J178" s="794"/>
      <c r="K178" s="728" t="str">
        <f>'BBP FU1 - REB500'!K267</f>
        <v>-</v>
      </c>
      <c r="L178" s="728"/>
      <c r="M178" s="728" t="str">
        <f>'BBP FU1 - REB500'!M267</f>
        <v>-</v>
      </c>
      <c r="N178" s="728"/>
      <c r="O178" s="732" t="str">
        <f>'BBP FU1 - REB500'!O267</f>
        <v>-</v>
      </c>
      <c r="P178" s="732"/>
      <c r="Q178" s="739"/>
      <c r="R178" s="739"/>
      <c r="S178" s="732" t="str">
        <f>'BBP FU1 - REB500'!S267</f>
        <v>-</v>
      </c>
      <c r="T178" s="732"/>
      <c r="U178" s="732"/>
      <c r="V178" s="732"/>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16" t="s">
        <v>97</v>
      </c>
      <c r="B180" s="729"/>
      <c r="C180" s="717"/>
      <c r="D180" s="716" t="s">
        <v>98</v>
      </c>
      <c r="E180" s="729"/>
      <c r="F180" s="717"/>
      <c r="G180" s="716" t="s">
        <v>99</v>
      </c>
      <c r="H180" s="717"/>
      <c r="I180" s="716" t="s">
        <v>100</v>
      </c>
      <c r="J180" s="717"/>
      <c r="K180" s="716" t="s">
        <v>101</v>
      </c>
      <c r="L180" s="717"/>
      <c r="M180" s="800" t="s">
        <v>112</v>
      </c>
      <c r="N180" s="800"/>
      <c r="O180" s="716" t="s">
        <v>103</v>
      </c>
      <c r="P180" s="717"/>
      <c r="Q180" s="716" t="s">
        <v>104</v>
      </c>
      <c r="R180" s="717"/>
      <c r="S180" s="800" t="s">
        <v>105</v>
      </c>
      <c r="T180" s="800"/>
      <c r="U180" s="800"/>
      <c r="V180" s="800"/>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733" t="str">
        <f>'CS1'!A144</f>
        <v>T1</v>
      </c>
      <c r="B181" s="679" t="str">
        <f>'CS1'!B144</f>
        <v>Core6</v>
      </c>
      <c r="C181" s="733"/>
      <c r="D181" s="732">
        <f>'CS1'!D144</f>
        <v>2000</v>
      </c>
      <c r="E181" s="732"/>
      <c r="F181" s="734">
        <f>'CS1'!F144</f>
        <v>1</v>
      </c>
      <c r="G181" s="732">
        <f>'CT-VT Burdens'!S19</f>
        <v>50</v>
      </c>
      <c r="H181" s="740">
        <f>'CT-VT Burdens'!S10</f>
        <v>6</v>
      </c>
      <c r="I181" s="794" t="str">
        <f>'CS1'!I144</f>
        <v>0.2S</v>
      </c>
      <c r="J181" s="794"/>
      <c r="K181" s="728">
        <f>'CS1'!K144</f>
        <v>5</v>
      </c>
      <c r="L181" s="728"/>
      <c r="M181" s="728">
        <f>'CS1'!M144</f>
        <v>10</v>
      </c>
      <c r="N181" s="728"/>
      <c r="O181" s="799" t="s">
        <v>7</v>
      </c>
      <c r="P181" s="732"/>
      <c r="Q181" s="739" t="str">
        <f>'CS1'!Q144</f>
        <v xml:space="preserve">XC-RACK   </v>
      </c>
      <c r="R181" s="739"/>
      <c r="S181" s="732" t="str">
        <f>'CS1'!S144</f>
        <v>Not suitable</v>
      </c>
      <c r="T181" s="732"/>
      <c r="U181" s="732"/>
      <c r="V181" s="732"/>
      <c r="W181" s="357">
        <f>'CS1'!J46</f>
        <v>27.488842805574699</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733"/>
      <c r="B182" s="733"/>
      <c r="C182" s="733"/>
      <c r="D182" s="799" t="s">
        <v>7</v>
      </c>
      <c r="E182" s="732"/>
      <c r="F182" s="735"/>
      <c r="G182" s="732"/>
      <c r="H182" s="740"/>
      <c r="I182" s="794"/>
      <c r="J182" s="794"/>
      <c r="K182" s="801" t="s">
        <v>7</v>
      </c>
      <c r="L182" s="728"/>
      <c r="M182" s="801" t="s">
        <v>7</v>
      </c>
      <c r="N182" s="728"/>
      <c r="O182" s="799" t="s">
        <v>7</v>
      </c>
      <c r="P182" s="732"/>
      <c r="Q182" s="739"/>
      <c r="R182" s="739"/>
      <c r="S182" s="799" t="s">
        <v>7</v>
      </c>
      <c r="T182" s="732"/>
      <c r="U182" s="732"/>
      <c r="V182" s="732"/>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806"/>
      <c r="B183" s="806"/>
      <c r="C183" s="806"/>
      <c r="D183" s="798" t="s">
        <v>7</v>
      </c>
      <c r="E183" s="734"/>
      <c r="F183" s="735"/>
      <c r="G183" s="734"/>
      <c r="H183" s="807"/>
      <c r="I183" s="722"/>
      <c r="J183" s="722"/>
      <c r="K183" s="796" t="s">
        <v>7</v>
      </c>
      <c r="L183" s="797"/>
      <c r="M183" s="796" t="s">
        <v>7</v>
      </c>
      <c r="N183" s="797"/>
      <c r="O183" s="798" t="s">
        <v>7</v>
      </c>
      <c r="P183" s="734"/>
      <c r="Q183" s="795"/>
      <c r="R183" s="795"/>
      <c r="S183" s="798" t="s">
        <v>7</v>
      </c>
      <c r="T183" s="734"/>
      <c r="U183" s="734"/>
      <c r="V183" s="734"/>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16" t="s">
        <v>97</v>
      </c>
      <c r="B185" s="729"/>
      <c r="C185" s="717"/>
      <c r="D185" s="716" t="s">
        <v>98</v>
      </c>
      <c r="E185" s="729"/>
      <c r="F185" s="717"/>
      <c r="G185" s="716" t="s">
        <v>99</v>
      </c>
      <c r="H185" s="717"/>
      <c r="I185" s="716" t="s">
        <v>100</v>
      </c>
      <c r="J185" s="717"/>
      <c r="K185" s="716" t="s">
        <v>101</v>
      </c>
      <c r="L185" s="717"/>
      <c r="M185" s="800" t="s">
        <v>112</v>
      </c>
      <c r="N185" s="800"/>
      <c r="O185" s="716" t="s">
        <v>103</v>
      </c>
      <c r="P185" s="717"/>
      <c r="Q185" s="716" t="s">
        <v>104</v>
      </c>
      <c r="R185" s="717"/>
      <c r="S185" s="800" t="s">
        <v>105</v>
      </c>
      <c r="T185" s="800"/>
      <c r="U185" s="800"/>
      <c r="V185" s="800"/>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733" t="str">
        <f>'CS2'!A144</f>
        <v>T1</v>
      </c>
      <c r="B186" s="679" t="str">
        <f>'CS2'!B144</f>
        <v>Core7</v>
      </c>
      <c r="C186" s="733"/>
      <c r="D186" s="732">
        <f>'CS2'!D144</f>
        <v>2000</v>
      </c>
      <c r="E186" s="732"/>
      <c r="F186" s="734">
        <f>'CS2'!F144</f>
        <v>1</v>
      </c>
      <c r="G186" s="732">
        <f>'CT-VT Burdens'!S19</f>
        <v>50</v>
      </c>
      <c r="H186" s="740">
        <f>'CT-VT Burdens'!S10</f>
        <v>6</v>
      </c>
      <c r="I186" s="794" t="str">
        <f>'CS2'!I144</f>
        <v>0.2S</v>
      </c>
      <c r="J186" s="794"/>
      <c r="K186" s="728">
        <f>'CS2'!K144</f>
        <v>5</v>
      </c>
      <c r="L186" s="728"/>
      <c r="M186" s="728">
        <f>'CS2'!M144</f>
        <v>10</v>
      </c>
      <c r="N186" s="728"/>
      <c r="O186" s="799" t="s">
        <v>7</v>
      </c>
      <c r="P186" s="732"/>
      <c r="Q186" s="739" t="str">
        <f>'CS2'!Q144</f>
        <v xml:space="preserve">XC-RACK   </v>
      </c>
      <c r="R186" s="739"/>
      <c r="S186" s="732" t="str">
        <f>'CS2'!S144</f>
        <v>Not suitable</v>
      </c>
      <c r="T186" s="732"/>
      <c r="U186" s="732"/>
      <c r="V186" s="732"/>
      <c r="W186" s="357">
        <f>'CS2'!J46</f>
        <v>27.488842805574699</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733"/>
      <c r="B187" s="733"/>
      <c r="C187" s="733"/>
      <c r="D187" s="799" t="s">
        <v>7</v>
      </c>
      <c r="E187" s="732"/>
      <c r="F187" s="735"/>
      <c r="G187" s="732"/>
      <c r="H187" s="740"/>
      <c r="I187" s="794"/>
      <c r="J187" s="794"/>
      <c r="K187" s="801" t="s">
        <v>7</v>
      </c>
      <c r="L187" s="728"/>
      <c r="M187" s="801" t="s">
        <v>7</v>
      </c>
      <c r="N187" s="728"/>
      <c r="O187" s="799" t="s">
        <v>7</v>
      </c>
      <c r="P187" s="732"/>
      <c r="Q187" s="739"/>
      <c r="R187" s="739"/>
      <c r="S187" s="799" t="s">
        <v>7</v>
      </c>
      <c r="T187" s="732"/>
      <c r="U187" s="732"/>
      <c r="V187" s="732"/>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733"/>
      <c r="B188" s="733"/>
      <c r="C188" s="733"/>
      <c r="D188" s="799" t="s">
        <v>7</v>
      </c>
      <c r="E188" s="732"/>
      <c r="F188" s="736"/>
      <c r="G188" s="732"/>
      <c r="H188" s="740"/>
      <c r="I188" s="794"/>
      <c r="J188" s="794"/>
      <c r="K188" s="801" t="s">
        <v>7</v>
      </c>
      <c r="L188" s="728"/>
      <c r="M188" s="801" t="s">
        <v>7</v>
      </c>
      <c r="N188" s="728"/>
      <c r="O188" s="799" t="s">
        <v>7</v>
      </c>
      <c r="P188" s="732"/>
      <c r="Q188" s="739"/>
      <c r="R188" s="739"/>
      <c r="S188" s="799" t="s">
        <v>7</v>
      </c>
      <c r="T188" s="732"/>
      <c r="U188" s="732"/>
      <c r="V188" s="732"/>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10" t="s">
        <v>126</v>
      </c>
      <c r="H191" s="810"/>
      <c r="I191" s="810"/>
      <c r="J191" s="810"/>
      <c r="K191" s="810"/>
      <c r="L191" s="810"/>
      <c r="M191" s="810"/>
      <c r="N191" s="810"/>
      <c r="O191" s="810"/>
      <c r="P191" s="810"/>
      <c r="Q191" s="810"/>
      <c r="R191" s="810"/>
      <c r="S191" s="810"/>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07" t="s">
        <v>127</v>
      </c>
      <c r="B193" s="707"/>
      <c r="C193" s="707"/>
      <c r="D193" s="707"/>
      <c r="E193" s="707" t="s">
        <v>128</v>
      </c>
      <c r="F193" s="707"/>
      <c r="G193" s="707"/>
      <c r="H193" s="707"/>
      <c r="I193" s="707"/>
      <c r="J193" s="800" t="s">
        <v>129</v>
      </c>
      <c r="K193" s="800"/>
      <c r="L193" s="800" t="s">
        <v>100</v>
      </c>
      <c r="M193" s="800"/>
      <c r="N193" s="800" t="s">
        <v>112</v>
      </c>
      <c r="O193" s="800"/>
      <c r="P193" s="800"/>
      <c r="Q193" s="710" t="s">
        <v>130</v>
      </c>
      <c r="R193" s="808"/>
      <c r="S193" s="808"/>
      <c r="T193" s="808"/>
      <c r="U193" s="808"/>
      <c r="V193" s="809"/>
      <c r="W193" s="331" t="s">
        <v>131</v>
      </c>
      <c r="X193" s="268"/>
      <c r="Y193" s="30"/>
      <c r="Z193" s="30"/>
    </row>
    <row r="194" spans="1:26" ht="18" customHeight="1">
      <c r="A194" s="702" t="str">
        <f>'HVDC FEEDER'!A132</f>
        <v>T1</v>
      </c>
      <c r="B194" s="812" t="str">
        <f>'HVDC FEEDER'!C132</f>
        <v>Core1</v>
      </c>
      <c r="C194" s="813"/>
      <c r="D194" s="814"/>
      <c r="E194" s="355">
        <f>'HVDC FEEDER'!E132</f>
        <v>400</v>
      </c>
      <c r="F194" s="258" t="str">
        <f>'HVDC FEEDER'!F132</f>
        <v>/ √3</v>
      </c>
      <c r="G194" s="356" t="str">
        <f>'HVDC FEEDER'!G132</f>
        <v>/</v>
      </c>
      <c r="H194" s="255">
        <f>'HVDC FEEDER'!H132</f>
        <v>0.11</v>
      </c>
      <c r="I194" s="258" t="str">
        <f>'HVDC FEEDER'!I132</f>
        <v>/ √3</v>
      </c>
      <c r="J194" s="732">
        <f>'CT-VT Burdens'!S19</f>
        <v>50</v>
      </c>
      <c r="K194" s="862">
        <f>'CT-VT Burdens'!S10</f>
        <v>6</v>
      </c>
      <c r="L194" s="679" t="str">
        <f>'HVDC FEEDER'!L132</f>
        <v>0.5/3P</v>
      </c>
      <c r="M194" s="679"/>
      <c r="N194" s="679">
        <f>'HVDC FEEDER'!N132</f>
        <v>50</v>
      </c>
      <c r="O194" s="679"/>
      <c r="P194" s="679"/>
      <c r="Q194" s="860" t="str">
        <f>'HVDC FEEDER'!Q132</f>
        <v>Suitably Dimensioned</v>
      </c>
      <c r="R194" s="861"/>
      <c r="S194" s="861"/>
      <c r="T194" s="861"/>
      <c r="U194" s="861"/>
      <c r="V194" s="700"/>
      <c r="W194" s="357">
        <f>'HVDC FEEDER'!G38</f>
        <v>2.9515014500000003</v>
      </c>
      <c r="X194" s="221"/>
      <c r="Y194" s="30"/>
      <c r="Z194" s="30"/>
    </row>
    <row r="195" spans="1:26" ht="18" customHeight="1">
      <c r="A195" s="811"/>
      <c r="B195" s="812" t="str">
        <f>'HVDC FEEDER'!C133</f>
        <v>Core2</v>
      </c>
      <c r="C195" s="813"/>
      <c r="D195" s="814"/>
      <c r="E195" s="355">
        <f>'HVDC FEEDER'!E133</f>
        <v>400</v>
      </c>
      <c r="F195" s="258" t="str">
        <f>'HVDC FEEDER'!F133</f>
        <v>/ √3</v>
      </c>
      <c r="G195" s="356" t="str">
        <f>'HVDC FEEDER'!G133</f>
        <v>/</v>
      </c>
      <c r="H195" s="255">
        <f>'HVDC FEEDER'!H133</f>
        <v>0.11</v>
      </c>
      <c r="I195" s="258" t="str">
        <f>'HVDC FEEDER'!I133</f>
        <v>/ √3</v>
      </c>
      <c r="J195" s="732"/>
      <c r="K195" s="679"/>
      <c r="L195" s="679">
        <f>'HVDC FEEDER'!L133</f>
        <v>0.2</v>
      </c>
      <c r="M195" s="679"/>
      <c r="N195" s="679">
        <f>'HVDC FEEDER'!N133</f>
        <v>50</v>
      </c>
      <c r="O195" s="679"/>
      <c r="P195" s="679"/>
      <c r="Q195" s="860" t="str">
        <f>'HVDC FEEDER'!Q133</f>
        <v>Suitably Dimensioned</v>
      </c>
      <c r="R195" s="861"/>
      <c r="S195" s="861"/>
      <c r="T195" s="861"/>
      <c r="U195" s="861"/>
      <c r="V195" s="700"/>
      <c r="W195" s="357">
        <f>'HVDC FEEDER'!G80</f>
        <v>2.7115014500000001</v>
      </c>
      <c r="X195" s="221"/>
      <c r="Y195" s="30"/>
      <c r="Z195" s="30"/>
    </row>
    <row r="196" spans="1:26" ht="18" customHeight="1">
      <c r="A196" s="698"/>
      <c r="B196" s="812" t="str">
        <f>'HVDC FEEDER'!C134</f>
        <v>Core3</v>
      </c>
      <c r="C196" s="813"/>
      <c r="D196" s="814"/>
      <c r="E196" s="355">
        <f>'HVDC FEEDER'!E134</f>
        <v>400</v>
      </c>
      <c r="F196" s="258" t="str">
        <f>'HVDC FEEDER'!F134</f>
        <v>/ √3</v>
      </c>
      <c r="G196" s="356" t="str">
        <f>'HVDC FEEDER'!G134</f>
        <v>/</v>
      </c>
      <c r="H196" s="255">
        <f>'HVDC FEEDER'!H134</f>
        <v>0.11</v>
      </c>
      <c r="I196" s="258" t="str">
        <f>'HVDC FEEDER'!I134</f>
        <v>/ √3</v>
      </c>
      <c r="J196" s="732"/>
      <c r="K196" s="679"/>
      <c r="L196" s="679">
        <f>'HVDC FEEDER'!L134</f>
        <v>0.2</v>
      </c>
      <c r="M196" s="679"/>
      <c r="N196" s="679">
        <f>'HVDC FEEDER'!N134</f>
        <v>50</v>
      </c>
      <c r="O196" s="679"/>
      <c r="P196" s="679"/>
      <c r="Q196" s="860" t="str">
        <f>'HVDC FEEDER'!Q134</f>
        <v>Suitably Dimensioned</v>
      </c>
      <c r="R196" s="861"/>
      <c r="S196" s="861"/>
      <c r="T196" s="861"/>
      <c r="U196" s="861"/>
      <c r="V196" s="700"/>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07" t="s">
        <v>127</v>
      </c>
      <c r="B199" s="707"/>
      <c r="C199" s="707"/>
      <c r="D199" s="707"/>
      <c r="E199" s="707" t="s">
        <v>128</v>
      </c>
      <c r="F199" s="707"/>
      <c r="G199" s="707"/>
      <c r="H199" s="707"/>
      <c r="I199" s="707"/>
      <c r="J199" s="800" t="s">
        <v>129</v>
      </c>
      <c r="K199" s="800"/>
      <c r="L199" s="800" t="s">
        <v>100</v>
      </c>
      <c r="M199" s="800"/>
      <c r="N199" s="800" t="s">
        <v>112</v>
      </c>
      <c r="O199" s="800"/>
      <c r="P199" s="800"/>
      <c r="Q199" s="710" t="s">
        <v>130</v>
      </c>
      <c r="R199" s="808"/>
      <c r="S199" s="808"/>
      <c r="T199" s="808"/>
      <c r="U199" s="808"/>
      <c r="V199" s="809"/>
      <c r="W199" s="331" t="s">
        <v>131</v>
      </c>
      <c r="X199" s="268"/>
      <c r="Y199" s="30"/>
      <c r="Z199" s="30"/>
    </row>
    <row r="200" spans="1:26" ht="18" customHeight="1">
      <c r="A200" s="702" t="str">
        <f>FEEDER!A132</f>
        <v>T1</v>
      </c>
      <c r="B200" s="813" t="str">
        <f>FEEDER!C132</f>
        <v>Core1</v>
      </c>
      <c r="C200" s="813"/>
      <c r="D200" s="814"/>
      <c r="E200" s="355">
        <f>FEEDER!E132</f>
        <v>400</v>
      </c>
      <c r="F200" s="258" t="str">
        <f>FEEDER!F132</f>
        <v>/ √3</v>
      </c>
      <c r="G200" s="356" t="str">
        <f>FEEDER!G132</f>
        <v>/</v>
      </c>
      <c r="H200" s="255">
        <f>FEEDER!H132</f>
        <v>0.11</v>
      </c>
      <c r="I200" s="258" t="str">
        <f>FEEDER!I132</f>
        <v>/ √3</v>
      </c>
      <c r="J200" s="815">
        <f>'CT-VT Burdens'!S19</f>
        <v>50</v>
      </c>
      <c r="K200" s="871">
        <f>'CT-VT Burdens'!S10</f>
        <v>6</v>
      </c>
      <c r="L200" s="679" t="str">
        <f>FEEDER!L132</f>
        <v>0.5/3P</v>
      </c>
      <c r="M200" s="679"/>
      <c r="N200" s="679">
        <f>FEEDER!N132</f>
        <v>50</v>
      </c>
      <c r="O200" s="679"/>
      <c r="P200" s="679"/>
      <c r="Q200" s="860" t="str">
        <f>FEEDER!Q132</f>
        <v>Suitably Dimensioned</v>
      </c>
      <c r="R200" s="861"/>
      <c r="S200" s="861"/>
      <c r="T200" s="861"/>
      <c r="U200" s="861"/>
      <c r="V200" s="700"/>
      <c r="W200" s="357">
        <f>FEEDER!G39</f>
        <v>2.9715014499999999</v>
      </c>
      <c r="X200" s="221"/>
      <c r="Y200" s="30"/>
      <c r="Z200" s="30"/>
    </row>
    <row r="201" spans="1:26" ht="18" customHeight="1">
      <c r="A201" s="811"/>
      <c r="B201" s="813" t="str">
        <f>FEEDER!C133</f>
        <v>Core2</v>
      </c>
      <c r="C201" s="813"/>
      <c r="D201" s="814"/>
      <c r="E201" s="355">
        <f>FEEDER!E133</f>
        <v>400</v>
      </c>
      <c r="F201" s="258" t="str">
        <f>FEEDER!F133</f>
        <v>/ √3</v>
      </c>
      <c r="G201" s="356" t="str">
        <f>FEEDER!G133</f>
        <v>/</v>
      </c>
      <c r="H201" s="255">
        <f>FEEDER!H133</f>
        <v>0.11</v>
      </c>
      <c r="I201" s="258" t="str">
        <f>FEEDER!I133</f>
        <v>/ √3</v>
      </c>
      <c r="J201" s="816"/>
      <c r="K201" s="668"/>
      <c r="L201" s="679" t="str">
        <f>FEEDER!L133</f>
        <v>0.2S</v>
      </c>
      <c r="M201" s="679"/>
      <c r="N201" s="679">
        <f>FEEDER!N133</f>
        <v>50</v>
      </c>
      <c r="O201" s="679"/>
      <c r="P201" s="679"/>
      <c r="Q201" s="860" t="str">
        <f>FEEDER!Q133</f>
        <v>Suitably Dimensioned</v>
      </c>
      <c r="R201" s="861"/>
      <c r="S201" s="861"/>
      <c r="T201" s="861"/>
      <c r="U201" s="861"/>
      <c r="V201" s="700"/>
      <c r="W201" s="357">
        <f>FEEDER!G80</f>
        <v>2.7115014500000001</v>
      </c>
      <c r="X201" s="221"/>
      <c r="Y201" s="30"/>
      <c r="Z201" s="30"/>
    </row>
    <row r="202" spans="1:26" ht="18" hidden="1" customHeight="1">
      <c r="A202" s="811"/>
      <c r="B202" s="197"/>
      <c r="C202" s="602" t="str">
        <f>FEEDER!C134</f>
        <v>Core3</v>
      </c>
      <c r="D202" s="603"/>
      <c r="E202" s="522">
        <f>FEEDER!E134</f>
        <v>400</v>
      </c>
      <c r="F202" s="324" t="str">
        <f>FEEDER!F134</f>
        <v>/ √3</v>
      </c>
      <c r="G202" s="549" t="str">
        <f>'[2]Line VT (2)'!G137</f>
        <v>/</v>
      </c>
      <c r="H202" s="550">
        <f>FEEDER!H134</f>
        <v>0.11</v>
      </c>
      <c r="I202" s="324" t="str">
        <f>FEEDER!I134</f>
        <v>/ √3</v>
      </c>
      <c r="J202" s="816"/>
      <c r="K202" s="668"/>
      <c r="L202" s="702" t="str">
        <f>FEEDER!L134</f>
        <v>0.2S</v>
      </c>
      <c r="M202" s="702"/>
      <c r="N202" s="679">
        <f>FEEDER!N134</f>
        <v>50</v>
      </c>
      <c r="O202" s="679"/>
      <c r="P202" s="679"/>
      <c r="Q202" s="857" t="str">
        <f>FEEDER!Q134</f>
        <v>Suitably Dimensioned</v>
      </c>
      <c r="R202" s="858"/>
      <c r="S202" s="858"/>
      <c r="T202" s="858"/>
      <c r="U202" s="858"/>
      <c r="V202" s="859"/>
      <c r="W202" s="587">
        <f>FEEDER!G117</f>
        <v>2.7115014500000001</v>
      </c>
      <c r="X202" s="525"/>
      <c r="Y202" s="30"/>
      <c r="Z202" s="30"/>
    </row>
    <row r="203" spans="1:26" ht="18" hidden="1" customHeight="1">
      <c r="A203" s="811"/>
      <c r="B203" s="551"/>
      <c r="C203" s="551"/>
      <c r="D203" s="551"/>
      <c r="E203" s="551"/>
      <c r="F203" s="551"/>
      <c r="G203" s="551"/>
      <c r="H203" s="551"/>
      <c r="I203" s="551"/>
      <c r="J203" s="816"/>
      <c r="K203" s="668"/>
      <c r="L203" s="551"/>
      <c r="M203" s="551"/>
      <c r="N203" s="551"/>
      <c r="O203" s="551"/>
      <c r="P203" s="551"/>
      <c r="Q203" s="551"/>
      <c r="R203" s="551"/>
      <c r="S203" s="551"/>
      <c r="T203" s="551"/>
      <c r="U203" s="551"/>
      <c r="V203" s="551"/>
      <c r="W203" s="552"/>
      <c r="X203" s="553"/>
      <c r="Y203" s="30"/>
      <c r="Z203" s="30"/>
    </row>
    <row r="204" spans="1:26" ht="18" hidden="1" customHeight="1">
      <c r="A204" s="811"/>
      <c r="B204" s="591"/>
      <c r="C204" s="598"/>
      <c r="D204" s="598"/>
      <c r="E204" s="707" t="s">
        <v>128</v>
      </c>
      <c r="F204" s="707"/>
      <c r="G204" s="707"/>
      <c r="H204" s="707"/>
      <c r="I204" s="707"/>
      <c r="J204" s="816"/>
      <c r="K204" s="668"/>
      <c r="L204" s="800" t="s">
        <v>100</v>
      </c>
      <c r="M204" s="800"/>
      <c r="N204" s="800" t="s">
        <v>112</v>
      </c>
      <c r="O204" s="800"/>
      <c r="P204" s="800"/>
      <c r="Q204" s="710" t="s">
        <v>130</v>
      </c>
      <c r="R204" s="808"/>
      <c r="S204" s="808"/>
      <c r="T204" s="808"/>
      <c r="U204" s="808"/>
      <c r="V204" s="809"/>
      <c r="W204" s="331" t="s">
        <v>131</v>
      </c>
      <c r="X204" s="268"/>
      <c r="Y204" s="30"/>
      <c r="Z204" s="30"/>
    </row>
    <row r="205" spans="1:26" ht="18" hidden="1" customHeight="1">
      <c r="A205" s="811"/>
      <c r="B205" s="599"/>
      <c r="C205" s="590" t="str">
        <f>SGT!C144</f>
        <v>Core1</v>
      </c>
      <c r="D205" s="592"/>
      <c r="E205" s="355">
        <f>SGT!E144</f>
        <v>400</v>
      </c>
      <c r="F205" s="258" t="str">
        <f>SGT!F144</f>
        <v>/ √3</v>
      </c>
      <c r="G205" s="356" t="str">
        <f>SGT!G144</f>
        <v>/</v>
      </c>
      <c r="H205" s="255">
        <f>SGT!H144</f>
        <v>0.11</v>
      </c>
      <c r="I205" s="258" t="str">
        <f>SGT!I144</f>
        <v>/ √3</v>
      </c>
      <c r="J205" s="816"/>
      <c r="K205" s="668"/>
      <c r="L205" s="679" t="str">
        <f>SGT!L144</f>
        <v>3P</v>
      </c>
      <c r="M205" s="679"/>
      <c r="N205" s="679">
        <f>SGT!N144</f>
        <v>50</v>
      </c>
      <c r="O205" s="679"/>
      <c r="P205" s="679"/>
      <c r="Q205" s="860" t="str">
        <f>SGT!Q144</f>
        <v>Suitably Dimensioned</v>
      </c>
      <c r="R205" s="861"/>
      <c r="S205" s="861"/>
      <c r="T205" s="861"/>
      <c r="U205" s="861"/>
      <c r="V205" s="700"/>
      <c r="W205" s="357">
        <f>SGT!G40</f>
        <v>2.9715014499999999</v>
      </c>
      <c r="X205" s="221"/>
      <c r="Y205" s="30"/>
      <c r="Z205" s="30"/>
    </row>
    <row r="206" spans="1:26" ht="18" hidden="1" customHeight="1">
      <c r="A206" s="811"/>
      <c r="B206" s="245"/>
      <c r="C206" s="600" t="str">
        <f>SGT!C145</f>
        <v>-</v>
      </c>
      <c r="D206" s="601"/>
      <c r="E206" s="355" t="str">
        <f>SGT!E145</f>
        <v>-</v>
      </c>
      <c r="F206" s="258">
        <f>SGT!F145</f>
        <v>0</v>
      </c>
      <c r="G206" s="356" t="str">
        <f>SGT!G145</f>
        <v>-</v>
      </c>
      <c r="H206" s="255" t="str">
        <f>SGT!H145</f>
        <v>-</v>
      </c>
      <c r="I206" s="258">
        <f>SGT!I145</f>
        <v>0</v>
      </c>
      <c r="J206" s="816"/>
      <c r="K206" s="668"/>
      <c r="L206" s="679" t="str">
        <f>SGT!L145</f>
        <v>-</v>
      </c>
      <c r="M206" s="679"/>
      <c r="N206" s="679" t="str">
        <f>SGT!N145</f>
        <v>-</v>
      </c>
      <c r="O206" s="679"/>
      <c r="P206" s="679"/>
      <c r="Q206" s="860" t="str">
        <f>SGT!Q145</f>
        <v>-</v>
      </c>
      <c r="R206" s="861"/>
      <c r="S206" s="861"/>
      <c r="T206" s="861"/>
      <c r="U206" s="861"/>
      <c r="V206" s="700"/>
      <c r="W206" s="357">
        <f>SGT!G83</f>
        <v>6.4615014500000001</v>
      </c>
      <c r="X206" s="221"/>
    </row>
    <row r="207" spans="1:26" ht="18" customHeight="1">
      <c r="A207" s="698"/>
      <c r="B207" s="813" t="str">
        <f>FEEDER!C134</f>
        <v>Core3</v>
      </c>
      <c r="C207" s="813"/>
      <c r="D207" s="814"/>
      <c r="E207" s="355">
        <f>FEEDER!E134</f>
        <v>400</v>
      </c>
      <c r="F207" s="258" t="str">
        <f>FEEDER!F134</f>
        <v>/ √3</v>
      </c>
      <c r="G207" s="356" t="str">
        <f>FEEDER!G134</f>
        <v>/</v>
      </c>
      <c r="H207" s="255">
        <f>FEEDER!H134</f>
        <v>0.11</v>
      </c>
      <c r="I207" s="258" t="str">
        <f>FEEDER!I134</f>
        <v>/ √3</v>
      </c>
      <c r="J207" s="817"/>
      <c r="K207" s="872"/>
      <c r="L207" s="679" t="str">
        <f>FEEDER!L134</f>
        <v>0.2S</v>
      </c>
      <c r="M207" s="679"/>
      <c r="N207" s="679">
        <f>FEEDER!N134</f>
        <v>50</v>
      </c>
      <c r="O207" s="679"/>
      <c r="P207" s="679"/>
      <c r="Q207" s="860" t="str">
        <f>FEEDER!Q134</f>
        <v>Suitably Dimensioned</v>
      </c>
      <c r="R207" s="861"/>
      <c r="S207" s="861"/>
      <c r="T207" s="861"/>
      <c r="U207" s="861"/>
      <c r="V207" s="700"/>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07" t="s">
        <v>127</v>
      </c>
      <c r="B210" s="707"/>
      <c r="C210" s="707"/>
      <c r="D210" s="707"/>
      <c r="E210" s="707" t="s">
        <v>128</v>
      </c>
      <c r="F210" s="707"/>
      <c r="G210" s="707"/>
      <c r="H210" s="707"/>
      <c r="I210" s="707"/>
      <c r="J210" s="800" t="s">
        <v>129</v>
      </c>
      <c r="K210" s="800"/>
      <c r="L210" s="800" t="s">
        <v>100</v>
      </c>
      <c r="M210" s="800"/>
      <c r="N210" s="800" t="s">
        <v>112</v>
      </c>
      <c r="O210" s="800"/>
      <c r="P210" s="800"/>
      <c r="Q210" s="708" t="s">
        <v>130</v>
      </c>
      <c r="R210" s="877"/>
      <c r="S210" s="877"/>
      <c r="T210" s="877"/>
      <c r="U210" s="877"/>
      <c r="V210" s="709"/>
      <c r="W210" s="331" t="s">
        <v>131</v>
      </c>
      <c r="X210" s="268"/>
      <c r="Y210" s="30"/>
      <c r="Z210" s="30"/>
    </row>
    <row r="211" spans="1:26" ht="18" customHeight="1">
      <c r="A211" s="796" t="str">
        <f>SGT!A144</f>
        <v>T1</v>
      </c>
      <c r="B211" s="812" t="str">
        <f>SGT!C144</f>
        <v>Core1</v>
      </c>
      <c r="C211" s="813"/>
      <c r="D211" s="814"/>
      <c r="E211" s="355">
        <f>SGT!E144</f>
        <v>400</v>
      </c>
      <c r="F211" s="258" t="str">
        <f>SGT!F144</f>
        <v>/ √3</v>
      </c>
      <c r="G211" s="356" t="str">
        <f>SGT!G144</f>
        <v>/</v>
      </c>
      <c r="H211" s="255">
        <f>SGT!H144</f>
        <v>0.11</v>
      </c>
      <c r="I211" s="258" t="str">
        <f>SGT!I144</f>
        <v>/ √3</v>
      </c>
      <c r="J211" s="878">
        <f>'CT-VT Burdens'!S19</f>
        <v>50</v>
      </c>
      <c r="K211" s="862">
        <f>'CT-VT Burdens'!S10</f>
        <v>6</v>
      </c>
      <c r="L211" s="679" t="str">
        <f>SGT!L144</f>
        <v>3P</v>
      </c>
      <c r="M211" s="679"/>
      <c r="N211" s="679">
        <f>SGT!N144</f>
        <v>50</v>
      </c>
      <c r="O211" s="679"/>
      <c r="P211" s="679"/>
      <c r="Q211" s="860" t="str">
        <f>SGT!Q144</f>
        <v>Suitably Dimensioned</v>
      </c>
      <c r="R211" s="861"/>
      <c r="S211" s="861"/>
      <c r="T211" s="861"/>
      <c r="U211" s="861"/>
      <c r="V211" s="700"/>
      <c r="W211" s="357">
        <f>SGT!G40</f>
        <v>2.9715014499999999</v>
      </c>
      <c r="X211" s="221"/>
      <c r="Y211" s="30"/>
      <c r="Z211" s="30"/>
    </row>
    <row r="212" spans="1:26" ht="18" customHeight="1">
      <c r="A212" s="873"/>
      <c r="B212" s="812" t="str">
        <f>SGT!C145</f>
        <v>-</v>
      </c>
      <c r="C212" s="813"/>
      <c r="D212" s="814"/>
      <c r="E212" s="860" t="str">
        <f>SGT!E145</f>
        <v>-</v>
      </c>
      <c r="F212" s="700"/>
      <c r="G212" s="356" t="s">
        <v>7</v>
      </c>
      <c r="H212" s="875" t="s">
        <v>7</v>
      </c>
      <c r="I212" s="876"/>
      <c r="J212" s="679"/>
      <c r="K212" s="679"/>
      <c r="L212" s="679" t="s">
        <v>7</v>
      </c>
      <c r="M212" s="679"/>
      <c r="N212" s="679" t="s">
        <v>7</v>
      </c>
      <c r="O212" s="679"/>
      <c r="P212" s="679"/>
      <c r="Q212" s="860" t="s">
        <v>7</v>
      </c>
      <c r="R212" s="861"/>
      <c r="S212" s="861"/>
      <c r="T212" s="861"/>
      <c r="U212" s="861"/>
      <c r="V212" s="700"/>
      <c r="W212" s="357" t="s">
        <v>7</v>
      </c>
      <c r="X212" s="221"/>
      <c r="Y212" s="30"/>
      <c r="Z212" s="30"/>
    </row>
    <row r="213" spans="1:26" ht="18" customHeight="1">
      <c r="A213" s="874"/>
      <c r="B213" s="812" t="str">
        <f>SGT!C146</f>
        <v>-</v>
      </c>
      <c r="C213" s="813"/>
      <c r="D213" s="814"/>
      <c r="E213" s="860" t="s">
        <v>7</v>
      </c>
      <c r="F213" s="700"/>
      <c r="G213" s="356" t="s">
        <v>7</v>
      </c>
      <c r="H213" s="875" t="s">
        <v>7</v>
      </c>
      <c r="I213" s="876"/>
      <c r="J213" s="679"/>
      <c r="K213" s="679"/>
      <c r="L213" s="679" t="s">
        <v>7</v>
      </c>
      <c r="M213" s="679"/>
      <c r="N213" s="679" t="s">
        <v>7</v>
      </c>
      <c r="O213" s="679"/>
      <c r="P213" s="679"/>
      <c r="Q213" s="860" t="s">
        <v>7</v>
      </c>
      <c r="R213" s="861"/>
      <c r="S213" s="861"/>
      <c r="T213" s="861"/>
      <c r="U213" s="861"/>
      <c r="V213" s="700"/>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800" t="s">
        <v>97</v>
      </c>
      <c r="B237" s="800"/>
      <c r="C237" s="728"/>
      <c r="D237" s="800" t="s">
        <v>98</v>
      </c>
      <c r="E237" s="800"/>
      <c r="F237" s="800"/>
      <c r="G237" s="800" t="s">
        <v>99</v>
      </c>
      <c r="H237" s="800"/>
      <c r="I237" s="800" t="s">
        <v>100</v>
      </c>
      <c r="J237" s="800"/>
      <c r="K237" s="716" t="s">
        <v>101</v>
      </c>
      <c r="L237" s="717"/>
      <c r="M237" s="800" t="s">
        <v>112</v>
      </c>
      <c r="N237" s="800"/>
      <c r="O237" s="800"/>
      <c r="P237" s="800"/>
      <c r="Q237" s="716" t="s">
        <v>104</v>
      </c>
      <c r="R237" s="717"/>
      <c r="S237" s="716" t="s">
        <v>105</v>
      </c>
      <c r="T237" s="729"/>
      <c r="U237" s="729"/>
      <c r="V237" s="729"/>
      <c r="W237" s="331" t="s">
        <v>134</v>
      </c>
      <c r="X237" s="331" t="s">
        <v>106</v>
      </c>
    </row>
    <row r="238" spans="1:24" ht="26.4" customHeight="1">
      <c r="A238" s="733"/>
      <c r="B238" s="733"/>
      <c r="C238" s="733"/>
      <c r="D238" s="732"/>
      <c r="E238" s="732"/>
      <c r="F238" s="734"/>
      <c r="G238" s="732"/>
      <c r="H238" s="794"/>
      <c r="I238" s="836"/>
      <c r="J238" s="837"/>
      <c r="K238" s="728"/>
      <c r="L238" s="728"/>
      <c r="M238" s="728"/>
      <c r="N238" s="728"/>
      <c r="O238" s="732"/>
      <c r="P238" s="732"/>
      <c r="Q238" s="739"/>
      <c r="R238" s="739"/>
      <c r="S238" s="819"/>
      <c r="T238" s="820"/>
      <c r="U238" s="820"/>
      <c r="V238" s="821"/>
      <c r="W238" s="275"/>
      <c r="X238" s="276"/>
    </row>
    <row r="239" spans="1:24">
      <c r="A239" s="733"/>
      <c r="B239" s="733"/>
      <c r="C239" s="733"/>
      <c r="D239" s="732"/>
      <c r="E239" s="732"/>
      <c r="F239" s="735"/>
      <c r="G239" s="732"/>
      <c r="H239" s="732"/>
      <c r="I239" s="836"/>
      <c r="J239" s="837"/>
      <c r="K239" s="728"/>
      <c r="L239" s="728"/>
      <c r="M239" s="728"/>
      <c r="N239" s="728"/>
      <c r="O239" s="732"/>
      <c r="P239" s="732"/>
      <c r="Q239" s="739"/>
      <c r="R239" s="739"/>
      <c r="S239" s="819"/>
      <c r="T239" s="820"/>
      <c r="U239" s="820"/>
      <c r="V239" s="821"/>
      <c r="W239" s="275"/>
      <c r="X239" s="276"/>
    </row>
    <row r="240" spans="1:24">
      <c r="A240" s="733"/>
      <c r="B240" s="733"/>
      <c r="C240" s="733"/>
      <c r="D240" s="732"/>
      <c r="E240" s="732"/>
      <c r="F240" s="736"/>
      <c r="G240" s="732"/>
      <c r="H240" s="732"/>
      <c r="I240" s="836"/>
      <c r="J240" s="837"/>
      <c r="K240" s="728"/>
      <c r="L240" s="728"/>
      <c r="M240" s="728"/>
      <c r="N240" s="728"/>
      <c r="O240" s="732"/>
      <c r="P240" s="732"/>
      <c r="Q240" s="739"/>
      <c r="R240" s="739"/>
      <c r="S240" s="819"/>
      <c r="T240" s="820"/>
      <c r="U240" s="820"/>
      <c r="V240" s="821"/>
      <c r="W240" s="275"/>
      <c r="X240" s="275"/>
    </row>
  </sheetData>
  <mergeCells count="1144">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939</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15"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27"/>
      <c r="B1" s="628"/>
      <c r="C1" s="628"/>
      <c r="D1" s="628"/>
      <c r="E1" s="628"/>
      <c r="F1" s="628"/>
      <c r="G1" s="629"/>
      <c r="H1" s="636"/>
      <c r="I1" s="637"/>
      <c r="J1" s="637"/>
      <c r="K1" s="637"/>
      <c r="L1" s="637"/>
      <c r="M1" s="637"/>
      <c r="N1" s="638"/>
      <c r="O1" s="612"/>
      <c r="P1" s="613"/>
      <c r="Q1" s="614"/>
      <c r="R1" s="774"/>
      <c r="S1" s="775"/>
      <c r="T1" s="775"/>
      <c r="U1" s="775"/>
      <c r="V1" s="776"/>
      <c r="W1" s="7"/>
      <c r="X1" s="7"/>
    </row>
    <row r="2" spans="1:26" ht="18" customHeight="1">
      <c r="A2" s="630"/>
      <c r="B2" s="631"/>
      <c r="C2" s="631"/>
      <c r="D2" s="631"/>
      <c r="E2" s="631"/>
      <c r="F2" s="631"/>
      <c r="G2" s="632"/>
      <c r="H2" s="886" t="s">
        <v>987</v>
      </c>
      <c r="I2" s="887"/>
      <c r="J2" s="887"/>
      <c r="K2" s="887"/>
      <c r="L2" s="887"/>
      <c r="M2" s="887"/>
      <c r="N2" s="888"/>
      <c r="O2" s="612"/>
      <c r="P2" s="613"/>
      <c r="Q2" s="614"/>
      <c r="R2" s="777"/>
      <c r="S2" s="775"/>
      <c r="T2" s="775"/>
      <c r="U2" s="775"/>
      <c r="V2" s="776"/>
      <c r="W2" s="7"/>
      <c r="X2" s="7"/>
    </row>
    <row r="3" spans="1:26" ht="20.399999999999999" customHeight="1">
      <c r="A3" s="630"/>
      <c r="B3" s="631"/>
      <c r="C3" s="631"/>
      <c r="D3" s="631"/>
      <c r="E3" s="631"/>
      <c r="F3" s="631"/>
      <c r="G3" s="632"/>
      <c r="H3" s="886"/>
      <c r="I3" s="887"/>
      <c r="J3" s="887"/>
      <c r="K3" s="887"/>
      <c r="L3" s="887"/>
      <c r="M3" s="887"/>
      <c r="N3" s="888"/>
      <c r="O3" s="612"/>
      <c r="P3" s="613"/>
      <c r="Q3" s="614"/>
      <c r="R3" s="618"/>
      <c r="S3" s="620"/>
      <c r="T3" s="620"/>
      <c r="U3" s="620"/>
      <c r="V3" s="619"/>
      <c r="W3" s="7"/>
      <c r="X3" s="7"/>
    </row>
    <row r="4" spans="1:26" ht="18" customHeight="1">
      <c r="A4" s="633"/>
      <c r="B4" s="634"/>
      <c r="C4" s="634"/>
      <c r="D4" s="634"/>
      <c r="E4" s="634"/>
      <c r="F4" s="634"/>
      <c r="G4" s="635"/>
      <c r="H4" s="648"/>
      <c r="I4" s="649"/>
      <c r="J4" s="649"/>
      <c r="K4" s="649"/>
      <c r="L4" s="649"/>
      <c r="M4" s="649"/>
      <c r="N4" s="650"/>
      <c r="O4" s="612"/>
      <c r="P4" s="613"/>
      <c r="Q4" s="614"/>
      <c r="R4" s="774"/>
      <c r="S4" s="775"/>
      <c r="T4" s="775"/>
      <c r="U4" s="775"/>
      <c r="V4" s="776"/>
      <c r="W4" s="7"/>
      <c r="X4" s="7"/>
    </row>
    <row r="5" spans="1:26" ht="18" customHeight="1">
      <c r="A5" s="618"/>
      <c r="B5" s="619"/>
      <c r="C5" s="25"/>
      <c r="D5" s="618"/>
      <c r="E5" s="620"/>
      <c r="F5" s="619"/>
      <c r="G5" s="25"/>
      <c r="H5" s="621"/>
      <c r="I5" s="622"/>
      <c r="J5" s="622"/>
      <c r="K5" s="622"/>
      <c r="L5" s="622"/>
      <c r="M5" s="622"/>
      <c r="N5" s="623"/>
      <c r="O5" s="624"/>
      <c r="P5" s="625"/>
      <c r="Q5" s="626"/>
      <c r="R5" s="774"/>
      <c r="S5" s="775"/>
      <c r="T5" s="775"/>
      <c r="U5" s="775"/>
      <c r="V5" s="776"/>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892">
        <v>6</v>
      </c>
      <c r="T10" s="893"/>
      <c r="U10" s="47" t="s">
        <v>139</v>
      </c>
      <c r="V10" s="112" t="s">
        <v>140</v>
      </c>
    </row>
    <row r="11" spans="1:26" s="7" customFormat="1" ht="18" customHeight="1">
      <c r="A11" s="114"/>
      <c r="C11" s="14" t="s">
        <v>141</v>
      </c>
      <c r="Q11" s="120" t="s">
        <v>142</v>
      </c>
      <c r="R11" s="123" t="s">
        <v>138</v>
      </c>
      <c r="S11" s="894">
        <v>3.69</v>
      </c>
      <c r="T11" s="895"/>
      <c r="U11" s="47" t="s">
        <v>143</v>
      </c>
      <c r="V11" s="112"/>
      <c r="X11" s="7">
        <v>7.41</v>
      </c>
    </row>
    <row r="12" spans="1:26" s="7" customFormat="1" ht="18" customHeight="1">
      <c r="A12" s="114"/>
      <c r="C12" s="14" t="s">
        <v>144</v>
      </c>
      <c r="G12" s="124"/>
      <c r="H12" s="124"/>
      <c r="I12" s="7" t="s">
        <v>145</v>
      </c>
      <c r="Q12" s="120" t="s">
        <v>146</v>
      </c>
      <c r="R12" s="121" t="s">
        <v>138</v>
      </c>
      <c r="S12" s="890">
        <v>3.9300000000000003E-3</v>
      </c>
      <c r="T12" s="890"/>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733">
        <f>S11*(1+S12*(75-20))</f>
        <v>4.4875935</v>
      </c>
      <c r="T15" s="733"/>
      <c r="U15" s="47" t="s">
        <v>143</v>
      </c>
      <c r="V15" s="112"/>
      <c r="X15" s="7">
        <f>S11*(1+S12*(75-20))</f>
        <v>4.4875935</v>
      </c>
      <c r="Z15" s="7">
        <v>5.61</v>
      </c>
    </row>
    <row r="16" spans="1:26" s="7" customFormat="1" ht="18" customHeight="1">
      <c r="A16" s="114"/>
      <c r="C16" s="14" t="s">
        <v>151</v>
      </c>
      <c r="Q16" s="120" t="s">
        <v>152</v>
      </c>
      <c r="R16" s="121" t="s">
        <v>138</v>
      </c>
      <c r="S16" s="733">
        <f>S15/1000</f>
        <v>4.4875935000000004E-3</v>
      </c>
      <c r="T16" s="733"/>
      <c r="U16" s="47" t="s">
        <v>153</v>
      </c>
      <c r="V16" s="112"/>
    </row>
    <row r="17" spans="1:26" s="7" customFormat="1" ht="18" customHeight="1">
      <c r="A17" s="114"/>
      <c r="C17" s="14" t="s">
        <v>154</v>
      </c>
      <c r="Q17" s="120" t="s">
        <v>155</v>
      </c>
      <c r="R17" s="121" t="s">
        <v>138</v>
      </c>
      <c r="S17" s="890">
        <v>1</v>
      </c>
      <c r="T17" s="891"/>
      <c r="U17" s="47" t="s">
        <v>9</v>
      </c>
      <c r="V17" s="112"/>
    </row>
    <row r="18" spans="1:26" s="7" customFormat="1" ht="18" customHeight="1">
      <c r="A18" s="114"/>
      <c r="C18" s="14" t="s">
        <v>156</v>
      </c>
      <c r="Q18" s="120" t="s">
        <v>157</v>
      </c>
      <c r="R18" s="121" t="s">
        <v>138</v>
      </c>
      <c r="S18" s="890">
        <v>1</v>
      </c>
      <c r="T18" s="891"/>
      <c r="U18" s="47" t="s">
        <v>9</v>
      </c>
      <c r="V18" s="112"/>
    </row>
    <row r="19" spans="1:26" s="7" customFormat="1" ht="18" customHeight="1">
      <c r="A19" s="114"/>
      <c r="C19" s="14" t="s">
        <v>158</v>
      </c>
      <c r="J19" s="126"/>
      <c r="K19" s="126"/>
      <c r="Q19" s="120" t="s">
        <v>159</v>
      </c>
      <c r="R19" s="121" t="s">
        <v>138</v>
      </c>
      <c r="S19" s="890">
        <v>50</v>
      </c>
      <c r="T19" s="891"/>
      <c r="U19" s="47" t="s">
        <v>160</v>
      </c>
      <c r="V19" s="112" t="s">
        <v>140</v>
      </c>
    </row>
    <row r="20" spans="1:26" s="7" customFormat="1" ht="18" customHeight="1">
      <c r="A20" s="114"/>
      <c r="C20" s="14" t="s">
        <v>161</v>
      </c>
      <c r="Q20" s="120" t="s">
        <v>162</v>
      </c>
      <c r="R20" s="121" t="s">
        <v>138</v>
      </c>
      <c r="S20" s="896">
        <f>S16*S19</f>
        <v>0.22437967500000003</v>
      </c>
      <c r="T20" s="896"/>
      <c r="U20" s="47" t="s">
        <v>163</v>
      </c>
      <c r="V20" s="112"/>
    </row>
    <row r="21" spans="1:26" s="7" customFormat="1" ht="18" customHeight="1">
      <c r="A21" s="114"/>
      <c r="C21" s="14" t="s">
        <v>164</v>
      </c>
      <c r="Q21" s="120" t="s">
        <v>165</v>
      </c>
      <c r="R21" s="121" t="s">
        <v>138</v>
      </c>
      <c r="S21" s="896">
        <f>2*S16*S19</f>
        <v>0.44875935000000006</v>
      </c>
      <c r="T21" s="896"/>
      <c r="U21" s="47" t="s">
        <v>163</v>
      </c>
      <c r="V21" s="112"/>
      <c r="X21" s="7">
        <f>2*S16*S19</f>
        <v>0.44875935000000006</v>
      </c>
      <c r="Z21" s="7">
        <f>2*S16*S19</f>
        <v>0.44875935000000006</v>
      </c>
    </row>
    <row r="22" spans="1:26" s="7" customFormat="1" ht="18" customHeight="1">
      <c r="A22" s="114"/>
      <c r="C22" s="14" t="s">
        <v>166</v>
      </c>
      <c r="Q22" s="120" t="s">
        <v>167</v>
      </c>
      <c r="R22" s="121" t="s">
        <v>138</v>
      </c>
      <c r="S22" s="896">
        <f>S17*S17*S21</f>
        <v>0.44875935000000006</v>
      </c>
      <c r="T22" s="896"/>
      <c r="U22" s="47" t="s">
        <v>168</v>
      </c>
      <c r="V22" s="112"/>
      <c r="X22" s="7">
        <f>S17*S17*S21</f>
        <v>0.44875935000000006</v>
      </c>
    </row>
    <row r="23" spans="1:26" s="128" customFormat="1" ht="18" customHeight="1">
      <c r="A23" s="127"/>
      <c r="C23" s="129"/>
      <c r="Q23" s="130"/>
      <c r="R23" s="131"/>
      <c r="S23" s="132"/>
      <c r="T23" s="132"/>
      <c r="U23" s="133"/>
      <c r="V23" s="134"/>
    </row>
    <row r="24" spans="1:26" s="128" customFormat="1" ht="18" hidden="1" customHeight="1">
      <c r="A24" s="127"/>
      <c r="C24" s="889" t="s">
        <v>78</v>
      </c>
      <c r="D24" s="889"/>
      <c r="E24" s="889"/>
      <c r="F24" s="889"/>
      <c r="G24" s="889"/>
      <c r="H24" s="889"/>
      <c r="I24" s="889"/>
      <c r="J24" s="889"/>
      <c r="K24" s="889"/>
      <c r="L24" s="889"/>
      <c r="M24" s="889"/>
      <c r="N24" s="889"/>
      <c r="O24" s="889"/>
      <c r="Q24" s="130"/>
      <c r="R24" s="131"/>
      <c r="S24" s="875">
        <f>S16*165</f>
        <v>0.74045292750000002</v>
      </c>
      <c r="T24" s="876"/>
      <c r="U24" s="308" t="s">
        <v>168</v>
      </c>
      <c r="V24" s="134"/>
    </row>
    <row r="25" spans="1:26" s="7" customFormat="1" ht="18" hidden="1" customHeight="1">
      <c r="A25" s="96"/>
      <c r="C25" s="889"/>
      <c r="D25" s="889"/>
      <c r="E25" s="889"/>
      <c r="F25" s="889"/>
      <c r="G25" s="889"/>
      <c r="H25" s="889"/>
      <c r="I25" s="889"/>
      <c r="J25" s="889"/>
      <c r="K25" s="889"/>
      <c r="L25" s="889"/>
      <c r="M25" s="889"/>
      <c r="N25" s="889"/>
      <c r="O25" s="889"/>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892">
        <v>2.5</v>
      </c>
      <c r="T28" s="893"/>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894">
        <v>7.41</v>
      </c>
      <c r="T29" s="895"/>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890">
        <v>3.9300000000000003E-3</v>
      </c>
      <c r="T30" s="890"/>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733">
        <f>S29*(1+S30*(75-20))</f>
        <v>9.0116715000000003</v>
      </c>
      <c r="T33" s="733"/>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733">
        <f>S33/1000</f>
        <v>9.0116715000000003E-3</v>
      </c>
      <c r="T34" s="733"/>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890" t="s">
        <v>937</v>
      </c>
      <c r="T35" s="891"/>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890" t="s">
        <v>177</v>
      </c>
      <c r="T36" s="891"/>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890">
        <v>150</v>
      </c>
      <c r="T37" s="891"/>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896">
        <f>S34*S37</f>
        <v>1.351750725</v>
      </c>
      <c r="T38" s="896"/>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896">
        <f>2*S34*S37</f>
        <v>2.7035014500000001</v>
      </c>
      <c r="T39" s="896"/>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898" t="s">
        <v>183</v>
      </c>
      <c r="R47" s="898"/>
      <c r="S47" s="899" t="s">
        <v>184</v>
      </c>
      <c r="T47" s="899"/>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897">
        <v>0.02</v>
      </c>
      <c r="R48" s="897"/>
      <c r="S48" s="897">
        <v>0.02</v>
      </c>
      <c r="T48" s="897"/>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897">
        <v>0.01</v>
      </c>
      <c r="R49" s="897"/>
      <c r="S49" s="897">
        <v>0.15</v>
      </c>
      <c r="T49" s="897"/>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897">
        <v>0.1</v>
      </c>
      <c r="R50" s="897"/>
      <c r="S50" s="897">
        <v>0.5</v>
      </c>
      <c r="T50" s="897"/>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897">
        <v>0.02</v>
      </c>
      <c r="R51" s="897"/>
      <c r="S51" s="897">
        <v>0.02</v>
      </c>
      <c r="T51" s="897"/>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897">
        <v>0.1</v>
      </c>
      <c r="R52" s="897"/>
      <c r="S52" s="897">
        <v>0.5</v>
      </c>
      <c r="T52" s="897"/>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897">
        <v>0.02</v>
      </c>
      <c r="R53" s="897"/>
      <c r="S53" s="897">
        <v>0.5</v>
      </c>
      <c r="T53" s="897"/>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881">
        <v>0.02</v>
      </c>
      <c r="R54" s="882"/>
      <c r="S54" s="881">
        <v>0.05</v>
      </c>
      <c r="T54" s="882"/>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881">
        <v>0.02</v>
      </c>
      <c r="R55" s="882"/>
      <c r="S55" s="881">
        <v>0.05</v>
      </c>
      <c r="T55" s="882"/>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881" t="s">
        <v>7</v>
      </c>
      <c r="R56" s="882"/>
      <c r="S56" s="881">
        <v>0.1</v>
      </c>
      <c r="T56" s="882"/>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881">
        <v>0.2</v>
      </c>
      <c r="R57" s="882"/>
      <c r="S57" s="881"/>
      <c r="T57" s="882"/>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897">
        <v>0.1</v>
      </c>
      <c r="R58" s="897"/>
      <c r="S58" s="897">
        <v>0.1</v>
      </c>
      <c r="T58" s="897"/>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897">
        <v>0.1</v>
      </c>
      <c r="R59" s="897"/>
      <c r="S59" s="897">
        <v>0.1</v>
      </c>
      <c r="T59" s="897"/>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881"/>
      <c r="R60" s="882"/>
      <c r="S60" s="881"/>
      <c r="T60" s="882"/>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881">
        <v>0.1</v>
      </c>
      <c r="R61" s="882"/>
      <c r="S61" s="881">
        <v>0.1</v>
      </c>
      <c r="T61" s="882"/>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897">
        <v>0.05</v>
      </c>
      <c r="R62" s="897"/>
      <c r="S62" s="897">
        <v>0.1</v>
      </c>
      <c r="T62" s="897"/>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897">
        <v>0.1</v>
      </c>
      <c r="R63" s="897"/>
      <c r="S63" s="897">
        <v>0.1</v>
      </c>
      <c r="T63" s="897"/>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897" t="s">
        <v>7</v>
      </c>
      <c r="R64" s="897"/>
      <c r="S64" s="897">
        <v>1</v>
      </c>
      <c r="T64" s="897"/>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897">
        <v>0.05</v>
      </c>
      <c r="R65" s="897"/>
      <c r="S65" s="897" t="s">
        <v>7</v>
      </c>
      <c r="T65" s="897"/>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881">
        <v>0.05</v>
      </c>
      <c r="R66" s="882"/>
      <c r="S66" s="881" t="s">
        <v>7</v>
      </c>
      <c r="T66" s="882"/>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881">
        <v>0.1</v>
      </c>
      <c r="R67" s="882"/>
      <c r="S67" s="881" t="s">
        <v>7</v>
      </c>
      <c r="T67" s="882"/>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900"/>
      <c r="R68" s="900"/>
      <c r="S68" s="901"/>
      <c r="T68" s="901"/>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881">
        <v>0.04</v>
      </c>
      <c r="R69" s="882"/>
      <c r="S69" s="881" t="s">
        <v>7</v>
      </c>
      <c r="T69" s="882"/>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897">
        <v>0.1</v>
      </c>
      <c r="R70" s="897"/>
      <c r="S70" s="897">
        <v>0.3</v>
      </c>
      <c r="T70" s="897"/>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897">
        <v>1</v>
      </c>
      <c r="R71" s="897"/>
      <c r="S71" s="897" t="s">
        <v>7</v>
      </c>
      <c r="T71" s="897"/>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897">
        <v>2E-3</v>
      </c>
      <c r="R72" s="897"/>
      <c r="S72" s="897" t="s">
        <v>7</v>
      </c>
      <c r="T72" s="897"/>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897">
        <v>0.15</v>
      </c>
      <c r="R73" s="897"/>
      <c r="S73" s="897">
        <v>0.02</v>
      </c>
      <c r="T73" s="897"/>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881">
        <v>0.1</v>
      </c>
      <c r="R74" s="882"/>
      <c r="S74" s="881" t="s">
        <v>7</v>
      </c>
      <c r="T74" s="882"/>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881">
        <v>0.1</v>
      </c>
      <c r="R75" s="882"/>
      <c r="S75" s="881">
        <v>0.1</v>
      </c>
      <c r="T75" s="882"/>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881">
        <v>0.1</v>
      </c>
      <c r="R76" s="882"/>
      <c r="S76" s="881">
        <v>0.1</v>
      </c>
      <c r="T76" s="882"/>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881">
        <v>0.01</v>
      </c>
      <c r="R77" s="882"/>
      <c r="S77" s="881">
        <v>0.1</v>
      </c>
      <c r="T77" s="882"/>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897">
        <v>0.1</v>
      </c>
      <c r="R78" s="897"/>
      <c r="S78" s="897">
        <v>0.1</v>
      </c>
      <c r="T78" s="897"/>
      <c r="U78" s="153" t="s">
        <v>168</v>
      </c>
      <c r="V78" s="154"/>
      <c r="Z78" s="902"/>
      <c r="AA78" s="903"/>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897">
        <v>0.01</v>
      </c>
      <c r="R79" s="897"/>
      <c r="S79" s="897">
        <v>0.1</v>
      </c>
      <c r="T79" s="897"/>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881"/>
      <c r="R80" s="882"/>
      <c r="S80" s="881">
        <v>4</v>
      </c>
      <c r="T80" s="882"/>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904"/>
      <c r="R81" s="904"/>
      <c r="S81" s="904">
        <v>0.3</v>
      </c>
      <c r="T81" s="904"/>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897"/>
      <c r="R82" s="897"/>
      <c r="S82" s="897">
        <v>0.3</v>
      </c>
      <c r="T82" s="897"/>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897">
        <v>0.1</v>
      </c>
      <c r="R83" s="897"/>
      <c r="S83" s="897">
        <v>0.1</v>
      </c>
      <c r="T83" s="897"/>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881">
        <v>0.13</v>
      </c>
      <c r="R84" s="882"/>
      <c r="S84" s="881">
        <v>0.13</v>
      </c>
      <c r="T84" s="882"/>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881">
        <v>8.0000000000000002E-3</v>
      </c>
      <c r="R85" s="882"/>
      <c r="S85" s="881">
        <v>2.7</v>
      </c>
      <c r="T85" s="882"/>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881">
        <v>0.25</v>
      </c>
      <c r="R86" s="882"/>
      <c r="S86" s="881"/>
      <c r="T86" s="882"/>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881">
        <v>0.2</v>
      </c>
      <c r="R88" s="882"/>
      <c r="S88" s="881">
        <v>0.1</v>
      </c>
      <c r="T88" s="882"/>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897">
        <v>0.1</v>
      </c>
      <c r="R89" s="897"/>
      <c r="S89" s="897">
        <v>0.1</v>
      </c>
      <c r="T89" s="897"/>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897"/>
      <c r="R90" s="897"/>
      <c r="S90" s="897">
        <v>2.2999999999999998</v>
      </c>
      <c r="T90" s="897"/>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897">
        <v>0.1</v>
      </c>
      <c r="R91" s="897"/>
      <c r="S91" s="881">
        <v>0.1</v>
      </c>
      <c r="T91" s="882"/>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881">
        <v>5.8000000000000003E-2</v>
      </c>
      <c r="R92" s="882"/>
      <c r="S92" s="897">
        <v>0.378</v>
      </c>
      <c r="T92" s="897"/>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897">
        <v>0.2</v>
      </c>
      <c r="R93" s="897"/>
      <c r="S93" s="897"/>
      <c r="T93" s="897"/>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897"/>
      <c r="R94" s="897"/>
      <c r="S94" s="897"/>
      <c r="T94" s="897"/>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881"/>
      <c r="R96" s="882"/>
      <c r="S96" s="881">
        <v>3.75</v>
      </c>
      <c r="T96" s="882"/>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881">
        <v>1.25</v>
      </c>
      <c r="R97" s="882"/>
      <c r="S97" s="881"/>
      <c r="T97" s="882"/>
      <c r="U97" s="153" t="s">
        <v>168</v>
      </c>
      <c r="V97" s="154"/>
    </row>
    <row r="98" spans="1:22" s="7" customFormat="1" ht="18.600000000000001" customHeight="1">
      <c r="A98" s="159"/>
      <c r="B98" s="149"/>
      <c r="C98" s="880" t="s">
        <v>918</v>
      </c>
      <c r="D98" s="880"/>
      <c r="E98" s="149"/>
      <c r="F98" s="149"/>
      <c r="G98" s="149"/>
      <c r="H98" s="149"/>
      <c r="I98" s="149"/>
      <c r="J98" s="149"/>
      <c r="K98" s="149"/>
      <c r="L98" s="149"/>
      <c r="M98" s="149"/>
      <c r="N98" s="880" t="s">
        <v>851</v>
      </c>
      <c r="O98" s="880"/>
      <c r="P98" s="149"/>
      <c r="Q98" s="881">
        <v>0.1</v>
      </c>
      <c r="R98" s="882"/>
      <c r="S98" s="883"/>
      <c r="T98" s="882"/>
      <c r="U98" s="153"/>
      <c r="V98" s="154"/>
    </row>
    <row r="99" spans="1:22" s="7" customFormat="1" ht="18" customHeight="1">
      <c r="A99" s="159"/>
      <c r="C99" s="884" t="s">
        <v>921</v>
      </c>
      <c r="D99" s="885"/>
      <c r="N99" s="884" t="s">
        <v>920</v>
      </c>
      <c r="O99" s="885"/>
      <c r="Q99" s="615">
        <v>0.02</v>
      </c>
      <c r="R99" s="617"/>
      <c r="S99" s="615"/>
      <c r="T99" s="617"/>
      <c r="U99" s="47"/>
      <c r="V99" s="112"/>
    </row>
    <row r="100" spans="1:22" s="7" customFormat="1" ht="18" customHeight="1">
      <c r="A100" s="159"/>
      <c r="C100" s="884" t="s">
        <v>934</v>
      </c>
      <c r="D100" s="885"/>
      <c r="N100" s="884" t="s">
        <v>933</v>
      </c>
      <c r="O100" s="885"/>
      <c r="Q100" s="615">
        <v>0.04</v>
      </c>
      <c r="R100" s="617"/>
      <c r="S100" s="615"/>
      <c r="T100" s="617"/>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 ref="S82:T82"/>
    <mergeCell ref="Q83:R83"/>
    <mergeCell ref="S83:T83"/>
    <mergeCell ref="Q85:R85"/>
    <mergeCell ref="S85:T85"/>
    <mergeCell ref="Q79:R79"/>
    <mergeCell ref="S79:T79"/>
    <mergeCell ref="Q80:R80"/>
    <mergeCell ref="S80:T80"/>
    <mergeCell ref="Q81:R81"/>
    <mergeCell ref="S81:T81"/>
    <mergeCell ref="Q75:R75"/>
    <mergeCell ref="S75:T75"/>
    <mergeCell ref="Q76:R76"/>
    <mergeCell ref="Q78:R78"/>
    <mergeCell ref="S78:T78"/>
    <mergeCell ref="Z78:AA78"/>
    <mergeCell ref="Q72:R72"/>
    <mergeCell ref="S72:T72"/>
    <mergeCell ref="Q73:R73"/>
    <mergeCell ref="S73:T73"/>
    <mergeCell ref="Q74:R74"/>
    <mergeCell ref="S74:T74"/>
    <mergeCell ref="Q69:R69"/>
    <mergeCell ref="S69:T69"/>
    <mergeCell ref="Q70:R70"/>
    <mergeCell ref="S70:T70"/>
    <mergeCell ref="Q71:R71"/>
    <mergeCell ref="S71:T71"/>
    <mergeCell ref="Q66:R66"/>
    <mergeCell ref="S66:T66"/>
    <mergeCell ref="Q67:R67"/>
    <mergeCell ref="S67:T67"/>
    <mergeCell ref="Q68:R68"/>
    <mergeCell ref="S68:T68"/>
    <mergeCell ref="Q63:R63"/>
    <mergeCell ref="S63:T63"/>
    <mergeCell ref="Q64:R64"/>
    <mergeCell ref="S64:T64"/>
    <mergeCell ref="Q65:R65"/>
    <mergeCell ref="S65:T65"/>
    <mergeCell ref="Q60:R60"/>
    <mergeCell ref="S60:T60"/>
    <mergeCell ref="Q61:R61"/>
    <mergeCell ref="S61:T61"/>
    <mergeCell ref="Q62:R62"/>
    <mergeCell ref="S62:T62"/>
    <mergeCell ref="Q58:R58"/>
    <mergeCell ref="S58:T58"/>
    <mergeCell ref="Q59:R59"/>
    <mergeCell ref="S59:T59"/>
    <mergeCell ref="Q54:R54"/>
    <mergeCell ref="S54:T54"/>
    <mergeCell ref="Q55:R55"/>
    <mergeCell ref="S55:T55"/>
    <mergeCell ref="Q56:R56"/>
    <mergeCell ref="S56:T56"/>
    <mergeCell ref="Q53:R53"/>
    <mergeCell ref="S53:T53"/>
    <mergeCell ref="S48:T48"/>
    <mergeCell ref="Q49:R49"/>
    <mergeCell ref="S49:T49"/>
    <mergeCell ref="Q50:R50"/>
    <mergeCell ref="S50:T50"/>
    <mergeCell ref="Q57:R57"/>
    <mergeCell ref="S57:T57"/>
    <mergeCell ref="S10:T10"/>
    <mergeCell ref="S11:T11"/>
    <mergeCell ref="S12:T12"/>
    <mergeCell ref="S15:T15"/>
    <mergeCell ref="S16:T16"/>
    <mergeCell ref="S17:T17"/>
    <mergeCell ref="Q51:R51"/>
    <mergeCell ref="S51:T51"/>
    <mergeCell ref="Q52:R52"/>
    <mergeCell ref="S52:T52"/>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98:D98"/>
    <mergeCell ref="N98:O98"/>
    <mergeCell ref="Q98:R98"/>
    <mergeCell ref="S98:T98"/>
    <mergeCell ref="C99:D99"/>
    <mergeCell ref="N99:O99"/>
    <mergeCell ref="Q99:R99"/>
    <mergeCell ref="S99:T99"/>
    <mergeCell ref="Q97:R97"/>
    <mergeCell ref="S97:T97"/>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29" zoomScale="115" zoomScaleNormal="100" zoomScaleSheetLayoutView="115" workbookViewId="0">
      <selection activeCell="M49" sqref="M49"/>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27"/>
      <c r="B1" s="628"/>
      <c r="C1" s="628"/>
      <c r="D1" s="628"/>
      <c r="E1" s="628"/>
      <c r="F1" s="628"/>
      <c r="G1" s="629"/>
      <c r="H1" s="636"/>
      <c r="I1" s="637"/>
      <c r="J1" s="637"/>
      <c r="K1" s="637"/>
      <c r="L1" s="637"/>
      <c r="M1" s="637"/>
      <c r="N1" s="638"/>
      <c r="O1" s="612"/>
      <c r="P1" s="613"/>
      <c r="Q1" s="614"/>
      <c r="R1" s="615"/>
      <c r="S1" s="616"/>
      <c r="T1" s="616"/>
      <c r="U1" s="616"/>
      <c r="V1" s="617"/>
      <c r="W1" s="7"/>
      <c r="X1" s="7"/>
    </row>
    <row r="2" spans="1:24" ht="18" customHeight="1">
      <c r="A2" s="630"/>
      <c r="B2" s="631"/>
      <c r="C2" s="631"/>
      <c r="D2" s="631"/>
      <c r="E2" s="631"/>
      <c r="F2" s="631"/>
      <c r="G2" s="632"/>
      <c r="H2" s="886" t="s">
        <v>988</v>
      </c>
      <c r="I2" s="919"/>
      <c r="J2" s="919"/>
      <c r="K2" s="919"/>
      <c r="L2" s="919"/>
      <c r="M2" s="919"/>
      <c r="N2" s="920"/>
      <c r="O2" s="612"/>
      <c r="P2" s="613"/>
      <c r="Q2" s="614"/>
      <c r="R2" s="642"/>
      <c r="S2" s="616"/>
      <c r="T2" s="616"/>
      <c r="U2" s="616"/>
      <c r="V2" s="617"/>
      <c r="W2" s="7"/>
      <c r="X2" s="7"/>
    </row>
    <row r="3" spans="1:24" ht="18" customHeight="1">
      <c r="A3" s="630"/>
      <c r="B3" s="631"/>
      <c r="C3" s="631"/>
      <c r="D3" s="631"/>
      <c r="E3" s="631"/>
      <c r="F3" s="631"/>
      <c r="G3" s="632"/>
      <c r="H3" s="921"/>
      <c r="I3" s="919"/>
      <c r="J3" s="919"/>
      <c r="K3" s="919"/>
      <c r="L3" s="919"/>
      <c r="M3" s="919"/>
      <c r="N3" s="920"/>
      <c r="O3" s="612"/>
      <c r="P3" s="613"/>
      <c r="Q3" s="614"/>
      <c r="R3" s="615"/>
      <c r="S3" s="616"/>
      <c r="T3" s="616"/>
      <c r="U3" s="616"/>
      <c r="V3" s="617"/>
      <c r="W3" s="7"/>
      <c r="X3" s="7"/>
    </row>
    <row r="4" spans="1:24" ht="18" customHeight="1">
      <c r="A4" s="633"/>
      <c r="B4" s="634"/>
      <c r="C4" s="634"/>
      <c r="D4" s="634"/>
      <c r="E4" s="634"/>
      <c r="F4" s="634"/>
      <c r="G4" s="635"/>
      <c r="H4" s="639"/>
      <c r="I4" s="640"/>
      <c r="J4" s="640"/>
      <c r="K4" s="640"/>
      <c r="L4" s="640"/>
      <c r="M4" s="640"/>
      <c r="N4" s="641"/>
      <c r="O4" s="612"/>
      <c r="P4" s="613"/>
      <c r="Q4" s="614"/>
      <c r="R4" s="615"/>
      <c r="S4" s="616"/>
      <c r="T4" s="616"/>
      <c r="U4" s="616"/>
      <c r="V4" s="617"/>
      <c r="W4" s="7"/>
      <c r="X4" s="7"/>
    </row>
    <row r="5" spans="1:24" ht="22.95" customHeight="1">
      <c r="A5" s="618"/>
      <c r="B5" s="619"/>
      <c r="C5" s="25"/>
      <c r="D5" s="618"/>
      <c r="E5" s="620"/>
      <c r="F5" s="619"/>
      <c r="G5" s="25"/>
      <c r="H5" s="621"/>
      <c r="I5" s="622"/>
      <c r="J5" s="622"/>
      <c r="K5" s="622"/>
      <c r="L5" s="622"/>
      <c r="M5" s="622"/>
      <c r="N5" s="623"/>
      <c r="O5" s="624"/>
      <c r="P5" s="625"/>
      <c r="Q5" s="626"/>
      <c r="R5" s="615"/>
      <c r="S5" s="616"/>
      <c r="T5" s="616"/>
      <c r="U5" s="616"/>
      <c r="V5" s="617"/>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890">
        <v>50</v>
      </c>
      <c r="R8" s="907"/>
      <c r="S8" s="14" t="s">
        <v>275</v>
      </c>
      <c r="T8" s="369"/>
      <c r="U8" s="370"/>
      <c r="V8" s="363"/>
    </row>
    <row r="9" spans="1:24" s="7" customFormat="1" ht="18" customHeight="1">
      <c r="A9" s="96"/>
      <c r="B9" s="371"/>
      <c r="C9" s="30" t="s">
        <v>276</v>
      </c>
      <c r="O9" s="167"/>
      <c r="P9" s="167"/>
      <c r="Q9" s="890">
        <v>33</v>
      </c>
      <c r="R9" s="907"/>
      <c r="S9" s="14" t="s">
        <v>174</v>
      </c>
      <c r="T9" s="167"/>
      <c r="U9" s="370"/>
      <c r="V9" s="363"/>
    </row>
    <row r="10" spans="1:24" s="7" customFormat="1" ht="18" customHeight="1">
      <c r="A10" s="96"/>
      <c r="C10" s="30" t="s">
        <v>277</v>
      </c>
      <c r="O10" s="167"/>
      <c r="P10" s="167"/>
      <c r="Q10" s="890">
        <v>50</v>
      </c>
      <c r="R10" s="907"/>
      <c r="S10" s="14" t="s">
        <v>278</v>
      </c>
      <c r="T10" s="167"/>
      <c r="U10" s="370"/>
      <c r="V10" s="363"/>
    </row>
    <row r="11" spans="1:24" s="7" customFormat="1" ht="18" customHeight="1">
      <c r="A11" s="96"/>
      <c r="C11" s="30" t="s">
        <v>279</v>
      </c>
      <c r="D11" s="14"/>
      <c r="N11" s="167"/>
      <c r="O11" s="167"/>
      <c r="P11" s="167"/>
      <c r="Q11" s="890">
        <v>15</v>
      </c>
      <c r="R11" s="907"/>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890">
        <v>132</v>
      </c>
      <c r="R12" s="907"/>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890">
        <v>40</v>
      </c>
      <c r="R13" s="907"/>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911"/>
      <c r="R14" s="912"/>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913">
        <v>240</v>
      </c>
      <c r="K17" s="914"/>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915">
        <v>0.223</v>
      </c>
      <c r="R20" s="916"/>
      <c r="S20" s="47" t="s">
        <v>295</v>
      </c>
      <c r="T20" s="369"/>
      <c r="U20" s="370"/>
      <c r="V20" s="363"/>
    </row>
    <row r="21" spans="1:22" s="7" customFormat="1" ht="18" customHeight="1">
      <c r="A21" s="284"/>
      <c r="B21" s="167"/>
      <c r="C21" s="47" t="s">
        <v>296</v>
      </c>
      <c r="D21" s="167"/>
      <c r="O21" s="28" t="s">
        <v>297</v>
      </c>
      <c r="P21" s="102" t="s">
        <v>138</v>
      </c>
      <c r="Q21" s="915">
        <v>0.18</v>
      </c>
      <c r="R21" s="891"/>
      <c r="S21" s="47" t="s">
        <v>295</v>
      </c>
      <c r="T21" s="369"/>
      <c r="U21" s="370"/>
      <c r="V21" s="363"/>
    </row>
    <row r="22" spans="1:22" s="7" customFormat="1" ht="18" customHeight="1">
      <c r="A22" s="284"/>
      <c r="B22" s="167"/>
      <c r="C22" s="47" t="s">
        <v>298</v>
      </c>
      <c r="D22" s="167"/>
      <c r="O22" s="28" t="s">
        <v>299</v>
      </c>
      <c r="P22" s="102" t="s">
        <v>138</v>
      </c>
      <c r="Q22" s="915">
        <v>0.15</v>
      </c>
      <c r="R22" s="891"/>
      <c r="S22" s="47" t="s">
        <v>295</v>
      </c>
      <c r="T22" s="167"/>
      <c r="U22" s="370"/>
      <c r="V22" s="363"/>
    </row>
    <row r="23" spans="1:22" s="7" customFormat="1" ht="18" customHeight="1">
      <c r="A23" s="284"/>
      <c r="B23" s="167"/>
      <c r="C23" s="47" t="s">
        <v>300</v>
      </c>
      <c r="D23" s="370"/>
      <c r="O23" s="28" t="s">
        <v>301</v>
      </c>
      <c r="P23" s="102" t="s">
        <v>138</v>
      </c>
      <c r="Q23" s="915">
        <v>0.08</v>
      </c>
      <c r="R23" s="891"/>
      <c r="S23" s="47" t="s">
        <v>295</v>
      </c>
      <c r="T23" s="369"/>
      <c r="U23" s="370"/>
      <c r="V23" s="363"/>
    </row>
    <row r="24" spans="1:22" s="7" customFormat="1" ht="18" customHeight="1">
      <c r="A24" s="284"/>
      <c r="B24" s="370"/>
      <c r="C24" s="47" t="s">
        <v>302</v>
      </c>
      <c r="D24" s="167"/>
      <c r="E24" s="167"/>
      <c r="F24" s="167"/>
      <c r="G24" s="167"/>
      <c r="O24" s="121"/>
      <c r="P24" s="102" t="s">
        <v>138</v>
      </c>
      <c r="Q24" s="908">
        <v>1.2</v>
      </c>
      <c r="R24" s="895"/>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909">
        <f>Q20/N17</f>
        <v>0.223</v>
      </c>
      <c r="M26" s="664"/>
      <c r="N26" s="102" t="s">
        <v>306</v>
      </c>
      <c r="O26" s="909">
        <f>Q21/N17</f>
        <v>0.18</v>
      </c>
      <c r="P26" s="664"/>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909">
        <f>Q22/N17</f>
        <v>0.15</v>
      </c>
      <c r="M27" s="664"/>
      <c r="N27" s="102" t="s">
        <v>306</v>
      </c>
      <c r="O27" s="909">
        <f>Q23/N17</f>
        <v>0.08</v>
      </c>
      <c r="P27" s="664"/>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910">
        <f>L26*Q24</f>
        <v>0.2676</v>
      </c>
      <c r="M28" s="910"/>
      <c r="N28" s="102" t="s">
        <v>306</v>
      </c>
      <c r="O28" s="910">
        <f>O26*Q24</f>
        <v>0.216</v>
      </c>
      <c r="P28" s="910"/>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910">
        <f>L27*Q24</f>
        <v>0.18</v>
      </c>
      <c r="M29" s="910"/>
      <c r="N29" s="102" t="s">
        <v>306</v>
      </c>
      <c r="O29" s="910">
        <f>O27*Q24</f>
        <v>9.6000000000000002E-2</v>
      </c>
      <c r="P29" s="910"/>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664">
        <f>Q10*1000</f>
        <v>50000</v>
      </c>
      <c r="R32" s="664"/>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664">
        <f>Q9*1000</f>
        <v>33000</v>
      </c>
      <c r="R33" s="664"/>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664">
        <f>Q13*1000</f>
        <v>40000</v>
      </c>
      <c r="R34" s="664"/>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664">
        <f>Q12*1000</f>
        <v>132000</v>
      </c>
      <c r="R35" s="664"/>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917">
        <v>1</v>
      </c>
      <c r="R37" s="918"/>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906">
        <f>(Q33*Q37)/(SQRT(3)*Q32)</f>
        <v>0.38105117766515306</v>
      </c>
      <c r="R38" s="906"/>
      <c r="S38" s="14" t="s">
        <v>163</v>
      </c>
      <c r="T38" s="369"/>
      <c r="U38" s="167"/>
      <c r="V38" s="363"/>
      <c r="Z38" s="902"/>
      <c r="AA38" s="903"/>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922"/>
      <c r="R39" s="664"/>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664">
        <f>Q11</f>
        <v>15</v>
      </c>
      <c r="R40" s="664"/>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664">
        <f>Q8</f>
        <v>50</v>
      </c>
      <c r="R41" s="664"/>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664"/>
      <c r="R42" s="664"/>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906">
        <f>ATAN(Q40)</f>
        <v>1.5042281630190728</v>
      </c>
      <c r="R43" s="906"/>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906">
        <f>DEGREES(Q43)</f>
        <v>86.185925165709648</v>
      </c>
      <c r="R44" s="906"/>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906">
        <f>Q38*COS(Q43)</f>
        <v>2.5347147297204772E-2</v>
      </c>
      <c r="R46" s="906"/>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906">
        <f>Q38*SIN(Q43)</f>
        <v>0.38020720945807146</v>
      </c>
      <c r="R47" s="906"/>
      <c r="S47" s="204" t="s">
        <v>344</v>
      </c>
      <c r="T47" s="369"/>
      <c r="U47" s="167"/>
      <c r="V47" s="363"/>
    </row>
    <row r="48" spans="1:27" s="7" customFormat="1" ht="18" customHeight="1">
      <c r="A48" s="114"/>
      <c r="C48" s="14" t="s">
        <v>348</v>
      </c>
      <c r="D48" s="167"/>
      <c r="E48" s="47" t="s">
        <v>349</v>
      </c>
      <c r="K48" s="28" t="s">
        <v>321</v>
      </c>
      <c r="L48" s="247" t="s">
        <v>138</v>
      </c>
      <c r="N48" s="906">
        <f>Q46</f>
        <v>2.5347147297204772E-2</v>
      </c>
      <c r="O48" s="664"/>
      <c r="P48" s="102" t="s">
        <v>306</v>
      </c>
      <c r="Q48" s="906">
        <f>Q47</f>
        <v>0.38020720945807146</v>
      </c>
      <c r="R48" s="664"/>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906">
        <f>SQRT(L28^2+O28^2)</f>
        <v>0.34389789182255825</v>
      </c>
      <c r="Q50" s="906"/>
      <c r="R50" s="120" t="s">
        <v>531</v>
      </c>
      <c r="S50" s="28"/>
      <c r="T50" s="47"/>
      <c r="U50" s="14"/>
      <c r="V50" s="197"/>
    </row>
    <row r="51" spans="1:22" s="14" customFormat="1" ht="18" customHeight="1">
      <c r="A51" s="96"/>
      <c r="D51" s="230" t="s">
        <v>138</v>
      </c>
      <c r="E51" s="905">
        <f>Q38</f>
        <v>0.38105117766515306</v>
      </c>
      <c r="F51" s="905"/>
      <c r="G51" s="28" t="s">
        <v>353</v>
      </c>
      <c r="H51" s="664" t="s">
        <v>925</v>
      </c>
      <c r="I51" s="664"/>
      <c r="J51" s="906">
        <f>P50</f>
        <v>0.34389789182255825</v>
      </c>
      <c r="K51" s="906"/>
      <c r="L51" s="14" t="s">
        <v>361</v>
      </c>
      <c r="Q51" s="120"/>
      <c r="R51" s="28"/>
      <c r="S51" s="558"/>
      <c r="V51" s="394"/>
    </row>
    <row r="52" spans="1:22" s="14" customFormat="1" ht="18" customHeight="1">
      <c r="A52" s="96"/>
      <c r="D52" s="230" t="s">
        <v>138</v>
      </c>
      <c r="E52" s="664">
        <f>E51/(0.8*J51)</f>
        <v>1.3850447572013791</v>
      </c>
      <c r="F52" s="664"/>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923">
        <f>Q11</f>
        <v>15</v>
      </c>
      <c r="R57" s="664"/>
      <c r="S57" s="385"/>
      <c r="V57" s="10"/>
    </row>
    <row r="58" spans="1:22" ht="18" customHeight="1">
      <c r="A58" s="409"/>
      <c r="B58" s="47" t="s">
        <v>274</v>
      </c>
      <c r="C58" s="168"/>
      <c r="D58" s="410"/>
      <c r="E58" s="7"/>
      <c r="F58" s="7"/>
      <c r="H58" s="389"/>
      <c r="I58" s="164"/>
      <c r="J58" s="164"/>
      <c r="K58" s="164"/>
      <c r="L58" s="164"/>
      <c r="N58" s="389"/>
      <c r="O58" s="28" t="s">
        <v>330</v>
      </c>
      <c r="P58" s="102" t="s">
        <v>138</v>
      </c>
      <c r="Q58" s="924">
        <f>Q8</f>
        <v>50</v>
      </c>
      <c r="R58" s="924"/>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699">
        <f>(Q57*1000)/(J59*(22/7)*Q58)</f>
        <v>47.727272727272727</v>
      </c>
      <c r="R59" s="678"/>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906">
        <f>N48</f>
        <v>2.5347147297204772E-2</v>
      </c>
      <c r="H63" s="664"/>
      <c r="I63" s="102" t="s">
        <v>306</v>
      </c>
      <c r="J63" s="906">
        <f>Q48</f>
        <v>0.38020720945807146</v>
      </c>
      <c r="K63" s="664"/>
      <c r="L63" s="28" t="s">
        <v>360</v>
      </c>
      <c r="M63" s="910">
        <f>L28</f>
        <v>0.2676</v>
      </c>
      <c r="N63" s="664"/>
      <c r="O63" s="102" t="s">
        <v>306</v>
      </c>
      <c r="P63" s="910">
        <f>O28</f>
        <v>0.216</v>
      </c>
      <c r="Q63" s="664"/>
      <c r="R63" s="14" t="s">
        <v>361</v>
      </c>
      <c r="S63" s="168"/>
      <c r="T63"/>
      <c r="U63"/>
      <c r="V63" s="10"/>
    </row>
    <row r="64" spans="1:22" s="167" customFormat="1" ht="18" customHeight="1">
      <c r="A64" s="171"/>
      <c r="F64" s="28" t="s">
        <v>138</v>
      </c>
      <c r="G64" s="906">
        <f>G63+M63</f>
        <v>0.29294714729720478</v>
      </c>
      <c r="H64" s="664"/>
      <c r="I64" s="102" t="s">
        <v>362</v>
      </c>
      <c r="J64" s="906">
        <f>J63+P63</f>
        <v>0.59620720945807149</v>
      </c>
      <c r="K64" s="664"/>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928">
        <f>SQRT(G64^2+J64^2)</f>
        <v>0.66428989734855293</v>
      </c>
      <c r="H66" s="664"/>
      <c r="I66" s="290" t="s">
        <v>363</v>
      </c>
      <c r="J66" s="929">
        <f>DEGREES(ATAN(J64/G64))</f>
        <v>63.832748937842929</v>
      </c>
      <c r="K66" s="664"/>
      <c r="L66" s="417" t="s">
        <v>344</v>
      </c>
      <c r="S66" s="168"/>
      <c r="T66"/>
      <c r="U66"/>
      <c r="V66" s="10"/>
    </row>
    <row r="67" spans="1:22" s="167" customFormat="1" ht="18" customHeight="1">
      <c r="A67" s="171"/>
      <c r="E67" s="120" t="s">
        <v>364</v>
      </c>
      <c r="F67" s="28" t="s">
        <v>138</v>
      </c>
      <c r="G67" s="930">
        <f>J64/G64</f>
        <v>2.0352040119141326</v>
      </c>
      <c r="H67" s="664"/>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931">
        <f>Q33</f>
        <v>33000</v>
      </c>
      <c r="N68" s="931"/>
      <c r="O68" s="241" t="s">
        <v>326</v>
      </c>
      <c r="P68" s="925">
        <f>Q37</f>
        <v>1</v>
      </c>
      <c r="Q68" s="696"/>
      <c r="S68" s="168"/>
      <c r="T68"/>
      <c r="U68"/>
      <c r="V68" s="10"/>
    </row>
    <row r="69" spans="1:22" s="167" customFormat="1" ht="18" customHeight="1">
      <c r="A69" s="171"/>
      <c r="B69" s="168"/>
      <c r="C69" s="410"/>
      <c r="D69" s="388"/>
      <c r="E69" s="410"/>
      <c r="F69" s="388"/>
      <c r="G69" s="388"/>
      <c r="H69" s="168"/>
      <c r="I69" s="168"/>
      <c r="J69" s="168"/>
      <c r="K69" s="168"/>
      <c r="L69" s="169"/>
      <c r="M69" s="906">
        <f>+G66</f>
        <v>0.66428989734855293</v>
      </c>
      <c r="N69" s="906"/>
      <c r="O69" s="28" t="s">
        <v>326</v>
      </c>
      <c r="P69" s="664" t="s">
        <v>366</v>
      </c>
      <c r="Q69" s="664">
        <f>SQRT(3)</f>
        <v>1.7320508075688772</v>
      </c>
      <c r="R69" s="388"/>
      <c r="S69" s="168"/>
      <c r="T69"/>
      <c r="U69"/>
      <c r="V69" s="10"/>
    </row>
    <row r="70" spans="1:22" ht="18" customHeight="1">
      <c r="A70" s="9"/>
      <c r="L70" s="102" t="s">
        <v>138</v>
      </c>
      <c r="M70" s="926">
        <f>M68*P68/(M69*SQRT(3))</f>
        <v>28681.090829928391</v>
      </c>
      <c r="N70" s="927"/>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669">
        <f>G67</f>
        <v>2.0352040119141326</v>
      </c>
      <c r="R74" s="669"/>
      <c r="S74" s="385"/>
      <c r="V74" s="10"/>
    </row>
    <row r="75" spans="1:22" ht="18" customHeight="1">
      <c r="A75" s="409"/>
      <c r="B75" s="47" t="s">
        <v>274</v>
      </c>
      <c r="C75" s="168"/>
      <c r="D75" s="410"/>
      <c r="E75" s="7"/>
      <c r="F75" s="7"/>
      <c r="H75" s="389"/>
      <c r="I75" s="164"/>
      <c r="J75" s="164"/>
      <c r="K75" s="164"/>
      <c r="L75" s="164"/>
      <c r="N75" s="389"/>
      <c r="O75" s="28" t="s">
        <v>330</v>
      </c>
      <c r="P75" s="102" t="s">
        <v>138</v>
      </c>
      <c r="Q75" s="924">
        <f>Q8</f>
        <v>50</v>
      </c>
      <c r="R75" s="696"/>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699">
        <f>(Q74*1000)/(J76*(22/7)*Q75)</f>
        <v>6.4756491288176941</v>
      </c>
      <c r="R76" s="933"/>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906">
        <f>N48</f>
        <v>2.5347147297204772E-2</v>
      </c>
      <c r="H80" s="664"/>
      <c r="I80" s="102" t="s">
        <v>306</v>
      </c>
      <c r="J80" s="906">
        <f>Q48</f>
        <v>0.38020720945807146</v>
      </c>
      <c r="K80" s="664"/>
      <c r="L80" s="28" t="s">
        <v>360</v>
      </c>
      <c r="M80" s="910">
        <f>L29</f>
        <v>0.18</v>
      </c>
      <c r="N80" s="664"/>
      <c r="O80" s="102" t="s">
        <v>306</v>
      </c>
      <c r="P80" s="910">
        <f>O29</f>
        <v>9.6000000000000002E-2</v>
      </c>
      <c r="Q80" s="664"/>
      <c r="R80" s="14" t="s">
        <v>361</v>
      </c>
      <c r="V80" s="10"/>
    </row>
    <row r="81" spans="1:22" ht="18" customHeight="1">
      <c r="A81" s="171"/>
      <c r="F81" s="28" t="s">
        <v>138</v>
      </c>
      <c r="G81" s="906">
        <f>G80+M80</f>
        <v>0.20534714729720477</v>
      </c>
      <c r="H81" s="664"/>
      <c r="I81" s="102" t="s">
        <v>362</v>
      </c>
      <c r="J81" s="906">
        <f>J80+P80</f>
        <v>0.47620720945807149</v>
      </c>
      <c r="K81" s="664"/>
      <c r="L81" s="204" t="s">
        <v>344</v>
      </c>
      <c r="O81" s="167"/>
      <c r="P81" s="428"/>
      <c r="Q81" s="121"/>
      <c r="R81" s="427"/>
      <c r="V81" s="10"/>
    </row>
    <row r="82" spans="1:22" ht="18" customHeight="1">
      <c r="A82" s="171"/>
      <c r="F82" s="28" t="s">
        <v>138</v>
      </c>
      <c r="G82" s="928">
        <f>SQRT(G81^2+J81^2)</f>
        <v>0.51859498381968894</v>
      </c>
      <c r="H82" s="664"/>
      <c r="I82" s="290" t="s">
        <v>363</v>
      </c>
      <c r="J82" s="929">
        <f>DEGREES(ATAN(J81/G81))</f>
        <v>66.673625084133562</v>
      </c>
      <c r="K82" s="664"/>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932">
        <f>G64</f>
        <v>0.29294714729720478</v>
      </c>
      <c r="D85" s="665"/>
      <c r="E85" s="203" t="s">
        <v>362</v>
      </c>
      <c r="F85" s="932">
        <f>J64</f>
        <v>0.59620720945807149</v>
      </c>
      <c r="G85" s="665"/>
      <c r="H85" s="27" t="s">
        <v>360</v>
      </c>
      <c r="I85" s="932">
        <f>G64</f>
        <v>0.29294714729720478</v>
      </c>
      <c r="J85" s="665"/>
      <c r="K85" s="203" t="s">
        <v>362</v>
      </c>
      <c r="L85" s="932">
        <f>J64</f>
        <v>0.59620720945807149</v>
      </c>
      <c r="M85" s="665"/>
      <c r="N85" s="27" t="s">
        <v>360</v>
      </c>
      <c r="O85" s="934">
        <f>G81</f>
        <v>0.20534714729720477</v>
      </c>
      <c r="P85" s="665"/>
      <c r="Q85" s="203" t="s">
        <v>362</v>
      </c>
      <c r="R85" s="934">
        <f>J81</f>
        <v>0.47620720945807149</v>
      </c>
      <c r="S85" s="665"/>
      <c r="T85" s="30" t="s">
        <v>361</v>
      </c>
      <c r="V85" s="10"/>
    </row>
    <row r="86" spans="1:22" ht="18" customHeight="1">
      <c r="A86" s="9"/>
      <c r="B86" s="27" t="s">
        <v>138</v>
      </c>
      <c r="C86" s="932">
        <f>C85+I85+O85</f>
        <v>0.79124144189161427</v>
      </c>
      <c r="D86" s="665"/>
      <c r="E86" s="203" t="s">
        <v>362</v>
      </c>
      <c r="F86" s="932">
        <f>F85+L85+R85</f>
        <v>1.6686216283742143</v>
      </c>
      <c r="G86" s="665"/>
      <c r="V86" s="10"/>
    </row>
    <row r="87" spans="1:22" ht="18" customHeight="1">
      <c r="A87" s="9"/>
      <c r="B87" s="28" t="s">
        <v>138</v>
      </c>
      <c r="C87" s="928">
        <f>SQRT(C86^2+F86^2)</f>
        <v>1.846716317696071</v>
      </c>
      <c r="D87" s="664"/>
      <c r="E87" s="290" t="s">
        <v>363</v>
      </c>
      <c r="F87" s="929">
        <f>DEGREES(ATAN(F86/C86))</f>
        <v>64.630222850958958</v>
      </c>
      <c r="G87" s="664"/>
      <c r="H87" s="43" t="s">
        <v>344</v>
      </c>
      <c r="N87" s="120" t="s">
        <v>364</v>
      </c>
      <c r="O87" s="28" t="s">
        <v>138</v>
      </c>
      <c r="P87" s="930">
        <f>F86/C86</f>
        <v>2.108865309664588</v>
      </c>
      <c r="Q87" s="930"/>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931">
        <f>Q33</f>
        <v>33000</v>
      </c>
      <c r="N89" s="931"/>
      <c r="O89" s="241" t="s">
        <v>326</v>
      </c>
      <c r="P89" s="925">
        <f>Q37</f>
        <v>1</v>
      </c>
      <c r="Q89" s="696"/>
      <c r="R89" s="241" t="s">
        <v>326</v>
      </c>
      <c r="S89" s="241">
        <v>3</v>
      </c>
      <c r="V89" s="10"/>
    </row>
    <row r="90" spans="1:22" ht="18" customHeight="1">
      <c r="A90" s="9"/>
      <c r="B90" s="168"/>
      <c r="C90" s="410"/>
      <c r="D90" s="388"/>
      <c r="E90" s="410"/>
      <c r="F90" s="388"/>
      <c r="G90" s="388"/>
      <c r="H90" s="168"/>
      <c r="I90" s="168"/>
      <c r="J90" s="168"/>
      <c r="K90" s="168"/>
      <c r="L90" s="169"/>
      <c r="M90" s="906">
        <f>+C87</f>
        <v>1.846716317696071</v>
      </c>
      <c r="N90" s="906"/>
      <c r="O90" s="28" t="s">
        <v>326</v>
      </c>
      <c r="P90" s="664" t="s">
        <v>366</v>
      </c>
      <c r="Q90" s="664">
        <f>SQRT(3)</f>
        <v>1.7320508075688772</v>
      </c>
      <c r="R90" s="388"/>
      <c r="S90" s="168"/>
      <c r="V90" s="10"/>
    </row>
    <row r="91" spans="1:22" ht="18" customHeight="1">
      <c r="A91" s="9"/>
      <c r="L91" s="102" t="s">
        <v>138</v>
      </c>
      <c r="M91" s="926">
        <f>(M89*P89*S89)/(M90*SQRT(3))</f>
        <v>30950.978286194932</v>
      </c>
      <c r="N91" s="927"/>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669">
        <f>P87</f>
        <v>2.108865309664588</v>
      </c>
      <c r="R98" s="669"/>
      <c r="S98" s="385"/>
      <c r="V98" s="10"/>
    </row>
    <row r="99" spans="1:22" ht="18" customHeight="1">
      <c r="A99" s="409"/>
      <c r="B99" s="47" t="s">
        <v>274</v>
      </c>
      <c r="C99" s="168"/>
      <c r="D99" s="410"/>
      <c r="E99" s="7"/>
      <c r="F99" s="7"/>
      <c r="H99" s="389"/>
      <c r="I99" s="164"/>
      <c r="J99" s="164"/>
      <c r="K99" s="164"/>
      <c r="L99" s="164"/>
      <c r="N99" s="389"/>
      <c r="O99" s="28" t="s">
        <v>330</v>
      </c>
      <c r="P99" s="102" t="s">
        <v>138</v>
      </c>
      <c r="Q99" s="935">
        <f>Q8</f>
        <v>50</v>
      </c>
      <c r="R99" s="936"/>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699">
        <f>(Q98*1000)/(J100*(22/7)*Q99)</f>
        <v>6.7100259852964168</v>
      </c>
      <c r="R100" s="933"/>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906">
        <f>N48</f>
        <v>2.5347147297204772E-2</v>
      </c>
      <c r="H104" s="664"/>
      <c r="I104" s="102" t="s">
        <v>306</v>
      </c>
      <c r="J104" s="906">
        <f>Q48</f>
        <v>0.38020720945807146</v>
      </c>
      <c r="K104" s="664"/>
      <c r="L104" s="28" t="s">
        <v>382</v>
      </c>
      <c r="M104" s="27">
        <v>0.8</v>
      </c>
      <c r="N104" s="27" t="s">
        <v>383</v>
      </c>
      <c r="O104" s="910">
        <f>L28</f>
        <v>0.2676</v>
      </c>
      <c r="P104" s="664"/>
      <c r="Q104" s="102" t="s">
        <v>306</v>
      </c>
      <c r="R104" s="910">
        <f>O28</f>
        <v>0.216</v>
      </c>
      <c r="S104" s="664"/>
      <c r="T104" s="14" t="s">
        <v>361</v>
      </c>
      <c r="V104" s="10"/>
    </row>
    <row r="105" spans="1:22" ht="18" customHeight="1">
      <c r="A105" s="171"/>
      <c r="B105" s="167"/>
      <c r="C105" s="167"/>
      <c r="D105" s="167"/>
      <c r="E105" s="167"/>
      <c r="F105" s="28" t="s">
        <v>138</v>
      </c>
      <c r="G105" s="906">
        <f>G104+(0.8*O104)</f>
        <v>0.2394271472972048</v>
      </c>
      <c r="H105" s="664"/>
      <c r="I105" s="102" t="s">
        <v>362</v>
      </c>
      <c r="J105" s="906">
        <f>J104+(0.8*R104)</f>
        <v>0.55300720945807147</v>
      </c>
      <c r="K105" s="664"/>
      <c r="L105" s="43" t="s">
        <v>344</v>
      </c>
      <c r="M105" s="167"/>
      <c r="N105" s="167"/>
      <c r="O105" s="167"/>
      <c r="P105" s="167"/>
      <c r="Q105" s="167"/>
      <c r="R105" s="167"/>
      <c r="S105" s="168"/>
      <c r="V105" s="10"/>
    </row>
    <row r="106" spans="1:22" ht="18" customHeight="1">
      <c r="A106" s="171"/>
      <c r="B106" s="167"/>
      <c r="C106" s="167"/>
      <c r="D106" s="167"/>
      <c r="E106" s="167"/>
      <c r="F106" s="28" t="s">
        <v>138</v>
      </c>
      <c r="G106" s="928">
        <f>SQRT(G105^2+J105^2)</f>
        <v>0.60261292101603725</v>
      </c>
      <c r="H106" s="664"/>
      <c r="I106" s="290" t="s">
        <v>363</v>
      </c>
      <c r="J106" s="929">
        <f>DEGREES(ATAN(J105/G105))</f>
        <v>66.589567447155403</v>
      </c>
      <c r="K106" s="664"/>
      <c r="L106" s="43" t="s">
        <v>344</v>
      </c>
      <c r="M106" s="167"/>
      <c r="N106" s="167"/>
      <c r="O106" s="167"/>
      <c r="P106" s="167"/>
      <c r="Q106" s="167"/>
      <c r="R106" s="167"/>
      <c r="S106" s="168"/>
      <c r="V106" s="10"/>
    </row>
    <row r="107" spans="1:22" ht="18" customHeight="1">
      <c r="A107" s="171"/>
      <c r="B107" s="167"/>
      <c r="C107" s="167"/>
      <c r="D107" s="167"/>
      <c r="E107" s="120" t="s">
        <v>364</v>
      </c>
      <c r="F107" s="28" t="s">
        <v>138</v>
      </c>
      <c r="G107" s="930">
        <f>J105/G105</f>
        <v>2.3097097204754924</v>
      </c>
      <c r="H107" s="664"/>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931">
        <f>Q33</f>
        <v>33000</v>
      </c>
      <c r="N108" s="931"/>
      <c r="O108" s="241" t="s">
        <v>326</v>
      </c>
      <c r="P108" s="925">
        <f>Q37</f>
        <v>1</v>
      </c>
      <c r="Q108" s="696"/>
      <c r="R108" s="167"/>
      <c r="S108" s="168"/>
      <c r="V108" s="10"/>
    </row>
    <row r="109" spans="1:22" ht="18" customHeight="1">
      <c r="A109" s="171"/>
      <c r="B109" s="168"/>
      <c r="C109" s="410"/>
      <c r="D109" s="388"/>
      <c r="E109" s="410"/>
      <c r="F109" s="388"/>
      <c r="G109" s="388"/>
      <c r="H109" s="168"/>
      <c r="I109" s="168"/>
      <c r="J109" s="168"/>
      <c r="K109" s="168"/>
      <c r="L109" s="248"/>
      <c r="M109" s="906">
        <f>+G106</f>
        <v>0.60261292101603725</v>
      </c>
      <c r="N109" s="906"/>
      <c r="O109" s="28" t="s">
        <v>326</v>
      </c>
      <c r="P109" s="664" t="s">
        <v>366</v>
      </c>
      <c r="Q109" s="664">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926">
        <f>M108*P108/(M109*SQRT(3))</f>
        <v>31616.578766904022</v>
      </c>
      <c r="N110" s="927"/>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669">
        <f>G107</f>
        <v>2.3097097204754924</v>
      </c>
      <c r="R114" s="669"/>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923">
        <f>Q8</f>
        <v>50</v>
      </c>
      <c r="R115" s="664"/>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699">
        <f>(Q114*1000)/(J116*(22/7)*Q115)</f>
        <v>7.3490763833311119</v>
      </c>
      <c r="R116" s="933"/>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906">
        <f>N48</f>
        <v>2.5347147297204772E-2</v>
      </c>
      <c r="H120" s="664"/>
      <c r="I120" s="102" t="s">
        <v>306</v>
      </c>
      <c r="J120" s="906">
        <f>Q48</f>
        <v>0.38020720945807146</v>
      </c>
      <c r="K120" s="664"/>
      <c r="L120" s="28" t="s">
        <v>382</v>
      </c>
      <c r="M120" s="27">
        <v>0.8</v>
      </c>
      <c r="N120" s="27" t="s">
        <v>383</v>
      </c>
      <c r="O120" s="910">
        <f>L29</f>
        <v>0.18</v>
      </c>
      <c r="P120" s="665"/>
      <c r="Q120" s="102" t="s">
        <v>306</v>
      </c>
      <c r="R120" s="910">
        <f>O29</f>
        <v>9.6000000000000002E-2</v>
      </c>
      <c r="S120" s="665"/>
      <c r="T120" s="14" t="s">
        <v>361</v>
      </c>
      <c r="V120" s="10"/>
    </row>
    <row r="121" spans="1:22" ht="18" customHeight="1">
      <c r="A121" s="171"/>
      <c r="F121" s="28" t="s">
        <v>138</v>
      </c>
      <c r="G121" s="906">
        <f>G120+(0.8*O120)</f>
        <v>0.16934714729720476</v>
      </c>
      <c r="H121" s="664"/>
      <c r="I121" s="102" t="s">
        <v>362</v>
      </c>
      <c r="J121" s="906">
        <f>J120+(0.8*R120)</f>
        <v>0.45700720945807149</v>
      </c>
      <c r="K121" s="664"/>
      <c r="L121" s="43" t="s">
        <v>344</v>
      </c>
      <c r="O121" s="167"/>
      <c r="P121" s="428"/>
      <c r="Q121" s="121"/>
      <c r="R121" s="427"/>
      <c r="V121" s="10"/>
    </row>
    <row r="122" spans="1:22" ht="18" customHeight="1">
      <c r="A122" s="171"/>
      <c r="F122" s="28" t="s">
        <v>138</v>
      </c>
      <c r="G122" s="928">
        <f>SQRT(G121^2+J121^2)</f>
        <v>0.48737464623670651</v>
      </c>
      <c r="H122" s="664"/>
      <c r="I122" s="290" t="s">
        <v>363</v>
      </c>
      <c r="J122" s="929">
        <f>DEGREES(ATAN(J121/G121))</f>
        <v>69.667468601208213</v>
      </c>
      <c r="K122" s="664"/>
      <c r="L122" s="43" t="s">
        <v>344</v>
      </c>
      <c r="M122" s="167"/>
      <c r="N122" s="167"/>
      <c r="O122" s="167"/>
      <c r="P122" s="428"/>
      <c r="Q122" s="121"/>
      <c r="R122" s="427"/>
      <c r="V122" s="10"/>
    </row>
    <row r="123" spans="1:22" ht="18" customHeight="1">
      <c r="A123" s="196" t="s">
        <v>356</v>
      </c>
      <c r="E123" s="434" t="s">
        <v>391</v>
      </c>
      <c r="F123" s="121" t="s">
        <v>138</v>
      </c>
      <c r="G123" s="664" t="s">
        <v>379</v>
      </c>
      <c r="H123" s="664"/>
      <c r="I123" s="102" t="s">
        <v>358</v>
      </c>
      <c r="J123" s="664" t="s">
        <v>392</v>
      </c>
      <c r="K123" s="664"/>
      <c r="L123" s="28" t="s">
        <v>358</v>
      </c>
      <c r="M123" s="664" t="s">
        <v>388</v>
      </c>
      <c r="N123" s="664"/>
      <c r="V123" s="10"/>
    </row>
    <row r="124" spans="1:22" ht="18" customHeight="1">
      <c r="A124" s="9"/>
      <c r="B124" s="262" t="s">
        <v>359</v>
      </c>
      <c r="C124" s="932">
        <f>G105</f>
        <v>0.2394271472972048</v>
      </c>
      <c r="D124" s="665"/>
      <c r="E124" s="203" t="s">
        <v>362</v>
      </c>
      <c r="F124" s="932">
        <f>J105</f>
        <v>0.55300720945807147</v>
      </c>
      <c r="G124" s="665"/>
      <c r="H124" s="27" t="s">
        <v>360</v>
      </c>
      <c r="I124" s="932">
        <f>G105</f>
        <v>0.2394271472972048</v>
      </c>
      <c r="J124" s="665"/>
      <c r="K124" s="203" t="s">
        <v>362</v>
      </c>
      <c r="L124" s="932">
        <f>J105</f>
        <v>0.55300720945807147</v>
      </c>
      <c r="M124" s="665"/>
      <c r="N124" s="27" t="s">
        <v>360</v>
      </c>
      <c r="O124" s="934">
        <f>G121</f>
        <v>0.16934714729720476</v>
      </c>
      <c r="P124" s="665"/>
      <c r="Q124" s="203" t="s">
        <v>362</v>
      </c>
      <c r="R124" s="934">
        <f>J121</f>
        <v>0.45700720945807149</v>
      </c>
      <c r="S124" s="665"/>
      <c r="T124" s="30" t="s">
        <v>361</v>
      </c>
      <c r="V124" s="10"/>
    </row>
    <row r="125" spans="1:22" ht="18" customHeight="1">
      <c r="A125" s="9"/>
      <c r="B125" s="27" t="s">
        <v>138</v>
      </c>
      <c r="C125" s="932">
        <f>C124+I124+O124</f>
        <v>0.64820144189161433</v>
      </c>
      <c r="D125" s="665"/>
      <c r="E125" s="203" t="s">
        <v>362</v>
      </c>
      <c r="F125" s="932">
        <f>F124+L124+R124</f>
        <v>1.5630216283742144</v>
      </c>
      <c r="G125" s="665"/>
      <c r="V125" s="10"/>
    </row>
    <row r="126" spans="1:22" ht="18" customHeight="1">
      <c r="A126" s="9"/>
      <c r="B126" s="28" t="s">
        <v>138</v>
      </c>
      <c r="C126" s="928">
        <f>SQRT(C125^2+F125^2)</f>
        <v>1.6920997961219513</v>
      </c>
      <c r="D126" s="664"/>
      <c r="E126" s="290" t="s">
        <v>363</v>
      </c>
      <c r="F126" s="929">
        <f>DEGREES(ATAN(F125/C125))</f>
        <v>67.475702756150767</v>
      </c>
      <c r="G126" s="664"/>
      <c r="H126" s="435" t="s">
        <v>344</v>
      </c>
      <c r="V126" s="10"/>
    </row>
    <row r="127" spans="1:22" ht="18" customHeight="1">
      <c r="A127" s="9"/>
      <c r="K127" s="120" t="s">
        <v>364</v>
      </c>
      <c r="L127" s="28" t="s">
        <v>138</v>
      </c>
      <c r="M127" s="930">
        <f>F125/C125</f>
        <v>2.4113208138089379</v>
      </c>
      <c r="N127" s="930"/>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931">
        <f>Q33</f>
        <v>33000</v>
      </c>
      <c r="N129" s="931"/>
      <c r="O129" s="241" t="s">
        <v>326</v>
      </c>
      <c r="P129" s="925">
        <f>Q37</f>
        <v>1</v>
      </c>
      <c r="Q129" s="696"/>
      <c r="R129" s="241" t="s">
        <v>326</v>
      </c>
      <c r="S129" s="241">
        <v>3</v>
      </c>
      <c r="V129" s="10"/>
    </row>
    <row r="130" spans="1:22" ht="18" customHeight="1">
      <c r="A130" s="9"/>
      <c r="B130" s="168"/>
      <c r="C130" s="410"/>
      <c r="D130" s="388"/>
      <c r="E130" s="410"/>
      <c r="F130" s="388"/>
      <c r="G130" s="388"/>
      <c r="H130" s="168"/>
      <c r="I130" s="168"/>
      <c r="J130" s="168"/>
      <c r="K130" s="168"/>
      <c r="L130" s="169"/>
      <c r="M130" s="906">
        <f>+C126</f>
        <v>1.6920997961219513</v>
      </c>
      <c r="N130" s="906"/>
      <c r="O130" s="28" t="s">
        <v>326</v>
      </c>
      <c r="P130" s="664" t="s">
        <v>366</v>
      </c>
      <c r="Q130" s="664">
        <f>SQRT(3)</f>
        <v>1.7320508075688772</v>
      </c>
      <c r="R130" s="388"/>
      <c r="S130" s="168"/>
      <c r="V130" s="10"/>
    </row>
    <row r="131" spans="1:22" ht="18" customHeight="1">
      <c r="A131" s="9"/>
      <c r="L131" s="102" t="s">
        <v>138</v>
      </c>
      <c r="M131" s="926">
        <f>(M129*P129*S129)/(M130*SQRT(3))</f>
        <v>33779.140438861883</v>
      </c>
      <c r="N131" s="927"/>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669">
        <f>M127</f>
        <v>2.4113208138089379</v>
      </c>
      <c r="R137" s="937"/>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923">
        <f>Q8</f>
        <v>50</v>
      </c>
      <c r="R138" s="885"/>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699">
        <f>(Q137*1000)/(J139*(22/7)*Q138)</f>
        <v>7.6723844075738938</v>
      </c>
      <c r="R139" s="933"/>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Q137:R137"/>
    <mergeCell ref="Q138:R138"/>
    <mergeCell ref="Q139:R139"/>
    <mergeCell ref="M127:N127"/>
    <mergeCell ref="M129:N129"/>
    <mergeCell ref="P129:Q129"/>
    <mergeCell ref="M130:N130"/>
    <mergeCell ref="P130:Q130"/>
    <mergeCell ref="M131:N131"/>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G105:H105"/>
    <mergeCell ref="J105:K105"/>
    <mergeCell ref="G106:H106"/>
    <mergeCell ref="J106:K106"/>
    <mergeCell ref="G107:H107"/>
    <mergeCell ref="M108:N108"/>
    <mergeCell ref="Q99:R99"/>
    <mergeCell ref="Q100:R100"/>
    <mergeCell ref="G104:H104"/>
    <mergeCell ref="J104:K104"/>
    <mergeCell ref="O104:P104"/>
    <mergeCell ref="R104:S104"/>
    <mergeCell ref="M89:N89"/>
    <mergeCell ref="P89:Q89"/>
    <mergeCell ref="M90:N90"/>
    <mergeCell ref="P90:Q90"/>
    <mergeCell ref="M91:N91"/>
    <mergeCell ref="Q98:R98"/>
    <mergeCell ref="O85:P85"/>
    <mergeCell ref="R85:S85"/>
    <mergeCell ref="C86:D86"/>
    <mergeCell ref="F86:G86"/>
    <mergeCell ref="C87:D87"/>
    <mergeCell ref="F87:G87"/>
    <mergeCell ref="P87:Q87"/>
    <mergeCell ref="G82:H82"/>
    <mergeCell ref="J82:K82"/>
    <mergeCell ref="C85:D85"/>
    <mergeCell ref="F85:G85"/>
    <mergeCell ref="I85:J85"/>
    <mergeCell ref="L85:M85"/>
    <mergeCell ref="Q76:R76"/>
    <mergeCell ref="G80:H80"/>
    <mergeCell ref="J80:K80"/>
    <mergeCell ref="M80:N80"/>
    <mergeCell ref="P80:Q80"/>
    <mergeCell ref="G81:H81"/>
    <mergeCell ref="J81:K81"/>
    <mergeCell ref="P68:Q68"/>
    <mergeCell ref="M69:N69"/>
    <mergeCell ref="P69:Q69"/>
    <mergeCell ref="M70:N70"/>
    <mergeCell ref="Q74:R74"/>
    <mergeCell ref="Q75:R75"/>
    <mergeCell ref="G64:H64"/>
    <mergeCell ref="J64:K64"/>
    <mergeCell ref="G66:H66"/>
    <mergeCell ref="J66:K66"/>
    <mergeCell ref="G67:H67"/>
    <mergeCell ref="M68:N68"/>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Q38:R38"/>
    <mergeCell ref="Z38:AA38"/>
    <mergeCell ref="Q39:R39"/>
    <mergeCell ref="Q40:R40"/>
    <mergeCell ref="Q41:R41"/>
    <mergeCell ref="L29:M29"/>
    <mergeCell ref="O29:P29"/>
    <mergeCell ref="Q32:R32"/>
    <mergeCell ref="Q33:R33"/>
    <mergeCell ref="Q34:R34"/>
    <mergeCell ref="Q35:R35"/>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938" t="s">
        <v>847</v>
      </c>
      <c r="F22" s="938"/>
      <c r="G22" s="938"/>
      <c r="H22" s="938"/>
      <c r="I22" s="938"/>
      <c r="J22" s="938"/>
      <c r="K22" s="938"/>
      <c r="L22" s="938"/>
      <c r="M22" s="938"/>
      <c r="N22" s="938"/>
      <c r="O22" s="938"/>
      <c r="P22" s="938"/>
      <c r="Q22" s="938"/>
      <c r="R22" s="938"/>
      <c r="S22" s="27"/>
      <c r="T22" s="27"/>
      <c r="U22" s="27"/>
      <c r="V22" s="189"/>
      <c r="W22" s="27"/>
      <c r="X22" s="27"/>
    </row>
    <row r="23" spans="1:24" ht="18" customHeight="1">
      <c r="A23" s="69"/>
      <c r="B23" s="27"/>
      <c r="C23" s="27"/>
      <c r="D23" s="27"/>
      <c r="E23" s="938"/>
      <c r="F23" s="938"/>
      <c r="G23" s="938"/>
      <c r="H23" s="938"/>
      <c r="I23" s="938"/>
      <c r="J23" s="938"/>
      <c r="K23" s="938"/>
      <c r="L23" s="938"/>
      <c r="M23" s="938"/>
      <c r="N23" s="938"/>
      <c r="O23" s="938"/>
      <c r="P23" s="938"/>
      <c r="Q23" s="938"/>
      <c r="R23" s="938"/>
      <c r="S23" s="27"/>
      <c r="T23" s="27"/>
      <c r="U23" s="27"/>
      <c r="V23" s="189"/>
      <c r="W23" s="27"/>
      <c r="X23" s="27"/>
    </row>
    <row r="24" spans="1:24" ht="18" customHeight="1">
      <c r="A24" s="69"/>
      <c r="C24" s="190"/>
      <c r="D24" s="190"/>
      <c r="E24" s="938"/>
      <c r="F24" s="938"/>
      <c r="G24" s="938"/>
      <c r="H24" s="938"/>
      <c r="I24" s="938"/>
      <c r="J24" s="938"/>
      <c r="K24" s="938"/>
      <c r="L24" s="938"/>
      <c r="M24" s="938"/>
      <c r="N24" s="938"/>
      <c r="O24" s="938"/>
      <c r="P24" s="938"/>
      <c r="Q24" s="938"/>
      <c r="R24" s="938"/>
      <c r="S24" s="4"/>
      <c r="T24" s="4"/>
      <c r="U24" s="4"/>
      <c r="V24" s="71"/>
      <c r="W24" s="4"/>
      <c r="X24" s="4"/>
    </row>
    <row r="25" spans="1:24" ht="18" customHeight="1">
      <c r="A25" s="69"/>
      <c r="B25" s="26"/>
      <c r="C25" s="4"/>
      <c r="D25" s="73"/>
      <c r="E25" s="938"/>
      <c r="F25" s="938"/>
      <c r="G25" s="938"/>
      <c r="H25" s="938"/>
      <c r="I25" s="938"/>
      <c r="J25" s="938"/>
      <c r="K25" s="938"/>
      <c r="L25" s="938"/>
      <c r="M25" s="938"/>
      <c r="N25" s="938"/>
      <c r="O25" s="938"/>
      <c r="P25" s="938"/>
      <c r="Q25" s="938"/>
      <c r="R25" s="938"/>
      <c r="S25" s="4"/>
      <c r="T25" s="4"/>
      <c r="U25" s="4"/>
      <c r="V25" s="71"/>
      <c r="W25" s="4"/>
      <c r="X25" s="4"/>
    </row>
    <row r="26" spans="1:24" ht="18" customHeight="1">
      <c r="A26" s="69"/>
      <c r="E26" s="938"/>
      <c r="F26" s="938"/>
      <c r="G26" s="938"/>
      <c r="H26" s="938"/>
      <c r="I26" s="938"/>
      <c r="J26" s="938"/>
      <c r="K26" s="938"/>
      <c r="L26" s="938"/>
      <c r="M26" s="938"/>
      <c r="N26" s="938"/>
      <c r="O26" s="938"/>
      <c r="P26" s="938"/>
      <c r="Q26" s="938"/>
      <c r="R26" s="938"/>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916</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396</v>
      </c>
      <c r="E7" s="960"/>
      <c r="F7" s="468"/>
      <c r="H7" s="665" t="s">
        <v>518</v>
      </c>
      <c r="I7" s="665"/>
      <c r="J7" s="665"/>
      <c r="K7" s="665"/>
      <c r="L7" s="665"/>
      <c r="M7" s="665"/>
      <c r="P7" s="198"/>
      <c r="S7" s="199" t="s">
        <v>398</v>
      </c>
      <c r="T7" s="948" t="s">
        <v>519</v>
      </c>
      <c r="U7" s="949"/>
      <c r="V7" s="197"/>
    </row>
    <row r="8" spans="1:24" ht="18" customHeight="1">
      <c r="A8" s="469"/>
      <c r="F8" s="468"/>
      <c r="T8" s="948" t="s">
        <v>928</v>
      </c>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REF650</v>
      </c>
      <c r="H19" s="28"/>
      <c r="I19" s="101" t="s">
        <v>138</v>
      </c>
      <c r="J19" s="950">
        <f>'CT-VT Burdens'!Q48</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2"/>
      <c r="K20" s="953"/>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4">
        <f>'CT-VT Burdens'!S22</f>
        <v>0.44875935000000006</v>
      </c>
      <c r="K21" s="955"/>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78">
        <f>SUM(J18:J21)</f>
        <v>0.48875935000000004</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6*S30</f>
        <v>15000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2500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5</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0.48875935000000004</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15000</v>
      </c>
      <c r="G37" s="664"/>
      <c r="H37" s="665" t="s">
        <v>326</v>
      </c>
      <c r="I37" s="667">
        <f>S31</f>
        <v>1</v>
      </c>
      <c r="J37" s="667"/>
      <c r="K37" s="665" t="s">
        <v>326</v>
      </c>
      <c r="L37" s="665" t="s">
        <v>430</v>
      </c>
      <c r="M37" s="668">
        <f>S33</f>
        <v>5</v>
      </c>
      <c r="N37" s="665" t="s">
        <v>358</v>
      </c>
      <c r="O37" s="668">
        <f>S34</f>
        <v>0.48875935000000004</v>
      </c>
      <c r="P37" s="665" t="s">
        <v>358</v>
      </c>
      <c r="Q37" s="872">
        <f>S35</f>
        <v>0.02</v>
      </c>
      <c r="R37" s="667"/>
      <c r="S37" s="667"/>
      <c r="T37" s="665" t="s">
        <v>361</v>
      </c>
      <c r="V37" s="197"/>
    </row>
    <row r="38" spans="1:25" ht="18" customHeight="1">
      <c r="A38" s="196"/>
      <c r="B38" s="665"/>
      <c r="C38" s="665"/>
      <c r="D38" s="664"/>
      <c r="E38" s="665"/>
      <c r="F38" s="664"/>
      <c r="G38" s="664"/>
      <c r="H38" s="665"/>
      <c r="I38" s="665">
        <f>S30</f>
        <v>2500</v>
      </c>
      <c r="J38" s="665"/>
      <c r="K38" s="665"/>
      <c r="L38" s="665"/>
      <c r="M38" s="665"/>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49.58</v>
      </c>
      <c r="E40" s="94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946" t="s">
        <v>428</v>
      </c>
      <c r="C51" s="947"/>
      <c r="D51" s="947"/>
      <c r="E51" s="664">
        <v>20</v>
      </c>
      <c r="F51" s="664" t="s">
        <v>326</v>
      </c>
      <c r="G51" s="667" t="s">
        <v>492</v>
      </c>
      <c r="H51" s="667" t="s">
        <v>493</v>
      </c>
      <c r="I51" s="939"/>
      <c r="J51" s="664" t="s">
        <v>326</v>
      </c>
      <c r="K51" s="664" t="s">
        <v>430</v>
      </c>
      <c r="L51" s="664" t="s">
        <v>451</v>
      </c>
      <c r="M51" s="942" t="s">
        <v>358</v>
      </c>
      <c r="N51" s="664" t="s">
        <v>458</v>
      </c>
      <c r="O51" s="664" t="s">
        <v>358</v>
      </c>
      <c r="P51" s="943" t="s">
        <v>459</v>
      </c>
      <c r="Q51" s="943"/>
      <c r="R51" s="943"/>
      <c r="S51" s="944" t="s">
        <v>361</v>
      </c>
      <c r="T51" s="945" t="s">
        <v>433</v>
      </c>
      <c r="V51" s="197"/>
    </row>
    <row r="52" spans="1:25" ht="18" customHeight="1">
      <c r="A52" s="196"/>
      <c r="B52" s="947"/>
      <c r="C52" s="947"/>
      <c r="D52" s="947"/>
      <c r="E52" s="664"/>
      <c r="F52" s="664"/>
      <c r="G52" s="664"/>
      <c r="H52" s="665" t="s">
        <v>494</v>
      </c>
      <c r="I52" s="903"/>
      <c r="J52" s="664"/>
      <c r="K52" s="664"/>
      <c r="L52" s="664"/>
      <c r="M52" s="942"/>
      <c r="N52" s="664"/>
      <c r="O52" s="664"/>
      <c r="P52" s="28" t="s">
        <v>449</v>
      </c>
      <c r="Q52" s="28" t="s">
        <v>326</v>
      </c>
      <c r="R52" s="28" t="s">
        <v>449</v>
      </c>
      <c r="S52" s="944"/>
      <c r="T52" s="945"/>
      <c r="V52" s="112"/>
    </row>
    <row r="53" spans="1:25" ht="18" customHeight="1">
      <c r="A53" s="196"/>
      <c r="C53" s="28"/>
      <c r="D53" s="28"/>
      <c r="E53" s="28"/>
      <c r="F53" s="28"/>
      <c r="G53" s="28"/>
      <c r="H53" s="664"/>
      <c r="I53" s="936"/>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64">
        <f>1.2*S56</f>
        <v>3000</v>
      </c>
      <c r="T55" s="664"/>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64">
        <f>H10</f>
        <v>2500</v>
      </c>
      <c r="T56" s="664"/>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64">
        <f>O10</f>
        <v>1</v>
      </c>
      <c r="T57" s="664"/>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41">
        <f>S32</f>
        <v>1</v>
      </c>
      <c r="T58" s="941"/>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69">
        <f>H12</f>
        <v>5</v>
      </c>
      <c r="T59" s="664"/>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69">
        <f>J22</f>
        <v>0.48875935000000004</v>
      </c>
      <c r="T60" s="664"/>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68">
        <f>J18</f>
        <v>0.02</v>
      </c>
      <c r="T61" s="664"/>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65" t="s">
        <v>428</v>
      </c>
      <c r="C63" s="665"/>
      <c r="D63" s="664">
        <f>E51</f>
        <v>20</v>
      </c>
      <c r="E63" s="665" t="s">
        <v>326</v>
      </c>
      <c r="F63" s="664">
        <f>S55</f>
        <v>3000</v>
      </c>
      <c r="G63" s="664"/>
      <c r="H63" s="665" t="s">
        <v>326</v>
      </c>
      <c r="I63" s="667">
        <f>S57</f>
        <v>1</v>
      </c>
      <c r="J63" s="667"/>
      <c r="K63" s="665" t="s">
        <v>326</v>
      </c>
      <c r="L63" s="665" t="s">
        <v>430</v>
      </c>
      <c r="M63" s="668">
        <f>S59</f>
        <v>5</v>
      </c>
      <c r="N63" s="665" t="s">
        <v>358</v>
      </c>
      <c r="O63" s="668">
        <f>S60</f>
        <v>0.48875935000000004</v>
      </c>
      <c r="P63" s="665" t="s">
        <v>358</v>
      </c>
      <c r="Q63" s="872">
        <f>S61</f>
        <v>0.02</v>
      </c>
      <c r="R63" s="667"/>
      <c r="S63" s="667"/>
      <c r="T63" s="665" t="s">
        <v>361</v>
      </c>
      <c r="V63" s="197"/>
    </row>
    <row r="64" spans="1:25" ht="18" customHeight="1">
      <c r="A64" s="196"/>
      <c r="B64" s="665"/>
      <c r="C64" s="665"/>
      <c r="D64" s="664"/>
      <c r="E64" s="665"/>
      <c r="F64" s="664"/>
      <c r="G64" s="664"/>
      <c r="H64" s="665"/>
      <c r="I64" s="665">
        <f>S56</f>
        <v>2500</v>
      </c>
      <c r="J64" s="665"/>
      <c r="K64" s="665"/>
      <c r="L64" s="665"/>
      <c r="M64" s="665"/>
      <c r="N64" s="665"/>
      <c r="O64" s="665"/>
      <c r="P64" s="665"/>
      <c r="Q64" s="517">
        <f>S58</f>
        <v>1</v>
      </c>
      <c r="R64" s="27" t="s">
        <v>326</v>
      </c>
      <c r="S64" s="517">
        <f>S58</f>
        <v>1</v>
      </c>
      <c r="T64" s="665"/>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40">
        <f>ROUNDUP(D63*F63*(I63/I64)*(M63+O63+(Q63/(Q64*S64))),2)</f>
        <v>132.22</v>
      </c>
      <c r="E66" s="94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max(49.58,132.22)</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132.22</v>
      </c>
      <c r="V69" s="197"/>
    </row>
    <row r="70" spans="1:27" ht="18" customHeight="1">
      <c r="A70" s="196"/>
      <c r="D70"/>
      <c r="E70" s="956"/>
      <c r="F70" s="665"/>
      <c r="G70" s="27"/>
      <c r="H70" s="668"/>
      <c r="I70" s="665"/>
      <c r="J70"/>
      <c r="K70"/>
      <c r="L70" s="308">
        <f>H13</f>
        <v>750</v>
      </c>
      <c r="M70" s="519" t="s">
        <v>540</v>
      </c>
      <c r="N70" s="489">
        <f>N69</f>
        <v>132.22</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800" t="s">
        <v>97</v>
      </c>
      <c r="B94" s="800"/>
      <c r="C94" s="728"/>
      <c r="D94" s="800" t="s">
        <v>98</v>
      </c>
      <c r="E94" s="800"/>
      <c r="F94" s="800"/>
      <c r="G94" s="800" t="s">
        <v>99</v>
      </c>
      <c r="H94" s="800"/>
      <c r="I94" s="800" t="s">
        <v>100</v>
      </c>
      <c r="J94" s="800"/>
      <c r="K94" s="800" t="s">
        <v>513</v>
      </c>
      <c r="L94" s="800"/>
      <c r="M94" s="800" t="s">
        <v>514</v>
      </c>
      <c r="N94" s="800"/>
      <c r="O94" s="800" t="s">
        <v>515</v>
      </c>
      <c r="P94" s="800"/>
      <c r="Q94" s="800" t="s">
        <v>516</v>
      </c>
      <c r="R94" s="800"/>
      <c r="S94" s="800" t="s">
        <v>105</v>
      </c>
      <c r="T94" s="800"/>
      <c r="U94" s="800"/>
      <c r="V94" s="800"/>
    </row>
    <row r="95" spans="1:22" customFormat="1" ht="18" customHeight="1">
      <c r="A95" s="800"/>
      <c r="B95" s="800"/>
      <c r="C95" s="728"/>
      <c r="D95" s="800"/>
      <c r="E95" s="800"/>
      <c r="F95" s="800"/>
      <c r="G95" s="800"/>
      <c r="H95" s="800"/>
      <c r="I95" s="800"/>
      <c r="J95" s="800"/>
      <c r="K95" s="800"/>
      <c r="L95" s="800"/>
      <c r="M95" s="800"/>
      <c r="N95" s="800"/>
      <c r="O95" s="800"/>
      <c r="P95" s="800"/>
      <c r="Q95" s="800"/>
      <c r="R95" s="800"/>
      <c r="S95" s="800"/>
      <c r="T95" s="800"/>
      <c r="U95" s="800"/>
      <c r="V95" s="800"/>
    </row>
    <row r="96" spans="1:22" customFormat="1" ht="18" customHeight="1">
      <c r="A96" s="800"/>
      <c r="B96" s="800"/>
      <c r="C96" s="728"/>
      <c r="D96" s="800"/>
      <c r="E96" s="800"/>
      <c r="F96" s="800"/>
      <c r="G96" s="800"/>
      <c r="H96" s="800"/>
      <c r="I96" s="800"/>
      <c r="J96" s="800"/>
      <c r="K96" s="800"/>
      <c r="L96" s="800"/>
      <c r="M96" s="800"/>
      <c r="N96" s="800"/>
      <c r="O96" s="800"/>
      <c r="P96" s="800"/>
      <c r="Q96" s="800"/>
      <c r="R96" s="800"/>
      <c r="S96" s="800"/>
      <c r="T96" s="800"/>
      <c r="U96" s="800"/>
      <c r="V96" s="800"/>
    </row>
    <row r="97" spans="1:22" customFormat="1" ht="18" customHeight="1">
      <c r="A97" s="800"/>
      <c r="B97" s="800"/>
      <c r="C97" s="728"/>
      <c r="D97" s="800"/>
      <c r="E97" s="800"/>
      <c r="F97" s="800"/>
      <c r="G97" s="800"/>
      <c r="H97" s="800"/>
      <c r="I97" s="800"/>
      <c r="J97" s="800"/>
      <c r="K97" s="800"/>
      <c r="L97" s="800"/>
      <c r="M97" s="800"/>
      <c r="N97" s="800"/>
      <c r="O97" s="800"/>
      <c r="P97" s="800"/>
      <c r="Q97" s="800"/>
      <c r="R97" s="800"/>
      <c r="S97" s="800"/>
      <c r="T97" s="800"/>
      <c r="U97" s="800"/>
      <c r="V97" s="800"/>
    </row>
    <row r="98" spans="1:22" customFormat="1" ht="18" customHeight="1">
      <c r="A98" s="733" t="str">
        <f>B7</f>
        <v>T1</v>
      </c>
      <c r="B98" s="733" t="str">
        <f>D7</f>
        <v>Core1</v>
      </c>
      <c r="C98" s="733"/>
      <c r="D98" s="732">
        <f>H10</f>
        <v>2500</v>
      </c>
      <c r="E98" s="732"/>
      <c r="F98" s="734">
        <f>O10</f>
        <v>1</v>
      </c>
      <c r="G98" s="732">
        <f>'CT-VT Burdens'!S19</f>
        <v>50</v>
      </c>
      <c r="H98" s="794">
        <f>'CT-VT Burdens'!S10</f>
        <v>6</v>
      </c>
      <c r="I98" s="794" t="str">
        <f>H11</f>
        <v>5P20</v>
      </c>
      <c r="J98" s="794"/>
      <c r="K98" s="728">
        <f>H12</f>
        <v>5</v>
      </c>
      <c r="L98" s="728"/>
      <c r="M98" s="728">
        <f>H13</f>
        <v>750</v>
      </c>
      <c r="N98" s="728"/>
      <c r="O98" s="732">
        <f>H14</f>
        <v>50</v>
      </c>
      <c r="P98" s="732"/>
      <c r="Q98" s="739" t="str">
        <f>CONCATENATE(T7,"+",T8,"+",T9)</f>
        <v>REC670+REF650+</v>
      </c>
      <c r="R98" s="739"/>
      <c r="S98" s="799" t="s">
        <v>544</v>
      </c>
      <c r="T98" s="732"/>
      <c r="U98" s="732"/>
      <c r="V98" s="732"/>
    </row>
    <row r="99" spans="1:22" customFormat="1" ht="18" customHeight="1">
      <c r="A99" s="733"/>
      <c r="B99" s="733"/>
      <c r="C99" s="733"/>
      <c r="D99" s="799" t="s">
        <v>7</v>
      </c>
      <c r="E99" s="732"/>
      <c r="F99" s="735"/>
      <c r="G99" s="732"/>
      <c r="H99" s="732"/>
      <c r="I99" s="794"/>
      <c r="J99" s="794"/>
      <c r="K99" s="801" t="s">
        <v>7</v>
      </c>
      <c r="L99" s="728"/>
      <c r="M99" s="801" t="s">
        <v>7</v>
      </c>
      <c r="N99" s="728"/>
      <c r="O99" s="799" t="s">
        <v>7</v>
      </c>
      <c r="P99" s="732"/>
      <c r="Q99" s="739"/>
      <c r="R99" s="739"/>
      <c r="S99" s="799" t="s">
        <v>7</v>
      </c>
      <c r="T99" s="732"/>
      <c r="U99" s="732"/>
      <c r="V99" s="732"/>
    </row>
    <row r="100" spans="1:22" customFormat="1" ht="18" customHeight="1">
      <c r="A100" s="733"/>
      <c r="B100" s="733"/>
      <c r="C100" s="733"/>
      <c r="D100" s="799" t="s">
        <v>7</v>
      </c>
      <c r="E100" s="732"/>
      <c r="F100" s="736"/>
      <c r="G100" s="732"/>
      <c r="H100" s="732"/>
      <c r="I100" s="794"/>
      <c r="J100" s="794"/>
      <c r="K100" s="801" t="s">
        <v>7</v>
      </c>
      <c r="L100" s="728"/>
      <c r="M100" s="801" t="s">
        <v>7</v>
      </c>
      <c r="N100" s="728"/>
      <c r="O100" s="799" t="s">
        <v>7</v>
      </c>
      <c r="P100" s="732"/>
      <c r="Q100" s="739"/>
      <c r="R100" s="739"/>
      <c r="S100" s="732" t="s">
        <v>7</v>
      </c>
      <c r="T100" s="732"/>
      <c r="U100" s="732"/>
      <c r="V100" s="732"/>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27:I27"/>
    <mergeCell ref="S29:T29"/>
    <mergeCell ref="S30:T30"/>
    <mergeCell ref="S31:T31"/>
    <mergeCell ref="H14:I14"/>
    <mergeCell ref="J18:K18"/>
    <mergeCell ref="J19:K19"/>
    <mergeCell ref="J20:K20"/>
    <mergeCell ref="J21:K21"/>
    <mergeCell ref="P21:Q21"/>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M37:M38"/>
    <mergeCell ref="N37:N38"/>
    <mergeCell ref="O37:O38"/>
    <mergeCell ref="P37:P38"/>
    <mergeCell ref="Q37:S37"/>
    <mergeCell ref="I37:J37"/>
    <mergeCell ref="I38:J38"/>
    <mergeCell ref="K37:K38"/>
    <mergeCell ref="H37:H38"/>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Title!D5</f>
        <v>Checked By</v>
      </c>
      <c r="E5" s="620"/>
      <c r="F5" s="619"/>
      <c r="G5" s="25" t="str">
        <f>[3]Title!G5</f>
        <v>LN</v>
      </c>
      <c r="H5" s="966" t="s">
        <v>916</v>
      </c>
      <c r="I5" s="967"/>
      <c r="J5" s="967"/>
      <c r="K5" s="967"/>
      <c r="L5" s="967"/>
      <c r="M5" s="967"/>
      <c r="N5" s="968"/>
      <c r="O5" s="624" t="str">
        <f>Title!O5</f>
        <v>Contractor</v>
      </c>
      <c r="P5" s="625"/>
      <c r="Q5" s="626"/>
      <c r="R5" s="615" t="str">
        <f>[3]Title!R5</f>
        <v>HITACHI ENERGY</v>
      </c>
      <c r="S5" s="616"/>
      <c r="T5" s="616"/>
      <c r="U5" s="616"/>
      <c r="V5" s="617"/>
      <c r="W5" s="14"/>
      <c r="X5" s="14"/>
    </row>
    <row r="6" spans="1:24" ht="18" customHeight="1">
      <c r="A6" s="196"/>
      <c r="V6" s="197"/>
    </row>
    <row r="7" spans="1:24" ht="18" customHeight="1">
      <c r="A7" s="196"/>
      <c r="B7" s="948" t="s">
        <v>120</v>
      </c>
      <c r="C7" s="949"/>
      <c r="D7" s="577" t="s">
        <v>396</v>
      </c>
      <c r="E7" s="579"/>
      <c r="F7" s="267"/>
      <c r="H7" s="582"/>
      <c r="I7" s="582"/>
      <c r="J7" s="582"/>
      <c r="K7" s="582"/>
      <c r="L7" s="582"/>
      <c r="M7" s="582"/>
      <c r="P7" s="198"/>
      <c r="S7" s="199" t="s">
        <v>398</v>
      </c>
      <c r="T7" s="961" t="s">
        <v>928</v>
      </c>
      <c r="U7" s="962"/>
      <c r="V7" s="197"/>
    </row>
    <row r="8" spans="1:24" ht="18" customHeight="1">
      <c r="A8" s="196"/>
      <c r="B8" s="963"/>
      <c r="C8" s="963"/>
      <c r="D8" s="580"/>
      <c r="E8" s="580"/>
      <c r="F8" s="267"/>
      <c r="T8" s="961" t="s">
        <v>519</v>
      </c>
      <c r="U8" s="962"/>
      <c r="V8" s="197"/>
    </row>
    <row r="9" spans="1:24" ht="18" customHeight="1">
      <c r="A9" s="196"/>
      <c r="H9" s="666" t="s">
        <v>401</v>
      </c>
      <c r="I9" s="666"/>
      <c r="J9" s="667" t="s">
        <v>402</v>
      </c>
      <c r="K9" s="667"/>
      <c r="L9" s="667" t="s">
        <v>403</v>
      </c>
      <c r="M9" s="667"/>
      <c r="T9" s="961"/>
      <c r="U9" s="962"/>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c r="I13" s="949"/>
      <c r="J13" s="14" t="s">
        <v>316</v>
      </c>
      <c r="T13" s="307"/>
      <c r="U13" s="18"/>
      <c r="V13" s="197"/>
      <c r="W13" s="30" t="str">
        <f>G61</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f>T9</f>
        <v>0</v>
      </c>
      <c r="E20" s="14"/>
      <c r="G20" s="211"/>
      <c r="H20" s="27"/>
      <c r="I20" s="101" t="s">
        <v>138</v>
      </c>
      <c r="J20" s="964"/>
      <c r="K20" s="965"/>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4">
        <f>'CT-VT Burdens'!S22</f>
        <v>0.44875935000000006</v>
      </c>
      <c r="K21" s="95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78">
        <f>SUM(J18:J21)</f>
        <v>0.48875935000000004</v>
      </c>
      <c r="K22" s="679"/>
      <c r="L22" s="3" t="s">
        <v>168</v>
      </c>
      <c r="O22" s="27" t="s">
        <v>138</v>
      </c>
      <c r="P22" s="668">
        <f>P21*R21*T21</f>
        <v>5</v>
      </c>
      <c r="Q22" s="665"/>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c r="W24" s="30" t="s">
        <v>547</v>
      </c>
    </row>
    <row r="25" spans="1:23"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(4)'!Q32</f>
        <v>50000</v>
      </c>
      <c r="T31" s="664"/>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0.48875935000000004</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v>30</v>
      </c>
      <c r="T38" s="665"/>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788" t="s">
        <v>484</v>
      </c>
      <c r="I45" s="975"/>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76">
        <f>S33</f>
        <v>0</v>
      </c>
      <c r="I46" s="977"/>
      <c r="J46" s="257" t="s">
        <v>326</v>
      </c>
      <c r="K46" s="257">
        <f>S36</f>
        <v>1</v>
      </c>
      <c r="L46" s="257" t="s">
        <v>552</v>
      </c>
      <c r="M46" s="257">
        <f>S37</f>
        <v>20</v>
      </c>
      <c r="N46" s="474" t="s">
        <v>553</v>
      </c>
      <c r="O46" s="516">
        <f>S34</f>
        <v>5</v>
      </c>
      <c r="V46" s="197"/>
    </row>
    <row r="47" spans="1:25" ht="18" hidden="1" customHeight="1">
      <c r="A47" s="196"/>
      <c r="D47" s="27" t="s">
        <v>138</v>
      </c>
      <c r="E47" s="665">
        <f>((F46*H46)/(K46*M46))-O46</f>
        <v>-5</v>
      </c>
      <c r="F47" s="665"/>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64" t="s">
        <v>555</v>
      </c>
      <c r="H51" s="664"/>
      <c r="I51" s="203" t="s">
        <v>353</v>
      </c>
      <c r="J51" s="665" t="s">
        <v>434</v>
      </c>
      <c r="K51" s="665"/>
      <c r="V51" s="197"/>
    </row>
    <row r="52" spans="1:22" ht="18" customHeight="1">
      <c r="A52" s="196"/>
      <c r="F52" s="27" t="s">
        <v>138</v>
      </c>
      <c r="G52" s="665">
        <f>S31</f>
        <v>50000</v>
      </c>
      <c r="H52" s="665"/>
      <c r="I52" s="203" t="s">
        <v>353</v>
      </c>
      <c r="J52" s="665">
        <f>S32</f>
        <v>2500</v>
      </c>
      <c r="K52" s="665"/>
      <c r="V52" s="197"/>
    </row>
    <row r="53" spans="1:22" ht="18" customHeight="1">
      <c r="A53" s="196"/>
      <c r="F53" s="27" t="s">
        <v>138</v>
      </c>
      <c r="G53" s="668">
        <f>G52/J52</f>
        <v>20</v>
      </c>
      <c r="H53" s="668"/>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0.48875935000000004</v>
      </c>
      <c r="P56" s="27" t="s">
        <v>361</v>
      </c>
      <c r="V56" s="197"/>
    </row>
    <row r="57" spans="1:22" ht="18" customHeight="1">
      <c r="A57" s="196"/>
      <c r="F57" s="27" t="s">
        <v>138</v>
      </c>
      <c r="G57" s="680">
        <f>G56*((I56+K56)/(M56+O56))</f>
        <v>127.53337418591687</v>
      </c>
      <c r="H57" s="68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68">
        <f>G57</f>
        <v>127.53337418591687</v>
      </c>
      <c r="E60" s="668"/>
      <c r="F60" s="27" t="str">
        <f>F59</f>
        <v>&gt;</v>
      </c>
      <c r="G60" s="668">
        <f>G53</f>
        <v>20</v>
      </c>
      <c r="H60" s="668"/>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16" t="s">
        <v>97</v>
      </c>
      <c r="B93" s="729"/>
      <c r="C93" s="717"/>
      <c r="D93" s="716" t="s">
        <v>98</v>
      </c>
      <c r="E93" s="729"/>
      <c r="F93" s="717"/>
      <c r="G93" s="716" t="s">
        <v>99</v>
      </c>
      <c r="H93" s="717"/>
      <c r="I93" s="716" t="s">
        <v>100</v>
      </c>
      <c r="J93" s="717"/>
      <c r="K93" s="716" t="s">
        <v>513</v>
      </c>
      <c r="L93" s="717"/>
      <c r="M93" s="716" t="s">
        <v>123</v>
      </c>
      <c r="N93" s="717"/>
      <c r="O93" s="716" t="s">
        <v>942</v>
      </c>
      <c r="P93" s="717"/>
      <c r="Q93" s="716" t="s">
        <v>516</v>
      </c>
      <c r="R93" s="717"/>
      <c r="S93" s="716" t="s">
        <v>105</v>
      </c>
      <c r="T93" s="729"/>
      <c r="U93" s="729"/>
      <c r="V93" s="717"/>
      <c r="W93" s="196"/>
      <c r="AR93" s="197"/>
    </row>
    <row r="94" spans="1:44" ht="18" customHeight="1">
      <c r="A94" s="718"/>
      <c r="B94" s="730"/>
      <c r="C94" s="719"/>
      <c r="D94" s="718"/>
      <c r="E94" s="730"/>
      <c r="F94" s="719"/>
      <c r="G94" s="718"/>
      <c r="H94" s="719"/>
      <c r="I94" s="718"/>
      <c r="J94" s="719"/>
      <c r="K94" s="718"/>
      <c r="L94" s="719"/>
      <c r="M94" s="718"/>
      <c r="N94" s="719"/>
      <c r="O94" s="718"/>
      <c r="P94" s="719"/>
      <c r="Q94" s="718"/>
      <c r="R94" s="719"/>
      <c r="S94" s="718"/>
      <c r="T94" s="730"/>
      <c r="U94" s="730"/>
      <c r="V94" s="719"/>
      <c r="W94" s="196"/>
      <c r="AR94" s="197"/>
    </row>
    <row r="95" spans="1:44" ht="18" customHeight="1">
      <c r="A95" s="718"/>
      <c r="B95" s="730"/>
      <c r="C95" s="719"/>
      <c r="D95" s="718"/>
      <c r="E95" s="730"/>
      <c r="F95" s="719"/>
      <c r="G95" s="718"/>
      <c r="H95" s="719"/>
      <c r="I95" s="718"/>
      <c r="J95" s="719"/>
      <c r="K95" s="718"/>
      <c r="L95" s="719"/>
      <c r="M95" s="718"/>
      <c r="N95" s="719"/>
      <c r="O95" s="718"/>
      <c r="P95" s="719"/>
      <c r="Q95" s="718"/>
      <c r="R95" s="719"/>
      <c r="S95" s="718"/>
      <c r="T95" s="730"/>
      <c r="U95" s="730"/>
      <c r="V95" s="719"/>
      <c r="W95" s="196"/>
      <c r="AR95" s="197"/>
    </row>
    <row r="96" spans="1:44" ht="18" customHeight="1">
      <c r="A96" s="720"/>
      <c r="B96" s="731"/>
      <c r="C96" s="721"/>
      <c r="D96" s="720"/>
      <c r="E96" s="731"/>
      <c r="F96" s="721"/>
      <c r="G96" s="720"/>
      <c r="H96" s="721"/>
      <c r="I96" s="720"/>
      <c r="J96" s="721"/>
      <c r="K96" s="720"/>
      <c r="L96" s="721"/>
      <c r="M96" s="720"/>
      <c r="N96" s="721"/>
      <c r="O96" s="720"/>
      <c r="P96" s="721"/>
      <c r="Q96" s="720"/>
      <c r="R96" s="721"/>
      <c r="S96" s="720"/>
      <c r="T96" s="731"/>
      <c r="U96" s="731"/>
      <c r="V96" s="721"/>
      <c r="W96" s="196"/>
      <c r="AR96" s="197"/>
    </row>
    <row r="97" spans="1:44" ht="18" customHeight="1">
      <c r="A97" s="733" t="str">
        <f>B7</f>
        <v>T1</v>
      </c>
      <c r="B97" s="733" t="str">
        <f>D7</f>
        <v>Core1</v>
      </c>
      <c r="C97" s="733"/>
      <c r="D97" s="732">
        <f>H10</f>
        <v>2500</v>
      </c>
      <c r="E97" s="732"/>
      <c r="F97" s="734">
        <f>O10</f>
        <v>1</v>
      </c>
      <c r="G97" s="732">
        <f>'CT-VT Burdens'!S19</f>
        <v>50</v>
      </c>
      <c r="H97" s="794">
        <f>'CT-VT Burdens'!S10</f>
        <v>6</v>
      </c>
      <c r="I97" s="794" t="str">
        <f>H11</f>
        <v>5P20</v>
      </c>
      <c r="J97" s="794" t="e">
        <f>#REF!</f>
        <v>#REF!</v>
      </c>
      <c r="K97" s="728">
        <f>H12</f>
        <v>5</v>
      </c>
      <c r="L97" s="728"/>
      <c r="M97" s="979">
        <f>G60</f>
        <v>20</v>
      </c>
      <c r="N97" s="728"/>
      <c r="O97" s="980">
        <f>D60</f>
        <v>127.53337418591687</v>
      </c>
      <c r="P97" s="732"/>
      <c r="Q97" s="739" t="str">
        <f>IF(T8="",T7,IF(T9="",T7&amp;" "&amp;T8,T7&amp;" "&amp;T8&amp;" "&amp;T9))</f>
        <v>REF650 REC670</v>
      </c>
      <c r="R97" s="739"/>
      <c r="S97" s="738" t="str">
        <f>G61</f>
        <v>Suitably Dimentioned</v>
      </c>
      <c r="T97" s="738"/>
      <c r="U97" s="738"/>
      <c r="V97" s="738"/>
      <c r="W97" s="196"/>
      <c r="AR97" s="197"/>
    </row>
    <row r="98" spans="1:44" ht="18" customHeight="1">
      <c r="A98" s="733"/>
      <c r="B98" s="733"/>
      <c r="C98" s="733"/>
      <c r="D98" s="799" t="s">
        <v>7</v>
      </c>
      <c r="E98" s="732"/>
      <c r="F98" s="735"/>
      <c r="G98" s="732"/>
      <c r="H98" s="732"/>
      <c r="I98" s="794"/>
      <c r="J98" s="794"/>
      <c r="K98" s="801" t="s">
        <v>7</v>
      </c>
      <c r="L98" s="728"/>
      <c r="M98" s="801" t="s">
        <v>7</v>
      </c>
      <c r="N98" s="728"/>
      <c r="O98" s="799" t="s">
        <v>7</v>
      </c>
      <c r="P98" s="732"/>
      <c r="Q98" s="739"/>
      <c r="R98" s="739"/>
      <c r="S98" s="978" t="s">
        <v>7</v>
      </c>
      <c r="T98" s="738"/>
      <c r="U98" s="738"/>
      <c r="V98" s="738"/>
      <c r="W98" s="196"/>
      <c r="AR98" s="197"/>
    </row>
    <row r="99" spans="1:44" ht="18" customHeight="1">
      <c r="A99" s="733"/>
      <c r="B99" s="733"/>
      <c r="C99" s="733"/>
      <c r="D99" s="799" t="s">
        <v>7</v>
      </c>
      <c r="E99" s="732"/>
      <c r="F99" s="736"/>
      <c r="G99" s="732"/>
      <c r="H99" s="732"/>
      <c r="I99" s="794"/>
      <c r="J99" s="794"/>
      <c r="K99" s="801" t="s">
        <v>7</v>
      </c>
      <c r="L99" s="728"/>
      <c r="M99" s="801" t="s">
        <v>7</v>
      </c>
      <c r="N99" s="728"/>
      <c r="O99" s="799" t="s">
        <v>7</v>
      </c>
      <c r="P99" s="732"/>
      <c r="Q99" s="739"/>
      <c r="R99" s="739"/>
      <c r="S99" s="738" t="s">
        <v>7</v>
      </c>
      <c r="T99" s="738"/>
      <c r="U99" s="738"/>
      <c r="V99" s="738"/>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 ref="O93:P96"/>
    <mergeCell ref="Q93:R96"/>
    <mergeCell ref="S93:V96"/>
    <mergeCell ref="K93:L96"/>
    <mergeCell ref="M93:N96"/>
    <mergeCell ref="A93:C96"/>
    <mergeCell ref="D93:F96"/>
    <mergeCell ref="G93:H96"/>
    <mergeCell ref="I93:J96"/>
    <mergeCell ref="D99:E99"/>
    <mergeCell ref="A97:A99"/>
    <mergeCell ref="B97:C99"/>
    <mergeCell ref="D97:E97"/>
    <mergeCell ref="F97:F99"/>
    <mergeCell ref="G97:G99"/>
    <mergeCell ref="G52:H52"/>
    <mergeCell ref="J52:K52"/>
    <mergeCell ref="G53:H53"/>
    <mergeCell ref="G57:H57"/>
    <mergeCell ref="D60:E60"/>
    <mergeCell ref="G60:H60"/>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J20:K20"/>
    <mergeCell ref="J21:K21"/>
    <mergeCell ref="J22:K22"/>
    <mergeCell ref="A5:B5"/>
    <mergeCell ref="D5:F5"/>
    <mergeCell ref="H5:N5"/>
    <mergeCell ref="B7:C7"/>
    <mergeCell ref="H11:I11"/>
    <mergeCell ref="H12:I12"/>
    <mergeCell ref="H13:I13"/>
    <mergeCell ref="H14:I14"/>
    <mergeCell ref="J18:K18"/>
    <mergeCell ref="J19:K19"/>
    <mergeCell ref="T7:U7"/>
    <mergeCell ref="B8:C8"/>
    <mergeCell ref="H10:I10"/>
    <mergeCell ref="J10:K10"/>
    <mergeCell ref="L10:M10"/>
    <mergeCell ref="T8:U8"/>
    <mergeCell ref="H9:I9"/>
    <mergeCell ref="J9:K9"/>
    <mergeCell ref="L9:M9"/>
    <mergeCell ref="T9:U9"/>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916</v>
      </c>
      <c r="I5" s="622"/>
      <c r="J5" s="622"/>
      <c r="K5" s="622"/>
      <c r="L5" s="622"/>
      <c r="M5" s="622"/>
      <c r="N5" s="623"/>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517</v>
      </c>
      <c r="E7" s="960"/>
      <c r="F7" s="468"/>
      <c r="H7" s="665"/>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str">
        <f>H59</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'CT-VT Burdens'!Q98</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0.44875935000000006</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0.54875935000000009</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50000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2500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20</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0.54875935000000009</v>
      </c>
      <c r="T27" s="669"/>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20</v>
      </c>
      <c r="H36" s="664"/>
      <c r="I36" s="28" t="s">
        <v>683</v>
      </c>
      <c r="J36" s="664">
        <f>H12</f>
        <v>5</v>
      </c>
      <c r="K36" s="664"/>
      <c r="L36" s="28" t="s">
        <v>358</v>
      </c>
      <c r="M36" s="669">
        <f>S27</f>
        <v>0.54875935000000009</v>
      </c>
      <c r="N36" s="664"/>
      <c r="O36" s="14" t="s">
        <v>361</v>
      </c>
      <c r="S36" s="14"/>
      <c r="T36" s="14"/>
      <c r="U36" s="14"/>
      <c r="V36" s="197"/>
    </row>
    <row r="37" spans="1:22" ht="18" customHeight="1">
      <c r="A37" s="196"/>
      <c r="B37" s="14"/>
      <c r="C37" s="14"/>
      <c r="D37" s="102" t="s">
        <v>138</v>
      </c>
      <c r="E37" s="669">
        <f>E36*G36*(J36+M36)</f>
        <v>55.487593500000003</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5</v>
      </c>
      <c r="I42" s="664"/>
      <c r="J42" s="28" t="s">
        <v>358</v>
      </c>
      <c r="K42" s="669">
        <f>S27</f>
        <v>0.54875935000000009</v>
      </c>
      <c r="L42" s="664"/>
      <c r="M42" s="14" t="s">
        <v>361</v>
      </c>
      <c r="N42" s="14"/>
      <c r="O42" s="14"/>
      <c r="P42" s="14"/>
      <c r="Q42" s="14"/>
      <c r="R42" s="14"/>
      <c r="V42" s="197"/>
    </row>
    <row r="43" spans="1:22" ht="18" customHeight="1">
      <c r="A43" s="196"/>
      <c r="B43" s="14"/>
      <c r="C43" s="14"/>
      <c r="D43" s="102" t="s">
        <v>138</v>
      </c>
      <c r="E43" s="669">
        <f>E42*(H42+K42)</f>
        <v>110.97518700000001</v>
      </c>
      <c r="F43" s="66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41">
        <f>H13</f>
        <v>750</v>
      </c>
      <c r="F52" s="941"/>
      <c r="G52" s="28" t="str">
        <f>G51</f>
        <v>&gt;</v>
      </c>
      <c r="H52" s="669">
        <f>E37</f>
        <v>55.487593500000003</v>
      </c>
      <c r="I52" s="669"/>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41">
        <f>H13</f>
        <v>750</v>
      </c>
      <c r="F56" s="941"/>
      <c r="G56" s="28" t="str">
        <f>G55</f>
        <v>&gt;</v>
      </c>
      <c r="H56" s="669">
        <f>E43</f>
        <v>110.97518700000001</v>
      </c>
      <c r="I56" s="669"/>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08" t="str">
        <f>B7</f>
        <v>T1</v>
      </c>
      <c r="C89" s="709"/>
      <c r="D89" s="708" t="str">
        <f>D7</f>
        <v>Core2</v>
      </c>
      <c r="E89" s="709"/>
      <c r="F89" s="468"/>
      <c r="H89" s="665" t="s">
        <v>722</v>
      </c>
      <c r="I89" s="665"/>
      <c r="J89" s="665"/>
      <c r="K89" s="665"/>
      <c r="L89" s="665"/>
      <c r="M89" s="665"/>
      <c r="P89" s="198"/>
      <c r="S89" s="199" t="s">
        <v>398</v>
      </c>
      <c r="T89" s="708" t="str">
        <f>T7</f>
        <v>P743</v>
      </c>
      <c r="U89" s="709"/>
      <c r="V89" s="197"/>
    </row>
    <row r="90" spans="1:23" ht="18" hidden="1" customHeight="1">
      <c r="A90" s="469"/>
      <c r="F90" s="468"/>
      <c r="T90" s="708">
        <f>T8</f>
        <v>0</v>
      </c>
      <c r="U90" s="709"/>
      <c r="V90" s="197"/>
    </row>
    <row r="91" spans="1:23" ht="18" hidden="1" customHeight="1">
      <c r="A91" s="196"/>
      <c r="H91" s="696" t="s">
        <v>401</v>
      </c>
      <c r="I91" s="696"/>
      <c r="J91" s="666" t="s">
        <v>402</v>
      </c>
      <c r="K91" s="666"/>
      <c r="L91" s="667" t="s">
        <v>403</v>
      </c>
      <c r="M91" s="667"/>
      <c r="T91" s="708">
        <f>T9</f>
        <v>0</v>
      </c>
      <c r="U91" s="709"/>
      <c r="V91" s="197"/>
    </row>
    <row r="92" spans="1:23" ht="18" hidden="1" customHeight="1">
      <c r="A92" s="196"/>
      <c r="B92" s="47" t="s">
        <v>404</v>
      </c>
      <c r="H92" s="708">
        <f>H10</f>
        <v>2500</v>
      </c>
      <c r="I92" s="709"/>
      <c r="J92" s="714" t="str">
        <f>J10</f>
        <v>-</v>
      </c>
      <c r="K92" s="715"/>
      <c r="L92" s="708" t="str">
        <f>L10</f>
        <v>-</v>
      </c>
      <c r="M92" s="709"/>
      <c r="N92" s="203" t="s">
        <v>353</v>
      </c>
      <c r="O92" s="268">
        <f>O10</f>
        <v>1</v>
      </c>
      <c r="P92" s="27" t="s">
        <v>9</v>
      </c>
      <c r="R92" s="267"/>
      <c r="S92" s="267"/>
      <c r="V92" s="197"/>
    </row>
    <row r="93" spans="1:23" ht="18" hidden="1" customHeight="1">
      <c r="A93" s="196"/>
      <c r="B93" s="47" t="s">
        <v>405</v>
      </c>
      <c r="J93" s="708" t="str">
        <f>H11</f>
        <v>PX-B</v>
      </c>
      <c r="K93" s="709"/>
      <c r="V93" s="197"/>
    </row>
    <row r="94" spans="1:23" ht="18" hidden="1" customHeight="1">
      <c r="A94" s="196"/>
      <c r="B94" s="47" t="s">
        <v>407</v>
      </c>
      <c r="I94" s="120" t="s">
        <v>508</v>
      </c>
      <c r="J94" s="981"/>
      <c r="K94" s="982"/>
      <c r="L94" s="204" t="s">
        <v>344</v>
      </c>
      <c r="V94" s="197"/>
    </row>
    <row r="95" spans="1:23" ht="18" hidden="1" customHeight="1">
      <c r="A95" s="196"/>
      <c r="B95" s="47" t="s">
        <v>409</v>
      </c>
      <c r="I95" s="120" t="s">
        <v>509</v>
      </c>
      <c r="J95" s="948"/>
      <c r="K95" s="949"/>
      <c r="L95" s="14" t="s">
        <v>316</v>
      </c>
      <c r="U95" s="18"/>
      <c r="V95" s="197"/>
      <c r="W95" s="30" t="str">
        <f>H144</f>
        <v>Under Dimentioned</v>
      </c>
    </row>
    <row r="96" spans="1:23" ht="18" hidden="1" customHeight="1">
      <c r="A96" s="196"/>
      <c r="B96" s="14" t="s">
        <v>412</v>
      </c>
      <c r="I96" s="120" t="s">
        <v>413</v>
      </c>
      <c r="J96" s="948"/>
      <c r="K96" s="949"/>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699">
        <f>J18</f>
        <v>0.1</v>
      </c>
      <c r="K100" s="678"/>
      <c r="L100" s="3" t="s">
        <v>168</v>
      </c>
      <c r="N100" s="209"/>
      <c r="V100" s="197"/>
    </row>
    <row r="101" spans="1:22" ht="18" hidden="1" customHeight="1">
      <c r="A101" s="196"/>
      <c r="B101" s="96" t="s">
        <v>416</v>
      </c>
      <c r="C101" s="14"/>
      <c r="D101" s="47">
        <f>T90</f>
        <v>0</v>
      </c>
      <c r="E101" s="14"/>
      <c r="G101" s="211"/>
      <c r="H101" s="27"/>
      <c r="I101" s="101" t="s">
        <v>138</v>
      </c>
      <c r="J101" s="699">
        <f>J19</f>
        <v>0</v>
      </c>
      <c r="K101" s="678"/>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699">
        <f>J20</f>
        <v>0</v>
      </c>
      <c r="K102" s="678"/>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699">
        <f>J21</f>
        <v>0.44875935000000006</v>
      </c>
      <c r="K103" s="678"/>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678">
        <f>SUM(J100:J103)</f>
        <v>0.54875935000000009</v>
      </c>
      <c r="K104" s="679"/>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08">
        <f>S24</f>
        <v>50000</v>
      </c>
      <c r="T106" s="709"/>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664">
        <f>H92</f>
        <v>2500</v>
      </c>
      <c r="T107" s="664"/>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669">
        <f>S106/S107*O92</f>
        <v>20</v>
      </c>
      <c r="T108" s="669"/>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669">
        <f>J104/O92*O92</f>
        <v>0.54875935000000009</v>
      </c>
      <c r="T109" s="669"/>
      <c r="U109" s="204" t="s">
        <v>344</v>
      </c>
      <c r="V109" s="197"/>
    </row>
    <row r="110" spans="1:22" ht="18" hidden="1" customHeight="1">
      <c r="A110" s="180"/>
      <c r="B110" s="5"/>
      <c r="C110" s="47" t="s">
        <v>857</v>
      </c>
      <c r="Q110" s="120" t="s">
        <v>858</v>
      </c>
      <c r="R110" s="28" t="s">
        <v>138</v>
      </c>
      <c r="S110" s="708">
        <f>S28</f>
        <v>50000</v>
      </c>
      <c r="T110" s="709"/>
      <c r="U110" s="14" t="s">
        <v>9</v>
      </c>
      <c r="V110" s="197"/>
    </row>
    <row r="111" spans="1:22" ht="18" hidden="1" customHeight="1">
      <c r="A111" s="311"/>
      <c r="B111" s="291"/>
      <c r="C111" s="47" t="s">
        <v>859</v>
      </c>
      <c r="Q111" s="256" t="s">
        <v>860</v>
      </c>
      <c r="R111" s="28" t="s">
        <v>138</v>
      </c>
      <c r="S111" s="668">
        <f>S110/S107</f>
        <v>20</v>
      </c>
      <c r="T111" s="668"/>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664" t="s">
        <v>484</v>
      </c>
      <c r="C117" s="664"/>
      <c r="D117" s="28" t="s">
        <v>862</v>
      </c>
      <c r="E117" s="28">
        <v>0.5</v>
      </c>
      <c r="F117" s="28" t="s">
        <v>326</v>
      </c>
      <c r="G117" s="664" t="s">
        <v>855</v>
      </c>
      <c r="H117" s="664"/>
      <c r="I117" s="28" t="s">
        <v>683</v>
      </c>
      <c r="J117" s="664" t="s">
        <v>431</v>
      </c>
      <c r="K117" s="664"/>
      <c r="L117" s="28" t="s">
        <v>358</v>
      </c>
      <c r="M117" s="664" t="s">
        <v>700</v>
      </c>
      <c r="N117" s="664"/>
      <c r="O117" s="14" t="s">
        <v>361</v>
      </c>
      <c r="P117" s="14"/>
      <c r="Q117" s="14"/>
      <c r="R117" s="14"/>
      <c r="T117" s="14"/>
      <c r="U117" s="14"/>
      <c r="V117" s="197"/>
    </row>
    <row r="118" spans="1:22" ht="18" hidden="1" customHeight="1">
      <c r="A118" s="196"/>
      <c r="B118" s="14"/>
      <c r="C118" s="14"/>
      <c r="D118" s="102" t="s">
        <v>138</v>
      </c>
      <c r="E118" s="28">
        <v>0.5</v>
      </c>
      <c r="F118" s="28" t="s">
        <v>326</v>
      </c>
      <c r="G118" s="669">
        <f>S108</f>
        <v>20</v>
      </c>
      <c r="H118" s="664"/>
      <c r="I118" s="28" t="s">
        <v>683</v>
      </c>
      <c r="J118" s="664">
        <f>J94</f>
        <v>0</v>
      </c>
      <c r="K118" s="664"/>
      <c r="L118" s="28" t="s">
        <v>358</v>
      </c>
      <c r="M118" s="669">
        <f>S109</f>
        <v>0.54875935000000009</v>
      </c>
      <c r="N118" s="664"/>
      <c r="O118" s="14" t="s">
        <v>361</v>
      </c>
      <c r="S118" s="14"/>
      <c r="T118" s="14"/>
      <c r="U118" s="14"/>
      <c r="V118" s="197"/>
    </row>
    <row r="119" spans="1:22" ht="18" hidden="1" customHeight="1">
      <c r="A119" s="196"/>
      <c r="B119" s="14"/>
      <c r="C119" s="14"/>
      <c r="D119" s="102" t="s">
        <v>138</v>
      </c>
      <c r="E119" s="669">
        <f>E118*G118*(J118+M118)</f>
        <v>5.4875935000000009</v>
      </c>
      <c r="F119" s="669"/>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664" t="s">
        <v>484</v>
      </c>
      <c r="C123" s="664"/>
      <c r="D123" s="28" t="s">
        <v>862</v>
      </c>
      <c r="E123" s="664" t="s">
        <v>860</v>
      </c>
      <c r="F123" s="664"/>
      <c r="G123" s="28" t="s">
        <v>683</v>
      </c>
      <c r="H123" s="664" t="s">
        <v>431</v>
      </c>
      <c r="I123" s="664"/>
      <c r="J123" s="28" t="s">
        <v>358</v>
      </c>
      <c r="K123" s="664" t="s">
        <v>700</v>
      </c>
      <c r="L123" s="664"/>
      <c r="M123" s="14" t="s">
        <v>361</v>
      </c>
      <c r="P123" s="14"/>
      <c r="Q123" s="14"/>
      <c r="R123" s="14"/>
      <c r="V123" s="197"/>
    </row>
    <row r="124" spans="1:22" ht="18" hidden="1" customHeight="1">
      <c r="A124" s="196"/>
      <c r="B124" s="14"/>
      <c r="C124" s="14"/>
      <c r="D124" s="102" t="s">
        <v>138</v>
      </c>
      <c r="E124" s="669">
        <f>S111</f>
        <v>20</v>
      </c>
      <c r="F124" s="664"/>
      <c r="G124" s="28" t="s">
        <v>683</v>
      </c>
      <c r="H124" s="664">
        <f>J94</f>
        <v>0</v>
      </c>
      <c r="I124" s="664"/>
      <c r="J124" s="28" t="s">
        <v>358</v>
      </c>
      <c r="K124" s="669">
        <f>S109</f>
        <v>0.54875935000000009</v>
      </c>
      <c r="L124" s="664"/>
      <c r="M124" s="14" t="s">
        <v>361</v>
      </c>
      <c r="N124" s="14"/>
      <c r="O124" s="14"/>
      <c r="P124" s="14"/>
      <c r="Q124" s="14"/>
      <c r="R124" s="14"/>
      <c r="V124" s="197"/>
    </row>
    <row r="125" spans="1:22" ht="18" hidden="1" customHeight="1">
      <c r="A125" s="196"/>
      <c r="B125" s="14"/>
      <c r="C125" s="14"/>
      <c r="D125" s="102" t="s">
        <v>138</v>
      </c>
      <c r="E125" s="669">
        <f>E124*(H124+K124)</f>
        <v>10.975187000000002</v>
      </c>
      <c r="F125" s="669"/>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41">
        <f>J95</f>
        <v>0</v>
      </c>
      <c r="F137" s="941"/>
      <c r="G137" s="28" t="str">
        <f>G136</f>
        <v>&lt;</v>
      </c>
      <c r="H137" s="669">
        <f>E119</f>
        <v>5.4875935000000009</v>
      </c>
      <c r="I137" s="669"/>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41">
        <f>J95</f>
        <v>0</v>
      </c>
      <c r="F141" s="941"/>
      <c r="G141" s="28" t="str">
        <f>G140</f>
        <v>&lt;</v>
      </c>
      <c r="H141" s="669">
        <f>E125</f>
        <v>10.975187000000002</v>
      </c>
      <c r="I141" s="669"/>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08" t="str">
        <f>B89</f>
        <v>T1</v>
      </c>
      <c r="C177" s="709"/>
      <c r="D177" s="708" t="str">
        <f>D89</f>
        <v>Core2</v>
      </c>
      <c r="E177" s="709"/>
      <c r="F177" s="468"/>
      <c r="H177" s="665" t="s">
        <v>722</v>
      </c>
      <c r="I177" s="665"/>
      <c r="J177" s="665"/>
      <c r="K177" s="665"/>
      <c r="L177" s="665"/>
      <c r="M177" s="665"/>
      <c r="P177" s="198"/>
      <c r="S177" s="199" t="s">
        <v>398</v>
      </c>
      <c r="T177" s="708" t="str">
        <f>T89</f>
        <v>P743</v>
      </c>
      <c r="U177" s="709"/>
      <c r="V177" s="197"/>
    </row>
    <row r="178" spans="1:23" ht="18" hidden="1" customHeight="1">
      <c r="A178" s="469"/>
      <c r="F178" s="468"/>
      <c r="T178" s="708">
        <f>T90</f>
        <v>0</v>
      </c>
      <c r="U178" s="709"/>
      <c r="V178" s="197"/>
    </row>
    <row r="179" spans="1:23" ht="18" hidden="1" customHeight="1">
      <c r="A179" s="196"/>
      <c r="H179" s="696" t="s">
        <v>401</v>
      </c>
      <c r="I179" s="696"/>
      <c r="J179" s="696" t="s">
        <v>402</v>
      </c>
      <c r="K179" s="696"/>
      <c r="L179" s="666" t="s">
        <v>403</v>
      </c>
      <c r="M179" s="666"/>
      <c r="T179" s="708">
        <f>T91</f>
        <v>0</v>
      </c>
      <c r="U179" s="709"/>
      <c r="V179" s="197"/>
    </row>
    <row r="180" spans="1:23" ht="18" hidden="1" customHeight="1">
      <c r="A180" s="196"/>
      <c r="B180" s="47" t="s">
        <v>404</v>
      </c>
      <c r="H180" s="708">
        <f>H92</f>
        <v>2500</v>
      </c>
      <c r="I180" s="709"/>
      <c r="J180" s="708" t="str">
        <f>J92</f>
        <v>-</v>
      </c>
      <c r="K180" s="709"/>
      <c r="L180" s="714" t="str">
        <f>L92</f>
        <v>-</v>
      </c>
      <c r="M180" s="715"/>
      <c r="N180" s="203" t="s">
        <v>353</v>
      </c>
      <c r="O180" s="268">
        <f>O92</f>
        <v>1</v>
      </c>
      <c r="P180" s="27" t="s">
        <v>9</v>
      </c>
      <c r="R180" s="267"/>
      <c r="S180" s="267"/>
      <c r="V180" s="197"/>
    </row>
    <row r="181" spans="1:23" ht="18" hidden="1" customHeight="1">
      <c r="A181" s="196"/>
      <c r="B181" s="47" t="s">
        <v>405</v>
      </c>
      <c r="L181" s="708" t="str">
        <f>J93</f>
        <v>PX-B</v>
      </c>
      <c r="M181" s="709"/>
      <c r="V181" s="197"/>
    </row>
    <row r="182" spans="1:23" ht="18" hidden="1" customHeight="1">
      <c r="A182" s="196"/>
      <c r="B182" s="47" t="s">
        <v>407</v>
      </c>
      <c r="K182" s="120" t="s">
        <v>508</v>
      </c>
      <c r="L182" s="981"/>
      <c r="M182" s="982"/>
      <c r="N182" s="204" t="s">
        <v>344</v>
      </c>
      <c r="V182" s="197"/>
    </row>
    <row r="183" spans="1:23" ht="18" hidden="1" customHeight="1">
      <c r="A183" s="196"/>
      <c r="B183" s="47" t="s">
        <v>409</v>
      </c>
      <c r="K183" s="120" t="s">
        <v>509</v>
      </c>
      <c r="L183" s="948"/>
      <c r="M183" s="949"/>
      <c r="N183" s="14" t="s">
        <v>316</v>
      </c>
      <c r="U183" s="18"/>
      <c r="V183" s="197"/>
      <c r="W183" s="30" t="e">
        <f>H232</f>
        <v>#VALUE!</v>
      </c>
    </row>
    <row r="184" spans="1:23" ht="18" hidden="1" customHeight="1">
      <c r="A184" s="196"/>
      <c r="B184" s="14" t="s">
        <v>412</v>
      </c>
      <c r="K184" s="120" t="s">
        <v>413</v>
      </c>
      <c r="L184" s="948"/>
      <c r="M184" s="949"/>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699">
        <f>J100</f>
        <v>0.1</v>
      </c>
      <c r="K188" s="678"/>
      <c r="L188" s="3" t="s">
        <v>168</v>
      </c>
      <c r="N188" s="209"/>
      <c r="V188" s="197"/>
    </row>
    <row r="189" spans="1:23" ht="18" hidden="1" customHeight="1">
      <c r="A189" s="196"/>
      <c r="B189" s="96" t="s">
        <v>416</v>
      </c>
      <c r="C189" s="14"/>
      <c r="D189" s="47">
        <f>T178</f>
        <v>0</v>
      </c>
      <c r="E189" s="14"/>
      <c r="G189" s="211"/>
      <c r="H189" s="27"/>
      <c r="I189" s="101" t="s">
        <v>138</v>
      </c>
      <c r="J189" s="699">
        <f>J101</f>
        <v>0</v>
      </c>
      <c r="K189" s="678"/>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699">
        <f>J102</f>
        <v>0</v>
      </c>
      <c r="K190" s="678"/>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699">
        <f>J103</f>
        <v>0.44875935000000006</v>
      </c>
      <c r="K191" s="678"/>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678">
        <f>SUM(J188:J191)</f>
        <v>0.54875935000000009</v>
      </c>
      <c r="K192" s="679"/>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08">
        <f>S106</f>
        <v>50000</v>
      </c>
      <c r="T194" s="709"/>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664" t="str">
        <f>L180</f>
        <v>-</v>
      </c>
      <c r="T195" s="664"/>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669" t="e">
        <f>S194/S195*O180</f>
        <v>#VALUE!</v>
      </c>
      <c r="T196" s="669"/>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669">
        <f>J192/O180*O180</f>
        <v>0.54875935000000009</v>
      </c>
      <c r="T197" s="669"/>
      <c r="U197" s="204" t="s">
        <v>344</v>
      </c>
      <c r="V197" s="197"/>
    </row>
    <row r="198" spans="1:22" ht="18" hidden="1" customHeight="1">
      <c r="A198" s="180"/>
      <c r="B198" s="5"/>
      <c r="C198" s="47" t="s">
        <v>857</v>
      </c>
      <c r="Q198" s="120" t="s">
        <v>858</v>
      </c>
      <c r="R198" s="28" t="s">
        <v>138</v>
      </c>
      <c r="S198" s="708">
        <f>S110</f>
        <v>50000</v>
      </c>
      <c r="T198" s="709"/>
      <c r="U198" s="14" t="s">
        <v>9</v>
      </c>
      <c r="V198" s="197"/>
    </row>
    <row r="199" spans="1:22" ht="18" hidden="1" customHeight="1">
      <c r="A199" s="311"/>
      <c r="B199" s="291"/>
      <c r="C199" s="47" t="s">
        <v>859</v>
      </c>
      <c r="Q199" s="256" t="s">
        <v>860</v>
      </c>
      <c r="R199" s="28" t="s">
        <v>138</v>
      </c>
      <c r="S199" s="668" t="e">
        <f>S198/S195</f>
        <v>#VALUE!</v>
      </c>
      <c r="T199" s="668"/>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664" t="s">
        <v>484</v>
      </c>
      <c r="C205" s="664"/>
      <c r="D205" s="28" t="s">
        <v>862</v>
      </c>
      <c r="E205" s="28">
        <v>0.5</v>
      </c>
      <c r="F205" s="28" t="s">
        <v>326</v>
      </c>
      <c r="G205" s="664" t="s">
        <v>855</v>
      </c>
      <c r="H205" s="664"/>
      <c r="I205" s="28" t="s">
        <v>683</v>
      </c>
      <c r="J205" s="664" t="s">
        <v>431</v>
      </c>
      <c r="K205" s="664"/>
      <c r="L205" s="28" t="s">
        <v>358</v>
      </c>
      <c r="M205" s="664" t="s">
        <v>700</v>
      </c>
      <c r="N205" s="664"/>
      <c r="O205" s="14" t="s">
        <v>361</v>
      </c>
      <c r="P205" s="14"/>
      <c r="Q205" s="14"/>
      <c r="R205" s="14"/>
      <c r="T205" s="14"/>
      <c r="U205" s="14"/>
      <c r="V205" s="197"/>
    </row>
    <row r="206" spans="1:22" ht="18" hidden="1" customHeight="1">
      <c r="A206" s="196"/>
      <c r="B206" s="14"/>
      <c r="C206" s="14"/>
      <c r="D206" s="102" t="s">
        <v>138</v>
      </c>
      <c r="E206" s="28">
        <v>0.5</v>
      </c>
      <c r="F206" s="28" t="s">
        <v>326</v>
      </c>
      <c r="G206" s="669" t="e">
        <f>S196</f>
        <v>#VALUE!</v>
      </c>
      <c r="H206" s="664"/>
      <c r="I206" s="28" t="s">
        <v>683</v>
      </c>
      <c r="J206" s="664">
        <f>L182</f>
        <v>0</v>
      </c>
      <c r="K206" s="664"/>
      <c r="L206" s="28" t="s">
        <v>358</v>
      </c>
      <c r="M206" s="669">
        <f>S197</f>
        <v>0.54875935000000009</v>
      </c>
      <c r="N206" s="664"/>
      <c r="O206" s="14" t="s">
        <v>361</v>
      </c>
      <c r="S206" s="14"/>
      <c r="T206" s="14"/>
      <c r="U206" s="14"/>
      <c r="V206" s="197"/>
    </row>
    <row r="207" spans="1:22" ht="18" hidden="1" customHeight="1">
      <c r="A207" s="196"/>
      <c r="B207" s="14"/>
      <c r="C207" s="14"/>
      <c r="D207" s="102" t="s">
        <v>138</v>
      </c>
      <c r="E207" s="669" t="e">
        <f>E206*G206*(J206+M206)</f>
        <v>#VALUE!</v>
      </c>
      <c r="F207" s="669"/>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664" t="s">
        <v>484</v>
      </c>
      <c r="C211" s="664"/>
      <c r="D211" s="28" t="s">
        <v>862</v>
      </c>
      <c r="E211" s="664" t="s">
        <v>860</v>
      </c>
      <c r="F211" s="664"/>
      <c r="G211" s="28" t="s">
        <v>683</v>
      </c>
      <c r="H211" s="664" t="s">
        <v>431</v>
      </c>
      <c r="I211" s="664"/>
      <c r="J211" s="28" t="s">
        <v>358</v>
      </c>
      <c r="K211" s="664" t="s">
        <v>700</v>
      </c>
      <c r="L211" s="664"/>
      <c r="M211" s="14" t="s">
        <v>361</v>
      </c>
      <c r="P211" s="14"/>
      <c r="Q211" s="14"/>
      <c r="R211" s="14"/>
      <c r="V211" s="197"/>
    </row>
    <row r="212" spans="1:22" ht="18" hidden="1" customHeight="1">
      <c r="A212" s="196"/>
      <c r="B212" s="14"/>
      <c r="C212" s="14"/>
      <c r="D212" s="102" t="s">
        <v>138</v>
      </c>
      <c r="E212" s="669" t="e">
        <f>S199</f>
        <v>#VALUE!</v>
      </c>
      <c r="F212" s="664"/>
      <c r="G212" s="28" t="s">
        <v>683</v>
      </c>
      <c r="H212" s="664">
        <f>L182</f>
        <v>0</v>
      </c>
      <c r="I212" s="664"/>
      <c r="J212" s="28" t="s">
        <v>358</v>
      </c>
      <c r="K212" s="669">
        <f>S197</f>
        <v>0.54875935000000009</v>
      </c>
      <c r="L212" s="664"/>
      <c r="M212" s="14" t="s">
        <v>361</v>
      </c>
      <c r="N212" s="14"/>
      <c r="O212" s="14"/>
      <c r="P212" s="14"/>
      <c r="Q212" s="14"/>
      <c r="R212" s="14"/>
      <c r="V212" s="197"/>
    </row>
    <row r="213" spans="1:22" ht="18" hidden="1" customHeight="1">
      <c r="A213" s="196"/>
      <c r="B213" s="14"/>
      <c r="C213" s="14"/>
      <c r="D213" s="102" t="s">
        <v>138</v>
      </c>
      <c r="E213" s="669" t="e">
        <f>E212*(H212+K212)</f>
        <v>#VALUE!</v>
      </c>
      <c r="F213" s="669"/>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41">
        <f>L183</f>
        <v>0</v>
      </c>
      <c r="F225" s="941"/>
      <c r="G225" s="28" t="e">
        <f>G224</f>
        <v>#VALUE!</v>
      </c>
      <c r="H225" s="669" t="e">
        <f>E207</f>
        <v>#VALUE!</v>
      </c>
      <c r="I225" s="669"/>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41">
        <f>L183</f>
        <v>0</v>
      </c>
      <c r="F229" s="941"/>
      <c r="G229" s="28" t="e">
        <f>G228</f>
        <v>#VALUE!</v>
      </c>
      <c r="H229" s="669" t="e">
        <f>E213</f>
        <v>#VALUE!</v>
      </c>
      <c r="I229" s="669"/>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16" t="s">
        <v>97</v>
      </c>
      <c r="B266" s="729"/>
      <c r="C266" s="717"/>
      <c r="D266" s="716" t="s">
        <v>98</v>
      </c>
      <c r="E266" s="729"/>
      <c r="F266" s="717"/>
      <c r="G266" s="716" t="s">
        <v>99</v>
      </c>
      <c r="H266" s="717"/>
      <c r="I266" s="716" t="s">
        <v>100</v>
      </c>
      <c r="J266" s="717"/>
      <c r="K266" s="716" t="s">
        <v>513</v>
      </c>
      <c r="L266" s="717"/>
      <c r="M266" s="716" t="s">
        <v>514</v>
      </c>
      <c r="N266" s="717"/>
      <c r="O266" s="716" t="s">
        <v>515</v>
      </c>
      <c r="P266" s="717"/>
      <c r="Q266" s="716" t="s">
        <v>516</v>
      </c>
      <c r="R266" s="717"/>
      <c r="S266" s="716" t="s">
        <v>105</v>
      </c>
      <c r="T266" s="729"/>
      <c r="U266" s="729"/>
      <c r="V266" s="717"/>
    </row>
    <row r="267" spans="1:22" ht="18" customHeight="1">
      <c r="A267" s="718"/>
      <c r="B267" s="730"/>
      <c r="C267" s="719"/>
      <c r="D267" s="718"/>
      <c r="E267" s="730"/>
      <c r="F267" s="719"/>
      <c r="G267" s="718"/>
      <c r="H267" s="719"/>
      <c r="I267" s="718"/>
      <c r="J267" s="719"/>
      <c r="K267" s="718"/>
      <c r="L267" s="719"/>
      <c r="M267" s="718"/>
      <c r="N267" s="719"/>
      <c r="O267" s="718"/>
      <c r="P267" s="719"/>
      <c r="Q267" s="718"/>
      <c r="R267" s="719"/>
      <c r="S267" s="718"/>
      <c r="T267" s="730"/>
      <c r="U267" s="730"/>
      <c r="V267" s="719"/>
    </row>
    <row r="268" spans="1:22" ht="18" customHeight="1">
      <c r="A268" s="718"/>
      <c r="B268" s="730"/>
      <c r="C268" s="719"/>
      <c r="D268" s="718"/>
      <c r="E268" s="730"/>
      <c r="F268" s="719"/>
      <c r="G268" s="718"/>
      <c r="H268" s="719"/>
      <c r="I268" s="718"/>
      <c r="J268" s="719"/>
      <c r="K268" s="718"/>
      <c r="L268" s="719"/>
      <c r="M268" s="718"/>
      <c r="N268" s="719"/>
      <c r="O268" s="718"/>
      <c r="P268" s="719"/>
      <c r="Q268" s="718"/>
      <c r="R268" s="719"/>
      <c r="S268" s="718"/>
      <c r="T268" s="730"/>
      <c r="U268" s="730"/>
      <c r="V268" s="719"/>
    </row>
    <row r="269" spans="1:22" ht="18" customHeight="1">
      <c r="A269" s="720"/>
      <c r="B269" s="731"/>
      <c r="C269" s="721"/>
      <c r="D269" s="720"/>
      <c r="E269" s="731"/>
      <c r="F269" s="721"/>
      <c r="G269" s="720"/>
      <c r="H269" s="721"/>
      <c r="I269" s="720"/>
      <c r="J269" s="721"/>
      <c r="K269" s="720"/>
      <c r="L269" s="721"/>
      <c r="M269" s="720"/>
      <c r="N269" s="721"/>
      <c r="O269" s="720"/>
      <c r="P269" s="721"/>
      <c r="Q269" s="720"/>
      <c r="R269" s="721"/>
      <c r="S269" s="720"/>
      <c r="T269" s="731"/>
      <c r="U269" s="731"/>
      <c r="V269" s="721"/>
    </row>
    <row r="270" spans="1:22" ht="18" customHeight="1">
      <c r="A270" s="733" t="str">
        <f>B7</f>
        <v>T1</v>
      </c>
      <c r="B270" s="733" t="str">
        <f>D7</f>
        <v>Core2</v>
      </c>
      <c r="C270" s="733"/>
      <c r="D270" s="732">
        <f>H10</f>
        <v>2500</v>
      </c>
      <c r="E270" s="732"/>
      <c r="F270" s="734">
        <f>O10</f>
        <v>1</v>
      </c>
      <c r="G270" s="732">
        <f>'CT-VT Burdens'!S19</f>
        <v>50</v>
      </c>
      <c r="H270" s="794">
        <f>'CT-VT Burdens'!S10</f>
        <v>6</v>
      </c>
      <c r="I270" s="794" t="str">
        <f>H11</f>
        <v>PX-B</v>
      </c>
      <c r="J270" s="794" t="e">
        <f>#REF!</f>
        <v>#REF!</v>
      </c>
      <c r="K270" s="728">
        <f>H12</f>
        <v>5</v>
      </c>
      <c r="L270" s="728"/>
      <c r="M270" s="728">
        <f>H13</f>
        <v>750</v>
      </c>
      <c r="N270" s="728"/>
      <c r="O270" s="732">
        <f>H14</f>
        <v>60</v>
      </c>
      <c r="P270" s="732"/>
      <c r="Q270" s="739" t="str">
        <f>T7</f>
        <v>P743</v>
      </c>
      <c r="R270" s="739"/>
      <c r="S270" s="738" t="str">
        <f>H59</f>
        <v>Suitably Dimentioned</v>
      </c>
      <c r="T270" s="738"/>
      <c r="U270" s="738"/>
      <c r="V270" s="738"/>
    </row>
    <row r="271" spans="1:22" ht="18" customHeight="1">
      <c r="A271" s="733"/>
      <c r="B271" s="733"/>
      <c r="C271" s="733"/>
      <c r="D271" s="799" t="s">
        <v>7</v>
      </c>
      <c r="E271" s="732"/>
      <c r="F271" s="735"/>
      <c r="G271" s="732"/>
      <c r="H271" s="732"/>
      <c r="I271" s="794"/>
      <c r="J271" s="794"/>
      <c r="K271" s="801" t="s">
        <v>7</v>
      </c>
      <c r="L271" s="728"/>
      <c r="M271" s="801" t="s">
        <v>7</v>
      </c>
      <c r="N271" s="728"/>
      <c r="O271" s="799" t="s">
        <v>7</v>
      </c>
      <c r="P271" s="732"/>
      <c r="Q271" s="739"/>
      <c r="R271" s="739"/>
      <c r="S271" s="978" t="s">
        <v>7</v>
      </c>
      <c r="T271" s="738"/>
      <c r="U271" s="738"/>
      <c r="V271" s="738"/>
    </row>
    <row r="272" spans="1:22" ht="18" customHeight="1">
      <c r="A272" s="733"/>
      <c r="B272" s="733"/>
      <c r="C272" s="733"/>
      <c r="D272" s="799" t="s">
        <v>7</v>
      </c>
      <c r="E272" s="732"/>
      <c r="F272" s="736"/>
      <c r="G272" s="732"/>
      <c r="H272" s="732"/>
      <c r="I272" s="794"/>
      <c r="J272" s="794"/>
      <c r="K272" s="801" t="s">
        <v>7</v>
      </c>
      <c r="L272" s="728"/>
      <c r="M272" s="801" t="s">
        <v>7</v>
      </c>
      <c r="N272" s="728"/>
      <c r="O272" s="799" t="s">
        <v>7</v>
      </c>
      <c r="P272" s="732"/>
      <c r="Q272" s="739"/>
      <c r="R272" s="739"/>
      <c r="S272" s="738" t="s">
        <v>7</v>
      </c>
      <c r="T272" s="738"/>
      <c r="U272" s="738"/>
      <c r="V272" s="738"/>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9:C89"/>
    <mergeCell ref="D89:E89"/>
    <mergeCell ref="H89:M89"/>
    <mergeCell ref="E37:F37"/>
    <mergeCell ref="B41:C41"/>
    <mergeCell ref="E41:F41"/>
    <mergeCell ref="H41:I41"/>
    <mergeCell ref="K41:L41"/>
    <mergeCell ref="E42:F42"/>
    <mergeCell ref="H42:I42"/>
    <mergeCell ref="K42:L42"/>
    <mergeCell ref="T89:U89"/>
    <mergeCell ref="T90:U90"/>
    <mergeCell ref="H91:I91"/>
    <mergeCell ref="J91:K91"/>
    <mergeCell ref="L91:M91"/>
    <mergeCell ref="T91:U91"/>
    <mergeCell ref="E43:F43"/>
    <mergeCell ref="E52:F52"/>
    <mergeCell ref="H52:I52"/>
    <mergeCell ref="E56:F56"/>
    <mergeCell ref="H56:I56"/>
    <mergeCell ref="J96:K96"/>
    <mergeCell ref="J100:K100"/>
    <mergeCell ref="J101:K101"/>
    <mergeCell ref="J102:K102"/>
    <mergeCell ref="J103:K103"/>
    <mergeCell ref="J104:K104"/>
    <mergeCell ref="H92:I92"/>
    <mergeCell ref="J92:K92"/>
    <mergeCell ref="L92:M92"/>
    <mergeCell ref="J93:K93"/>
    <mergeCell ref="J94:K94"/>
    <mergeCell ref="J95:K95"/>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H180:I180"/>
    <mergeCell ref="J180:K180"/>
    <mergeCell ref="L180:M180"/>
    <mergeCell ref="L181:M181"/>
    <mergeCell ref="L182:M182"/>
    <mergeCell ref="L183:M183"/>
    <mergeCell ref="T177:U177"/>
    <mergeCell ref="T178:U178"/>
    <mergeCell ref="H179:I179"/>
    <mergeCell ref="J179:K179"/>
    <mergeCell ref="L179:M179"/>
    <mergeCell ref="T179:U179"/>
    <mergeCell ref="S194:T194"/>
    <mergeCell ref="S195:T195"/>
    <mergeCell ref="S196:T196"/>
    <mergeCell ref="S197:T197"/>
    <mergeCell ref="S198:T198"/>
    <mergeCell ref="S199:T199"/>
    <mergeCell ref="L184:M184"/>
    <mergeCell ref="J188:K188"/>
    <mergeCell ref="J189:K189"/>
    <mergeCell ref="J190:K190"/>
    <mergeCell ref="J191:K191"/>
    <mergeCell ref="J192:K192"/>
    <mergeCell ref="K211:L211"/>
    <mergeCell ref="E212:F212"/>
    <mergeCell ref="H212:I212"/>
    <mergeCell ref="K212:L212"/>
    <mergeCell ref="B205:C205"/>
    <mergeCell ref="G205:H205"/>
    <mergeCell ref="J205:K205"/>
    <mergeCell ref="M205:N205"/>
    <mergeCell ref="G206:H206"/>
    <mergeCell ref="J206:K206"/>
    <mergeCell ref="M206:N206"/>
    <mergeCell ref="E213:F213"/>
    <mergeCell ref="E225:F225"/>
    <mergeCell ref="H225:I225"/>
    <mergeCell ref="E229:F229"/>
    <mergeCell ref="H229:I229"/>
    <mergeCell ref="E207:F207"/>
    <mergeCell ref="B211:C211"/>
    <mergeCell ref="E211:F211"/>
    <mergeCell ref="H211:I211"/>
    <mergeCell ref="A270:A272"/>
    <mergeCell ref="B270:C272"/>
    <mergeCell ref="D270:E270"/>
    <mergeCell ref="F270:F272"/>
    <mergeCell ref="G270:G272"/>
    <mergeCell ref="H270:H272"/>
    <mergeCell ref="I270:J272"/>
    <mergeCell ref="A266:C269"/>
    <mergeCell ref="D266:F269"/>
    <mergeCell ref="G266:H269"/>
    <mergeCell ref="I266:J269"/>
    <mergeCell ref="D272:E272"/>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916</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V6" s="197"/>
    </row>
    <row r="7" spans="1:24" ht="18" customHeight="1">
      <c r="A7" s="196"/>
      <c r="B7" s="653" t="s">
        <v>120</v>
      </c>
      <c r="C7" s="654"/>
      <c r="D7" s="890" t="s">
        <v>121</v>
      </c>
      <c r="E7" s="985"/>
      <c r="F7" s="468"/>
      <c r="H7" s="664" t="s">
        <v>722</v>
      </c>
      <c r="I7" s="665"/>
      <c r="J7" s="665"/>
      <c r="K7" s="665"/>
      <c r="L7" s="665"/>
      <c r="M7" s="665"/>
      <c r="P7" s="198"/>
      <c r="S7" s="199" t="s">
        <v>398</v>
      </c>
      <c r="T7" s="653" t="s">
        <v>190</v>
      </c>
      <c r="U7" s="654"/>
      <c r="V7" s="197"/>
    </row>
    <row r="8" spans="1:24" ht="18" customHeight="1">
      <c r="A8" s="469"/>
      <c r="F8" s="468"/>
      <c r="T8" s="653"/>
      <c r="U8" s="654"/>
      <c r="V8" s="197"/>
    </row>
    <row r="9" spans="1:24" ht="18" customHeight="1">
      <c r="A9" s="196"/>
      <c r="H9" s="666" t="s">
        <v>401</v>
      </c>
      <c r="I9" s="666"/>
      <c r="J9" s="667" t="s">
        <v>402</v>
      </c>
      <c r="K9" s="667"/>
      <c r="L9" s="667" t="s">
        <v>403</v>
      </c>
      <c r="M9" s="667"/>
      <c r="T9" s="653"/>
      <c r="U9" s="654"/>
      <c r="V9" s="197"/>
    </row>
    <row r="10" spans="1:24" ht="18" customHeight="1">
      <c r="A10" s="196"/>
      <c r="B10" s="47" t="s">
        <v>404</v>
      </c>
      <c r="H10" s="651">
        <v>2500</v>
      </c>
      <c r="I10" s="652"/>
      <c r="J10" s="653" t="s">
        <v>7</v>
      </c>
      <c r="K10" s="654"/>
      <c r="L10" s="653" t="s">
        <v>7</v>
      </c>
      <c r="M10" s="654"/>
      <c r="N10" s="203" t="s">
        <v>353</v>
      </c>
      <c r="O10" s="125">
        <v>1</v>
      </c>
      <c r="P10" s="27" t="s">
        <v>9</v>
      </c>
      <c r="R10" s="267"/>
      <c r="S10" s="267"/>
      <c r="V10" s="197"/>
    </row>
    <row r="11" spans="1:24" ht="18" customHeight="1">
      <c r="A11" s="196"/>
      <c r="B11" s="47" t="s">
        <v>405</v>
      </c>
      <c r="H11" s="653" t="s">
        <v>848</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f>T8</f>
        <v>0</v>
      </c>
      <c r="H19" s="28"/>
      <c r="I19" s="101" t="s">
        <v>138</v>
      </c>
      <c r="J19" s="670"/>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0.44875935000000006</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0.45875935000000007</v>
      </c>
      <c r="K22" s="678"/>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f>'Parameters &amp; Fault Cal. (4)'!Q10 *1000</f>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400</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0.45875935000000007</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64" t="s">
        <v>734</v>
      </c>
      <c r="J36" s="664" t="s">
        <v>138</v>
      </c>
      <c r="K36" s="885" t="s">
        <v>725</v>
      </c>
      <c r="L36" s="885"/>
      <c r="M36" s="27"/>
      <c r="N36" s="308"/>
      <c r="O36" s="234"/>
      <c r="V36" s="197"/>
    </row>
    <row r="37" spans="1:29" ht="18" customHeight="1">
      <c r="A37" s="196"/>
      <c r="D37" s="27"/>
      <c r="G37" s="27"/>
      <c r="I37" s="664"/>
      <c r="J37" s="664"/>
      <c r="K37" s="988" t="s">
        <v>735</v>
      </c>
      <c r="L37" s="98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88">
        <f>S25</f>
        <v>50000</v>
      </c>
      <c r="F50" s="788"/>
      <c r="G50" s="14"/>
      <c r="H50" s="14"/>
      <c r="I50" s="102"/>
      <c r="J50" s="47"/>
      <c r="K50" s="47"/>
      <c r="L50" s="14"/>
      <c r="M50" s="14"/>
      <c r="N50" s="14"/>
      <c r="O50" s="14"/>
      <c r="P50" s="14"/>
      <c r="Q50" s="14"/>
      <c r="R50" s="14"/>
      <c r="S50" s="14"/>
      <c r="T50" s="14"/>
      <c r="U50" s="14"/>
      <c r="V50" s="197"/>
    </row>
    <row r="51" spans="1:22" ht="18" customHeight="1">
      <c r="A51" s="96"/>
      <c r="B51" s="14"/>
      <c r="C51" s="120"/>
      <c r="D51" s="28"/>
      <c r="E51" s="786" t="str">
        <f>"5 x "&amp;S26&amp;""</f>
        <v>5 x 2500</v>
      </c>
      <c r="F51" s="786"/>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86">
        <f>S25/5/S26</f>
        <v>4</v>
      </c>
      <c r="F53" s="67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64" t="s">
        <v>747</v>
      </c>
      <c r="F56" s="664">
        <v>1</v>
      </c>
      <c r="G56" s="664"/>
      <c r="H56" s="664" t="s">
        <v>323</v>
      </c>
      <c r="I56" s="472" t="s">
        <v>323</v>
      </c>
      <c r="J56" s="120"/>
      <c r="K56" s="28"/>
      <c r="L56" s="120"/>
      <c r="M56" s="28"/>
      <c r="N56" s="120"/>
      <c r="O56" s="28"/>
      <c r="P56" s="120"/>
      <c r="Q56" s="308"/>
      <c r="V56" s="197"/>
    </row>
    <row r="57" spans="1:22" ht="18" customHeight="1">
      <c r="A57" s="96"/>
      <c r="C57" s="14"/>
      <c r="D57" s="14"/>
      <c r="E57" s="987"/>
      <c r="F57" s="285"/>
      <c r="G57" s="286" t="s">
        <v>748</v>
      </c>
      <c r="H57" s="664"/>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96">
        <v>1</v>
      </c>
      <c r="G59" s="696"/>
      <c r="H59" s="696"/>
      <c r="I59" s="27"/>
      <c r="J59" s="664" t="s">
        <v>326</v>
      </c>
      <c r="K59" s="991">
        <v>15</v>
      </c>
      <c r="L59" s="120"/>
      <c r="M59" s="28"/>
      <c r="N59" s="120"/>
      <c r="O59" s="28"/>
      <c r="P59" s="120"/>
      <c r="Q59" s="308"/>
      <c r="V59" s="197"/>
    </row>
    <row r="60" spans="1:22" ht="18" customHeight="1">
      <c r="A60" s="96"/>
      <c r="C60" s="120"/>
      <c r="D60" s="120" t="s">
        <v>749</v>
      </c>
      <c r="E60" s="102" t="s">
        <v>138</v>
      </c>
      <c r="F60" s="30" t="s">
        <v>750</v>
      </c>
      <c r="I60" s="27"/>
      <c r="J60" s="665"/>
      <c r="K60" s="989"/>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92">
        <f>1*K59/(2*3.14*50)</f>
        <v>4.7770700636942678E-2</v>
      </c>
      <c r="G62" s="992"/>
      <c r="H62" s="28" t="s">
        <v>751</v>
      </c>
      <c r="I62" s="27"/>
      <c r="J62" s="120"/>
      <c r="K62" s="28"/>
      <c r="L62" s="120"/>
      <c r="M62" s="28"/>
      <c r="N62" s="120"/>
      <c r="O62" s="28"/>
      <c r="P62" s="120"/>
      <c r="Q62" s="308"/>
      <c r="V62" s="197"/>
    </row>
    <row r="63" spans="1:22" ht="18" customHeight="1">
      <c r="A63" s="96"/>
      <c r="C63" s="120"/>
      <c r="D63" s="120" t="s">
        <v>749</v>
      </c>
      <c r="E63" s="230" t="s">
        <v>138</v>
      </c>
      <c r="F63" s="993">
        <f>F62*1000</f>
        <v>47.770700636942678</v>
      </c>
      <c r="G63" s="993"/>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69">
        <f>S29</f>
        <v>5</v>
      </c>
      <c r="G75" s="669"/>
      <c r="H75" s="102" t="s">
        <v>358</v>
      </c>
      <c r="I75" s="230">
        <f>S30</f>
        <v>0.45875935000000007</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54.687593499999998</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9">
        <f>0.8*D76</f>
        <v>43.7500748</v>
      </c>
      <c r="O79" s="989"/>
      <c r="V79" s="197"/>
    </row>
    <row r="80" spans="1:22" ht="17.399999999999999" customHeight="1">
      <c r="A80" s="196"/>
      <c r="B80" s="7"/>
      <c r="E80" s="14"/>
      <c r="F80" s="14" t="s">
        <v>763</v>
      </c>
      <c r="G80" s="7"/>
      <c r="L80" s="28" t="s">
        <v>138</v>
      </c>
      <c r="N80" s="940">
        <f>N79*1.2</f>
        <v>52.500089760000002</v>
      </c>
      <c r="O80" s="940"/>
      <c r="V80" s="197"/>
    </row>
    <row r="81" spans="1:23" ht="17.399999999999999" customHeight="1">
      <c r="A81" s="196"/>
      <c r="K81" s="211" t="s">
        <v>486</v>
      </c>
      <c r="L81" s="28" t="str">
        <f>IF(I82&gt;M82,"&gt;","&lt;")</f>
        <v>&gt;</v>
      </c>
      <c r="M81" s="269" t="s">
        <v>488</v>
      </c>
      <c r="O81" s="18"/>
      <c r="P81" s="280"/>
      <c r="V81" s="197"/>
    </row>
    <row r="82" spans="1:23" ht="17.399999999999999" customHeight="1">
      <c r="A82" s="196"/>
      <c r="I82" s="668">
        <f>S28</f>
        <v>750</v>
      </c>
      <c r="J82" s="668"/>
      <c r="K82" s="27"/>
      <c r="L82" s="27" t="str">
        <f>IF(I82&gt;=M82,"&gt;","&lt;")</f>
        <v>&gt;</v>
      </c>
      <c r="M82" s="668">
        <f>N80</f>
        <v>52.500089760000002</v>
      </c>
      <c r="N82" s="668"/>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681" t="str">
        <f>B7</f>
        <v>T1</v>
      </c>
      <c r="C90" s="682"/>
      <c r="D90" s="695" t="str">
        <f>D7</f>
        <v>Core3</v>
      </c>
      <c r="E90" s="990"/>
      <c r="F90" s="468"/>
      <c r="H90" s="665" t="str">
        <f>H7</f>
        <v>(Low Imp. Busbar)</v>
      </c>
      <c r="I90" s="665"/>
      <c r="J90" s="665"/>
      <c r="K90" s="665"/>
      <c r="L90" s="665"/>
      <c r="M90" s="665"/>
      <c r="P90" s="198"/>
      <c r="S90" s="199" t="s">
        <v>398</v>
      </c>
      <c r="T90" s="681" t="str">
        <f>T7</f>
        <v>REB500</v>
      </c>
      <c r="U90" s="682"/>
      <c r="V90" s="197"/>
    </row>
    <row r="91" spans="1:23" ht="18" hidden="1" customHeight="1">
      <c r="A91" s="469"/>
      <c r="F91" s="468"/>
      <c r="T91" s="994">
        <f>T8</f>
        <v>0</v>
      </c>
      <c r="U91" s="995"/>
      <c r="V91" s="197"/>
    </row>
    <row r="92" spans="1:23" ht="18" hidden="1" customHeight="1">
      <c r="A92" s="196"/>
      <c r="H92" s="696" t="s">
        <v>401</v>
      </c>
      <c r="I92" s="696"/>
      <c r="J92" s="666" t="s">
        <v>402</v>
      </c>
      <c r="K92" s="666"/>
      <c r="L92" s="667" t="s">
        <v>403</v>
      </c>
      <c r="M92" s="667"/>
      <c r="T92" s="994">
        <f>T9</f>
        <v>0</v>
      </c>
      <c r="U92" s="995"/>
      <c r="V92" s="197"/>
    </row>
    <row r="93" spans="1:23" ht="18" hidden="1" customHeight="1">
      <c r="A93" s="196"/>
      <c r="B93" s="47" t="s">
        <v>404</v>
      </c>
      <c r="H93" s="681">
        <f>H10</f>
        <v>2500</v>
      </c>
      <c r="I93" s="682"/>
      <c r="J93" s="681" t="str">
        <f>J10</f>
        <v>-</v>
      </c>
      <c r="K93" s="682"/>
      <c r="L93" s="681" t="str">
        <f>L10</f>
        <v>-</v>
      </c>
      <c r="M93" s="682"/>
      <c r="N93" s="203" t="s">
        <v>353</v>
      </c>
      <c r="O93" s="501">
        <f>O10</f>
        <v>1</v>
      </c>
      <c r="P93" s="27" t="s">
        <v>9</v>
      </c>
      <c r="R93" s="267"/>
      <c r="S93" s="267"/>
      <c r="V93" s="197"/>
    </row>
    <row r="94" spans="1:23" ht="18" hidden="1" customHeight="1">
      <c r="A94" s="196"/>
      <c r="B94" s="47" t="s">
        <v>405</v>
      </c>
      <c r="H94" s="14"/>
      <c r="I94" s="14"/>
      <c r="J94" s="681" t="str">
        <f>H11</f>
        <v>PX - B</v>
      </c>
      <c r="K94" s="682"/>
      <c r="L94" s="14"/>
      <c r="M94" s="14"/>
      <c r="V94" s="197"/>
    </row>
    <row r="95" spans="1:23" ht="18" hidden="1" customHeight="1">
      <c r="A95" s="196"/>
      <c r="B95" s="47" t="s">
        <v>407</v>
      </c>
      <c r="I95" s="120" t="s">
        <v>508</v>
      </c>
      <c r="J95" s="653">
        <v>9.3000000000000007</v>
      </c>
      <c r="K95" s="654"/>
      <c r="L95" s="204" t="s">
        <v>344</v>
      </c>
      <c r="V95" s="197"/>
    </row>
    <row r="96" spans="1:23" ht="18" hidden="1" customHeight="1">
      <c r="A96" s="196"/>
      <c r="B96" s="47" t="s">
        <v>409</v>
      </c>
      <c r="I96" s="120" t="s">
        <v>509</v>
      </c>
      <c r="J96" s="653">
        <v>500</v>
      </c>
      <c r="K96" s="654"/>
      <c r="L96" s="14" t="s">
        <v>316</v>
      </c>
      <c r="T96" s="307"/>
      <c r="U96" s="18"/>
      <c r="V96" s="197"/>
      <c r="W96" s="30" t="str">
        <f>M163</f>
        <v>Required Vk</v>
      </c>
    </row>
    <row r="97" spans="1:22" ht="18" hidden="1" customHeight="1">
      <c r="A97" s="196"/>
      <c r="B97" s="14" t="s">
        <v>412</v>
      </c>
      <c r="I97" s="120" t="s">
        <v>413</v>
      </c>
      <c r="J97" s="653">
        <v>60</v>
      </c>
      <c r="K97" s="654"/>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678">
        <f>J18</f>
        <v>0.01</v>
      </c>
      <c r="K101" s="679"/>
      <c r="L101" s="3" t="s">
        <v>168</v>
      </c>
      <c r="N101" s="209" t="s">
        <v>521</v>
      </c>
      <c r="V101" s="197"/>
    </row>
    <row r="102" spans="1:22" ht="18" hidden="1" customHeight="1">
      <c r="A102" s="196"/>
      <c r="B102" s="96" t="s">
        <v>416</v>
      </c>
      <c r="C102" s="14"/>
      <c r="D102" s="47">
        <f>T91</f>
        <v>0</v>
      </c>
      <c r="H102" s="28"/>
      <c r="I102" s="101" t="s">
        <v>138</v>
      </c>
      <c r="J102" s="678">
        <f>J19</f>
        <v>0</v>
      </c>
      <c r="K102" s="679"/>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678">
        <f>J20</f>
        <v>0</v>
      </c>
      <c r="K103" s="679"/>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701">
        <f>J21</f>
        <v>0.44875935000000006</v>
      </c>
      <c r="K104" s="702"/>
      <c r="L104" s="309" t="s">
        <v>168</v>
      </c>
      <c r="O104" s="27" t="s">
        <v>138</v>
      </c>
      <c r="P104" s="668">
        <f>P103*R103*T103</f>
        <v>9.3000000000000007</v>
      </c>
      <c r="Q104" s="665"/>
      <c r="R104" s="27" t="s">
        <v>168</v>
      </c>
      <c r="V104" s="197"/>
    </row>
    <row r="105" spans="1:22" ht="18" hidden="1" customHeight="1">
      <c r="A105" s="196"/>
      <c r="B105" s="1" t="s">
        <v>424</v>
      </c>
      <c r="C105" s="2"/>
      <c r="D105" s="2"/>
      <c r="E105" s="2"/>
      <c r="F105" s="208"/>
      <c r="G105" s="208"/>
      <c r="H105" s="236" t="s">
        <v>523</v>
      </c>
      <c r="I105" s="195" t="s">
        <v>138</v>
      </c>
      <c r="J105" s="678">
        <f>SUM(J101:J104)</f>
        <v>0.45875935000000007</v>
      </c>
      <c r="K105" s="679"/>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664">
        <v>31500</v>
      </c>
      <c r="T108" s="664"/>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664" t="str">
        <f>J93</f>
        <v>-</v>
      </c>
      <c r="T109" s="664"/>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664">
        <v>33</v>
      </c>
      <c r="T110" s="664"/>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664">
        <f>J96</f>
        <v>500</v>
      </c>
      <c r="T111" s="664"/>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669">
        <f>P104</f>
        <v>9.3000000000000007</v>
      </c>
      <c r="T112" s="664"/>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669">
        <f>J105</f>
        <v>0.45875935000000007</v>
      </c>
      <c r="T113" s="664"/>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664">
        <f>O93</f>
        <v>1</v>
      </c>
      <c r="T114" s="664"/>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664">
        <v>50</v>
      </c>
      <c r="T115" s="664"/>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664" t="s">
        <v>734</v>
      </c>
      <c r="J119" s="664" t="s">
        <v>138</v>
      </c>
      <c r="K119" s="885" t="s">
        <v>725</v>
      </c>
      <c r="L119" s="885"/>
      <c r="M119" s="27"/>
      <c r="N119" s="308"/>
      <c r="O119" s="234"/>
      <c r="V119" s="197"/>
      <c r="X119" s="291"/>
      <c r="Y119" s="291"/>
    </row>
    <row r="120" spans="1:25" ht="18" hidden="1" customHeight="1">
      <c r="A120" s="180"/>
      <c r="D120" s="27"/>
      <c r="G120" s="27"/>
      <c r="I120" s="664"/>
      <c r="J120" s="664"/>
      <c r="K120" s="988" t="s">
        <v>735</v>
      </c>
      <c r="L120" s="988"/>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788">
        <f>S108</f>
        <v>31500</v>
      </c>
      <c r="F133" s="788"/>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786" t="str">
        <f>"5 x "&amp;S109&amp;""</f>
        <v>5 x -</v>
      </c>
      <c r="F134" s="786"/>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86" t="e">
        <f>S108/5/S109</f>
        <v>#VALUE!</v>
      </c>
      <c r="F136" s="678"/>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664" t="s">
        <v>747</v>
      </c>
      <c r="F139" s="664">
        <v>1</v>
      </c>
      <c r="G139" s="664"/>
      <c r="H139" s="664" t="s">
        <v>323</v>
      </c>
      <c r="I139" s="472" t="s">
        <v>323</v>
      </c>
      <c r="J139" s="120"/>
      <c r="K139" s="28"/>
      <c r="L139" s="120"/>
      <c r="M139" s="28"/>
      <c r="N139" s="120"/>
      <c r="O139" s="28"/>
      <c r="P139" s="120"/>
      <c r="Q139" s="308"/>
      <c r="V139" s="197"/>
    </row>
    <row r="140" spans="1:22" ht="18" hidden="1" customHeight="1">
      <c r="A140" s="96"/>
      <c r="C140" s="14"/>
      <c r="D140" s="14"/>
      <c r="E140" s="987"/>
      <c r="F140" s="285"/>
      <c r="G140" s="286" t="s">
        <v>748</v>
      </c>
      <c r="H140" s="664"/>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696">
        <v>1</v>
      </c>
      <c r="G144" s="696"/>
      <c r="H144" s="696"/>
      <c r="I144" s="27"/>
      <c r="J144" s="664" t="s">
        <v>326</v>
      </c>
      <c r="K144" s="991" t="e">
        <f>O142</f>
        <v>#REF!</v>
      </c>
      <c r="L144" s="120"/>
      <c r="M144" s="28"/>
      <c r="N144" s="120"/>
      <c r="O144" s="28"/>
      <c r="P144" s="120"/>
      <c r="Q144" s="308"/>
      <c r="V144" s="197"/>
    </row>
    <row r="145" spans="1:22" ht="18" hidden="1" customHeight="1">
      <c r="A145" s="196"/>
      <c r="C145" s="120"/>
      <c r="D145" s="120" t="s">
        <v>749</v>
      </c>
      <c r="E145" s="102" t="s">
        <v>138</v>
      </c>
      <c r="F145" s="14" t="s">
        <v>750</v>
      </c>
      <c r="I145" s="27"/>
      <c r="J145" s="665"/>
      <c r="K145" s="989"/>
      <c r="L145" s="120"/>
      <c r="M145" s="28"/>
      <c r="N145" s="120"/>
      <c r="O145" s="28"/>
      <c r="P145" s="120"/>
      <c r="Q145" s="308"/>
      <c r="V145" s="197"/>
    </row>
    <row r="146" spans="1:22" ht="18" hidden="1" customHeight="1">
      <c r="A146" s="196"/>
      <c r="C146" s="120"/>
      <c r="D146" s="28"/>
      <c r="E146" s="230" t="s">
        <v>138</v>
      </c>
      <c r="F146" s="992" t="e">
        <f>1*O142/(2*3.14*50)</f>
        <v>#REF!</v>
      </c>
      <c r="G146" s="992"/>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93" t="e">
        <f>F146*1000</f>
        <v>#REF!</v>
      </c>
      <c r="G147" s="993"/>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93" t="e">
        <f>MAX(E136,F148)</f>
        <v>#VALUE!</v>
      </c>
      <c r="F153" s="993"/>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669">
        <f>S112</f>
        <v>9.3000000000000007</v>
      </c>
      <c r="G157" s="669"/>
      <c r="H157" s="102" t="s">
        <v>358</v>
      </c>
      <c r="I157" s="230">
        <f>S113</f>
        <v>0.45875935000000007</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89" t="e">
        <f>0.8*D158</f>
        <v>#VALUE!</v>
      </c>
      <c r="O161" s="989"/>
      <c r="V161" s="197"/>
    </row>
    <row r="162" spans="1:22" ht="18" hidden="1" customHeight="1">
      <c r="A162" s="196"/>
      <c r="B162" s="7"/>
      <c r="E162" s="14"/>
      <c r="F162" s="14" t="s">
        <v>763</v>
      </c>
      <c r="G162" s="7"/>
      <c r="L162" s="28" t="s">
        <v>138</v>
      </c>
      <c r="N162" s="940" t="e">
        <f>N161*1.2</f>
        <v>#VALUE!</v>
      </c>
      <c r="O162" s="940"/>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668">
        <f>S111</f>
        <v>500</v>
      </c>
      <c r="K164" s="668"/>
      <c r="L164" s="27" t="e">
        <f>IF(J164&gt;=M164,"&gt;","&lt;")</f>
        <v>#VALUE!</v>
      </c>
      <c r="M164" s="668" t="e">
        <f>N162</f>
        <v>#VALUE!</v>
      </c>
      <c r="N164" s="668"/>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08" t="str">
        <f>B90</f>
        <v>T1</v>
      </c>
      <c r="C172" s="709"/>
      <c r="D172" s="708" t="str">
        <f>D90</f>
        <v>Core3</v>
      </c>
      <c r="E172" s="709"/>
      <c r="F172" s="468"/>
      <c r="H172" s="665" t="str">
        <f>H90</f>
        <v>(Low Imp. Busbar)</v>
      </c>
      <c r="I172" s="665"/>
      <c r="J172" s="665"/>
      <c r="K172" s="665"/>
      <c r="L172" s="665"/>
      <c r="M172" s="665"/>
      <c r="P172" s="198"/>
      <c r="S172" s="199" t="s">
        <v>398</v>
      </c>
      <c r="T172" s="708" t="str">
        <f>T90</f>
        <v>REB500</v>
      </c>
      <c r="U172" s="709"/>
      <c r="V172" s="197"/>
    </row>
    <row r="173" spans="1:22" ht="18" hidden="1" customHeight="1">
      <c r="A173" s="469"/>
      <c r="F173" s="468"/>
      <c r="T173" s="708">
        <f>T91</f>
        <v>0</v>
      </c>
      <c r="U173" s="709"/>
      <c r="V173" s="197"/>
    </row>
    <row r="174" spans="1:22" ht="18" hidden="1" customHeight="1">
      <c r="A174" s="196"/>
      <c r="H174" s="696" t="s">
        <v>401</v>
      </c>
      <c r="I174" s="696"/>
      <c r="J174" s="696" t="s">
        <v>402</v>
      </c>
      <c r="K174" s="696"/>
      <c r="L174" s="666" t="s">
        <v>403</v>
      </c>
      <c r="M174" s="666"/>
      <c r="T174" s="708">
        <f>T92</f>
        <v>0</v>
      </c>
      <c r="U174" s="709"/>
      <c r="V174" s="197"/>
    </row>
    <row r="175" spans="1:22" ht="18" hidden="1" customHeight="1">
      <c r="A175" s="196"/>
      <c r="B175" s="47" t="s">
        <v>404</v>
      </c>
      <c r="H175" s="708">
        <f>H93</f>
        <v>2500</v>
      </c>
      <c r="I175" s="709"/>
      <c r="J175" s="708" t="str">
        <f>J93</f>
        <v>-</v>
      </c>
      <c r="K175" s="709"/>
      <c r="L175" s="714" t="str">
        <f>L93</f>
        <v>-</v>
      </c>
      <c r="M175" s="715"/>
      <c r="N175" s="203" t="s">
        <v>353</v>
      </c>
      <c r="O175" s="268">
        <f>O93</f>
        <v>1</v>
      </c>
      <c r="P175" s="27" t="s">
        <v>9</v>
      </c>
      <c r="R175" s="267"/>
      <c r="S175" s="267"/>
      <c r="V175" s="197"/>
    </row>
    <row r="176" spans="1:22" ht="18" hidden="1" customHeight="1">
      <c r="A176" s="196"/>
      <c r="B176" s="47" t="s">
        <v>405</v>
      </c>
      <c r="H176" s="14"/>
      <c r="K176" s="14"/>
      <c r="L176" s="708" t="str">
        <f>J94</f>
        <v>PX - B</v>
      </c>
      <c r="M176" s="709"/>
      <c r="N176" s="14"/>
      <c r="V176" s="197"/>
    </row>
    <row r="177" spans="1:23" ht="18" hidden="1" customHeight="1">
      <c r="A177" s="196"/>
      <c r="B177" s="47" t="s">
        <v>407</v>
      </c>
      <c r="K177" s="120" t="s">
        <v>508</v>
      </c>
      <c r="L177" s="653" t="s">
        <v>7</v>
      </c>
      <c r="M177" s="654"/>
      <c r="N177" s="204" t="s">
        <v>344</v>
      </c>
      <c r="V177" s="197"/>
    </row>
    <row r="178" spans="1:23" ht="18" hidden="1" customHeight="1">
      <c r="A178" s="196"/>
      <c r="B178" s="47" t="s">
        <v>409</v>
      </c>
      <c r="K178" s="120" t="s">
        <v>509</v>
      </c>
      <c r="L178" s="653" t="s">
        <v>7</v>
      </c>
      <c r="M178" s="654"/>
      <c r="N178" s="14" t="s">
        <v>316</v>
      </c>
      <c r="V178" s="197"/>
      <c r="W178" s="30" t="e">
        <f>G238</f>
        <v>#VALUE!</v>
      </c>
    </row>
    <row r="179" spans="1:23" ht="18" hidden="1" customHeight="1">
      <c r="A179" s="196"/>
      <c r="B179" s="14" t="s">
        <v>412</v>
      </c>
      <c r="K179" s="120" t="s">
        <v>413</v>
      </c>
      <c r="L179" s="653" t="s">
        <v>7</v>
      </c>
      <c r="M179" s="654"/>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678">
        <f>J101</f>
        <v>0.01</v>
      </c>
      <c r="K183" s="679"/>
      <c r="L183" s="3" t="s">
        <v>168</v>
      </c>
      <c r="N183" s="209" t="s">
        <v>521</v>
      </c>
      <c r="V183" s="197"/>
    </row>
    <row r="184" spans="1:23" ht="18" hidden="1" customHeight="1">
      <c r="A184" s="196"/>
      <c r="B184" s="96" t="s">
        <v>416</v>
      </c>
      <c r="C184" s="14"/>
      <c r="D184" s="47">
        <f>T173</f>
        <v>0</v>
      </c>
      <c r="H184" s="28"/>
      <c r="I184" s="101" t="s">
        <v>138</v>
      </c>
      <c r="J184" s="678">
        <f>J102</f>
        <v>0</v>
      </c>
      <c r="K184" s="679"/>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678">
        <f>J103</f>
        <v>0</v>
      </c>
      <c r="K185" s="679"/>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701">
        <f>J104</f>
        <v>0.44875935000000006</v>
      </c>
      <c r="K186" s="702"/>
      <c r="L186" s="309" t="s">
        <v>168</v>
      </c>
      <c r="O186" s="27" t="s">
        <v>138</v>
      </c>
      <c r="P186" s="668" t="e">
        <f>P185*R185*T185</f>
        <v>#VALUE!</v>
      </c>
      <c r="Q186" s="665"/>
      <c r="R186" s="27" t="s">
        <v>168</v>
      </c>
      <c r="V186" s="197"/>
    </row>
    <row r="187" spans="1:23" ht="18" hidden="1" customHeight="1">
      <c r="A187" s="196"/>
      <c r="B187" s="1" t="s">
        <v>424</v>
      </c>
      <c r="C187" s="2"/>
      <c r="D187" s="2"/>
      <c r="E187" s="2"/>
      <c r="F187" s="208"/>
      <c r="G187" s="208"/>
      <c r="H187" s="236" t="s">
        <v>523</v>
      </c>
      <c r="I187" s="195" t="s">
        <v>138</v>
      </c>
      <c r="J187" s="678">
        <f>SUM(J183:J186)</f>
        <v>0.45875935000000007</v>
      </c>
      <c r="K187" s="679"/>
      <c r="L187" s="3" t="s">
        <v>168</v>
      </c>
      <c r="V187" s="197"/>
    </row>
    <row r="188" spans="1:23" ht="18" hidden="1" customHeight="1">
      <c r="A188" s="196"/>
      <c r="B188" s="47"/>
      <c r="C188" s="47"/>
      <c r="D188" s="47"/>
      <c r="E188" s="47"/>
      <c r="H188" s="27"/>
      <c r="I188" s="28"/>
      <c r="J188" s="211"/>
      <c r="L188" s="47"/>
      <c r="S188" s="27"/>
      <c r="V188" s="197"/>
    </row>
    <row r="189" spans="1:23" ht="18" hidden="1" customHeight="1">
      <c r="A189" s="971" t="s">
        <v>547</v>
      </c>
      <c r="B189" s="972"/>
      <c r="C189" s="972"/>
      <c r="D189" s="972"/>
      <c r="E189" s="972"/>
      <c r="F189" s="972"/>
      <c r="G189" s="972"/>
      <c r="H189" s="972"/>
      <c r="I189" s="972"/>
      <c r="J189" s="972"/>
      <c r="K189" s="972"/>
      <c r="L189" s="972"/>
      <c r="M189" s="972"/>
      <c r="N189" s="972"/>
      <c r="O189" s="972"/>
      <c r="P189" s="972"/>
      <c r="Q189" s="972"/>
      <c r="R189" s="972"/>
      <c r="S189" s="972"/>
      <c r="T189" s="972"/>
      <c r="U189" s="972"/>
      <c r="V189" s="973"/>
    </row>
    <row r="190" spans="1:23" ht="18" hidden="1" customHeight="1">
      <c r="A190" s="974"/>
      <c r="B190" s="972"/>
      <c r="C190" s="972"/>
      <c r="D190" s="972"/>
      <c r="E190" s="972"/>
      <c r="F190" s="972"/>
      <c r="G190" s="972"/>
      <c r="H190" s="972"/>
      <c r="I190" s="972"/>
      <c r="J190" s="972"/>
      <c r="K190" s="972"/>
      <c r="L190" s="972"/>
      <c r="M190" s="972"/>
      <c r="N190" s="972"/>
      <c r="O190" s="972"/>
      <c r="P190" s="972"/>
      <c r="Q190" s="972"/>
      <c r="R190" s="972"/>
      <c r="S190" s="972"/>
      <c r="T190" s="972"/>
      <c r="U190" s="972"/>
      <c r="V190" s="973"/>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664" t="s">
        <v>484</v>
      </c>
      <c r="I194" s="936"/>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664">
        <f>S114</f>
        <v>1</v>
      </c>
      <c r="T196" s="664"/>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664" t="str">
        <f>L175</f>
        <v>-</v>
      </c>
      <c r="T197" s="664"/>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664" t="str">
        <f>L178</f>
        <v>-</v>
      </c>
      <c r="T198" s="664"/>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669" t="e">
        <f>P186</f>
        <v>#VALUE!</v>
      </c>
      <c r="T199" s="664"/>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669">
        <f>J187</f>
        <v>0.45875935000000007</v>
      </c>
      <c r="T200" s="664"/>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664">
        <f>O175</f>
        <v>1</v>
      </c>
      <c r="T201" s="664"/>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664">
        <v>20</v>
      </c>
      <c r="T202" s="664"/>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664" t="s">
        <v>484</v>
      </c>
      <c r="I205" s="936"/>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665" t="str">
        <f>S198</f>
        <v>-</v>
      </c>
      <c r="I206" s="987"/>
      <c r="J206" s="27" t="s">
        <v>326</v>
      </c>
      <c r="K206" s="27">
        <f>S201</f>
        <v>1</v>
      </c>
      <c r="L206" s="27" t="s">
        <v>552</v>
      </c>
      <c r="M206" s="27">
        <f>S202</f>
        <v>20</v>
      </c>
      <c r="N206" s="308" t="s">
        <v>553</v>
      </c>
      <c r="O206" s="234" t="e">
        <f>S199</f>
        <v>#VALUE!</v>
      </c>
      <c r="V206" s="197"/>
    </row>
    <row r="207" spans="1:25" ht="18" hidden="1" customHeight="1">
      <c r="A207" s="196"/>
      <c r="D207" s="27" t="s">
        <v>138</v>
      </c>
      <c r="E207" s="665" t="e">
        <f>((F206*H206*K206)/M206)-O206</f>
        <v>#VALUE!</v>
      </c>
      <c r="F207" s="665"/>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665" t="s">
        <v>436</v>
      </c>
      <c r="N224" s="665"/>
      <c r="O224" s="27" t="s">
        <v>780</v>
      </c>
      <c r="P224" s="27">
        <v>5</v>
      </c>
      <c r="Q224" s="28" t="s">
        <v>326</v>
      </c>
      <c r="R224" s="665" t="s">
        <v>434</v>
      </c>
      <c r="S224" s="665"/>
      <c r="T224" s="14" t="s">
        <v>361</v>
      </c>
      <c r="U224" s="14"/>
      <c r="V224" s="197"/>
    </row>
    <row r="225" spans="1:22" ht="18" hidden="1" customHeight="1">
      <c r="A225" s="96"/>
      <c r="B225" s="14"/>
      <c r="C225" s="14"/>
      <c r="L225" s="27" t="s">
        <v>138</v>
      </c>
      <c r="M225" s="665">
        <f>S196</f>
        <v>1</v>
      </c>
      <c r="N225" s="665"/>
      <c r="O225" s="27" t="s">
        <v>780</v>
      </c>
      <c r="P225" s="27">
        <v>5</v>
      </c>
      <c r="Q225" s="28" t="s">
        <v>326</v>
      </c>
      <c r="R225" s="665" t="str">
        <f>S197</f>
        <v>-</v>
      </c>
      <c r="S225" s="665"/>
      <c r="T225" s="14" t="s">
        <v>361</v>
      </c>
      <c r="U225" s="14"/>
      <c r="V225" s="197"/>
    </row>
    <row r="226" spans="1:22" ht="18" hidden="1" customHeight="1">
      <c r="A226" s="96"/>
      <c r="B226" s="14"/>
      <c r="C226" s="14"/>
      <c r="D226" s="14"/>
      <c r="E226" s="120"/>
      <c r="F226" s="28"/>
      <c r="L226" s="27" t="s">
        <v>138</v>
      </c>
      <c r="M226" s="664" t="e">
        <f>M225/(P225*R225)</f>
        <v>#VALUE!</v>
      </c>
      <c r="N226" s="665"/>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669" t="e">
        <f>'[2]Parameters &amp; Fault Cal.'!Q184</f>
        <v>#REF!</v>
      </c>
      <c r="I228" s="665"/>
      <c r="J228" s="30" t="s">
        <v>542</v>
      </c>
      <c r="K228" s="28" t="s">
        <v>771</v>
      </c>
      <c r="L228" s="230" t="s">
        <v>138</v>
      </c>
      <c r="M228" s="669" t="e">
        <f>IF(H228&lt;=120,M221,M222)</f>
        <v>#REF!</v>
      </c>
      <c r="N228" s="665"/>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0.45875935000000007</v>
      </c>
      <c r="Q231" s="474" t="s">
        <v>361</v>
      </c>
      <c r="V231" s="197"/>
    </row>
    <row r="232" spans="1:22" ht="18" hidden="1" customHeight="1">
      <c r="A232" s="196"/>
      <c r="G232" s="27" t="s">
        <v>138</v>
      </c>
      <c r="H232" s="668" t="e">
        <f>H231*((J231+L231)/(N231+P231))</f>
        <v>#VALUE!</v>
      </c>
      <c r="I232" s="668"/>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668" t="e">
        <f>H232</f>
        <v>#VALUE!</v>
      </c>
      <c r="E236" s="665"/>
      <c r="F236" s="27" t="e">
        <f>IF(D236&gt;=G236,"&gt;","&lt;")</f>
        <v>#VALUE!</v>
      </c>
      <c r="G236" s="668" t="e">
        <f>M226</f>
        <v>#VALUE!</v>
      </c>
      <c r="H236" s="665"/>
      <c r="I236" s="18"/>
      <c r="J236" s="280" t="s">
        <v>769</v>
      </c>
      <c r="V236" s="197"/>
    </row>
    <row r="237" spans="1:22" ht="18" hidden="1" customHeight="1">
      <c r="A237" s="196"/>
      <c r="D237" s="668" t="e">
        <f>H232</f>
        <v>#VALUE!</v>
      </c>
      <c r="E237" s="665"/>
      <c r="F237" s="27" t="e">
        <f>IF(D237&gt;=G237,"&gt;","&lt;")</f>
        <v>#VALUE!</v>
      </c>
      <c r="G237" s="668" t="e">
        <f>M228</f>
        <v>#REF!</v>
      </c>
      <c r="H237" s="665"/>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16" t="s">
        <v>97</v>
      </c>
      <c r="B261" s="729"/>
      <c r="C261" s="717"/>
      <c r="D261" s="716" t="s">
        <v>98</v>
      </c>
      <c r="E261" s="729"/>
      <c r="F261" s="717"/>
      <c r="G261" s="716" t="s">
        <v>99</v>
      </c>
      <c r="H261" s="717"/>
      <c r="I261" s="716" t="s">
        <v>100</v>
      </c>
      <c r="J261" s="717"/>
      <c r="K261" s="716" t="s">
        <v>513</v>
      </c>
      <c r="L261" s="717"/>
      <c r="M261" s="716" t="s">
        <v>514</v>
      </c>
      <c r="N261" s="717"/>
      <c r="O261" s="716" t="s">
        <v>515</v>
      </c>
      <c r="P261" s="717"/>
      <c r="Q261" s="716" t="s">
        <v>516</v>
      </c>
      <c r="R261" s="717"/>
      <c r="S261" s="716" t="s">
        <v>105</v>
      </c>
      <c r="T261" s="729"/>
      <c r="U261" s="729"/>
      <c r="V261" s="717"/>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18"/>
      <c r="B263" s="730"/>
      <c r="C263" s="719"/>
      <c r="D263" s="718"/>
      <c r="E263" s="730"/>
      <c r="F263" s="719"/>
      <c r="G263" s="718"/>
      <c r="H263" s="719"/>
      <c r="I263" s="718"/>
      <c r="J263" s="719"/>
      <c r="K263" s="718"/>
      <c r="L263" s="719"/>
      <c r="M263" s="718"/>
      <c r="N263" s="719"/>
      <c r="O263" s="718"/>
      <c r="P263" s="719"/>
      <c r="Q263" s="718"/>
      <c r="R263" s="719"/>
      <c r="S263" s="718"/>
      <c r="T263" s="730"/>
      <c r="U263" s="730"/>
      <c r="V263" s="719"/>
    </row>
    <row r="264" spans="1:22" ht="18" customHeight="1">
      <c r="A264" s="720"/>
      <c r="B264" s="731"/>
      <c r="C264" s="721"/>
      <c r="D264" s="720"/>
      <c r="E264" s="731"/>
      <c r="F264" s="721"/>
      <c r="G264" s="720"/>
      <c r="H264" s="721"/>
      <c r="I264" s="720"/>
      <c r="J264" s="721"/>
      <c r="K264" s="720"/>
      <c r="L264" s="721"/>
      <c r="M264" s="720"/>
      <c r="N264" s="721"/>
      <c r="O264" s="720"/>
      <c r="P264" s="721"/>
      <c r="Q264" s="720"/>
      <c r="R264" s="721"/>
      <c r="S264" s="720"/>
      <c r="T264" s="731"/>
      <c r="U264" s="731"/>
      <c r="V264" s="721"/>
    </row>
    <row r="265" spans="1:22" ht="18" customHeight="1">
      <c r="A265" s="733" t="str">
        <f>B7</f>
        <v>T1</v>
      </c>
      <c r="B265" s="733" t="str">
        <f>D7</f>
        <v>Core3</v>
      </c>
      <c r="C265" s="733"/>
      <c r="D265" s="732">
        <f>H10</f>
        <v>2500</v>
      </c>
      <c r="E265" s="732"/>
      <c r="F265" s="734">
        <f>O10</f>
        <v>1</v>
      </c>
      <c r="G265" s="732">
        <f>'CT-VT Burdens'!S19</f>
        <v>50</v>
      </c>
      <c r="H265" s="794">
        <f>'CT-VT Burdens'!S10</f>
        <v>6</v>
      </c>
      <c r="I265" s="794" t="str">
        <f>H11</f>
        <v>PX - B</v>
      </c>
      <c r="J265" s="794" t="e">
        <f>#REF!</f>
        <v>#REF!</v>
      </c>
      <c r="K265" s="728">
        <f>H12</f>
        <v>5</v>
      </c>
      <c r="L265" s="728"/>
      <c r="M265" s="728">
        <f>H13</f>
        <v>750</v>
      </c>
      <c r="N265" s="728"/>
      <c r="O265" s="732">
        <f>H14</f>
        <v>60</v>
      </c>
      <c r="P265" s="732"/>
      <c r="Q265" s="739" t="str">
        <f>IF(T8="",T7,IF(T9="",T7&amp;"+"&amp;T8,T7&amp;"+"&amp;T8&amp;"+"&amp;T9))</f>
        <v>REB500</v>
      </c>
      <c r="R265" s="739"/>
      <c r="S265" s="738" t="str">
        <f>M83</f>
        <v>Suitable Dimensions</v>
      </c>
      <c r="T265" s="738"/>
      <c r="U265" s="738"/>
      <c r="V265" s="738"/>
    </row>
    <row r="266" spans="1:22" ht="18" customHeight="1">
      <c r="A266" s="733"/>
      <c r="B266" s="733"/>
      <c r="C266" s="733"/>
      <c r="D266" s="732" t="str">
        <f>J10</f>
        <v>-</v>
      </c>
      <c r="E266" s="732"/>
      <c r="F266" s="735"/>
      <c r="G266" s="732"/>
      <c r="H266" s="732"/>
      <c r="I266" s="794"/>
      <c r="J266" s="794"/>
      <c r="K266" s="801" t="s">
        <v>7</v>
      </c>
      <c r="L266" s="728"/>
      <c r="M266" s="801" t="s">
        <v>7</v>
      </c>
      <c r="N266" s="728"/>
      <c r="O266" s="799" t="s">
        <v>7</v>
      </c>
      <c r="P266" s="732"/>
      <c r="Q266" s="739"/>
      <c r="R266" s="739"/>
      <c r="S266" s="978" t="s">
        <v>7</v>
      </c>
      <c r="T266" s="738"/>
      <c r="U266" s="738"/>
      <c r="V266" s="738"/>
    </row>
    <row r="267" spans="1:22" ht="18" customHeight="1">
      <c r="A267" s="733"/>
      <c r="B267" s="733"/>
      <c r="C267" s="733"/>
      <c r="D267" s="732" t="str">
        <f>L10</f>
        <v>-</v>
      </c>
      <c r="E267" s="732"/>
      <c r="F267" s="736"/>
      <c r="G267" s="732"/>
      <c r="H267" s="732"/>
      <c r="I267" s="794"/>
      <c r="J267" s="794"/>
      <c r="K267" s="728" t="str">
        <f>L177</f>
        <v>-</v>
      </c>
      <c r="L267" s="728"/>
      <c r="M267" s="728" t="str">
        <f>L178</f>
        <v>-</v>
      </c>
      <c r="N267" s="728"/>
      <c r="O267" s="732" t="str">
        <f>L179</f>
        <v>-</v>
      </c>
      <c r="P267" s="732"/>
      <c r="Q267" s="739"/>
      <c r="R267" s="739"/>
      <c r="S267" s="738" t="s">
        <v>7</v>
      </c>
      <c r="T267" s="738"/>
      <c r="U267" s="738"/>
      <c r="V267" s="738"/>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 ref="A265:A267"/>
    <mergeCell ref="B265:C267"/>
    <mergeCell ref="D265:E265"/>
    <mergeCell ref="F265:F267"/>
    <mergeCell ref="G265:G267"/>
    <mergeCell ref="H265:H267"/>
    <mergeCell ref="I265:J267"/>
    <mergeCell ref="A261:C264"/>
    <mergeCell ref="D261:F264"/>
    <mergeCell ref="G261:H264"/>
    <mergeCell ref="I261:J264"/>
    <mergeCell ref="D267:E267"/>
    <mergeCell ref="H228:I228"/>
    <mergeCell ref="M228:N228"/>
    <mergeCell ref="H232:I232"/>
    <mergeCell ref="D236:E236"/>
    <mergeCell ref="G236:H236"/>
    <mergeCell ref="D237:E237"/>
    <mergeCell ref="G237:H237"/>
    <mergeCell ref="E207:F207"/>
    <mergeCell ref="M224:N224"/>
    <mergeCell ref="R224:S224"/>
    <mergeCell ref="M225:N225"/>
    <mergeCell ref="R225:S225"/>
    <mergeCell ref="M226:N226"/>
    <mergeCell ref="S199:T199"/>
    <mergeCell ref="S200:T200"/>
    <mergeCell ref="S201:T201"/>
    <mergeCell ref="S202:T202"/>
    <mergeCell ref="H205:I205"/>
    <mergeCell ref="H206:I206"/>
    <mergeCell ref="J187:K187"/>
    <mergeCell ref="A189:V190"/>
    <mergeCell ref="H194:I194"/>
    <mergeCell ref="S196:T196"/>
    <mergeCell ref="S197:T197"/>
    <mergeCell ref="S198:T198"/>
    <mergeCell ref="L179:M179"/>
    <mergeCell ref="J183:K183"/>
    <mergeCell ref="J184:K184"/>
    <mergeCell ref="J185:K185"/>
    <mergeCell ref="J186:K186"/>
    <mergeCell ref="P186:Q186"/>
    <mergeCell ref="H175:I175"/>
    <mergeCell ref="J175:K175"/>
    <mergeCell ref="L175:M175"/>
    <mergeCell ref="L176:M176"/>
    <mergeCell ref="L177:M177"/>
    <mergeCell ref="L178:M178"/>
    <mergeCell ref="T172:U172"/>
    <mergeCell ref="T173:U173"/>
    <mergeCell ref="H174:I174"/>
    <mergeCell ref="J174:K174"/>
    <mergeCell ref="L174:M174"/>
    <mergeCell ref="T174:U174"/>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J105:K105"/>
    <mergeCell ref="S108:T108"/>
    <mergeCell ref="S109:T109"/>
    <mergeCell ref="S110:T110"/>
    <mergeCell ref="S111:T111"/>
    <mergeCell ref="S112:T112"/>
    <mergeCell ref="J97:K97"/>
    <mergeCell ref="J101:K101"/>
    <mergeCell ref="J102:K102"/>
    <mergeCell ref="J103:K103"/>
    <mergeCell ref="J104:K104"/>
    <mergeCell ref="P104:Q104"/>
    <mergeCell ref="H93:I93"/>
    <mergeCell ref="J93:K93"/>
    <mergeCell ref="L93:M93"/>
    <mergeCell ref="J94:K94"/>
    <mergeCell ref="J95:K95"/>
    <mergeCell ref="J96:K96"/>
    <mergeCell ref="T90:U90"/>
    <mergeCell ref="T91:U91"/>
    <mergeCell ref="H92:I92"/>
    <mergeCell ref="J92:K92"/>
    <mergeCell ref="L92:M92"/>
    <mergeCell ref="T92:U92"/>
    <mergeCell ref="N79:O79"/>
    <mergeCell ref="N80:O80"/>
    <mergeCell ref="I82:J82"/>
    <mergeCell ref="M82:N82"/>
    <mergeCell ref="B90:C90"/>
    <mergeCell ref="D90:E90"/>
    <mergeCell ref="H90:M90"/>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view="pageBreakPreview" topLeftCell="A125"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27"/>
      <c r="B1" s="628"/>
      <c r="C1" s="628"/>
      <c r="D1" s="628"/>
      <c r="E1" s="628"/>
      <c r="F1" s="628"/>
      <c r="G1" s="629"/>
      <c r="H1" s="636"/>
      <c r="I1" s="637"/>
      <c r="J1" s="637"/>
      <c r="K1" s="637"/>
      <c r="L1" s="637"/>
      <c r="M1" s="637"/>
      <c r="N1" s="638"/>
      <c r="O1" s="612"/>
      <c r="P1" s="613"/>
      <c r="Q1" s="614"/>
      <c r="R1" s="615"/>
      <c r="S1" s="616"/>
      <c r="T1" s="616"/>
      <c r="U1" s="616"/>
      <c r="V1" s="617"/>
      <c r="W1" s="7"/>
      <c r="X1" s="7"/>
    </row>
    <row r="2" spans="1:29" ht="18" customHeight="1">
      <c r="A2" s="630"/>
      <c r="B2" s="631"/>
      <c r="C2" s="631"/>
      <c r="D2" s="631"/>
      <c r="E2" s="631"/>
      <c r="F2" s="631"/>
      <c r="G2" s="632"/>
      <c r="H2" s="639"/>
      <c r="I2" s="640"/>
      <c r="J2" s="640"/>
      <c r="K2" s="640"/>
      <c r="L2" s="640"/>
      <c r="M2" s="640"/>
      <c r="N2" s="641"/>
      <c r="O2" s="612"/>
      <c r="P2" s="613"/>
      <c r="Q2" s="614"/>
      <c r="R2" s="642"/>
      <c r="S2" s="616"/>
      <c r="T2" s="616"/>
      <c r="U2" s="616"/>
      <c r="V2" s="617"/>
      <c r="W2" s="7"/>
      <c r="X2" s="7"/>
    </row>
    <row r="3" spans="1:29" ht="18" customHeight="1">
      <c r="A3" s="630"/>
      <c r="B3" s="631"/>
      <c r="C3" s="631"/>
      <c r="D3" s="631"/>
      <c r="E3" s="631"/>
      <c r="F3" s="631"/>
      <c r="G3" s="632"/>
      <c r="H3" s="645" t="s">
        <v>989</v>
      </c>
      <c r="I3" s="646"/>
      <c r="J3" s="646"/>
      <c r="K3" s="646"/>
      <c r="L3" s="646"/>
      <c r="M3" s="646"/>
      <c r="N3" s="647"/>
      <c r="O3" s="612"/>
      <c r="P3" s="613"/>
      <c r="Q3" s="614"/>
      <c r="R3" s="615"/>
      <c r="S3" s="616"/>
      <c r="T3" s="616"/>
      <c r="U3" s="616"/>
      <c r="V3" s="617"/>
      <c r="W3" s="7"/>
      <c r="X3" s="7"/>
    </row>
    <row r="4" spans="1:29" ht="18" customHeight="1">
      <c r="A4" s="633"/>
      <c r="B4" s="634"/>
      <c r="C4" s="634"/>
      <c r="D4" s="634"/>
      <c r="E4" s="634"/>
      <c r="F4" s="634"/>
      <c r="G4" s="635"/>
      <c r="H4" s="648"/>
      <c r="I4" s="649"/>
      <c r="J4" s="649"/>
      <c r="K4" s="649"/>
      <c r="L4" s="649"/>
      <c r="M4" s="649"/>
      <c r="N4" s="650"/>
      <c r="O4" s="612"/>
      <c r="P4" s="613"/>
      <c r="Q4" s="614"/>
      <c r="R4" s="615"/>
      <c r="S4" s="616"/>
      <c r="T4" s="616"/>
      <c r="U4" s="616"/>
      <c r="V4" s="617"/>
      <c r="W4" s="7"/>
      <c r="X4" s="7"/>
    </row>
    <row r="5" spans="1:29" ht="18" customHeight="1">
      <c r="A5" s="618" t="s">
        <v>991</v>
      </c>
      <c r="B5" s="620"/>
      <c r="C5" s="620"/>
      <c r="D5" s="620"/>
      <c r="E5" s="620"/>
      <c r="F5" s="620"/>
      <c r="G5" s="620"/>
      <c r="H5" s="620"/>
      <c r="I5" s="620"/>
      <c r="J5" s="620"/>
      <c r="K5" s="620"/>
      <c r="L5" s="620"/>
      <c r="M5" s="620"/>
      <c r="N5" s="620"/>
      <c r="O5" s="620"/>
      <c r="P5" s="620"/>
      <c r="Q5" s="620"/>
      <c r="R5" s="620"/>
      <c r="S5" s="620"/>
      <c r="T5" s="620"/>
      <c r="U5" s="620"/>
      <c r="V5" s="619"/>
      <c r="W5" s="7"/>
      <c r="X5" s="7"/>
    </row>
    <row r="6" spans="1:29" ht="18" customHeight="1">
      <c r="A6" s="9"/>
      <c r="V6" s="10"/>
    </row>
    <row r="7" spans="1:29" ht="18" customHeight="1">
      <c r="A7" s="9"/>
      <c r="B7" s="659" t="s">
        <v>120</v>
      </c>
      <c r="C7" s="660"/>
      <c r="D7" s="659" t="s">
        <v>396</v>
      </c>
      <c r="E7" s="661"/>
      <c r="F7" s="664"/>
      <c r="G7" s="664"/>
      <c r="H7" s="664" t="s">
        <v>397</v>
      </c>
      <c r="I7" s="664"/>
      <c r="J7" s="664"/>
      <c r="K7" s="664"/>
      <c r="L7" s="664"/>
      <c r="M7" s="664"/>
      <c r="N7" s="664"/>
      <c r="S7" s="199" t="s">
        <v>398</v>
      </c>
      <c r="T7" s="653" t="s">
        <v>399</v>
      </c>
      <c r="U7" s="654"/>
      <c r="V7" s="10"/>
      <c r="W7" s="30" t="s">
        <v>400</v>
      </c>
    </row>
    <row r="8" spans="1:29" ht="18" customHeight="1">
      <c r="A8" s="9"/>
      <c r="B8" s="657"/>
      <c r="C8" s="658"/>
      <c r="D8" s="662"/>
      <c r="E8" s="663"/>
      <c r="T8" s="653"/>
      <c r="U8" s="654"/>
      <c r="V8" s="10"/>
    </row>
    <row r="9" spans="1:29" ht="18" customHeight="1">
      <c r="A9" s="9"/>
      <c r="H9" s="666" t="s">
        <v>401</v>
      </c>
      <c r="I9" s="666"/>
      <c r="J9" s="667" t="s">
        <v>402</v>
      </c>
      <c r="K9" s="667"/>
      <c r="L9" s="667" t="s">
        <v>403</v>
      </c>
      <c r="M9" s="667"/>
      <c r="T9" s="653"/>
      <c r="U9" s="654"/>
      <c r="V9" s="10"/>
    </row>
    <row r="10" spans="1:29" ht="18" customHeight="1">
      <c r="A10" s="9"/>
      <c r="B10" s="47" t="s">
        <v>404</v>
      </c>
      <c r="H10" s="651">
        <v>1600</v>
      </c>
      <c r="I10" s="652"/>
      <c r="J10" s="653">
        <v>1800</v>
      </c>
      <c r="K10" s="654"/>
      <c r="L10" s="653" t="s">
        <v>7</v>
      </c>
      <c r="M10" s="654"/>
      <c r="N10" s="203" t="s">
        <v>353</v>
      </c>
      <c r="O10" s="125">
        <v>1</v>
      </c>
      <c r="P10" s="27" t="s">
        <v>9</v>
      </c>
      <c r="V10" s="10"/>
    </row>
    <row r="11" spans="1:29" ht="18" customHeight="1">
      <c r="A11" s="9"/>
      <c r="B11" s="47" t="s">
        <v>405</v>
      </c>
      <c r="H11" s="653" t="s">
        <v>850</v>
      </c>
      <c r="I11" s="654"/>
      <c r="V11" s="10"/>
    </row>
    <row r="12" spans="1:29" ht="18" customHeight="1">
      <c r="A12" s="9"/>
      <c r="B12" s="47" t="s">
        <v>407</v>
      </c>
      <c r="G12" s="120" t="s">
        <v>408</v>
      </c>
      <c r="H12" s="653">
        <v>12</v>
      </c>
      <c r="I12" s="654"/>
      <c r="J12" s="204" t="s">
        <v>344</v>
      </c>
      <c r="M12" s="14"/>
      <c r="V12" s="10"/>
    </row>
    <row r="13" spans="1:29" ht="18" customHeight="1">
      <c r="A13" s="9"/>
      <c r="B13" s="47" t="s">
        <v>409</v>
      </c>
      <c r="G13" s="120" t="s">
        <v>410</v>
      </c>
      <c r="H13" s="653">
        <v>3500</v>
      </c>
      <c r="I13" s="654"/>
      <c r="J13" s="14" t="s">
        <v>316</v>
      </c>
      <c r="V13" s="10"/>
      <c r="W13" s="30" t="s">
        <v>411</v>
      </c>
      <c r="AA13" s="30"/>
      <c r="AB13" s="1022">
        <f>Q120</f>
        <v>632.78933398619927</v>
      </c>
      <c r="AC13" s="1023"/>
    </row>
    <row r="14" spans="1:29" ht="18" customHeight="1">
      <c r="A14" s="9"/>
      <c r="B14" s="14" t="s">
        <v>412</v>
      </c>
      <c r="G14" s="120" t="s">
        <v>413</v>
      </c>
      <c r="H14" s="653">
        <v>40</v>
      </c>
      <c r="I14" s="654"/>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44">
        <f>'CT-VT Burdens'!Q48</f>
        <v>0.02</v>
      </c>
      <c r="K18" s="675"/>
      <c r="L18" s="214" t="s">
        <v>168</v>
      </c>
      <c r="N18" s="209" t="s">
        <v>418</v>
      </c>
      <c r="V18" s="10"/>
    </row>
    <row r="19" spans="1:22" ht="18" customHeight="1">
      <c r="A19" s="9"/>
      <c r="B19" s="196" t="s">
        <v>416</v>
      </c>
      <c r="D19" s="437">
        <f>T8</f>
        <v>0</v>
      </c>
      <c r="E19" s="14"/>
      <c r="I19" s="28" t="s">
        <v>138</v>
      </c>
      <c r="J19" s="1044"/>
      <c r="K19" s="675"/>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44"/>
      <c r="K20" s="675"/>
      <c r="L20" s="439" t="s">
        <v>168</v>
      </c>
      <c r="O20" s="27" t="s">
        <v>138</v>
      </c>
      <c r="P20" s="216">
        <f>J22</f>
        <v>0.46875935000000007</v>
      </c>
      <c r="Q20" s="203" t="s">
        <v>421</v>
      </c>
      <c r="R20" s="27">
        <f>O10</f>
        <v>1</v>
      </c>
      <c r="S20" s="27" t="s">
        <v>326</v>
      </c>
      <c r="T20" s="27">
        <f>O10</f>
        <v>1</v>
      </c>
      <c r="U20" s="30" t="s">
        <v>361</v>
      </c>
      <c r="V20" s="10"/>
    </row>
    <row r="21" spans="1:22" ht="18" customHeight="1">
      <c r="A21" s="9"/>
      <c r="B21" s="196" t="s">
        <v>423</v>
      </c>
      <c r="H21" s="438"/>
      <c r="I21" s="440" t="s">
        <v>138</v>
      </c>
      <c r="J21" s="1045">
        <f>'CT-VT Burdens'!S22</f>
        <v>0.44875935000000006</v>
      </c>
      <c r="K21" s="1046"/>
      <c r="L21" s="439" t="s">
        <v>168</v>
      </c>
      <c r="O21" s="27" t="s">
        <v>138</v>
      </c>
      <c r="P21" s="668">
        <f>P20/(R20*T20)</f>
        <v>0.46875935000000007</v>
      </c>
      <c r="Q21" s="668"/>
      <c r="R21" s="204" t="s">
        <v>344</v>
      </c>
      <c r="V21" s="10"/>
    </row>
    <row r="22" spans="1:22" ht="18" customHeight="1">
      <c r="A22" s="9"/>
      <c r="B22" s="217" t="s">
        <v>424</v>
      </c>
      <c r="C22" s="218"/>
      <c r="D22" s="218"/>
      <c r="E22" s="218"/>
      <c r="F22" s="359"/>
      <c r="G22" s="359"/>
      <c r="H22" s="202" t="s">
        <v>420</v>
      </c>
      <c r="I22" s="220" t="s">
        <v>138</v>
      </c>
      <c r="J22" s="896">
        <f>SUM(J18:K21)</f>
        <v>0.46875935000000007</v>
      </c>
      <c r="K22" s="1021"/>
      <c r="L22" s="441" t="s">
        <v>168</v>
      </c>
      <c r="V22" s="10"/>
    </row>
    <row r="23" spans="1:22" ht="18" customHeight="1">
      <c r="A23" s="9"/>
      <c r="V23" s="10"/>
    </row>
    <row r="24" spans="1:22" ht="18" customHeight="1">
      <c r="A24" s="116" t="s">
        <v>425</v>
      </c>
      <c r="V24" s="10"/>
    </row>
    <row r="25" spans="1:22" ht="18" customHeight="1">
      <c r="A25" s="1018" t="s">
        <v>426</v>
      </c>
      <c r="B25" s="1019"/>
      <c r="C25" s="1019"/>
      <c r="D25" s="1019"/>
      <c r="E25" s="1019"/>
      <c r="F25" s="1019"/>
      <c r="G25" s="1019"/>
      <c r="H25" s="1019"/>
      <c r="I25" s="1019"/>
      <c r="J25" s="1019"/>
      <c r="K25" s="1019"/>
      <c r="L25" s="1019"/>
      <c r="M25" s="1019"/>
      <c r="N25" s="1019"/>
      <c r="O25" s="1019"/>
      <c r="P25" s="1019"/>
      <c r="Q25" s="1019"/>
      <c r="R25" s="1019"/>
      <c r="S25" s="1019"/>
      <c r="T25" s="1019"/>
      <c r="U25" s="1019"/>
      <c r="V25" s="1020"/>
    </row>
    <row r="26" spans="1:22" ht="18" customHeight="1">
      <c r="A26" s="1018"/>
      <c r="B26" s="1019"/>
      <c r="C26" s="1019"/>
      <c r="D26" s="1019"/>
      <c r="E26" s="1019"/>
      <c r="F26" s="1019"/>
      <c r="G26" s="1019"/>
      <c r="H26" s="1019"/>
      <c r="I26" s="1019"/>
      <c r="J26" s="1019"/>
      <c r="K26" s="1019"/>
      <c r="L26" s="1019"/>
      <c r="M26" s="1019"/>
      <c r="N26" s="1019"/>
      <c r="O26" s="1019"/>
      <c r="P26" s="1019"/>
      <c r="Q26" s="1019"/>
      <c r="R26" s="1019"/>
      <c r="S26" s="1019"/>
      <c r="T26" s="1019"/>
      <c r="U26" s="1019"/>
      <c r="V26" s="1020"/>
    </row>
    <row r="27" spans="1:22" ht="18" customHeight="1">
      <c r="A27" s="205" t="s">
        <v>427</v>
      </c>
      <c r="V27" s="10"/>
    </row>
    <row r="28" spans="1:22" ht="18" customHeight="1">
      <c r="A28" s="1005" t="s">
        <v>428</v>
      </c>
      <c r="B28" s="947"/>
      <c r="C28" s="947"/>
      <c r="D28" s="14"/>
      <c r="E28" s="7"/>
      <c r="F28" s="1015" t="s">
        <v>429</v>
      </c>
      <c r="G28" s="903"/>
      <c r="H28" s="664" t="s">
        <v>326</v>
      </c>
      <c r="I28" s="696" t="s">
        <v>422</v>
      </c>
      <c r="J28" s="939"/>
      <c r="K28" s="664" t="s">
        <v>326</v>
      </c>
      <c r="L28" s="1015" t="s">
        <v>430</v>
      </c>
      <c r="M28" s="664" t="s">
        <v>431</v>
      </c>
      <c r="N28" s="942" t="s">
        <v>358</v>
      </c>
      <c r="O28" s="664" t="s">
        <v>419</v>
      </c>
      <c r="P28" s="664" t="s">
        <v>358</v>
      </c>
      <c r="Q28" s="943" t="s">
        <v>432</v>
      </c>
      <c r="R28" s="1016"/>
      <c r="S28" s="1016"/>
      <c r="T28" s="944" t="s">
        <v>361</v>
      </c>
      <c r="U28" s="242" t="s">
        <v>433</v>
      </c>
      <c r="V28" s="112"/>
    </row>
    <row r="29" spans="1:22" ht="18" customHeight="1">
      <c r="A29" s="1006"/>
      <c r="B29" s="947"/>
      <c r="C29" s="947"/>
      <c r="D29" s="14"/>
      <c r="E29" s="7"/>
      <c r="F29" s="903"/>
      <c r="G29" s="903"/>
      <c r="H29" s="664"/>
      <c r="I29" s="664" t="s">
        <v>434</v>
      </c>
      <c r="J29" s="903"/>
      <c r="K29" s="664"/>
      <c r="L29" s="1015"/>
      <c r="M29" s="664"/>
      <c r="N29" s="942"/>
      <c r="O29" s="664"/>
      <c r="P29" s="664"/>
      <c r="Q29" s="28" t="s">
        <v>157</v>
      </c>
      <c r="R29" s="28" t="s">
        <v>326</v>
      </c>
      <c r="S29" s="28" t="s">
        <v>157</v>
      </c>
      <c r="T29" s="944"/>
      <c r="U29" s="7"/>
      <c r="V29" s="112"/>
    </row>
    <row r="30" spans="1:22" ht="18" customHeight="1">
      <c r="A30" s="205" t="s">
        <v>435</v>
      </c>
      <c r="L30" s="442"/>
      <c r="M30" s="438"/>
      <c r="O30" s="438"/>
      <c r="V30" s="10"/>
    </row>
    <row r="31" spans="1:22" ht="18" customHeight="1">
      <c r="A31" s="1005" t="s">
        <v>428</v>
      </c>
      <c r="B31" s="947"/>
      <c r="C31" s="947"/>
      <c r="D31" s="664">
        <v>2</v>
      </c>
      <c r="E31" s="664" t="s">
        <v>326</v>
      </c>
      <c r="F31" s="1015" t="s">
        <v>436</v>
      </c>
      <c r="G31" s="903"/>
      <c r="H31" s="664" t="s">
        <v>326</v>
      </c>
      <c r="I31" s="696" t="s">
        <v>422</v>
      </c>
      <c r="J31" s="939"/>
      <c r="K31" s="664" t="s">
        <v>326</v>
      </c>
      <c r="L31" s="1015" t="s">
        <v>430</v>
      </c>
      <c r="M31" s="664" t="s">
        <v>431</v>
      </c>
      <c r="N31" s="942" t="s">
        <v>358</v>
      </c>
      <c r="O31" s="664" t="s">
        <v>419</v>
      </c>
      <c r="P31" s="664" t="s">
        <v>358</v>
      </c>
      <c r="Q31" s="943" t="s">
        <v>432</v>
      </c>
      <c r="R31" s="1016"/>
      <c r="S31" s="1016"/>
      <c r="T31" s="944" t="s">
        <v>361</v>
      </c>
      <c r="U31" s="242" t="s">
        <v>437</v>
      </c>
      <c r="V31" s="112"/>
    </row>
    <row r="32" spans="1:22" ht="18" customHeight="1">
      <c r="A32" s="1006"/>
      <c r="B32" s="947"/>
      <c r="C32" s="947"/>
      <c r="D32" s="664"/>
      <c r="E32" s="664"/>
      <c r="F32" s="903"/>
      <c r="G32" s="903"/>
      <c r="H32" s="664"/>
      <c r="I32" s="664" t="s">
        <v>434</v>
      </c>
      <c r="J32" s="903"/>
      <c r="K32" s="664"/>
      <c r="L32" s="1015"/>
      <c r="M32" s="664"/>
      <c r="N32" s="942"/>
      <c r="O32" s="664"/>
      <c r="P32" s="664"/>
      <c r="Q32" s="28" t="s">
        <v>157</v>
      </c>
      <c r="R32" s="28" t="s">
        <v>326</v>
      </c>
      <c r="S32" s="28" t="s">
        <v>157</v>
      </c>
      <c r="T32" s="944"/>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65">
        <f>H10</f>
        <v>1600</v>
      </c>
      <c r="S35" s="665"/>
      <c r="T35" s="14" t="s">
        <v>9</v>
      </c>
      <c r="V35" s="10"/>
    </row>
    <row r="36" spans="1:22" ht="18" customHeight="1">
      <c r="A36" s="9"/>
      <c r="B36" s="14" t="s">
        <v>442</v>
      </c>
      <c r="C36" s="14"/>
      <c r="D36" s="14"/>
      <c r="E36" s="14"/>
      <c r="F36" s="14"/>
      <c r="G36" s="14"/>
      <c r="H36" s="14"/>
      <c r="I36" s="14"/>
      <c r="J36" s="14"/>
      <c r="P36" s="120" t="s">
        <v>429</v>
      </c>
      <c r="Q36" s="246" t="s">
        <v>138</v>
      </c>
      <c r="R36" s="665">
        <f>'Parameters &amp; Fault Cal. (4)'!Q32</f>
        <v>50000</v>
      </c>
      <c r="S36" s="665"/>
      <c r="T36" s="14" t="s">
        <v>9</v>
      </c>
      <c r="V36" s="10"/>
    </row>
    <row r="37" spans="1:22" ht="18" customHeight="1">
      <c r="A37" s="9"/>
      <c r="B37" s="14" t="s">
        <v>443</v>
      </c>
      <c r="C37" s="14"/>
      <c r="D37" s="14"/>
      <c r="E37" s="14"/>
      <c r="F37" s="14"/>
      <c r="G37" s="14"/>
      <c r="H37" s="14"/>
      <c r="I37" s="14"/>
      <c r="J37" s="14"/>
      <c r="P37" s="120" t="s">
        <v>436</v>
      </c>
      <c r="Q37" s="246" t="s">
        <v>138</v>
      </c>
      <c r="R37" s="816">
        <f>'Parameters &amp; Fault Cal. (4)'!M70</f>
        <v>28681.090829928391</v>
      </c>
      <c r="S37" s="665"/>
      <c r="T37" s="14" t="s">
        <v>9</v>
      </c>
      <c r="U37" s="30" t="s">
        <v>444</v>
      </c>
      <c r="V37" s="10"/>
    </row>
    <row r="38" spans="1:22" ht="18" customHeight="1">
      <c r="A38" s="9"/>
      <c r="B38" s="14"/>
      <c r="C38" s="14"/>
      <c r="D38" s="14"/>
      <c r="E38" s="14"/>
      <c r="F38" s="14"/>
      <c r="G38" s="14"/>
      <c r="H38" s="14"/>
      <c r="I38" s="14"/>
      <c r="J38" s="14"/>
      <c r="P38" s="120"/>
      <c r="Q38" s="246" t="s">
        <v>138</v>
      </c>
      <c r="R38" s="816">
        <f>'Parameters &amp; Fault Cal. (4)'!M91</f>
        <v>30950.978286194932</v>
      </c>
      <c r="S38" s="665"/>
      <c r="T38" s="14" t="s">
        <v>9</v>
      </c>
      <c r="U38" s="30" t="s">
        <v>445</v>
      </c>
      <c r="V38" s="10"/>
    </row>
    <row r="39" spans="1:22" ht="18" customHeight="1">
      <c r="A39" s="9"/>
      <c r="B39" s="14" t="s">
        <v>446</v>
      </c>
      <c r="C39" s="14"/>
      <c r="D39" s="103"/>
      <c r="E39" s="103"/>
      <c r="F39" s="14"/>
      <c r="G39" s="14"/>
      <c r="H39" s="5"/>
      <c r="I39" s="5"/>
      <c r="J39" s="5"/>
      <c r="P39" s="120" t="s">
        <v>447</v>
      </c>
      <c r="Q39" s="246" t="s">
        <v>138</v>
      </c>
      <c r="R39" s="665">
        <f>'CT-VT Burdens'!S17</f>
        <v>1</v>
      </c>
      <c r="S39" s="665"/>
      <c r="T39" s="14" t="s">
        <v>9</v>
      </c>
      <c r="V39" s="10"/>
    </row>
    <row r="40" spans="1:22" ht="18" customHeight="1">
      <c r="A40" s="9"/>
      <c r="B40" s="14" t="s">
        <v>448</v>
      </c>
      <c r="C40" s="14"/>
      <c r="D40" s="103"/>
      <c r="E40" s="103"/>
      <c r="F40" s="14"/>
      <c r="G40" s="14"/>
      <c r="H40" s="5"/>
      <c r="I40" s="5"/>
      <c r="J40" s="5"/>
      <c r="P40" s="120" t="s">
        <v>449</v>
      </c>
      <c r="Q40" s="246" t="s">
        <v>138</v>
      </c>
      <c r="R40" s="665">
        <f>'CT-VT Burdens'!S18</f>
        <v>1</v>
      </c>
      <c r="S40" s="665"/>
      <c r="T40" s="14" t="s">
        <v>9</v>
      </c>
      <c r="V40" s="10"/>
    </row>
    <row r="41" spans="1:22" ht="18" customHeight="1">
      <c r="A41" s="9"/>
      <c r="B41" s="14" t="s">
        <v>450</v>
      </c>
      <c r="C41" s="14"/>
      <c r="D41" s="103"/>
      <c r="E41" s="103"/>
      <c r="F41" s="14"/>
      <c r="G41" s="14"/>
      <c r="H41" s="5"/>
      <c r="I41" s="5"/>
      <c r="J41" s="5"/>
      <c r="P41" s="120" t="s">
        <v>451</v>
      </c>
      <c r="Q41" s="246" t="s">
        <v>138</v>
      </c>
      <c r="R41" s="665">
        <f>H12</f>
        <v>12</v>
      </c>
      <c r="S41" s="665"/>
      <c r="T41" s="204" t="s">
        <v>344</v>
      </c>
      <c r="V41" s="10"/>
    </row>
    <row r="42" spans="1:22" ht="18" customHeight="1">
      <c r="A42" s="9"/>
      <c r="B42" s="7" t="s">
        <v>164</v>
      </c>
      <c r="C42" s="14"/>
      <c r="D42" s="14"/>
      <c r="E42" s="14"/>
      <c r="F42" s="14"/>
      <c r="G42" s="14"/>
      <c r="H42" s="14"/>
      <c r="I42" s="14"/>
      <c r="J42" s="14"/>
      <c r="P42" s="249" t="s">
        <v>452</v>
      </c>
      <c r="Q42" s="246" t="s">
        <v>138</v>
      </c>
      <c r="R42" s="668">
        <f>P21</f>
        <v>0.46875935000000007</v>
      </c>
      <c r="S42" s="665"/>
      <c r="T42" s="204" t="s">
        <v>344</v>
      </c>
      <c r="V42" s="10"/>
    </row>
    <row r="43" spans="1:22" ht="18" customHeight="1">
      <c r="A43" s="9"/>
      <c r="B43" s="40" t="s">
        <v>453</v>
      </c>
      <c r="C43" s="14"/>
      <c r="D43" s="14"/>
      <c r="E43" s="14"/>
      <c r="F43" s="14"/>
      <c r="G43" s="14"/>
      <c r="H43" s="5"/>
      <c r="I43" s="5"/>
      <c r="J43" s="5"/>
      <c r="P43" s="249" t="s">
        <v>454</v>
      </c>
      <c r="Q43" s="246" t="s">
        <v>138</v>
      </c>
      <c r="R43" s="668">
        <f>J18</f>
        <v>0.02</v>
      </c>
      <c r="S43" s="665"/>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5" t="s">
        <v>428</v>
      </c>
      <c r="B47" s="947"/>
      <c r="C47" s="947"/>
      <c r="D47" s="14"/>
      <c r="E47" s="7"/>
      <c r="F47" s="1002">
        <f>R36</f>
        <v>50000</v>
      </c>
      <c r="G47" s="1043"/>
      <c r="H47" s="788" t="s">
        <v>326</v>
      </c>
      <c r="I47" s="1009">
        <f>R39</f>
        <v>1</v>
      </c>
      <c r="J47" s="1010"/>
      <c r="K47" s="788" t="s">
        <v>326</v>
      </c>
      <c r="L47" s="1002" t="s">
        <v>430</v>
      </c>
      <c r="M47" s="975">
        <f>R41</f>
        <v>12</v>
      </c>
      <c r="N47" s="1003" t="s">
        <v>358</v>
      </c>
      <c r="O47" s="1004">
        <f>R42</f>
        <v>0.46875935000000007</v>
      </c>
      <c r="P47" s="788" t="s">
        <v>358</v>
      </c>
      <c r="Q47" s="1042">
        <f>R43</f>
        <v>0.02</v>
      </c>
      <c r="R47" s="1012"/>
      <c r="S47" s="1012"/>
      <c r="T47" s="944" t="s">
        <v>361</v>
      </c>
      <c r="U47" s="242" t="s">
        <v>433</v>
      </c>
      <c r="V47" s="112"/>
    </row>
    <row r="48" spans="1:22" ht="18" customHeight="1">
      <c r="A48" s="1006"/>
      <c r="B48" s="947"/>
      <c r="C48" s="947"/>
      <c r="D48" s="14"/>
      <c r="E48" s="7"/>
      <c r="F48" s="1043"/>
      <c r="G48" s="1043"/>
      <c r="H48" s="788"/>
      <c r="I48" s="788">
        <f>R35</f>
        <v>1600</v>
      </c>
      <c r="J48" s="1008"/>
      <c r="K48" s="788"/>
      <c r="L48" s="1002"/>
      <c r="M48" s="975"/>
      <c r="N48" s="1003"/>
      <c r="O48" s="975"/>
      <c r="P48" s="788"/>
      <c r="Q48" s="233">
        <f>R40</f>
        <v>1</v>
      </c>
      <c r="R48" s="233" t="s">
        <v>326</v>
      </c>
      <c r="S48" s="233">
        <f>R40</f>
        <v>1</v>
      </c>
      <c r="T48" s="944"/>
      <c r="U48" s="7"/>
      <c r="V48" s="112"/>
    </row>
    <row r="49" spans="1:22" ht="18" customHeight="1">
      <c r="A49" s="9"/>
      <c r="L49" s="442"/>
      <c r="V49" s="10"/>
    </row>
    <row r="50" spans="1:22" ht="18" customHeight="1">
      <c r="A50" s="9"/>
      <c r="C50" s="27" t="s">
        <v>138</v>
      </c>
      <c r="D50" s="875">
        <f>F47*(I47/I48)*(M47+O47+(Q47/(Q48*S48)))</f>
        <v>390.27372968750001</v>
      </c>
      <c r="E50" s="876"/>
      <c r="F50" s="27" t="s">
        <v>316</v>
      </c>
      <c r="L50" s="442"/>
      <c r="V50" s="10"/>
    </row>
    <row r="51" spans="1:22" ht="18" customHeight="1">
      <c r="A51" s="9"/>
      <c r="L51" s="442"/>
      <c r="V51" s="10"/>
    </row>
    <row r="52" spans="1:22" ht="18" customHeight="1">
      <c r="A52" s="205" t="s">
        <v>455</v>
      </c>
      <c r="L52" s="442"/>
      <c r="V52" s="10"/>
    </row>
    <row r="53" spans="1:22" ht="18" customHeight="1">
      <c r="A53" s="1005" t="s">
        <v>428</v>
      </c>
      <c r="B53" s="947"/>
      <c r="C53" s="947"/>
      <c r="D53" s="788">
        <v>2</v>
      </c>
      <c r="E53" s="788" t="s">
        <v>326</v>
      </c>
      <c r="F53" s="1007">
        <f>R37</f>
        <v>28681.090829928391</v>
      </c>
      <c r="G53" s="1008"/>
      <c r="H53" s="788" t="s">
        <v>326</v>
      </c>
      <c r="I53" s="1009">
        <f>R39</f>
        <v>1</v>
      </c>
      <c r="J53" s="1010"/>
      <c r="K53" s="788" t="s">
        <v>326</v>
      </c>
      <c r="L53" s="1002" t="s">
        <v>430</v>
      </c>
      <c r="M53" s="975">
        <f>R41</f>
        <v>12</v>
      </c>
      <c r="N53" s="1003" t="s">
        <v>358</v>
      </c>
      <c r="O53" s="1004">
        <f>R42</f>
        <v>0.46875935000000007</v>
      </c>
      <c r="P53" s="788" t="s">
        <v>358</v>
      </c>
      <c r="Q53" s="1012">
        <f>Q47</f>
        <v>0.02</v>
      </c>
      <c r="R53" s="1012"/>
      <c r="S53" s="1012"/>
      <c r="T53" s="944" t="s">
        <v>361</v>
      </c>
      <c r="U53" s="242" t="s">
        <v>437</v>
      </c>
      <c r="V53" s="112"/>
    </row>
    <row r="54" spans="1:22" ht="18" customHeight="1">
      <c r="A54" s="1006"/>
      <c r="B54" s="947"/>
      <c r="C54" s="947"/>
      <c r="D54" s="788"/>
      <c r="E54" s="788"/>
      <c r="F54" s="1008"/>
      <c r="G54" s="1008"/>
      <c r="H54" s="788"/>
      <c r="I54" s="788">
        <f>R35</f>
        <v>1600</v>
      </c>
      <c r="J54" s="1008"/>
      <c r="K54" s="788"/>
      <c r="L54" s="1002"/>
      <c r="M54" s="975"/>
      <c r="N54" s="1003"/>
      <c r="O54" s="975"/>
      <c r="P54" s="788"/>
      <c r="Q54" s="233">
        <f>R40</f>
        <v>1</v>
      </c>
      <c r="R54" s="233" t="s">
        <v>326</v>
      </c>
      <c r="S54" s="233">
        <f>R40</f>
        <v>1</v>
      </c>
      <c r="T54" s="944"/>
      <c r="U54" s="7"/>
      <c r="V54" s="112"/>
    </row>
    <row r="55" spans="1:22" ht="18" customHeight="1">
      <c r="A55" s="9"/>
      <c r="L55" s="442"/>
      <c r="V55" s="10"/>
    </row>
    <row r="56" spans="1:22" ht="18" customHeight="1">
      <c r="A56" s="9"/>
      <c r="C56" s="27" t="s">
        <v>138</v>
      </c>
      <c r="D56" s="875">
        <f>D53*F53*(I53/I54)*(M53+O53+(Q53/(Q54*S54)))</f>
        <v>447.73905158808435</v>
      </c>
      <c r="E56" s="876"/>
      <c r="F56" s="27" t="s">
        <v>316</v>
      </c>
      <c r="L56" s="442"/>
      <c r="V56" s="10"/>
    </row>
    <row r="57" spans="1:22" ht="18" customHeight="1">
      <c r="A57" s="9"/>
      <c r="L57" s="442"/>
      <c r="V57" s="10"/>
    </row>
    <row r="58" spans="1:22" ht="18" customHeight="1">
      <c r="A58" s="205" t="s">
        <v>456</v>
      </c>
      <c r="L58" s="442"/>
      <c r="V58" s="10"/>
    </row>
    <row r="59" spans="1:22" ht="18" customHeight="1">
      <c r="A59" s="1005" t="s">
        <v>428</v>
      </c>
      <c r="B59" s="947"/>
      <c r="C59" s="947"/>
      <c r="D59" s="788">
        <v>2</v>
      </c>
      <c r="E59" s="788" t="s">
        <v>326</v>
      </c>
      <c r="F59" s="1007">
        <f>R38</f>
        <v>30950.978286194932</v>
      </c>
      <c r="G59" s="1008"/>
      <c r="H59" s="788" t="s">
        <v>326</v>
      </c>
      <c r="I59" s="1009">
        <f>R39</f>
        <v>1</v>
      </c>
      <c r="J59" s="1010"/>
      <c r="K59" s="788" t="s">
        <v>326</v>
      </c>
      <c r="L59" s="1002" t="s">
        <v>430</v>
      </c>
      <c r="M59" s="975">
        <f>R41</f>
        <v>12</v>
      </c>
      <c r="N59" s="1003" t="s">
        <v>358</v>
      </c>
      <c r="O59" s="1004">
        <f>R42</f>
        <v>0.46875935000000007</v>
      </c>
      <c r="P59" s="788" t="s">
        <v>358</v>
      </c>
      <c r="Q59" s="1012">
        <f>R43</f>
        <v>0.02</v>
      </c>
      <c r="R59" s="1012"/>
      <c r="S59" s="1012"/>
      <c r="T59" s="944" t="s">
        <v>361</v>
      </c>
      <c r="U59" s="242" t="s">
        <v>437</v>
      </c>
      <c r="V59" s="112"/>
    </row>
    <row r="60" spans="1:22" ht="18" customHeight="1">
      <c r="A60" s="1006"/>
      <c r="B60" s="947"/>
      <c r="C60" s="947"/>
      <c r="D60" s="788"/>
      <c r="E60" s="788"/>
      <c r="F60" s="1008"/>
      <c r="G60" s="1008"/>
      <c r="H60" s="788"/>
      <c r="I60" s="788">
        <f>R35</f>
        <v>1600</v>
      </c>
      <c r="J60" s="1008"/>
      <c r="K60" s="788"/>
      <c r="L60" s="1002"/>
      <c r="M60" s="975"/>
      <c r="N60" s="1003"/>
      <c r="O60" s="975"/>
      <c r="P60" s="788"/>
      <c r="Q60" s="233">
        <f>R40</f>
        <v>1</v>
      </c>
      <c r="R60" s="233" t="s">
        <v>326</v>
      </c>
      <c r="S60" s="233">
        <f>R40</f>
        <v>1</v>
      </c>
      <c r="T60" s="944"/>
      <c r="U60" s="7"/>
      <c r="V60" s="112"/>
    </row>
    <row r="61" spans="1:22" ht="18" customHeight="1">
      <c r="A61" s="9"/>
      <c r="V61" s="10"/>
    </row>
    <row r="62" spans="1:22" ht="18" customHeight="1">
      <c r="A62" s="9"/>
      <c r="C62" s="27" t="s">
        <v>138</v>
      </c>
      <c r="D62" s="875">
        <f>D59*F59*(I59/I60)*(M59+O59+(Q59/(Q60*S60)))</f>
        <v>483.17414932920491</v>
      </c>
      <c r="E62" s="876"/>
      <c r="F62" s="27" t="s">
        <v>316</v>
      </c>
      <c r="V62" s="10"/>
    </row>
    <row r="63" spans="1:22" ht="18" customHeight="1">
      <c r="A63" s="9"/>
      <c r="V63" s="10"/>
    </row>
    <row r="64" spans="1:22" ht="18" customHeight="1">
      <c r="A64" s="116" t="s">
        <v>457</v>
      </c>
      <c r="V64" s="10"/>
    </row>
    <row r="65" spans="1:22" ht="18" customHeight="1">
      <c r="A65" s="1018" t="s">
        <v>426</v>
      </c>
      <c r="B65" s="1019"/>
      <c r="C65" s="1019"/>
      <c r="D65" s="1019"/>
      <c r="E65" s="1019"/>
      <c r="F65" s="1019"/>
      <c r="G65" s="1019"/>
      <c r="H65" s="1019"/>
      <c r="I65" s="1019"/>
      <c r="J65" s="1019"/>
      <c r="K65" s="1019"/>
      <c r="L65" s="1019"/>
      <c r="M65" s="1019"/>
      <c r="N65" s="1019"/>
      <c r="O65" s="1019"/>
      <c r="P65" s="1019"/>
      <c r="Q65" s="1019"/>
      <c r="R65" s="1019"/>
      <c r="S65" s="1019"/>
      <c r="T65" s="1019"/>
      <c r="U65" s="1019"/>
      <c r="V65" s="1020"/>
    </row>
    <row r="66" spans="1:22" ht="18" customHeight="1">
      <c r="A66" s="1018"/>
      <c r="B66" s="1019"/>
      <c r="C66" s="1019"/>
      <c r="D66" s="1019"/>
      <c r="E66" s="1019"/>
      <c r="F66" s="1019"/>
      <c r="G66" s="1019"/>
      <c r="H66" s="1019"/>
      <c r="I66" s="1019"/>
      <c r="J66" s="1019"/>
      <c r="K66" s="1019"/>
      <c r="L66" s="1019"/>
      <c r="M66" s="1019"/>
      <c r="N66" s="1019"/>
      <c r="O66" s="1019"/>
      <c r="P66" s="1019"/>
      <c r="Q66" s="1019"/>
      <c r="R66" s="1019"/>
      <c r="S66" s="1019"/>
      <c r="T66" s="1019"/>
      <c r="U66" s="1019"/>
      <c r="V66" s="1020"/>
    </row>
    <row r="67" spans="1:22" ht="18" customHeight="1">
      <c r="A67" s="205" t="s">
        <v>427</v>
      </c>
      <c r="V67" s="10"/>
    </row>
    <row r="68" spans="1:22" ht="18" customHeight="1">
      <c r="A68" s="1005" t="s">
        <v>428</v>
      </c>
      <c r="B68" s="947"/>
      <c r="C68" s="947"/>
      <c r="D68" s="1015" t="s">
        <v>429</v>
      </c>
      <c r="E68" s="903"/>
      <c r="F68" s="664" t="s">
        <v>326</v>
      </c>
      <c r="G68" s="696" t="s">
        <v>447</v>
      </c>
      <c r="H68" s="939"/>
      <c r="I68" s="664" t="s">
        <v>326</v>
      </c>
      <c r="J68" s="696" t="s">
        <v>146</v>
      </c>
      <c r="K68" s="664" t="s">
        <v>326</v>
      </c>
      <c r="L68" s="1015" t="s">
        <v>430</v>
      </c>
      <c r="M68" s="664" t="s">
        <v>451</v>
      </c>
      <c r="N68" s="942" t="s">
        <v>358</v>
      </c>
      <c r="O68" s="664" t="s">
        <v>458</v>
      </c>
      <c r="P68" s="664" t="s">
        <v>358</v>
      </c>
      <c r="Q68" s="943" t="s">
        <v>459</v>
      </c>
      <c r="R68" s="1016"/>
      <c r="S68" s="1016"/>
      <c r="T68" s="944" t="s">
        <v>361</v>
      </c>
      <c r="U68" s="242" t="s">
        <v>433</v>
      </c>
      <c r="V68" s="112"/>
    </row>
    <row r="69" spans="1:22" ht="18" customHeight="1">
      <c r="A69" s="1006"/>
      <c r="B69" s="947"/>
      <c r="C69" s="947"/>
      <c r="D69" s="903"/>
      <c r="E69" s="903"/>
      <c r="F69" s="664"/>
      <c r="G69" s="664" t="s">
        <v>441</v>
      </c>
      <c r="H69" s="903"/>
      <c r="I69" s="664"/>
      <c r="J69" s="664"/>
      <c r="K69" s="664"/>
      <c r="L69" s="1015"/>
      <c r="M69" s="664"/>
      <c r="N69" s="942"/>
      <c r="O69" s="664"/>
      <c r="P69" s="664"/>
      <c r="Q69" s="28" t="s">
        <v>449</v>
      </c>
      <c r="R69" s="28" t="s">
        <v>326</v>
      </c>
      <c r="S69" s="28" t="s">
        <v>449</v>
      </c>
      <c r="T69" s="944"/>
      <c r="U69" s="7"/>
      <c r="V69" s="112"/>
    </row>
    <row r="70" spans="1:22" ht="18" customHeight="1">
      <c r="A70" s="205" t="s">
        <v>460</v>
      </c>
      <c r="I70" s="7"/>
      <c r="J70" s="7"/>
      <c r="K70" s="7"/>
      <c r="L70" s="442"/>
      <c r="M70" s="438"/>
      <c r="O70" s="438"/>
      <c r="V70" s="10"/>
    </row>
    <row r="71" spans="1:22" ht="18" customHeight="1">
      <c r="A71" s="1005" t="s">
        <v>428</v>
      </c>
      <c r="B71" s="947"/>
      <c r="C71" s="947"/>
      <c r="D71" s="1015" t="s">
        <v>461</v>
      </c>
      <c r="E71" s="903"/>
      <c r="F71" s="664" t="s">
        <v>326</v>
      </c>
      <c r="G71" s="696" t="s">
        <v>447</v>
      </c>
      <c r="H71" s="939"/>
      <c r="I71" s="664" t="s">
        <v>326</v>
      </c>
      <c r="J71" s="696" t="s">
        <v>462</v>
      </c>
      <c r="K71" s="664" t="s">
        <v>326</v>
      </c>
      <c r="L71" s="1015" t="s">
        <v>430</v>
      </c>
      <c r="M71" s="664" t="s">
        <v>451</v>
      </c>
      <c r="N71" s="942" t="s">
        <v>358</v>
      </c>
      <c r="O71" s="664" t="s">
        <v>458</v>
      </c>
      <c r="P71" s="664" t="s">
        <v>358</v>
      </c>
      <c r="Q71" s="943" t="s">
        <v>459</v>
      </c>
      <c r="R71" s="1016"/>
      <c r="S71" s="1016"/>
      <c r="T71" s="944" t="s">
        <v>361</v>
      </c>
      <c r="U71" s="242" t="s">
        <v>437</v>
      </c>
      <c r="V71" s="112"/>
    </row>
    <row r="72" spans="1:22" ht="18" customHeight="1">
      <c r="A72" s="1006"/>
      <c r="B72" s="947"/>
      <c r="C72" s="947"/>
      <c r="D72" s="903"/>
      <c r="E72" s="903"/>
      <c r="F72" s="664"/>
      <c r="G72" s="664" t="s">
        <v>441</v>
      </c>
      <c r="H72" s="903"/>
      <c r="I72" s="664"/>
      <c r="J72" s="664"/>
      <c r="K72" s="664"/>
      <c r="L72" s="1015"/>
      <c r="M72" s="664"/>
      <c r="N72" s="942"/>
      <c r="O72" s="664"/>
      <c r="P72" s="664"/>
      <c r="Q72" s="28" t="s">
        <v>449</v>
      </c>
      <c r="R72" s="28" t="s">
        <v>326</v>
      </c>
      <c r="S72" s="28" t="s">
        <v>449</v>
      </c>
      <c r="T72" s="944"/>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65">
        <f>R35</f>
        <v>1600</v>
      </c>
      <c r="S75" s="665"/>
      <c r="T75" s="14" t="s">
        <v>9</v>
      </c>
      <c r="V75" s="10"/>
    </row>
    <row r="76" spans="1:22" ht="18" customHeight="1">
      <c r="A76" s="9"/>
      <c r="B76" s="14" t="s">
        <v>442</v>
      </c>
      <c r="P76" s="120" t="s">
        <v>429</v>
      </c>
      <c r="Q76" s="246" t="s">
        <v>138</v>
      </c>
      <c r="R76" s="665">
        <f>R36</f>
        <v>50000</v>
      </c>
      <c r="S76" s="665"/>
      <c r="T76" s="14" t="s">
        <v>9</v>
      </c>
      <c r="V76" s="10"/>
    </row>
    <row r="77" spans="1:22" ht="18" customHeight="1">
      <c r="A77" s="9"/>
      <c r="B77" s="14" t="s">
        <v>463</v>
      </c>
      <c r="P77" s="120" t="s">
        <v>461</v>
      </c>
      <c r="Q77" s="246" t="s">
        <v>138</v>
      </c>
      <c r="R77" s="816">
        <f>'Parameters &amp; Fault Cal. (4)'!M110</f>
        <v>31616.578766904022</v>
      </c>
      <c r="S77" s="665"/>
      <c r="T77" s="14" t="s">
        <v>9</v>
      </c>
      <c r="U77" s="30" t="s">
        <v>444</v>
      </c>
      <c r="V77" s="10"/>
    </row>
    <row r="78" spans="1:22" ht="18" customHeight="1">
      <c r="A78" s="9"/>
      <c r="B78" s="14"/>
      <c r="P78" s="120"/>
      <c r="Q78" s="246" t="s">
        <v>138</v>
      </c>
      <c r="R78" s="816">
        <f>'Parameters &amp; Fault Cal. (4)'!M131</f>
        <v>33779.140438861883</v>
      </c>
      <c r="S78" s="665"/>
      <c r="T78" s="14" t="s">
        <v>9</v>
      </c>
      <c r="U78" s="30" t="s">
        <v>445</v>
      </c>
      <c r="V78" s="10"/>
    </row>
    <row r="79" spans="1:22" ht="18" customHeight="1">
      <c r="A79" s="9"/>
      <c r="B79" s="14" t="s">
        <v>464</v>
      </c>
      <c r="P79" s="120" t="s">
        <v>447</v>
      </c>
      <c r="Q79" s="246" t="s">
        <v>138</v>
      </c>
      <c r="R79" s="665">
        <f>R39</f>
        <v>1</v>
      </c>
      <c r="S79" s="665"/>
      <c r="T79" s="14" t="s">
        <v>9</v>
      </c>
      <c r="V79" s="10"/>
    </row>
    <row r="80" spans="1:22" ht="18" customHeight="1">
      <c r="A80" s="9"/>
      <c r="B80" s="14" t="s">
        <v>448</v>
      </c>
      <c r="P80" s="120" t="s">
        <v>449</v>
      </c>
      <c r="Q80" s="246" t="s">
        <v>138</v>
      </c>
      <c r="R80" s="665">
        <f>R40</f>
        <v>1</v>
      </c>
      <c r="S80" s="665"/>
      <c r="T80" s="14" t="s">
        <v>9</v>
      </c>
      <c r="V80" s="10"/>
    </row>
    <row r="81" spans="1:22" ht="18" customHeight="1">
      <c r="A81" s="9"/>
      <c r="B81" s="14" t="s">
        <v>450</v>
      </c>
      <c r="P81" s="120" t="s">
        <v>451</v>
      </c>
      <c r="Q81" s="246" t="s">
        <v>138</v>
      </c>
      <c r="R81" s="665">
        <f>R41</f>
        <v>12</v>
      </c>
      <c r="S81" s="665"/>
      <c r="T81" s="204" t="s">
        <v>344</v>
      </c>
      <c r="V81" s="10"/>
    </row>
    <row r="82" spans="1:22" ht="18" customHeight="1">
      <c r="A82" s="9"/>
      <c r="B82" s="14" t="s">
        <v>465</v>
      </c>
      <c r="P82" s="249" t="s">
        <v>452</v>
      </c>
      <c r="Q82" s="246" t="s">
        <v>138</v>
      </c>
      <c r="R82" s="668">
        <f>R42</f>
        <v>0.46875935000000007</v>
      </c>
      <c r="S82" s="665"/>
      <c r="T82" s="204" t="s">
        <v>344</v>
      </c>
      <c r="V82" s="10"/>
    </row>
    <row r="83" spans="1:22" ht="18" customHeight="1">
      <c r="A83" s="9"/>
      <c r="B83" s="40" t="s">
        <v>453</v>
      </c>
      <c r="P83" s="249" t="s">
        <v>454</v>
      </c>
      <c r="Q83" s="246" t="s">
        <v>138</v>
      </c>
      <c r="R83" s="668">
        <f>J18</f>
        <v>0.02</v>
      </c>
      <c r="S83" s="665"/>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69">
        <f>'Parameters &amp; Fault Cal. (4)'!Q59</f>
        <v>47.727272727272727</v>
      </c>
      <c r="M95" s="664"/>
      <c r="N95" s="14" t="s">
        <v>475</v>
      </c>
      <c r="O95" s="28" t="s">
        <v>146</v>
      </c>
      <c r="P95" s="28" t="s">
        <v>138</v>
      </c>
      <c r="Q95" s="28">
        <f>IF(L95&lt;=400,Q88,Q89)</f>
        <v>1</v>
      </c>
      <c r="R95" s="7"/>
      <c r="S95" s="7"/>
      <c r="T95" s="7"/>
      <c r="V95" s="10"/>
    </row>
    <row r="96" spans="1:22" ht="18" customHeight="1">
      <c r="A96" s="1005" t="s">
        <v>428</v>
      </c>
      <c r="B96" s="947"/>
      <c r="C96" s="947"/>
      <c r="D96" s="1002">
        <f>R76</f>
        <v>50000</v>
      </c>
      <c r="E96" s="1013"/>
      <c r="F96" s="788" t="s">
        <v>326</v>
      </c>
      <c r="G96" s="1009">
        <f>R79</f>
        <v>1</v>
      </c>
      <c r="H96" s="1014"/>
      <c r="I96" s="788" t="s">
        <v>326</v>
      </c>
      <c r="J96" s="790">
        <f>Q95</f>
        <v>1</v>
      </c>
      <c r="K96" s="788" t="s">
        <v>326</v>
      </c>
      <c r="L96" s="1002" t="s">
        <v>430</v>
      </c>
      <c r="M96" s="975">
        <f>R81</f>
        <v>12</v>
      </c>
      <c r="N96" s="1003" t="s">
        <v>358</v>
      </c>
      <c r="O96" s="1004">
        <f>R82</f>
        <v>0.46875935000000007</v>
      </c>
      <c r="P96" s="788" t="s">
        <v>358</v>
      </c>
      <c r="Q96" s="1012">
        <f>R83</f>
        <v>0.02</v>
      </c>
      <c r="R96" s="1012"/>
      <c r="S96" s="1012"/>
      <c r="T96" s="944" t="s">
        <v>361</v>
      </c>
      <c r="U96" s="242" t="s">
        <v>433</v>
      </c>
      <c r="V96" s="112"/>
    </row>
    <row r="97" spans="1:22" ht="18" customHeight="1">
      <c r="A97" s="1006"/>
      <c r="B97" s="947"/>
      <c r="C97" s="947"/>
      <c r="D97" s="1013"/>
      <c r="E97" s="1013"/>
      <c r="F97" s="788"/>
      <c r="G97" s="788">
        <f>R75</f>
        <v>1600</v>
      </c>
      <c r="H97" s="1013"/>
      <c r="I97" s="788"/>
      <c r="J97" s="788"/>
      <c r="K97" s="788"/>
      <c r="L97" s="1002"/>
      <c r="M97" s="975"/>
      <c r="N97" s="1003"/>
      <c r="O97" s="975"/>
      <c r="P97" s="788"/>
      <c r="Q97" s="233">
        <f>R80</f>
        <v>1</v>
      </c>
      <c r="R97" s="233" t="s">
        <v>326</v>
      </c>
      <c r="S97" s="233">
        <f>R80</f>
        <v>1</v>
      </c>
      <c r="T97" s="944"/>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60">
        <f>D96*(G96/G97)*J96*(M96+O96+(Q96/(Q97*S97)))</f>
        <v>390.27372968750001</v>
      </c>
      <c r="E99" s="700"/>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68">
        <f>'Parameters &amp; Fault Cal. (4)'!Q116</f>
        <v>7.3490763833311119</v>
      </c>
      <c r="M102" s="665"/>
      <c r="N102" s="30" t="s">
        <v>475</v>
      </c>
      <c r="O102" s="28" t="s">
        <v>462</v>
      </c>
      <c r="P102" s="27" t="s">
        <v>138</v>
      </c>
      <c r="Q102" s="27">
        <f>IF(L102&lt;=200,Q92,Q93)</f>
        <v>3</v>
      </c>
      <c r="V102" s="10"/>
    </row>
    <row r="103" spans="1:22" ht="18" customHeight="1">
      <c r="A103" s="1005" t="s">
        <v>428</v>
      </c>
      <c r="B103" s="947"/>
      <c r="C103" s="947"/>
      <c r="D103" s="1007">
        <f>R77</f>
        <v>31616.578766904022</v>
      </c>
      <c r="E103" s="1008"/>
      <c r="F103" s="788" t="s">
        <v>326</v>
      </c>
      <c r="G103" s="1009">
        <f>R79</f>
        <v>1</v>
      </c>
      <c r="H103" s="1010"/>
      <c r="I103" s="788" t="s">
        <v>326</v>
      </c>
      <c r="J103" s="790">
        <f>Q102</f>
        <v>3</v>
      </c>
      <c r="K103" s="788" t="s">
        <v>326</v>
      </c>
      <c r="L103" s="1002" t="s">
        <v>430</v>
      </c>
      <c r="M103" s="975">
        <f>R81</f>
        <v>12</v>
      </c>
      <c r="N103" s="1003" t="s">
        <v>358</v>
      </c>
      <c r="O103" s="1004">
        <f>R82</f>
        <v>0.46875935000000007</v>
      </c>
      <c r="P103" s="788" t="s">
        <v>358</v>
      </c>
      <c r="Q103" s="1012">
        <f>R83</f>
        <v>0.02</v>
      </c>
      <c r="R103" s="1012"/>
      <c r="S103" s="1012"/>
      <c r="T103" s="944" t="s">
        <v>361</v>
      </c>
      <c r="U103" s="242" t="s">
        <v>437</v>
      </c>
      <c r="V103" s="112"/>
    </row>
    <row r="104" spans="1:22" ht="18" customHeight="1">
      <c r="A104" s="1006"/>
      <c r="B104" s="947"/>
      <c r="C104" s="947"/>
      <c r="D104" s="1008"/>
      <c r="E104" s="1008"/>
      <c r="F104" s="788"/>
      <c r="G104" s="788">
        <f>R75</f>
        <v>1600</v>
      </c>
      <c r="H104" s="1008"/>
      <c r="I104" s="788"/>
      <c r="J104" s="788"/>
      <c r="K104" s="788"/>
      <c r="L104" s="1002"/>
      <c r="M104" s="975"/>
      <c r="N104" s="1003"/>
      <c r="O104" s="975"/>
      <c r="P104" s="788"/>
      <c r="Q104" s="233">
        <f>R80</f>
        <v>1</v>
      </c>
      <c r="R104" s="233" t="s">
        <v>326</v>
      </c>
      <c r="S104" s="233">
        <f>R80</f>
        <v>1</v>
      </c>
      <c r="T104" s="944"/>
      <c r="U104" s="7"/>
      <c r="V104" s="112"/>
    </row>
    <row r="105" spans="1:22" ht="18" customHeight="1">
      <c r="A105" s="9"/>
      <c r="I105" s="7"/>
      <c r="J105" s="7"/>
      <c r="K105" s="7"/>
      <c r="V105" s="10"/>
    </row>
    <row r="106" spans="1:22" ht="18" customHeight="1">
      <c r="A106" s="9"/>
      <c r="C106" s="27" t="s">
        <v>138</v>
      </c>
      <c r="D106" s="860">
        <f>D103*(G103/G104)*J103*(M103+O103+(Q103/(Q104*S104)))</f>
        <v>740.34720691909524</v>
      </c>
      <c r="E106" s="700"/>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68">
        <f>'Parameters &amp; Fault Cal. (4)'!Q139</f>
        <v>7.6723844075738938</v>
      </c>
      <c r="M109" s="665"/>
      <c r="N109" s="27" t="s">
        <v>475</v>
      </c>
      <c r="O109" s="28" t="s">
        <v>462</v>
      </c>
      <c r="P109" s="27" t="s">
        <v>138</v>
      </c>
      <c r="Q109" s="27">
        <f>IF(L109&lt;=200,Q92,Q93)</f>
        <v>3</v>
      </c>
      <c r="V109" s="10"/>
    </row>
    <row r="110" spans="1:22" ht="18" customHeight="1">
      <c r="A110" s="1005" t="s">
        <v>428</v>
      </c>
      <c r="B110" s="947"/>
      <c r="C110" s="947"/>
      <c r="D110" s="1007">
        <f>R78</f>
        <v>33779.140438861883</v>
      </c>
      <c r="E110" s="1008"/>
      <c r="F110" s="788" t="s">
        <v>326</v>
      </c>
      <c r="G110" s="1009">
        <f>R79</f>
        <v>1</v>
      </c>
      <c r="H110" s="1010"/>
      <c r="I110" s="788" t="s">
        <v>326</v>
      </c>
      <c r="J110" s="790">
        <f>Q109</f>
        <v>3</v>
      </c>
      <c r="K110" s="788" t="s">
        <v>326</v>
      </c>
      <c r="L110" s="1002" t="s">
        <v>430</v>
      </c>
      <c r="M110" s="975">
        <f>R81</f>
        <v>12</v>
      </c>
      <c r="N110" s="1003" t="s">
        <v>358</v>
      </c>
      <c r="O110" s="1004">
        <f>R82</f>
        <v>0.46875935000000007</v>
      </c>
      <c r="P110" s="788" t="s">
        <v>358</v>
      </c>
      <c r="Q110" s="1012">
        <f>R83</f>
        <v>0.02</v>
      </c>
      <c r="R110" s="1012"/>
      <c r="S110" s="1012"/>
      <c r="T110" s="944" t="s">
        <v>361</v>
      </c>
      <c r="U110" s="242" t="s">
        <v>437</v>
      </c>
      <c r="V110" s="112"/>
    </row>
    <row r="111" spans="1:22" ht="18" customHeight="1">
      <c r="A111" s="1006"/>
      <c r="B111" s="947"/>
      <c r="C111" s="947"/>
      <c r="D111" s="1008"/>
      <c r="E111" s="1008"/>
      <c r="F111" s="788"/>
      <c r="G111" s="788">
        <f>R75</f>
        <v>1600</v>
      </c>
      <c r="H111" s="1008"/>
      <c r="I111" s="788"/>
      <c r="J111" s="788"/>
      <c r="K111" s="788"/>
      <c r="L111" s="1002"/>
      <c r="M111" s="975"/>
      <c r="N111" s="1003"/>
      <c r="O111" s="975"/>
      <c r="P111" s="788"/>
      <c r="Q111" s="233">
        <f>R80</f>
        <v>1</v>
      </c>
      <c r="R111" s="233" t="s">
        <v>326</v>
      </c>
      <c r="S111" s="233">
        <f>R80</f>
        <v>1</v>
      </c>
      <c r="T111" s="944"/>
      <c r="U111" s="7"/>
      <c r="V111" s="112"/>
    </row>
    <row r="112" spans="1:22" ht="18" customHeight="1">
      <c r="A112" s="9"/>
      <c r="V112" s="10"/>
    </row>
    <row r="113" spans="1:26" ht="18" customHeight="1">
      <c r="A113" s="9"/>
      <c r="C113" s="30" t="s">
        <v>138</v>
      </c>
      <c r="D113" s="1041">
        <f>D110*(G110/G111)*J110*(M110+O110+(Q110/(Q111*S111)))</f>
        <v>790.986667482749</v>
      </c>
      <c r="E113" s="1001"/>
      <c r="F113" s="27" t="s">
        <v>316</v>
      </c>
      <c r="V113" s="10"/>
    </row>
    <row r="114" spans="1:26" ht="18" customHeight="1">
      <c r="A114" s="9"/>
      <c r="V114" s="10"/>
    </row>
    <row r="115" spans="1:26" ht="18" customHeight="1">
      <c r="A115" s="196" t="s">
        <v>480</v>
      </c>
      <c r="M115" s="1028">
        <f>H10</f>
        <v>1600</v>
      </c>
      <c r="N115" s="1029"/>
      <c r="O115" s="30" t="s">
        <v>481</v>
      </c>
      <c r="Q115" s="875">
        <f>MAX(D50,D56,D62,D99,D106,D113)</f>
        <v>790.986667482749</v>
      </c>
      <c r="R115" s="876"/>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23" t="s">
        <v>485</v>
      </c>
      <c r="R118" s="923"/>
      <c r="S118" s="28" t="s">
        <v>326</v>
      </c>
      <c r="T118" s="28">
        <v>0.8</v>
      </c>
      <c r="V118" s="10"/>
    </row>
    <row r="119" spans="1:26" ht="18" customHeight="1">
      <c r="A119" s="9"/>
      <c r="N119" s="264"/>
      <c r="O119" s="28"/>
      <c r="P119" s="102" t="s">
        <v>138</v>
      </c>
      <c r="Q119" s="996">
        <f>+Q115</f>
        <v>790.986667482749</v>
      </c>
      <c r="R119" s="696"/>
      <c r="S119" s="234" t="s">
        <v>326</v>
      </c>
      <c r="T119" s="265">
        <f>+T118</f>
        <v>0.8</v>
      </c>
      <c r="V119" s="10"/>
    </row>
    <row r="120" spans="1:26" ht="18" customHeight="1">
      <c r="A120" s="9"/>
      <c r="O120" s="28"/>
      <c r="P120" s="28" t="s">
        <v>138</v>
      </c>
      <c r="Q120" s="997">
        <f>Q119*T119</f>
        <v>632.78933398619927</v>
      </c>
      <c r="R120" s="709"/>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65">
        <f>H13</f>
        <v>3500</v>
      </c>
      <c r="F122" s="665"/>
      <c r="G122" s="27" t="s">
        <v>487</v>
      </c>
      <c r="H122" s="668">
        <f>Q120</f>
        <v>632.78933398619927</v>
      </c>
      <c r="I122" s="665"/>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681" t="str">
        <f>B7</f>
        <v>T1</v>
      </c>
      <c r="C126" s="682"/>
      <c r="D126" s="1040" t="str">
        <f>D7</f>
        <v>Core1</v>
      </c>
      <c r="E126" s="684"/>
      <c r="F126" s="664">
        <f>F7</f>
        <v>0</v>
      </c>
      <c r="G126" s="664"/>
      <c r="H126" s="664" t="str">
        <f>H7</f>
        <v>(Diff. + Dist.)</v>
      </c>
      <c r="I126" s="664"/>
      <c r="J126" s="664"/>
      <c r="K126" s="664"/>
      <c r="L126" s="664"/>
      <c r="M126" s="664"/>
      <c r="P126" s="198"/>
      <c r="S126" s="199" t="s">
        <v>398</v>
      </c>
      <c r="T126" s="681" t="str">
        <f>T7</f>
        <v>RED670</v>
      </c>
      <c r="U126" s="682"/>
      <c r="V126" s="10"/>
    </row>
    <row r="127" spans="1:26" ht="18" customHeight="1">
      <c r="A127" s="9"/>
      <c r="B127" s="695">
        <f>B8</f>
        <v>0</v>
      </c>
      <c r="C127" s="695"/>
      <c r="D127" s="685"/>
      <c r="E127" s="686"/>
      <c r="T127" s="994">
        <f>T8</f>
        <v>0</v>
      </c>
      <c r="U127" s="995"/>
      <c r="V127" s="10"/>
    </row>
    <row r="128" spans="1:26" ht="18" customHeight="1">
      <c r="A128" s="9"/>
      <c r="H128" s="696" t="s">
        <v>401</v>
      </c>
      <c r="I128" s="696"/>
      <c r="J128" s="666" t="s">
        <v>402</v>
      </c>
      <c r="K128" s="666"/>
      <c r="L128" s="667" t="s">
        <v>403</v>
      </c>
      <c r="M128" s="667"/>
      <c r="T128" s="994">
        <f>T9</f>
        <v>0</v>
      </c>
      <c r="U128" s="995"/>
      <c r="V128" s="10"/>
    </row>
    <row r="129" spans="1:29" ht="18" customHeight="1">
      <c r="A129" s="9"/>
      <c r="B129" s="47" t="s">
        <v>404</v>
      </c>
      <c r="H129" s="681">
        <f>H10</f>
        <v>1600</v>
      </c>
      <c r="I129" s="682"/>
      <c r="J129" s="1038">
        <f>J10</f>
        <v>1800</v>
      </c>
      <c r="K129" s="1039"/>
      <c r="L129" s="681" t="str">
        <f>L10</f>
        <v>-</v>
      </c>
      <c r="M129" s="682"/>
      <c r="N129" s="203" t="s">
        <v>353</v>
      </c>
      <c r="O129" s="504">
        <f>O10</f>
        <v>1</v>
      </c>
      <c r="P129" s="27" t="s">
        <v>9</v>
      </c>
      <c r="V129" s="10"/>
    </row>
    <row r="130" spans="1:29" ht="18" customHeight="1">
      <c r="A130" s="9"/>
      <c r="B130" s="47" t="s">
        <v>405</v>
      </c>
      <c r="J130" s="681" t="str">
        <f>H11</f>
        <v>PX-A</v>
      </c>
      <c r="K130" s="682"/>
      <c r="V130" s="10"/>
    </row>
    <row r="131" spans="1:29" ht="18" customHeight="1">
      <c r="A131" s="9"/>
      <c r="B131" s="47" t="s">
        <v>407</v>
      </c>
      <c r="I131" s="120" t="s">
        <v>508</v>
      </c>
      <c r="J131" s="653">
        <v>14</v>
      </c>
      <c r="K131" s="654"/>
      <c r="L131" s="204" t="s">
        <v>344</v>
      </c>
      <c r="N131" s="7"/>
      <c r="O131" s="7"/>
      <c r="V131" s="10"/>
    </row>
    <row r="132" spans="1:29" ht="18" customHeight="1">
      <c r="A132" s="9"/>
      <c r="B132" s="47" t="s">
        <v>409</v>
      </c>
      <c r="I132" s="120" t="s">
        <v>509</v>
      </c>
      <c r="J132" s="653">
        <v>3000</v>
      </c>
      <c r="K132" s="654"/>
      <c r="L132" s="14" t="s">
        <v>316</v>
      </c>
      <c r="O132" s="7"/>
      <c r="V132" s="10"/>
      <c r="W132" s="30" t="s">
        <v>411</v>
      </c>
      <c r="AB132" s="1022">
        <f>Q239</f>
        <v>652.5571158246978</v>
      </c>
      <c r="AC132" s="1023"/>
    </row>
    <row r="133" spans="1:29" ht="18" customHeight="1">
      <c r="A133" s="9"/>
      <c r="B133" s="14" t="s">
        <v>412</v>
      </c>
      <c r="I133" s="120" t="s">
        <v>413</v>
      </c>
      <c r="J133" s="653">
        <v>50</v>
      </c>
      <c r="K133" s="654"/>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31">
        <f>J18</f>
        <v>0.02</v>
      </c>
      <c r="K137" s="1037"/>
      <c r="L137" s="214" t="s">
        <v>168</v>
      </c>
      <c r="N137" s="209" t="s">
        <v>418</v>
      </c>
      <c r="V137" s="10"/>
    </row>
    <row r="138" spans="1:29" ht="18" customHeight="1">
      <c r="A138" s="9"/>
      <c r="B138" s="9" t="s">
        <v>416</v>
      </c>
      <c r="D138" s="437">
        <f>T127</f>
        <v>0</v>
      </c>
      <c r="I138" s="28" t="s">
        <v>138</v>
      </c>
      <c r="J138" s="1031">
        <f>J19</f>
        <v>0</v>
      </c>
      <c r="K138" s="1032"/>
      <c r="L138" s="309" t="s">
        <v>168</v>
      </c>
      <c r="V138" s="10"/>
    </row>
    <row r="139" spans="1:29" ht="18" customHeight="1">
      <c r="A139" s="9"/>
      <c r="B139" s="9" t="s">
        <v>416</v>
      </c>
      <c r="D139" s="437">
        <f>T128</f>
        <v>0</v>
      </c>
      <c r="E139" s="14"/>
      <c r="G139" s="211"/>
      <c r="H139" s="438"/>
      <c r="I139" s="101" t="s">
        <v>138</v>
      </c>
      <c r="J139" s="1033">
        <f>J20</f>
        <v>0</v>
      </c>
      <c r="K139" s="1034"/>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35">
        <f>J21</f>
        <v>0.44875935000000006</v>
      </c>
      <c r="K140" s="1036"/>
      <c r="L140" s="439" t="s">
        <v>168</v>
      </c>
      <c r="N140" s="27"/>
      <c r="O140" s="27" t="s">
        <v>138</v>
      </c>
      <c r="P140" s="223">
        <f>J141</f>
        <v>0.46875935000000007</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896">
        <f>SUM(J137:K140)</f>
        <v>0.46875935000000007</v>
      </c>
      <c r="K141" s="1021"/>
      <c r="L141" s="441" t="s">
        <v>168</v>
      </c>
      <c r="O141" s="27" t="s">
        <v>138</v>
      </c>
      <c r="P141" s="668">
        <f>P140/(R140*T140)</f>
        <v>0.46875935000000007</v>
      </c>
      <c r="Q141" s="668"/>
      <c r="R141" s="204" t="s">
        <v>344</v>
      </c>
      <c r="V141" s="10"/>
    </row>
    <row r="142" spans="1:29" ht="18" customHeight="1">
      <c r="A142" s="9"/>
      <c r="V142" s="10"/>
    </row>
    <row r="143" spans="1:29" ht="18" customHeight="1">
      <c r="A143" s="116" t="s">
        <v>425</v>
      </c>
      <c r="V143" s="10"/>
    </row>
    <row r="144" spans="1:29" ht="18" customHeight="1">
      <c r="A144" s="1018" t="s">
        <v>426</v>
      </c>
      <c r="B144" s="1019"/>
      <c r="C144" s="1019"/>
      <c r="D144" s="1019"/>
      <c r="E144" s="1019"/>
      <c r="F144" s="1019"/>
      <c r="G144" s="1019"/>
      <c r="H144" s="1019"/>
      <c r="I144" s="1019"/>
      <c r="J144" s="1019"/>
      <c r="K144" s="1019"/>
      <c r="L144" s="1019"/>
      <c r="M144" s="1019"/>
      <c r="N144" s="1019"/>
      <c r="O144" s="1019"/>
      <c r="P144" s="1019"/>
      <c r="Q144" s="1019"/>
      <c r="R144" s="1019"/>
      <c r="S144" s="1019"/>
      <c r="T144" s="1019"/>
      <c r="U144" s="1019"/>
      <c r="V144" s="1020"/>
    </row>
    <row r="145" spans="1:22" ht="18" customHeight="1">
      <c r="A145" s="1018"/>
      <c r="B145" s="1019"/>
      <c r="C145" s="1019"/>
      <c r="D145" s="1019"/>
      <c r="E145" s="1019"/>
      <c r="F145" s="1019"/>
      <c r="G145" s="1019"/>
      <c r="H145" s="1019"/>
      <c r="I145" s="1019"/>
      <c r="J145" s="1019"/>
      <c r="K145" s="1019"/>
      <c r="L145" s="1019"/>
      <c r="M145" s="1019"/>
      <c r="N145" s="1019"/>
      <c r="O145" s="1019"/>
      <c r="P145" s="1019"/>
      <c r="Q145" s="1019"/>
      <c r="R145" s="1019"/>
      <c r="S145" s="1019"/>
      <c r="T145" s="1019"/>
      <c r="U145" s="1019"/>
      <c r="V145" s="1020"/>
    </row>
    <row r="146" spans="1:22" ht="18" customHeight="1">
      <c r="A146" s="205" t="s">
        <v>427</v>
      </c>
      <c r="V146" s="10"/>
    </row>
    <row r="147" spans="1:22" ht="18" customHeight="1">
      <c r="A147" s="1005" t="s">
        <v>428</v>
      </c>
      <c r="B147" s="947"/>
      <c r="C147" s="947"/>
      <c r="D147" s="14"/>
      <c r="E147" s="7"/>
      <c r="F147" s="1002" t="s">
        <v>429</v>
      </c>
      <c r="G147" s="1008"/>
      <c r="H147" s="788" t="s">
        <v>326</v>
      </c>
      <c r="I147" s="790" t="s">
        <v>422</v>
      </c>
      <c r="J147" s="1010"/>
      <c r="K147" s="788" t="s">
        <v>326</v>
      </c>
      <c r="L147" s="1002" t="s">
        <v>430</v>
      </c>
      <c r="M147" s="788" t="s">
        <v>431</v>
      </c>
      <c r="N147" s="1003" t="s">
        <v>358</v>
      </c>
      <c r="O147" s="788" t="s">
        <v>419</v>
      </c>
      <c r="P147" s="788" t="s">
        <v>358</v>
      </c>
      <c r="Q147" s="1030" t="s">
        <v>432</v>
      </c>
      <c r="R147" s="1012"/>
      <c r="S147" s="1012"/>
      <c r="T147" s="944" t="s">
        <v>361</v>
      </c>
      <c r="U147" s="242" t="s">
        <v>433</v>
      </c>
      <c r="V147" s="112"/>
    </row>
    <row r="148" spans="1:22" ht="18" customHeight="1">
      <c r="A148" s="1006"/>
      <c r="B148" s="947"/>
      <c r="C148" s="947"/>
      <c r="D148" s="14"/>
      <c r="E148" s="7"/>
      <c r="F148" s="1008"/>
      <c r="G148" s="1008"/>
      <c r="H148" s="788"/>
      <c r="I148" s="788" t="s">
        <v>434</v>
      </c>
      <c r="J148" s="1008"/>
      <c r="K148" s="788"/>
      <c r="L148" s="1002"/>
      <c r="M148" s="788"/>
      <c r="N148" s="1003"/>
      <c r="O148" s="788"/>
      <c r="P148" s="788"/>
      <c r="Q148" s="233" t="s">
        <v>157</v>
      </c>
      <c r="R148" s="233" t="s">
        <v>326</v>
      </c>
      <c r="S148" s="233" t="s">
        <v>157</v>
      </c>
      <c r="T148" s="944"/>
      <c r="U148" s="7"/>
      <c r="V148" s="112"/>
    </row>
    <row r="149" spans="1:22" ht="18" customHeight="1">
      <c r="A149" s="205" t="s">
        <v>435</v>
      </c>
      <c r="L149" s="442"/>
      <c r="M149" s="27"/>
      <c r="N149" s="27"/>
      <c r="O149" s="27"/>
      <c r="V149" s="10"/>
    </row>
    <row r="150" spans="1:22" ht="18" customHeight="1">
      <c r="A150" s="1005" t="s">
        <v>428</v>
      </c>
      <c r="B150" s="947"/>
      <c r="C150" s="947"/>
      <c r="D150" s="664">
        <v>2</v>
      </c>
      <c r="E150" s="664" t="s">
        <v>326</v>
      </c>
      <c r="F150" s="1002" t="s">
        <v>436</v>
      </c>
      <c r="G150" s="1008"/>
      <c r="H150" s="788" t="s">
        <v>326</v>
      </c>
      <c r="I150" s="790" t="s">
        <v>422</v>
      </c>
      <c r="J150" s="1010"/>
      <c r="K150" s="788" t="s">
        <v>326</v>
      </c>
      <c r="L150" s="1002" t="s">
        <v>430</v>
      </c>
      <c r="M150" s="788" t="s">
        <v>431</v>
      </c>
      <c r="N150" s="1003" t="s">
        <v>358</v>
      </c>
      <c r="O150" s="788" t="s">
        <v>419</v>
      </c>
      <c r="P150" s="788" t="s">
        <v>358</v>
      </c>
      <c r="Q150" s="1030" t="s">
        <v>432</v>
      </c>
      <c r="R150" s="1012"/>
      <c r="S150" s="1012"/>
      <c r="T150" s="944" t="s">
        <v>361</v>
      </c>
      <c r="U150" s="242" t="s">
        <v>437</v>
      </c>
      <c r="V150" s="112"/>
    </row>
    <row r="151" spans="1:22" ht="18" customHeight="1">
      <c r="A151" s="1006"/>
      <c r="B151" s="947"/>
      <c r="C151" s="947"/>
      <c r="D151" s="664"/>
      <c r="E151" s="664"/>
      <c r="F151" s="1008"/>
      <c r="G151" s="1008"/>
      <c r="H151" s="788"/>
      <c r="I151" s="788" t="s">
        <v>434</v>
      </c>
      <c r="J151" s="1008"/>
      <c r="K151" s="788"/>
      <c r="L151" s="1002"/>
      <c r="M151" s="788"/>
      <c r="N151" s="1003"/>
      <c r="O151" s="788"/>
      <c r="P151" s="788"/>
      <c r="Q151" s="233" t="s">
        <v>157</v>
      </c>
      <c r="R151" s="233" t="s">
        <v>326</v>
      </c>
      <c r="S151" s="233" t="s">
        <v>157</v>
      </c>
      <c r="T151" s="944"/>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665">
        <f>J129</f>
        <v>1800</v>
      </c>
      <c r="S154" s="665"/>
      <c r="T154" s="14" t="s">
        <v>9</v>
      </c>
      <c r="V154" s="10"/>
    </row>
    <row r="155" spans="1:22" ht="18" customHeight="1">
      <c r="A155" s="9"/>
      <c r="B155" s="14" t="s">
        <v>442</v>
      </c>
      <c r="C155" s="14"/>
      <c r="D155" s="14"/>
      <c r="E155" s="14"/>
      <c r="F155" s="14"/>
      <c r="G155" s="14"/>
      <c r="H155" s="14"/>
      <c r="I155" s="14"/>
      <c r="J155" s="14"/>
      <c r="P155" s="120" t="s">
        <v>429</v>
      </c>
      <c r="Q155" s="246" t="s">
        <v>138</v>
      </c>
      <c r="R155" s="665">
        <f>R36</f>
        <v>50000</v>
      </c>
      <c r="S155" s="665"/>
      <c r="T155" s="14" t="s">
        <v>9</v>
      </c>
      <c r="V155" s="10"/>
    </row>
    <row r="156" spans="1:22" ht="18" customHeight="1">
      <c r="A156" s="9"/>
      <c r="B156" s="14" t="s">
        <v>443</v>
      </c>
      <c r="C156" s="14"/>
      <c r="D156" s="14"/>
      <c r="E156" s="14"/>
      <c r="F156" s="14"/>
      <c r="G156" s="14"/>
      <c r="H156" s="14"/>
      <c r="I156" s="14"/>
      <c r="J156" s="14"/>
      <c r="P156" s="120" t="s">
        <v>436</v>
      </c>
      <c r="Q156" s="246" t="s">
        <v>138</v>
      </c>
      <c r="R156" s="816">
        <f>R37</f>
        <v>28681.090829928391</v>
      </c>
      <c r="S156" s="665"/>
      <c r="T156" s="14" t="s">
        <v>9</v>
      </c>
      <c r="U156" s="30" t="s">
        <v>444</v>
      </c>
      <c r="V156" s="10"/>
    </row>
    <row r="157" spans="1:22" ht="18" customHeight="1">
      <c r="A157" s="9"/>
      <c r="B157" s="14"/>
      <c r="C157" s="14"/>
      <c r="D157" s="14"/>
      <c r="E157" s="14"/>
      <c r="F157" s="14"/>
      <c r="G157" s="14"/>
      <c r="H157" s="14"/>
      <c r="I157" s="14"/>
      <c r="J157" s="14"/>
      <c r="P157" s="120"/>
      <c r="Q157" s="246" t="s">
        <v>138</v>
      </c>
      <c r="R157" s="816">
        <f>R38</f>
        <v>30950.978286194932</v>
      </c>
      <c r="S157" s="665"/>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665">
        <f>R39</f>
        <v>1</v>
      </c>
      <c r="S158" s="665"/>
      <c r="T158" s="14" t="s">
        <v>9</v>
      </c>
      <c r="V158" s="10"/>
    </row>
    <row r="159" spans="1:22" ht="18" customHeight="1">
      <c r="A159" s="9"/>
      <c r="B159" s="14" t="s">
        <v>448</v>
      </c>
      <c r="C159" s="14"/>
      <c r="D159" s="103"/>
      <c r="E159" s="103"/>
      <c r="F159" s="14"/>
      <c r="G159" s="14"/>
      <c r="H159" s="5"/>
      <c r="I159" s="5"/>
      <c r="J159" s="5"/>
      <c r="P159" s="120" t="s">
        <v>449</v>
      </c>
      <c r="Q159" s="246" t="s">
        <v>138</v>
      </c>
      <c r="R159" s="665">
        <f>R40</f>
        <v>1</v>
      </c>
      <c r="S159" s="665"/>
      <c r="T159" s="14" t="s">
        <v>9</v>
      </c>
      <c r="V159" s="10"/>
    </row>
    <row r="160" spans="1:22" ht="18" customHeight="1">
      <c r="A160" s="9"/>
      <c r="B160" s="14" t="s">
        <v>450</v>
      </c>
      <c r="C160" s="14"/>
      <c r="D160" s="103"/>
      <c r="E160" s="103"/>
      <c r="F160" s="14"/>
      <c r="G160" s="14"/>
      <c r="H160" s="5"/>
      <c r="I160" s="5"/>
      <c r="J160" s="5"/>
      <c r="P160" s="120" t="s">
        <v>451</v>
      </c>
      <c r="Q160" s="246" t="s">
        <v>138</v>
      </c>
      <c r="R160" s="665">
        <f>J131</f>
        <v>14</v>
      </c>
      <c r="S160" s="665"/>
      <c r="T160" s="204" t="s">
        <v>344</v>
      </c>
      <c r="V160" s="10"/>
    </row>
    <row r="161" spans="1:22" ht="18" customHeight="1">
      <c r="A161" s="9"/>
      <c r="B161" s="14" t="s">
        <v>164</v>
      </c>
      <c r="C161" s="14"/>
      <c r="D161" s="14"/>
      <c r="E161" s="14"/>
      <c r="F161" s="14"/>
      <c r="G161" s="14"/>
      <c r="H161" s="14"/>
      <c r="I161" s="14"/>
      <c r="J161" s="14"/>
      <c r="P161" s="249" t="s">
        <v>452</v>
      </c>
      <c r="Q161" s="246" t="s">
        <v>138</v>
      </c>
      <c r="R161" s="668">
        <f>R42</f>
        <v>0.46875935000000007</v>
      </c>
      <c r="S161" s="665"/>
      <c r="T161" s="204" t="s">
        <v>344</v>
      </c>
      <c r="V161" s="10"/>
    </row>
    <row r="162" spans="1:22" ht="18" customHeight="1">
      <c r="A162" s="9"/>
      <c r="B162" s="40" t="s">
        <v>453</v>
      </c>
      <c r="C162" s="14"/>
      <c r="D162" s="14"/>
      <c r="E162" s="14"/>
      <c r="F162" s="14"/>
      <c r="G162" s="14"/>
      <c r="H162" s="5"/>
      <c r="I162" s="5"/>
      <c r="J162" s="5"/>
      <c r="P162" s="249" t="s">
        <v>454</v>
      </c>
      <c r="Q162" s="246" t="s">
        <v>138</v>
      </c>
      <c r="R162" s="668">
        <f>R43</f>
        <v>0.02</v>
      </c>
      <c r="S162" s="665"/>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1005" t="s">
        <v>428</v>
      </c>
      <c r="B166" s="947"/>
      <c r="C166" s="947"/>
      <c r="D166" s="14"/>
      <c r="E166" s="7"/>
      <c r="F166" s="1002">
        <f>R155</f>
        <v>50000</v>
      </c>
      <c r="G166" s="1008"/>
      <c r="H166" s="788" t="s">
        <v>326</v>
      </c>
      <c r="I166" s="1009">
        <f>R158</f>
        <v>1</v>
      </c>
      <c r="J166" s="1010"/>
      <c r="K166" s="788" t="s">
        <v>326</v>
      </c>
      <c r="L166" s="1002" t="s">
        <v>430</v>
      </c>
      <c r="M166" s="975">
        <f>R160</f>
        <v>14</v>
      </c>
      <c r="N166" s="1003" t="s">
        <v>358</v>
      </c>
      <c r="O166" s="1004">
        <f>R161</f>
        <v>0.46875935000000007</v>
      </c>
      <c r="P166" s="788" t="s">
        <v>358</v>
      </c>
      <c r="Q166" s="1012">
        <f>R162</f>
        <v>0.02</v>
      </c>
      <c r="R166" s="1012"/>
      <c r="S166" s="1012"/>
      <c r="T166" s="944" t="s">
        <v>361</v>
      </c>
      <c r="U166" s="242" t="s">
        <v>433</v>
      </c>
      <c r="V166" s="112"/>
    </row>
    <row r="167" spans="1:22" ht="18" customHeight="1">
      <c r="A167" s="1006"/>
      <c r="B167" s="947"/>
      <c r="C167" s="947"/>
      <c r="D167" s="14"/>
      <c r="E167" s="7"/>
      <c r="F167" s="1008"/>
      <c r="G167" s="1008"/>
      <c r="H167" s="788"/>
      <c r="I167" s="788">
        <f>R154</f>
        <v>1800</v>
      </c>
      <c r="J167" s="1008"/>
      <c r="K167" s="788"/>
      <c r="L167" s="1002"/>
      <c r="M167" s="975"/>
      <c r="N167" s="1003"/>
      <c r="O167" s="975"/>
      <c r="P167" s="788"/>
      <c r="Q167" s="233">
        <f>R159</f>
        <v>1</v>
      </c>
      <c r="R167" s="233" t="s">
        <v>326</v>
      </c>
      <c r="S167" s="233">
        <f>R159</f>
        <v>1</v>
      </c>
      <c r="T167" s="944"/>
      <c r="U167" s="7"/>
      <c r="V167" s="112"/>
    </row>
    <row r="168" spans="1:22" ht="18" customHeight="1">
      <c r="A168" s="9"/>
      <c r="L168" s="442"/>
      <c r="V168" s="10"/>
    </row>
    <row r="169" spans="1:22" ht="18" customHeight="1">
      <c r="A169" s="9"/>
      <c r="C169" s="27" t="s">
        <v>138</v>
      </c>
      <c r="D169" s="875">
        <f>F166*(I166/I167)*(M166+O166+(Q166/(Q167*S167)))</f>
        <v>402.46553750000004</v>
      </c>
      <c r="E169" s="876"/>
      <c r="F169" s="27" t="s">
        <v>316</v>
      </c>
      <c r="L169" s="442"/>
      <c r="V169" s="10"/>
    </row>
    <row r="170" spans="1:22" ht="18" customHeight="1">
      <c r="A170" s="9"/>
      <c r="L170" s="442"/>
      <c r="V170" s="10"/>
    </row>
    <row r="171" spans="1:22" ht="18" customHeight="1">
      <c r="A171" s="205" t="s">
        <v>455</v>
      </c>
      <c r="L171" s="442"/>
      <c r="V171" s="10"/>
    </row>
    <row r="172" spans="1:22" ht="18" customHeight="1">
      <c r="A172" s="1005" t="s">
        <v>428</v>
      </c>
      <c r="B172" s="947"/>
      <c r="C172" s="947"/>
      <c r="D172" s="664">
        <v>2</v>
      </c>
      <c r="E172" s="664" t="s">
        <v>326</v>
      </c>
      <c r="F172" s="1007">
        <f>R156</f>
        <v>28681.090829928391</v>
      </c>
      <c r="G172" s="1008"/>
      <c r="H172" s="788" t="s">
        <v>326</v>
      </c>
      <c r="I172" s="1009">
        <f>R158</f>
        <v>1</v>
      </c>
      <c r="J172" s="1010"/>
      <c r="K172" s="788" t="s">
        <v>326</v>
      </c>
      <c r="L172" s="1002" t="s">
        <v>430</v>
      </c>
      <c r="M172" s="975">
        <f>R160</f>
        <v>14</v>
      </c>
      <c r="N172" s="1003" t="s">
        <v>358</v>
      </c>
      <c r="O172" s="1004">
        <f>R161</f>
        <v>0.46875935000000007</v>
      </c>
      <c r="P172" s="788" t="s">
        <v>358</v>
      </c>
      <c r="Q172" s="1012">
        <f>Q166</f>
        <v>0.02</v>
      </c>
      <c r="R172" s="1012"/>
      <c r="S172" s="1012"/>
      <c r="T172" s="944" t="s">
        <v>361</v>
      </c>
      <c r="U172" s="242" t="s">
        <v>437</v>
      </c>
      <c r="V172" s="112"/>
    </row>
    <row r="173" spans="1:22" ht="18" customHeight="1">
      <c r="A173" s="1006"/>
      <c r="B173" s="947"/>
      <c r="C173" s="947"/>
      <c r="D173" s="664"/>
      <c r="E173" s="664"/>
      <c r="F173" s="1008"/>
      <c r="G173" s="1008"/>
      <c r="H173" s="788"/>
      <c r="I173" s="788">
        <f>R154</f>
        <v>1800</v>
      </c>
      <c r="J173" s="1008"/>
      <c r="K173" s="788"/>
      <c r="L173" s="1002"/>
      <c r="M173" s="975"/>
      <c r="N173" s="1003"/>
      <c r="O173" s="975"/>
      <c r="P173" s="788"/>
      <c r="Q173" s="233">
        <f>R159</f>
        <v>1</v>
      </c>
      <c r="R173" s="233" t="s">
        <v>326</v>
      </c>
      <c r="S173" s="233">
        <f>R159</f>
        <v>1</v>
      </c>
      <c r="T173" s="944"/>
      <c r="U173" s="7"/>
      <c r="V173" s="112"/>
    </row>
    <row r="174" spans="1:22" ht="18" customHeight="1">
      <c r="A174" s="9"/>
      <c r="L174" s="442"/>
      <c r="V174" s="10"/>
    </row>
    <row r="175" spans="1:22" ht="18" customHeight="1">
      <c r="A175" s="9"/>
      <c r="C175" s="27" t="s">
        <v>138</v>
      </c>
      <c r="D175" s="875">
        <f>D172*F172*(I172/I173)*(M172+O172+(Q172/(Q173*S173)))</f>
        <v>461.72602547813807</v>
      </c>
      <c r="E175" s="876"/>
      <c r="F175" s="27" t="s">
        <v>316</v>
      </c>
      <c r="L175" s="442"/>
      <c r="V175" s="10"/>
    </row>
    <row r="176" spans="1:22" ht="18" customHeight="1">
      <c r="A176" s="9"/>
      <c r="L176" s="442"/>
      <c r="V176" s="10"/>
    </row>
    <row r="177" spans="1:22" ht="18" customHeight="1">
      <c r="A177" s="205" t="s">
        <v>456</v>
      </c>
      <c r="L177" s="442"/>
      <c r="V177" s="10"/>
    </row>
    <row r="178" spans="1:22" ht="18" customHeight="1">
      <c r="A178" s="1005" t="s">
        <v>428</v>
      </c>
      <c r="B178" s="947"/>
      <c r="C178" s="947"/>
      <c r="D178" s="788">
        <v>2</v>
      </c>
      <c r="E178" s="788" t="s">
        <v>326</v>
      </c>
      <c r="F178" s="1007">
        <f>R157</f>
        <v>30950.978286194932</v>
      </c>
      <c r="G178" s="1008"/>
      <c r="H178" s="788" t="s">
        <v>326</v>
      </c>
      <c r="I178" s="1009">
        <f>R158</f>
        <v>1</v>
      </c>
      <c r="J178" s="1010"/>
      <c r="K178" s="788" t="s">
        <v>326</v>
      </c>
      <c r="L178" s="1002" t="s">
        <v>430</v>
      </c>
      <c r="M178" s="975">
        <f>R160</f>
        <v>14</v>
      </c>
      <c r="N178" s="1003" t="s">
        <v>358</v>
      </c>
      <c r="O178" s="1004">
        <f>R161</f>
        <v>0.46875935000000007</v>
      </c>
      <c r="P178" s="788" t="s">
        <v>358</v>
      </c>
      <c r="Q178" s="1012">
        <f>R162</f>
        <v>0.02</v>
      </c>
      <c r="R178" s="1012"/>
      <c r="S178" s="1012"/>
      <c r="T178" s="944" t="s">
        <v>361</v>
      </c>
      <c r="U178" s="242" t="s">
        <v>437</v>
      </c>
      <c r="V178" s="112"/>
    </row>
    <row r="179" spans="1:22" ht="18" customHeight="1">
      <c r="A179" s="1006"/>
      <c r="B179" s="947"/>
      <c r="C179" s="947"/>
      <c r="D179" s="788"/>
      <c r="E179" s="788"/>
      <c r="F179" s="1008"/>
      <c r="G179" s="1008"/>
      <c r="H179" s="788"/>
      <c r="I179" s="788">
        <f>R154</f>
        <v>1800</v>
      </c>
      <c r="J179" s="1008"/>
      <c r="K179" s="788"/>
      <c r="L179" s="1002"/>
      <c r="M179" s="975"/>
      <c r="N179" s="1003"/>
      <c r="O179" s="975"/>
      <c r="P179" s="788"/>
      <c r="Q179" s="233">
        <f>R159</f>
        <v>1</v>
      </c>
      <c r="R179" s="233" t="s">
        <v>326</v>
      </c>
      <c r="S179" s="233">
        <f>R159</f>
        <v>1</v>
      </c>
      <c r="T179" s="944"/>
      <c r="U179" s="7"/>
      <c r="V179" s="112"/>
    </row>
    <row r="180" spans="1:22" ht="18" customHeight="1">
      <c r="A180" s="9"/>
      <c r="V180" s="10"/>
    </row>
    <row r="181" spans="1:22" ht="18" customHeight="1">
      <c r="A181" s="9"/>
      <c r="C181" s="27" t="s">
        <v>138</v>
      </c>
      <c r="D181" s="875">
        <f>D178*F178*(I178/I179)*(M178+O178+(Q178/(Q179*S179)))</f>
        <v>498.26808448417086</v>
      </c>
      <c r="E181" s="876"/>
      <c r="F181" s="27" t="s">
        <v>316</v>
      </c>
      <c r="V181" s="10"/>
    </row>
    <row r="182" spans="1:22" ht="18" customHeight="1">
      <c r="A182" s="9"/>
      <c r="V182" s="10"/>
    </row>
    <row r="183" spans="1:22" ht="18" customHeight="1">
      <c r="A183" s="116" t="s">
        <v>457</v>
      </c>
      <c r="V183" s="10"/>
    </row>
    <row r="184" spans="1:22" ht="18" customHeight="1">
      <c r="A184" s="1018" t="s">
        <v>510</v>
      </c>
      <c r="B184" s="1019"/>
      <c r="C184" s="1019"/>
      <c r="D184" s="1019"/>
      <c r="E184" s="1019"/>
      <c r="F184" s="1019"/>
      <c r="G184" s="1019"/>
      <c r="H184" s="1019"/>
      <c r="I184" s="1019"/>
      <c r="J184" s="1019"/>
      <c r="K184" s="1019"/>
      <c r="L184" s="1019"/>
      <c r="M184" s="1019"/>
      <c r="N184" s="1019"/>
      <c r="O184" s="1019"/>
      <c r="P184" s="1019"/>
      <c r="Q184" s="1019"/>
      <c r="R184" s="1019"/>
      <c r="S184" s="1019"/>
      <c r="T184" s="1019"/>
      <c r="U184" s="1019"/>
      <c r="V184" s="1020"/>
    </row>
    <row r="185" spans="1:22" ht="18" customHeight="1">
      <c r="A185" s="1018"/>
      <c r="B185" s="1019"/>
      <c r="C185" s="1019"/>
      <c r="D185" s="1019"/>
      <c r="E185" s="1019"/>
      <c r="F185" s="1019"/>
      <c r="G185" s="1019"/>
      <c r="H185" s="1019"/>
      <c r="I185" s="1019"/>
      <c r="J185" s="1019"/>
      <c r="K185" s="1019"/>
      <c r="L185" s="1019"/>
      <c r="M185" s="1019"/>
      <c r="N185" s="1019"/>
      <c r="O185" s="1019"/>
      <c r="P185" s="1019"/>
      <c r="Q185" s="1019"/>
      <c r="R185" s="1019"/>
      <c r="S185" s="1019"/>
      <c r="T185" s="1019"/>
      <c r="U185" s="1019"/>
      <c r="V185" s="1020"/>
    </row>
    <row r="186" spans="1:22" ht="18" customHeight="1">
      <c r="A186" s="460" t="s">
        <v>427</v>
      </c>
      <c r="V186" s="10"/>
    </row>
    <row r="187" spans="1:22" ht="18" customHeight="1">
      <c r="A187" s="1005" t="s">
        <v>428</v>
      </c>
      <c r="B187" s="947"/>
      <c r="C187" s="947"/>
      <c r="D187" s="1015" t="s">
        <v>429</v>
      </c>
      <c r="E187" s="903"/>
      <c r="F187" s="664" t="s">
        <v>326</v>
      </c>
      <c r="G187" s="696" t="s">
        <v>447</v>
      </c>
      <c r="H187" s="939"/>
      <c r="I187" s="664" t="s">
        <v>326</v>
      </c>
      <c r="J187" s="1017" t="s">
        <v>146</v>
      </c>
      <c r="K187" s="664" t="s">
        <v>326</v>
      </c>
      <c r="L187" s="1015" t="s">
        <v>430</v>
      </c>
      <c r="M187" s="936" t="s">
        <v>451</v>
      </c>
      <c r="N187" s="942" t="s">
        <v>358</v>
      </c>
      <c r="O187" s="936" t="s">
        <v>458</v>
      </c>
      <c r="P187" s="664" t="s">
        <v>358</v>
      </c>
      <c r="Q187" s="943" t="s">
        <v>459</v>
      </c>
      <c r="R187" s="1016"/>
      <c r="S187" s="1016"/>
      <c r="T187" s="944" t="s">
        <v>361</v>
      </c>
      <c r="U187" s="242" t="s">
        <v>433</v>
      </c>
      <c r="V187" s="112"/>
    </row>
    <row r="188" spans="1:22" ht="18" customHeight="1">
      <c r="A188" s="1006"/>
      <c r="B188" s="947"/>
      <c r="C188" s="947"/>
      <c r="D188" s="903"/>
      <c r="E188" s="903"/>
      <c r="F188" s="664"/>
      <c r="G188" s="664" t="s">
        <v>441</v>
      </c>
      <c r="H188" s="903"/>
      <c r="I188" s="664"/>
      <c r="J188" s="664"/>
      <c r="K188" s="664"/>
      <c r="L188" s="1015"/>
      <c r="M188" s="936"/>
      <c r="N188" s="942"/>
      <c r="O188" s="936"/>
      <c r="P188" s="664"/>
      <c r="Q188" s="28" t="s">
        <v>449</v>
      </c>
      <c r="R188" s="28" t="s">
        <v>326</v>
      </c>
      <c r="S188" s="28" t="s">
        <v>449</v>
      </c>
      <c r="T188" s="944"/>
      <c r="U188" s="7"/>
      <c r="V188" s="112"/>
    </row>
    <row r="189" spans="1:22" ht="18" customHeight="1">
      <c r="A189" s="460" t="s">
        <v>460</v>
      </c>
      <c r="L189" s="442"/>
      <c r="V189" s="10"/>
    </row>
    <row r="190" spans="1:22" ht="18" customHeight="1">
      <c r="A190" s="1005" t="s">
        <v>428</v>
      </c>
      <c r="B190" s="947"/>
      <c r="C190" s="947"/>
      <c r="D190" s="1015" t="s">
        <v>461</v>
      </c>
      <c r="E190" s="903"/>
      <c r="F190" s="664" t="s">
        <v>326</v>
      </c>
      <c r="G190" s="696" t="s">
        <v>447</v>
      </c>
      <c r="H190" s="939"/>
      <c r="I190" s="664" t="s">
        <v>326</v>
      </c>
      <c r="J190" s="1017" t="s">
        <v>462</v>
      </c>
      <c r="K190" s="664" t="s">
        <v>326</v>
      </c>
      <c r="L190" s="1015" t="s">
        <v>430</v>
      </c>
      <c r="M190" s="936" t="s">
        <v>451</v>
      </c>
      <c r="N190" s="942" t="s">
        <v>358</v>
      </c>
      <c r="O190" s="936" t="s">
        <v>458</v>
      </c>
      <c r="P190" s="664" t="s">
        <v>358</v>
      </c>
      <c r="Q190" s="943" t="s">
        <v>459</v>
      </c>
      <c r="R190" s="1016"/>
      <c r="S190" s="1016"/>
      <c r="T190" s="944" t="s">
        <v>361</v>
      </c>
      <c r="U190" s="242" t="s">
        <v>437</v>
      </c>
      <c r="V190" s="112"/>
    </row>
    <row r="191" spans="1:22" ht="18" customHeight="1">
      <c r="A191" s="1006"/>
      <c r="B191" s="947"/>
      <c r="C191" s="947"/>
      <c r="D191" s="903"/>
      <c r="E191" s="903"/>
      <c r="F191" s="664"/>
      <c r="G191" s="664" t="s">
        <v>441</v>
      </c>
      <c r="H191" s="903"/>
      <c r="I191" s="664"/>
      <c r="J191" s="664"/>
      <c r="K191" s="664"/>
      <c r="L191" s="1015"/>
      <c r="M191" s="936"/>
      <c r="N191" s="942"/>
      <c r="O191" s="936"/>
      <c r="P191" s="664"/>
      <c r="Q191" s="28" t="s">
        <v>449</v>
      </c>
      <c r="R191" s="28" t="s">
        <v>326</v>
      </c>
      <c r="S191" s="28" t="s">
        <v>449</v>
      </c>
      <c r="T191" s="944"/>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665">
        <f>R154</f>
        <v>1800</v>
      </c>
      <c r="S194" s="665"/>
      <c r="T194" s="14" t="s">
        <v>9</v>
      </c>
      <c r="V194" s="10"/>
    </row>
    <row r="195" spans="1:22" ht="18" customHeight="1">
      <c r="A195" s="9"/>
      <c r="B195" s="14" t="s">
        <v>442</v>
      </c>
      <c r="P195" s="120" t="s">
        <v>429</v>
      </c>
      <c r="Q195" s="246" t="s">
        <v>138</v>
      </c>
      <c r="R195" s="665">
        <f>R155</f>
        <v>50000</v>
      </c>
      <c r="S195" s="665"/>
      <c r="T195" s="14" t="s">
        <v>9</v>
      </c>
      <c r="V195" s="10"/>
    </row>
    <row r="196" spans="1:22" ht="18" customHeight="1">
      <c r="A196" s="9"/>
      <c r="B196" s="14" t="s">
        <v>463</v>
      </c>
      <c r="P196" s="120" t="s">
        <v>461</v>
      </c>
      <c r="Q196" s="246" t="s">
        <v>138</v>
      </c>
      <c r="R196" s="816">
        <f>R77</f>
        <v>31616.578766904022</v>
      </c>
      <c r="S196" s="665"/>
      <c r="T196" s="14" t="s">
        <v>9</v>
      </c>
      <c r="U196" s="30" t="s">
        <v>444</v>
      </c>
      <c r="V196" s="10"/>
    </row>
    <row r="197" spans="1:22" ht="18" customHeight="1">
      <c r="A197" s="9"/>
      <c r="B197" s="14"/>
      <c r="P197" s="120"/>
      <c r="Q197" s="246" t="s">
        <v>138</v>
      </c>
      <c r="R197" s="816">
        <f>R78</f>
        <v>33779.140438861883</v>
      </c>
      <c r="S197" s="665"/>
      <c r="T197" s="14" t="s">
        <v>9</v>
      </c>
      <c r="U197" s="30" t="s">
        <v>445</v>
      </c>
      <c r="V197" s="10"/>
    </row>
    <row r="198" spans="1:22" ht="18" customHeight="1">
      <c r="A198" s="9"/>
      <c r="B198" s="14" t="s">
        <v>464</v>
      </c>
      <c r="P198" s="120" t="s">
        <v>447</v>
      </c>
      <c r="Q198" s="246" t="s">
        <v>138</v>
      </c>
      <c r="R198" s="665">
        <f>R158</f>
        <v>1</v>
      </c>
      <c r="S198" s="665"/>
      <c r="T198" s="14" t="s">
        <v>9</v>
      </c>
      <c r="V198" s="10"/>
    </row>
    <row r="199" spans="1:22" ht="18" customHeight="1">
      <c r="A199" s="9"/>
      <c r="B199" s="14" t="s">
        <v>448</v>
      </c>
      <c r="P199" s="120" t="s">
        <v>449</v>
      </c>
      <c r="Q199" s="246" t="s">
        <v>138</v>
      </c>
      <c r="R199" s="665">
        <f>R159</f>
        <v>1</v>
      </c>
      <c r="S199" s="665"/>
      <c r="T199" s="14" t="s">
        <v>9</v>
      </c>
      <c r="V199" s="10"/>
    </row>
    <row r="200" spans="1:22" ht="18" customHeight="1">
      <c r="A200" s="9"/>
      <c r="B200" s="14" t="s">
        <v>450</v>
      </c>
      <c r="P200" s="120" t="s">
        <v>451</v>
      </c>
      <c r="Q200" s="246" t="s">
        <v>138</v>
      </c>
      <c r="R200" s="665">
        <f>R160</f>
        <v>14</v>
      </c>
      <c r="S200" s="665"/>
      <c r="T200" s="204" t="s">
        <v>344</v>
      </c>
      <c r="V200" s="10"/>
    </row>
    <row r="201" spans="1:22" ht="18" customHeight="1">
      <c r="A201" s="9"/>
      <c r="B201" s="14" t="s">
        <v>465</v>
      </c>
      <c r="P201" s="249" t="s">
        <v>452</v>
      </c>
      <c r="Q201" s="246" t="s">
        <v>138</v>
      </c>
      <c r="R201" s="668">
        <f>R161</f>
        <v>0.46875935000000007</v>
      </c>
      <c r="S201" s="665"/>
      <c r="T201" s="204" t="s">
        <v>344</v>
      </c>
      <c r="V201" s="10"/>
    </row>
    <row r="202" spans="1:22" ht="18" customHeight="1">
      <c r="A202" s="9"/>
      <c r="B202" s="40" t="s">
        <v>453</v>
      </c>
      <c r="P202" s="249" t="s">
        <v>454</v>
      </c>
      <c r="Q202" s="246" t="s">
        <v>138</v>
      </c>
      <c r="R202" s="668">
        <f>R162</f>
        <v>0.02</v>
      </c>
      <c r="S202" s="665"/>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669">
        <f>L95</f>
        <v>47.727272727272727</v>
      </c>
      <c r="M214" s="664"/>
      <c r="N214" s="28" t="s">
        <v>475</v>
      </c>
      <c r="O214" s="28" t="s">
        <v>146</v>
      </c>
      <c r="P214" s="28" t="s">
        <v>138</v>
      </c>
      <c r="Q214" s="28">
        <f>IF(L214&lt;=400,Q207,Q208)</f>
        <v>1</v>
      </c>
      <c r="R214" s="7"/>
      <c r="S214" s="7"/>
      <c r="T214" s="7"/>
      <c r="V214" s="10"/>
    </row>
    <row r="215" spans="1:22" ht="18" customHeight="1">
      <c r="A215" s="1005" t="s">
        <v>428</v>
      </c>
      <c r="B215" s="947"/>
      <c r="C215" s="947"/>
      <c r="D215" s="1002">
        <f>R195</f>
        <v>50000</v>
      </c>
      <c r="E215" s="1013"/>
      <c r="F215" s="788" t="s">
        <v>326</v>
      </c>
      <c r="G215" s="1009">
        <f>R198</f>
        <v>1</v>
      </c>
      <c r="H215" s="1014"/>
      <c r="I215" s="788" t="s">
        <v>326</v>
      </c>
      <c r="J215" s="790">
        <f>Q214</f>
        <v>1</v>
      </c>
      <c r="K215" s="788" t="s">
        <v>326</v>
      </c>
      <c r="L215" s="1002" t="s">
        <v>430</v>
      </c>
      <c r="M215" s="975">
        <f>R200</f>
        <v>14</v>
      </c>
      <c r="N215" s="1003" t="s">
        <v>358</v>
      </c>
      <c r="O215" s="1004">
        <f>R201</f>
        <v>0.46875935000000007</v>
      </c>
      <c r="P215" s="788" t="s">
        <v>358</v>
      </c>
      <c r="Q215" s="1012">
        <f>R202</f>
        <v>0.02</v>
      </c>
      <c r="R215" s="1012"/>
      <c r="S215" s="1012"/>
      <c r="T215" s="944" t="s">
        <v>361</v>
      </c>
      <c r="U215" s="242" t="s">
        <v>433</v>
      </c>
      <c r="V215" s="112"/>
    </row>
    <row r="216" spans="1:22" ht="18" customHeight="1">
      <c r="A216" s="1006"/>
      <c r="B216" s="947"/>
      <c r="C216" s="947"/>
      <c r="D216" s="1013"/>
      <c r="E216" s="1013"/>
      <c r="F216" s="788"/>
      <c r="G216" s="788">
        <f>R194</f>
        <v>1800</v>
      </c>
      <c r="H216" s="1013"/>
      <c r="I216" s="788"/>
      <c r="J216" s="788"/>
      <c r="K216" s="788"/>
      <c r="L216" s="1002"/>
      <c r="M216" s="975"/>
      <c r="N216" s="1003"/>
      <c r="O216" s="975"/>
      <c r="P216" s="788"/>
      <c r="Q216" s="233">
        <f>R199</f>
        <v>1</v>
      </c>
      <c r="R216" s="233" t="s">
        <v>326</v>
      </c>
      <c r="S216" s="233">
        <f>R199</f>
        <v>1</v>
      </c>
      <c r="T216" s="944"/>
      <c r="U216" s="7"/>
      <c r="V216" s="112"/>
    </row>
    <row r="217" spans="1:22" ht="18" customHeight="1">
      <c r="A217" s="9"/>
      <c r="V217" s="10"/>
    </row>
    <row r="218" spans="1:22" ht="18" customHeight="1">
      <c r="A218" s="9"/>
      <c r="C218" s="27" t="s">
        <v>138</v>
      </c>
      <c r="D218" s="860">
        <f>D215*(G215/G216)*J215*(M215+O215+(Q215/(Q216*S216)))</f>
        <v>402.46553750000004</v>
      </c>
      <c r="E218" s="700"/>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668">
        <f>L102</f>
        <v>7.3490763833311119</v>
      </c>
      <c r="M221" s="665"/>
      <c r="N221" s="27" t="s">
        <v>475</v>
      </c>
      <c r="O221" s="28" t="s">
        <v>462</v>
      </c>
      <c r="P221" s="27" t="s">
        <v>138</v>
      </c>
      <c r="Q221" s="27">
        <f>IF(L221&lt;=200,Q211,Q212)</f>
        <v>3</v>
      </c>
      <c r="V221" s="10"/>
    </row>
    <row r="222" spans="1:22" ht="18" customHeight="1">
      <c r="A222" s="1005" t="s">
        <v>428</v>
      </c>
      <c r="B222" s="947"/>
      <c r="C222" s="947"/>
      <c r="D222" s="1007">
        <f>R196</f>
        <v>31616.578766904022</v>
      </c>
      <c r="E222" s="1008"/>
      <c r="F222" s="788" t="s">
        <v>326</v>
      </c>
      <c r="G222" s="1009">
        <f>R198</f>
        <v>1</v>
      </c>
      <c r="H222" s="1010"/>
      <c r="I222" s="788" t="s">
        <v>326</v>
      </c>
      <c r="J222" s="1011">
        <f>Q221</f>
        <v>3</v>
      </c>
      <c r="K222" s="788" t="s">
        <v>326</v>
      </c>
      <c r="L222" s="1002" t="s">
        <v>430</v>
      </c>
      <c r="M222" s="975">
        <f>R200</f>
        <v>14</v>
      </c>
      <c r="N222" s="1003" t="s">
        <v>358</v>
      </c>
      <c r="O222" s="1004">
        <f>R201</f>
        <v>0.46875935000000007</v>
      </c>
      <c r="P222" s="788" t="s">
        <v>358</v>
      </c>
      <c r="Q222" s="1012">
        <f>R202</f>
        <v>0.02</v>
      </c>
      <c r="R222" s="1012"/>
      <c r="S222" s="1012"/>
      <c r="T222" s="944" t="s">
        <v>361</v>
      </c>
      <c r="U222" s="242" t="s">
        <v>437</v>
      </c>
      <c r="V222" s="112"/>
    </row>
    <row r="223" spans="1:22" ht="18" customHeight="1">
      <c r="A223" s="1006"/>
      <c r="B223" s="947"/>
      <c r="C223" s="947"/>
      <c r="D223" s="1008"/>
      <c r="E223" s="1008"/>
      <c r="F223" s="788"/>
      <c r="G223" s="788">
        <f>R194</f>
        <v>1800</v>
      </c>
      <c r="H223" s="1008"/>
      <c r="I223" s="788"/>
      <c r="J223" s="788"/>
      <c r="K223" s="788"/>
      <c r="L223" s="1002"/>
      <c r="M223" s="975"/>
      <c r="N223" s="1003"/>
      <c r="O223" s="975"/>
      <c r="P223" s="788"/>
      <c r="Q223" s="233">
        <f>R199</f>
        <v>1</v>
      </c>
      <c r="R223" s="233" t="s">
        <v>326</v>
      </c>
      <c r="S223" s="233">
        <f>R199</f>
        <v>1</v>
      </c>
      <c r="T223" s="944"/>
      <c r="U223" s="7"/>
      <c r="V223" s="112"/>
    </row>
    <row r="224" spans="1:22" ht="18" customHeight="1">
      <c r="A224" s="9"/>
      <c r="V224" s="10"/>
    </row>
    <row r="225" spans="1:22" ht="18" customHeight="1">
      <c r="A225" s="9"/>
      <c r="C225" s="27" t="s">
        <v>138</v>
      </c>
      <c r="D225" s="860">
        <f>D222*(G222/G223)*J222*(M222+O222+(Q222/(Q223*S223)))</f>
        <v>763.47500203998686</v>
      </c>
      <c r="E225" s="700"/>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668">
        <f>L109</f>
        <v>7.6723844075738938</v>
      </c>
      <c r="M228" s="665"/>
      <c r="N228" s="27" t="s">
        <v>475</v>
      </c>
      <c r="O228" s="28" t="s">
        <v>462</v>
      </c>
      <c r="P228" s="27" t="s">
        <v>138</v>
      </c>
      <c r="Q228" s="27">
        <f>IF(L228&lt;=200,Q211,Q212)</f>
        <v>3</v>
      </c>
      <c r="V228" s="10"/>
    </row>
    <row r="229" spans="1:22" ht="18" customHeight="1">
      <c r="A229" s="1005" t="s">
        <v>428</v>
      </c>
      <c r="B229" s="947"/>
      <c r="C229" s="947"/>
      <c r="D229" s="1007">
        <f>R197</f>
        <v>33779.140438861883</v>
      </c>
      <c r="E229" s="1008"/>
      <c r="F229" s="788" t="s">
        <v>326</v>
      </c>
      <c r="G229" s="1009">
        <f>R198</f>
        <v>1</v>
      </c>
      <c r="H229" s="1010"/>
      <c r="I229" s="788" t="s">
        <v>326</v>
      </c>
      <c r="J229" s="1011">
        <f>Q228</f>
        <v>3</v>
      </c>
      <c r="K229" s="788" t="s">
        <v>326</v>
      </c>
      <c r="L229" s="1002" t="s">
        <v>430</v>
      </c>
      <c r="M229" s="975">
        <f>R200</f>
        <v>14</v>
      </c>
      <c r="N229" s="1003" t="s">
        <v>358</v>
      </c>
      <c r="O229" s="1004">
        <f>R201</f>
        <v>0.46875935000000007</v>
      </c>
      <c r="P229" s="788" t="s">
        <v>358</v>
      </c>
      <c r="Q229" s="1012">
        <f>R202</f>
        <v>0.02</v>
      </c>
      <c r="R229" s="1012"/>
      <c r="S229" s="1012"/>
      <c r="T229" s="944" t="s">
        <v>361</v>
      </c>
      <c r="U229" s="242" t="s">
        <v>437</v>
      </c>
      <c r="V229" s="112"/>
    </row>
    <row r="230" spans="1:22" ht="18" customHeight="1">
      <c r="A230" s="1006"/>
      <c r="B230" s="947"/>
      <c r="C230" s="947"/>
      <c r="D230" s="1008"/>
      <c r="E230" s="1008"/>
      <c r="F230" s="788"/>
      <c r="G230" s="788">
        <f>R194</f>
        <v>1800</v>
      </c>
      <c r="H230" s="1008"/>
      <c r="I230" s="788"/>
      <c r="J230" s="788"/>
      <c r="K230" s="788"/>
      <c r="L230" s="1002"/>
      <c r="M230" s="975"/>
      <c r="N230" s="1003"/>
      <c r="O230" s="975"/>
      <c r="P230" s="788"/>
      <c r="Q230" s="233">
        <f>R199</f>
        <v>1</v>
      </c>
      <c r="R230" s="233" t="s">
        <v>326</v>
      </c>
      <c r="S230" s="233">
        <f>R199</f>
        <v>1</v>
      </c>
      <c r="T230" s="944"/>
      <c r="U230" s="7"/>
      <c r="V230" s="112"/>
    </row>
    <row r="231" spans="1:22" ht="18" customHeight="1">
      <c r="A231" s="9"/>
      <c r="V231" s="10"/>
    </row>
    <row r="232" spans="1:22" ht="18" customHeight="1">
      <c r="A232" s="9"/>
      <c r="C232" s="27" t="s">
        <v>138</v>
      </c>
      <c r="D232" s="860">
        <f>D229*(G229/G230)*J229*(M229+O229+(Q229/(Q230*S230)))</f>
        <v>815.6963947808722</v>
      </c>
      <c r="E232" s="700"/>
      <c r="F232" s="27" t="s">
        <v>316</v>
      </c>
      <c r="V232" s="10"/>
    </row>
    <row r="233" spans="1:22" ht="18" customHeight="1">
      <c r="A233" s="9"/>
      <c r="V233" s="10"/>
    </row>
    <row r="234" spans="1:22" ht="18" customHeight="1">
      <c r="A234" s="196" t="s">
        <v>480</v>
      </c>
      <c r="M234" s="1028">
        <f>J129</f>
        <v>1800</v>
      </c>
      <c r="N234" s="1029"/>
      <c r="O234" s="30" t="s">
        <v>481</v>
      </c>
      <c r="Q234" s="875">
        <f>MAX(D169,D175,D181,D218,D225,D232)</f>
        <v>815.6963947808722</v>
      </c>
      <c r="R234" s="700"/>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923" t="s">
        <v>485</v>
      </c>
      <c r="R237" s="923"/>
      <c r="S237" s="28" t="s">
        <v>326</v>
      </c>
      <c r="T237" s="28">
        <v>0.8</v>
      </c>
      <c r="V237" s="10"/>
    </row>
    <row r="238" spans="1:22" ht="18" customHeight="1">
      <c r="A238" s="9"/>
      <c r="N238" s="264"/>
      <c r="O238" s="28"/>
      <c r="P238" s="102" t="s">
        <v>138</v>
      </c>
      <c r="Q238" s="996">
        <f>+Q234</f>
        <v>815.6963947808722</v>
      </c>
      <c r="R238" s="696"/>
      <c r="S238" s="234" t="s">
        <v>326</v>
      </c>
      <c r="T238" s="265">
        <f>+T237</f>
        <v>0.8</v>
      </c>
      <c r="V238" s="10"/>
    </row>
    <row r="239" spans="1:22" ht="18" customHeight="1">
      <c r="A239" s="9"/>
      <c r="O239" s="28"/>
      <c r="P239" s="28" t="s">
        <v>138</v>
      </c>
      <c r="Q239" s="997">
        <f>Q238*T238</f>
        <v>652.5571158246978</v>
      </c>
      <c r="R239" s="617"/>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665">
        <f>J132</f>
        <v>3000</v>
      </c>
      <c r="F241" s="665"/>
      <c r="G241" s="27" t="str">
        <f>G240</f>
        <v>&gt;</v>
      </c>
      <c r="H241" s="668">
        <f>Q239</f>
        <v>652.5571158246978</v>
      </c>
      <c r="I241" s="665"/>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08" t="str">
        <f>B126</f>
        <v>T1</v>
      </c>
      <c r="C246" s="709"/>
      <c r="D246" s="710" t="str">
        <f>D126</f>
        <v>Core1</v>
      </c>
      <c r="E246" s="711"/>
      <c r="F246" s="664">
        <f>F126</f>
        <v>0</v>
      </c>
      <c r="G246" s="664"/>
      <c r="H246" s="664" t="str">
        <f>H126</f>
        <v>(Diff. + Dist.)</v>
      </c>
      <c r="I246" s="664"/>
      <c r="J246" s="664"/>
      <c r="K246" s="664"/>
      <c r="L246" s="664"/>
      <c r="M246" s="664"/>
      <c r="P246" s="198"/>
      <c r="S246" s="199" t="s">
        <v>398</v>
      </c>
      <c r="T246" s="708" t="str">
        <f>T126</f>
        <v>RED670</v>
      </c>
      <c r="U246" s="709"/>
      <c r="V246" s="10"/>
    </row>
    <row r="247" spans="1:29" ht="18" hidden="1" customHeight="1">
      <c r="A247" s="9"/>
      <c r="B247" s="707">
        <f>B127</f>
        <v>0</v>
      </c>
      <c r="C247" s="707"/>
      <c r="D247" s="712"/>
      <c r="E247" s="713"/>
      <c r="F247" s="461"/>
      <c r="T247" s="708">
        <f>T127</f>
        <v>0</v>
      </c>
      <c r="U247" s="709"/>
      <c r="V247" s="10"/>
    </row>
    <row r="248" spans="1:29" ht="18" hidden="1" customHeight="1">
      <c r="A248" s="9"/>
      <c r="H248" s="696" t="s">
        <v>401</v>
      </c>
      <c r="I248" s="696"/>
      <c r="J248" s="667" t="s">
        <v>402</v>
      </c>
      <c r="K248" s="667"/>
      <c r="L248" s="666" t="s">
        <v>403</v>
      </c>
      <c r="M248" s="666"/>
      <c r="T248" s="708">
        <f>T128</f>
        <v>0</v>
      </c>
      <c r="U248" s="709"/>
      <c r="V248" s="10"/>
    </row>
    <row r="249" spans="1:29" ht="18" hidden="1" customHeight="1">
      <c r="A249" s="9"/>
      <c r="B249" s="47" t="s">
        <v>404</v>
      </c>
      <c r="H249" s="708">
        <f>H129</f>
        <v>1600</v>
      </c>
      <c r="I249" s="709"/>
      <c r="J249" s="708">
        <f>J129</f>
        <v>1800</v>
      </c>
      <c r="K249" s="709"/>
      <c r="L249" s="714" t="str">
        <f>L129</f>
        <v>-</v>
      </c>
      <c r="M249" s="715"/>
      <c r="N249" s="123" t="s">
        <v>353</v>
      </c>
      <c r="O249" s="268">
        <f>O129</f>
        <v>1</v>
      </c>
      <c r="P249" s="438" t="s">
        <v>9</v>
      </c>
      <c r="V249" s="10"/>
    </row>
    <row r="250" spans="1:29" ht="18" hidden="1" customHeight="1">
      <c r="A250" s="9"/>
      <c r="B250" s="47" t="s">
        <v>405</v>
      </c>
      <c r="L250" s="708" t="str">
        <f>J130</f>
        <v>PX-A</v>
      </c>
      <c r="M250" s="709"/>
      <c r="V250" s="10"/>
    </row>
    <row r="251" spans="1:29" ht="18" hidden="1" customHeight="1">
      <c r="A251" s="9"/>
      <c r="B251" s="47" t="s">
        <v>407</v>
      </c>
      <c r="K251" s="120" t="s">
        <v>508</v>
      </c>
      <c r="L251" s="653" t="s">
        <v>7</v>
      </c>
      <c r="M251" s="654"/>
      <c r="N251" s="204" t="s">
        <v>344</v>
      </c>
      <c r="V251" s="10"/>
    </row>
    <row r="252" spans="1:29" ht="18" hidden="1" customHeight="1">
      <c r="A252" s="9"/>
      <c r="B252" s="47" t="s">
        <v>409</v>
      </c>
      <c r="K252" s="120" t="s">
        <v>509</v>
      </c>
      <c r="L252" s="653" t="s">
        <v>7</v>
      </c>
      <c r="M252" s="654"/>
      <c r="N252" s="14" t="s">
        <v>316</v>
      </c>
      <c r="V252" s="10"/>
      <c r="W252" s="30" t="s">
        <v>411</v>
      </c>
      <c r="AB252" s="1022" t="e">
        <f>Q368</f>
        <v>#VALUE!</v>
      </c>
      <c r="AC252" s="1023"/>
    </row>
    <row r="253" spans="1:29" ht="18" hidden="1" customHeight="1">
      <c r="A253" s="9"/>
      <c r="B253" s="14" t="s">
        <v>412</v>
      </c>
      <c r="K253" s="120" t="s">
        <v>413</v>
      </c>
      <c r="L253" s="653" t="s">
        <v>7</v>
      </c>
      <c r="M253" s="654"/>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896">
        <f>J137</f>
        <v>0.02</v>
      </c>
      <c r="K257" s="1024"/>
      <c r="L257" s="214" t="s">
        <v>168</v>
      </c>
      <c r="N257" s="209" t="s">
        <v>418</v>
      </c>
      <c r="V257" s="10"/>
    </row>
    <row r="258" spans="1:22" ht="18" hidden="1" customHeight="1">
      <c r="A258" s="9"/>
      <c r="B258" s="196" t="s">
        <v>416</v>
      </c>
      <c r="D258" s="437">
        <f>T247</f>
        <v>0</v>
      </c>
      <c r="I258" s="28" t="s">
        <v>138</v>
      </c>
      <c r="J258" s="896">
        <f>J138</f>
        <v>0</v>
      </c>
      <c r="K258" s="1021"/>
      <c r="L258" s="309" t="s">
        <v>168</v>
      </c>
      <c r="V258" s="10"/>
    </row>
    <row r="259" spans="1:22" ht="18" hidden="1" customHeight="1">
      <c r="A259" s="9"/>
      <c r="B259" s="196" t="s">
        <v>416</v>
      </c>
      <c r="D259" s="437">
        <f>T248</f>
        <v>0</v>
      </c>
      <c r="E259" s="14"/>
      <c r="G259" s="211"/>
      <c r="H259" s="438"/>
      <c r="I259" s="101" t="s">
        <v>138</v>
      </c>
      <c r="J259" s="699">
        <f>J139</f>
        <v>0</v>
      </c>
      <c r="K259" s="1025"/>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26">
        <f>J140</f>
        <v>0.44875935000000006</v>
      </c>
      <c r="K260" s="1027"/>
      <c r="L260" s="439" t="s">
        <v>168</v>
      </c>
      <c r="O260" s="27" t="s">
        <v>138</v>
      </c>
      <c r="P260" s="223">
        <f>J261</f>
        <v>0.44875935000000006</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896">
        <f>SUM(J258:K260)</f>
        <v>0.44875935000000006</v>
      </c>
      <c r="K261" s="1021"/>
      <c r="L261" s="441" t="s">
        <v>168</v>
      </c>
      <c r="O261" s="27" t="s">
        <v>138</v>
      </c>
      <c r="P261" s="668">
        <f>P260/(R260*T260)</f>
        <v>0.44875935000000006</v>
      </c>
      <c r="Q261" s="668"/>
      <c r="R261" s="204" t="s">
        <v>344</v>
      </c>
      <c r="V261" s="10"/>
    </row>
    <row r="262" spans="1:22" ht="18" hidden="1" customHeight="1">
      <c r="A262" s="9"/>
      <c r="V262" s="10"/>
    </row>
    <row r="263" spans="1:22" ht="18" hidden="1" customHeight="1">
      <c r="A263" s="116" t="s">
        <v>425</v>
      </c>
      <c r="V263" s="10"/>
    </row>
    <row r="264" spans="1:22" ht="18" hidden="1" customHeight="1">
      <c r="A264" s="1018" t="s">
        <v>510</v>
      </c>
      <c r="B264" s="1019"/>
      <c r="C264" s="1019"/>
      <c r="D264" s="1019"/>
      <c r="E264" s="1019"/>
      <c r="F264" s="1019"/>
      <c r="G264" s="1019"/>
      <c r="H264" s="1019"/>
      <c r="I264" s="1019"/>
      <c r="J264" s="1019"/>
      <c r="K264" s="1019"/>
      <c r="L264" s="1019"/>
      <c r="M264" s="1019"/>
      <c r="N264" s="1019"/>
      <c r="O264" s="1019"/>
      <c r="P264" s="1019"/>
      <c r="Q264" s="1019"/>
      <c r="R264" s="1019"/>
      <c r="S264" s="1019"/>
      <c r="T264" s="1019"/>
      <c r="U264" s="1019"/>
      <c r="V264" s="1020"/>
    </row>
    <row r="265" spans="1:22" ht="18" hidden="1" customHeight="1">
      <c r="A265" s="1018"/>
      <c r="B265" s="1019"/>
      <c r="C265" s="1019"/>
      <c r="D265" s="1019"/>
      <c r="E265" s="1019"/>
      <c r="F265" s="1019"/>
      <c r="G265" s="1019"/>
      <c r="H265" s="1019"/>
      <c r="I265" s="1019"/>
      <c r="J265" s="1019"/>
      <c r="K265" s="1019"/>
      <c r="L265" s="1019"/>
      <c r="M265" s="1019"/>
      <c r="N265" s="1019"/>
      <c r="O265" s="1019"/>
      <c r="P265" s="1019"/>
      <c r="Q265" s="1019"/>
      <c r="R265" s="1019"/>
      <c r="S265" s="1019"/>
      <c r="T265" s="1019"/>
      <c r="U265" s="1019"/>
      <c r="V265" s="1020"/>
    </row>
    <row r="266" spans="1:22" ht="18" hidden="1" customHeight="1">
      <c r="A266" s="205" t="s">
        <v>427</v>
      </c>
      <c r="V266" s="10"/>
    </row>
    <row r="267" spans="1:22" ht="18" hidden="1" customHeight="1">
      <c r="A267" s="1005" t="s">
        <v>428</v>
      </c>
      <c r="B267" s="947"/>
      <c r="C267" s="947"/>
      <c r="D267" s="14"/>
      <c r="E267" s="7"/>
      <c r="F267" s="1015" t="s">
        <v>429</v>
      </c>
      <c r="G267" s="903"/>
      <c r="H267" s="664" t="s">
        <v>326</v>
      </c>
      <c r="I267" s="696" t="s">
        <v>422</v>
      </c>
      <c r="J267" s="939"/>
      <c r="K267" s="664" t="s">
        <v>326</v>
      </c>
      <c r="L267" s="1015" t="s">
        <v>430</v>
      </c>
      <c r="M267" s="664" t="s">
        <v>431</v>
      </c>
      <c r="N267" s="942" t="s">
        <v>358</v>
      </c>
      <c r="O267" s="664" t="s">
        <v>419</v>
      </c>
      <c r="P267" s="664" t="s">
        <v>358</v>
      </c>
      <c r="Q267" s="943" t="s">
        <v>432</v>
      </c>
      <c r="R267" s="1016"/>
      <c r="S267" s="1016"/>
      <c r="T267" s="944" t="s">
        <v>361</v>
      </c>
      <c r="U267" s="242" t="s">
        <v>433</v>
      </c>
      <c r="V267" s="112"/>
    </row>
    <row r="268" spans="1:22" ht="18" hidden="1" customHeight="1">
      <c r="A268" s="1006"/>
      <c r="B268" s="947"/>
      <c r="C268" s="947"/>
      <c r="D268" s="14"/>
      <c r="E268" s="7"/>
      <c r="F268" s="903"/>
      <c r="G268" s="903"/>
      <c r="H268" s="664"/>
      <c r="I268" s="664" t="s">
        <v>434</v>
      </c>
      <c r="J268" s="903"/>
      <c r="K268" s="664"/>
      <c r="L268" s="1015"/>
      <c r="M268" s="664"/>
      <c r="N268" s="942"/>
      <c r="O268" s="664"/>
      <c r="P268" s="664"/>
      <c r="Q268" s="28" t="s">
        <v>157</v>
      </c>
      <c r="R268" s="28" t="s">
        <v>326</v>
      </c>
      <c r="S268" s="28" t="s">
        <v>157</v>
      </c>
      <c r="T268" s="944"/>
      <c r="U268" s="7"/>
      <c r="V268" s="112"/>
    </row>
    <row r="269" spans="1:22" ht="18" hidden="1" customHeight="1">
      <c r="A269" s="205" t="s">
        <v>435</v>
      </c>
      <c r="L269" s="442"/>
      <c r="M269" s="438"/>
      <c r="N269" s="438"/>
      <c r="O269" s="438"/>
      <c r="V269" s="10"/>
    </row>
    <row r="270" spans="1:22" ht="18" hidden="1" customHeight="1">
      <c r="A270" s="1005" t="s">
        <v>428</v>
      </c>
      <c r="B270" s="947"/>
      <c r="C270" s="947"/>
      <c r="D270" s="664">
        <v>2</v>
      </c>
      <c r="E270" s="664" t="s">
        <v>326</v>
      </c>
      <c r="F270" s="1015" t="s">
        <v>436</v>
      </c>
      <c r="G270" s="903"/>
      <c r="H270" s="664" t="s">
        <v>326</v>
      </c>
      <c r="I270" s="696" t="s">
        <v>422</v>
      </c>
      <c r="J270" s="939"/>
      <c r="K270" s="664" t="s">
        <v>326</v>
      </c>
      <c r="L270" s="1015" t="s">
        <v>430</v>
      </c>
      <c r="M270" s="664" t="s">
        <v>431</v>
      </c>
      <c r="N270" s="942" t="s">
        <v>358</v>
      </c>
      <c r="O270" s="664" t="s">
        <v>419</v>
      </c>
      <c r="P270" s="664" t="s">
        <v>358</v>
      </c>
      <c r="Q270" s="943" t="s">
        <v>432</v>
      </c>
      <c r="R270" s="1016"/>
      <c r="S270" s="1016"/>
      <c r="T270" s="944" t="s">
        <v>361</v>
      </c>
      <c r="U270" s="242" t="s">
        <v>437</v>
      </c>
      <c r="V270" s="112"/>
    </row>
    <row r="271" spans="1:22" ht="18" hidden="1" customHeight="1">
      <c r="A271" s="1006"/>
      <c r="B271" s="947"/>
      <c r="C271" s="947"/>
      <c r="D271" s="664"/>
      <c r="E271" s="664"/>
      <c r="F271" s="903"/>
      <c r="G271" s="903"/>
      <c r="H271" s="664"/>
      <c r="I271" s="664" t="s">
        <v>434</v>
      </c>
      <c r="J271" s="903"/>
      <c r="K271" s="664"/>
      <c r="L271" s="1015"/>
      <c r="M271" s="664"/>
      <c r="N271" s="942"/>
      <c r="O271" s="664"/>
      <c r="P271" s="664"/>
      <c r="Q271" s="28" t="s">
        <v>157</v>
      </c>
      <c r="R271" s="28" t="s">
        <v>326</v>
      </c>
      <c r="S271" s="28" t="s">
        <v>157</v>
      </c>
      <c r="T271" s="944"/>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665" t="str">
        <f>L249</f>
        <v>-</v>
      </c>
      <c r="S274" s="665"/>
      <c r="T274" s="14" t="s">
        <v>9</v>
      </c>
      <c r="V274" s="10"/>
    </row>
    <row r="275" spans="1:22" ht="18" hidden="1" customHeight="1">
      <c r="A275" s="9"/>
      <c r="B275" s="14" t="s">
        <v>442</v>
      </c>
      <c r="C275" s="14"/>
      <c r="D275" s="14"/>
      <c r="E275" s="14"/>
      <c r="F275" s="14"/>
      <c r="G275" s="14"/>
      <c r="H275" s="14"/>
      <c r="I275" s="14"/>
      <c r="J275" s="14"/>
      <c r="P275" s="120" t="s">
        <v>429</v>
      </c>
      <c r="Q275" s="246" t="s">
        <v>138</v>
      </c>
      <c r="R275" s="665">
        <f>R155</f>
        <v>50000</v>
      </c>
      <c r="S275" s="665"/>
      <c r="T275" s="14" t="s">
        <v>9</v>
      </c>
      <c r="V275" s="10"/>
    </row>
    <row r="276" spans="1:22" ht="18" hidden="1" customHeight="1">
      <c r="A276" s="9"/>
      <c r="B276" s="14" t="s">
        <v>443</v>
      </c>
      <c r="C276" s="14"/>
      <c r="D276" s="14"/>
      <c r="E276" s="14"/>
      <c r="F276" s="14"/>
      <c r="G276" s="14"/>
      <c r="H276" s="14"/>
      <c r="I276" s="14"/>
      <c r="J276" s="14"/>
      <c r="P276" s="120" t="s">
        <v>436</v>
      </c>
      <c r="Q276" s="246" t="s">
        <v>138</v>
      </c>
      <c r="R276" s="816">
        <f>R156</f>
        <v>28681.090829928391</v>
      </c>
      <c r="S276" s="665"/>
      <c r="T276" s="14" t="s">
        <v>9</v>
      </c>
      <c r="U276" s="30" t="s">
        <v>444</v>
      </c>
      <c r="V276" s="10"/>
    </row>
    <row r="277" spans="1:22" ht="18" hidden="1" customHeight="1">
      <c r="A277" s="9"/>
      <c r="B277" s="14"/>
      <c r="C277" s="14"/>
      <c r="D277" s="14"/>
      <c r="E277" s="14"/>
      <c r="F277" s="14"/>
      <c r="G277" s="14"/>
      <c r="H277" s="14"/>
      <c r="I277" s="14"/>
      <c r="J277" s="14"/>
      <c r="P277" s="120"/>
      <c r="Q277" s="246" t="s">
        <v>138</v>
      </c>
      <c r="R277" s="816">
        <f>R157</f>
        <v>30950.978286194932</v>
      </c>
      <c r="S277" s="665"/>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665">
        <f>R158</f>
        <v>1</v>
      </c>
      <c r="S278" s="665"/>
      <c r="T278" s="14" t="s">
        <v>9</v>
      </c>
      <c r="V278" s="10"/>
    </row>
    <row r="279" spans="1:22" ht="18" hidden="1" customHeight="1">
      <c r="A279" s="9"/>
      <c r="B279" s="14" t="s">
        <v>448</v>
      </c>
      <c r="C279" s="14"/>
      <c r="D279" s="103"/>
      <c r="E279" s="103"/>
      <c r="F279" s="14"/>
      <c r="G279" s="14"/>
      <c r="H279" s="5"/>
      <c r="I279" s="5"/>
      <c r="J279" s="5"/>
      <c r="P279" s="120" t="s">
        <v>449</v>
      </c>
      <c r="Q279" s="246" t="s">
        <v>138</v>
      </c>
      <c r="R279" s="665">
        <f>R159</f>
        <v>1</v>
      </c>
      <c r="S279" s="665"/>
      <c r="T279" s="14" t="s">
        <v>9</v>
      </c>
      <c r="V279" s="10"/>
    </row>
    <row r="280" spans="1:22" ht="18" hidden="1" customHeight="1">
      <c r="A280" s="9"/>
      <c r="B280" s="14" t="s">
        <v>450</v>
      </c>
      <c r="C280" s="14"/>
      <c r="D280" s="103"/>
      <c r="E280" s="103"/>
      <c r="F280" s="14"/>
      <c r="G280" s="14"/>
      <c r="H280" s="5"/>
      <c r="I280" s="5"/>
      <c r="J280" s="5"/>
      <c r="P280" s="120" t="s">
        <v>451</v>
      </c>
      <c r="Q280" s="246" t="s">
        <v>138</v>
      </c>
      <c r="R280" s="665" t="str">
        <f>L251</f>
        <v>-</v>
      </c>
      <c r="S280" s="665"/>
      <c r="T280" s="204" t="s">
        <v>344</v>
      </c>
      <c r="V280" s="10"/>
    </row>
    <row r="281" spans="1:22" ht="18" hidden="1" customHeight="1">
      <c r="A281" s="9"/>
      <c r="B281" s="14" t="s">
        <v>164</v>
      </c>
      <c r="C281" s="14"/>
      <c r="D281" s="14"/>
      <c r="E281" s="14"/>
      <c r="F281" s="14"/>
      <c r="G281" s="14"/>
      <c r="H281" s="14"/>
      <c r="I281" s="14"/>
      <c r="J281" s="14"/>
      <c r="P281" s="249" t="s">
        <v>452</v>
      </c>
      <c r="Q281" s="246" t="s">
        <v>138</v>
      </c>
      <c r="R281" s="668">
        <f>R161</f>
        <v>0.46875935000000007</v>
      </c>
      <c r="S281" s="665"/>
      <c r="T281" s="204" t="s">
        <v>344</v>
      </c>
      <c r="V281" s="10"/>
    </row>
    <row r="282" spans="1:22" ht="18" hidden="1" customHeight="1">
      <c r="A282" s="9"/>
      <c r="B282" s="40" t="s">
        <v>453</v>
      </c>
      <c r="C282" s="14"/>
      <c r="D282" s="14"/>
      <c r="E282" s="14"/>
      <c r="F282" s="14"/>
      <c r="G282" s="14"/>
      <c r="H282" s="5"/>
      <c r="I282" s="5"/>
      <c r="J282" s="5"/>
      <c r="P282" s="249" t="s">
        <v>454</v>
      </c>
      <c r="Q282" s="246" t="s">
        <v>138</v>
      </c>
      <c r="R282" s="668">
        <f>R162</f>
        <v>0.02</v>
      </c>
      <c r="S282" s="665"/>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1005" t="s">
        <v>428</v>
      </c>
      <c r="B290" s="947"/>
      <c r="C290" s="947"/>
      <c r="D290" s="14"/>
      <c r="E290" s="7"/>
      <c r="F290" s="1002">
        <f>R275</f>
        <v>50000</v>
      </c>
      <c r="G290" s="1008"/>
      <c r="H290" s="788" t="s">
        <v>326</v>
      </c>
      <c r="I290" s="1009">
        <f>R278</f>
        <v>1</v>
      </c>
      <c r="J290" s="1010"/>
      <c r="K290" s="788" t="s">
        <v>326</v>
      </c>
      <c r="L290" s="1002" t="s">
        <v>430</v>
      </c>
      <c r="M290" s="975" t="str">
        <f>R280</f>
        <v>-</v>
      </c>
      <c r="N290" s="1003" t="s">
        <v>358</v>
      </c>
      <c r="O290" s="1004">
        <f>R281</f>
        <v>0.46875935000000007</v>
      </c>
      <c r="P290" s="788" t="s">
        <v>358</v>
      </c>
      <c r="Q290" s="1012">
        <f>R282</f>
        <v>0.02</v>
      </c>
      <c r="R290" s="1012"/>
      <c r="S290" s="1012"/>
      <c r="T290" s="944" t="s">
        <v>361</v>
      </c>
      <c r="U290" s="242" t="s">
        <v>433</v>
      </c>
      <c r="V290" s="112"/>
    </row>
    <row r="291" spans="1:22" ht="18" hidden="1" customHeight="1">
      <c r="A291" s="1006"/>
      <c r="B291" s="947"/>
      <c r="C291" s="947"/>
      <c r="D291" s="14"/>
      <c r="E291" s="7"/>
      <c r="F291" s="1008"/>
      <c r="G291" s="1008"/>
      <c r="H291" s="788"/>
      <c r="I291" s="788" t="str">
        <f>R274</f>
        <v>-</v>
      </c>
      <c r="J291" s="1008"/>
      <c r="K291" s="788"/>
      <c r="L291" s="1002"/>
      <c r="M291" s="975"/>
      <c r="N291" s="1003"/>
      <c r="O291" s="975"/>
      <c r="P291" s="788"/>
      <c r="Q291" s="233">
        <f>R279</f>
        <v>1</v>
      </c>
      <c r="R291" s="233" t="s">
        <v>326</v>
      </c>
      <c r="S291" s="233">
        <f>R279</f>
        <v>1</v>
      </c>
      <c r="T291" s="944"/>
      <c r="U291" s="7"/>
      <c r="V291" s="112"/>
    </row>
    <row r="292" spans="1:22" ht="18" hidden="1" customHeight="1">
      <c r="A292" s="9"/>
      <c r="L292" s="442"/>
      <c r="V292" s="10"/>
    </row>
    <row r="293" spans="1:22" ht="18" hidden="1" customHeight="1">
      <c r="A293" s="9"/>
      <c r="C293" s="27" t="s">
        <v>138</v>
      </c>
      <c r="D293" s="875" t="e">
        <f>F290*(I290/I291)*(M290+O290+(Q290/(Q291*S291)))</f>
        <v>#VALUE!</v>
      </c>
      <c r="E293" s="876"/>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1005" t="s">
        <v>428</v>
      </c>
      <c r="B296" s="947"/>
      <c r="C296" s="947"/>
      <c r="D296" s="788">
        <v>2</v>
      </c>
      <c r="E296" s="788" t="s">
        <v>326</v>
      </c>
      <c r="F296" s="1007">
        <f>R276</f>
        <v>28681.090829928391</v>
      </c>
      <c r="G296" s="1008"/>
      <c r="H296" s="788" t="s">
        <v>326</v>
      </c>
      <c r="I296" s="1009">
        <f>R278</f>
        <v>1</v>
      </c>
      <c r="J296" s="1010"/>
      <c r="K296" s="788" t="s">
        <v>326</v>
      </c>
      <c r="L296" s="1002" t="s">
        <v>430</v>
      </c>
      <c r="M296" s="975" t="str">
        <f>R280</f>
        <v>-</v>
      </c>
      <c r="N296" s="1003" t="s">
        <v>358</v>
      </c>
      <c r="O296" s="1004">
        <f>R281</f>
        <v>0.46875935000000007</v>
      </c>
      <c r="P296" s="788" t="s">
        <v>358</v>
      </c>
      <c r="Q296" s="1012">
        <f>Q290</f>
        <v>0.02</v>
      </c>
      <c r="R296" s="1012"/>
      <c r="S296" s="1012"/>
      <c r="T296" s="944" t="s">
        <v>361</v>
      </c>
      <c r="U296" s="242" t="s">
        <v>437</v>
      </c>
      <c r="V296" s="112"/>
    </row>
    <row r="297" spans="1:22" ht="18" hidden="1" customHeight="1">
      <c r="A297" s="1006"/>
      <c r="B297" s="947"/>
      <c r="C297" s="947"/>
      <c r="D297" s="788"/>
      <c r="E297" s="788"/>
      <c r="F297" s="1008"/>
      <c r="G297" s="1008"/>
      <c r="H297" s="788"/>
      <c r="I297" s="788" t="str">
        <f>R274</f>
        <v>-</v>
      </c>
      <c r="J297" s="1008"/>
      <c r="K297" s="788"/>
      <c r="L297" s="1002"/>
      <c r="M297" s="975"/>
      <c r="N297" s="1003"/>
      <c r="O297" s="975"/>
      <c r="P297" s="788"/>
      <c r="Q297" s="233">
        <f>R279</f>
        <v>1</v>
      </c>
      <c r="R297" s="233" t="s">
        <v>326</v>
      </c>
      <c r="S297" s="233">
        <f>R279</f>
        <v>1</v>
      </c>
      <c r="T297" s="944"/>
      <c r="U297" s="7"/>
      <c r="V297" s="112"/>
    </row>
    <row r="298" spans="1:22" ht="18" hidden="1" customHeight="1">
      <c r="A298" s="9"/>
      <c r="L298" s="442"/>
      <c r="V298" s="10"/>
    </row>
    <row r="299" spans="1:22" ht="18" hidden="1" customHeight="1">
      <c r="A299" s="9"/>
      <c r="C299" s="27" t="s">
        <v>138</v>
      </c>
      <c r="D299" s="875" t="e">
        <f>D296*F296*(I296/I297)*(M296+O296+(Q296/(Q297*S297)))</f>
        <v>#VALUE!</v>
      </c>
      <c r="E299" s="876"/>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1005" t="s">
        <v>428</v>
      </c>
      <c r="B302" s="947"/>
      <c r="C302" s="947"/>
      <c r="D302" s="788">
        <v>2</v>
      </c>
      <c r="E302" s="788" t="s">
        <v>326</v>
      </c>
      <c r="F302" s="1007">
        <f>R277</f>
        <v>30950.978286194932</v>
      </c>
      <c r="G302" s="1008"/>
      <c r="H302" s="788" t="s">
        <v>326</v>
      </c>
      <c r="I302" s="1009">
        <f>R278</f>
        <v>1</v>
      </c>
      <c r="J302" s="1010"/>
      <c r="K302" s="788" t="s">
        <v>326</v>
      </c>
      <c r="L302" s="1002" t="s">
        <v>430</v>
      </c>
      <c r="M302" s="975" t="str">
        <f>R280</f>
        <v>-</v>
      </c>
      <c r="N302" s="1003" t="s">
        <v>358</v>
      </c>
      <c r="O302" s="1004">
        <f>R281</f>
        <v>0.46875935000000007</v>
      </c>
      <c r="P302" s="788" t="s">
        <v>358</v>
      </c>
      <c r="Q302" s="1012">
        <f>R282</f>
        <v>0.02</v>
      </c>
      <c r="R302" s="1012"/>
      <c r="S302" s="1012"/>
      <c r="T302" s="944" t="s">
        <v>361</v>
      </c>
      <c r="U302" s="242" t="s">
        <v>437</v>
      </c>
      <c r="V302" s="112"/>
    </row>
    <row r="303" spans="1:22" ht="18" hidden="1" customHeight="1">
      <c r="A303" s="1006"/>
      <c r="B303" s="947"/>
      <c r="C303" s="947"/>
      <c r="D303" s="788"/>
      <c r="E303" s="788"/>
      <c r="F303" s="1008"/>
      <c r="G303" s="1008"/>
      <c r="H303" s="788"/>
      <c r="I303" s="788" t="str">
        <f>R274</f>
        <v>-</v>
      </c>
      <c r="J303" s="1008"/>
      <c r="K303" s="788"/>
      <c r="L303" s="1002"/>
      <c r="M303" s="975"/>
      <c r="N303" s="1003"/>
      <c r="O303" s="975"/>
      <c r="P303" s="788"/>
      <c r="Q303" s="233">
        <f>R279</f>
        <v>1</v>
      </c>
      <c r="R303" s="233" t="s">
        <v>326</v>
      </c>
      <c r="S303" s="233">
        <f>R279</f>
        <v>1</v>
      </c>
      <c r="T303" s="944"/>
      <c r="U303" s="7"/>
      <c r="V303" s="112"/>
    </row>
    <row r="304" spans="1:22" ht="18" hidden="1" customHeight="1">
      <c r="A304" s="9"/>
      <c r="V304" s="10"/>
    </row>
    <row r="305" spans="1:22" ht="18" hidden="1" customHeight="1">
      <c r="A305" s="9"/>
      <c r="C305" s="27" t="s">
        <v>138</v>
      </c>
      <c r="D305" s="875" t="e">
        <f>D302*F302*(I302/I303)*(M302+O302+(Q302/(Q303*S303)))</f>
        <v>#VALUE!</v>
      </c>
      <c r="E305" s="876"/>
      <c r="F305" s="27" t="s">
        <v>316</v>
      </c>
      <c r="V305" s="10"/>
    </row>
    <row r="306" spans="1:22" ht="18" hidden="1" customHeight="1">
      <c r="A306" s="9"/>
      <c r="V306" s="10"/>
    </row>
    <row r="307" spans="1:22" ht="18" hidden="1" customHeight="1">
      <c r="A307" s="116" t="s">
        <v>457</v>
      </c>
      <c r="V307" s="10"/>
    </row>
    <row r="308" spans="1:22" ht="18" hidden="1" customHeight="1">
      <c r="A308" s="1018" t="s">
        <v>510</v>
      </c>
      <c r="B308" s="1019"/>
      <c r="C308" s="1019"/>
      <c r="D308" s="1019"/>
      <c r="E308" s="1019"/>
      <c r="F308" s="1019"/>
      <c r="G308" s="1019"/>
      <c r="H308" s="1019"/>
      <c r="I308" s="1019"/>
      <c r="J308" s="1019"/>
      <c r="K308" s="1019"/>
      <c r="L308" s="1019"/>
      <c r="M308" s="1019"/>
      <c r="N308" s="1019"/>
      <c r="O308" s="1019"/>
      <c r="P308" s="1019"/>
      <c r="Q308" s="1019"/>
      <c r="R308" s="1019"/>
      <c r="S308" s="1019"/>
      <c r="T308" s="1019"/>
      <c r="U308" s="1019"/>
      <c r="V308" s="1020"/>
    </row>
    <row r="309" spans="1:22" ht="18" hidden="1" customHeight="1">
      <c r="A309" s="1018"/>
      <c r="B309" s="1019"/>
      <c r="C309" s="1019"/>
      <c r="D309" s="1019"/>
      <c r="E309" s="1019"/>
      <c r="F309" s="1019"/>
      <c r="G309" s="1019"/>
      <c r="H309" s="1019"/>
      <c r="I309" s="1019"/>
      <c r="J309" s="1019"/>
      <c r="K309" s="1019"/>
      <c r="L309" s="1019"/>
      <c r="M309" s="1019"/>
      <c r="N309" s="1019"/>
      <c r="O309" s="1019"/>
      <c r="P309" s="1019"/>
      <c r="Q309" s="1019"/>
      <c r="R309" s="1019"/>
      <c r="S309" s="1019"/>
      <c r="T309" s="1019"/>
      <c r="U309" s="1019"/>
      <c r="V309" s="1020"/>
    </row>
    <row r="310" spans="1:22" ht="18" hidden="1" customHeight="1">
      <c r="A310" s="205" t="s">
        <v>427</v>
      </c>
      <c r="V310" s="10"/>
    </row>
    <row r="311" spans="1:22" ht="18" hidden="1" customHeight="1">
      <c r="A311" s="1005" t="s">
        <v>428</v>
      </c>
      <c r="B311" s="947"/>
      <c r="C311" s="947"/>
      <c r="D311" s="1015" t="s">
        <v>429</v>
      </c>
      <c r="E311" s="903"/>
      <c r="F311" s="664" t="s">
        <v>326</v>
      </c>
      <c r="G311" s="696" t="s">
        <v>447</v>
      </c>
      <c r="H311" s="939"/>
      <c r="I311" s="664" t="s">
        <v>326</v>
      </c>
      <c r="J311" s="1017" t="s">
        <v>146</v>
      </c>
      <c r="K311" s="664" t="s">
        <v>326</v>
      </c>
      <c r="L311" s="1015" t="s">
        <v>430</v>
      </c>
      <c r="M311" s="664" t="s">
        <v>451</v>
      </c>
      <c r="N311" s="942" t="s">
        <v>358</v>
      </c>
      <c r="O311" s="664" t="s">
        <v>458</v>
      </c>
      <c r="P311" s="664" t="s">
        <v>358</v>
      </c>
      <c r="Q311" s="943" t="s">
        <v>459</v>
      </c>
      <c r="R311" s="1016"/>
      <c r="S311" s="1016"/>
      <c r="T311" s="944" t="s">
        <v>361</v>
      </c>
      <c r="U311" s="242" t="s">
        <v>433</v>
      </c>
      <c r="V311" s="112"/>
    </row>
    <row r="312" spans="1:22" ht="18" hidden="1" customHeight="1">
      <c r="A312" s="1006"/>
      <c r="B312" s="947"/>
      <c r="C312" s="947"/>
      <c r="D312" s="903"/>
      <c r="E312" s="903"/>
      <c r="F312" s="664"/>
      <c r="G312" s="664" t="s">
        <v>441</v>
      </c>
      <c r="H312" s="903"/>
      <c r="I312" s="664"/>
      <c r="J312" s="664"/>
      <c r="K312" s="664"/>
      <c r="L312" s="1015"/>
      <c r="M312" s="664"/>
      <c r="N312" s="942"/>
      <c r="O312" s="664"/>
      <c r="P312" s="664"/>
      <c r="Q312" s="28" t="s">
        <v>449</v>
      </c>
      <c r="R312" s="28" t="s">
        <v>326</v>
      </c>
      <c r="S312" s="28" t="s">
        <v>449</v>
      </c>
      <c r="T312" s="944"/>
      <c r="U312" s="7"/>
      <c r="V312" s="112"/>
    </row>
    <row r="313" spans="1:22" ht="18" hidden="1" customHeight="1">
      <c r="A313" s="205" t="s">
        <v>460</v>
      </c>
      <c r="L313" s="442"/>
      <c r="M313" s="438"/>
      <c r="N313" s="438"/>
      <c r="O313" s="438"/>
      <c r="V313" s="10"/>
    </row>
    <row r="314" spans="1:22" ht="18" hidden="1" customHeight="1">
      <c r="A314" s="1005" t="s">
        <v>428</v>
      </c>
      <c r="B314" s="947"/>
      <c r="C314" s="947"/>
      <c r="D314" s="1015" t="s">
        <v>461</v>
      </c>
      <c r="E314" s="903"/>
      <c r="F314" s="664" t="s">
        <v>326</v>
      </c>
      <c r="G314" s="696" t="s">
        <v>447</v>
      </c>
      <c r="H314" s="939"/>
      <c r="I314" s="664" t="s">
        <v>326</v>
      </c>
      <c r="J314" s="1017" t="s">
        <v>462</v>
      </c>
      <c r="K314" s="664" t="s">
        <v>326</v>
      </c>
      <c r="L314" s="1015" t="s">
        <v>430</v>
      </c>
      <c r="M314" s="664" t="s">
        <v>451</v>
      </c>
      <c r="N314" s="942" t="s">
        <v>358</v>
      </c>
      <c r="O314" s="664" t="s">
        <v>458</v>
      </c>
      <c r="P314" s="664" t="s">
        <v>358</v>
      </c>
      <c r="Q314" s="943" t="s">
        <v>459</v>
      </c>
      <c r="R314" s="1016"/>
      <c r="S314" s="1016"/>
      <c r="T314" s="944" t="s">
        <v>361</v>
      </c>
      <c r="U314" s="242" t="s">
        <v>437</v>
      </c>
      <c r="V314" s="112"/>
    </row>
    <row r="315" spans="1:22" ht="18" hidden="1" customHeight="1">
      <c r="A315" s="1006"/>
      <c r="B315" s="947"/>
      <c r="C315" s="947"/>
      <c r="D315" s="903"/>
      <c r="E315" s="903"/>
      <c r="F315" s="664"/>
      <c r="G315" s="664" t="s">
        <v>441</v>
      </c>
      <c r="H315" s="903"/>
      <c r="I315" s="664"/>
      <c r="J315" s="664"/>
      <c r="K315" s="664"/>
      <c r="L315" s="1015"/>
      <c r="M315" s="664"/>
      <c r="N315" s="942"/>
      <c r="O315" s="664"/>
      <c r="P315" s="664"/>
      <c r="Q315" s="28" t="s">
        <v>449</v>
      </c>
      <c r="R315" s="28" t="s">
        <v>326</v>
      </c>
      <c r="S315" s="28" t="s">
        <v>449</v>
      </c>
      <c r="T315" s="944"/>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665" t="str">
        <f>R274</f>
        <v>-</v>
      </c>
      <c r="S318" s="665"/>
      <c r="T318" s="14" t="s">
        <v>9</v>
      </c>
      <c r="V318" s="10"/>
    </row>
    <row r="319" spans="1:22" ht="18" hidden="1" customHeight="1">
      <c r="A319" s="9"/>
      <c r="B319" s="14" t="s">
        <v>442</v>
      </c>
      <c r="P319" s="120" t="s">
        <v>429</v>
      </c>
      <c r="Q319" s="246" t="s">
        <v>138</v>
      </c>
      <c r="R319" s="665">
        <f>R275</f>
        <v>50000</v>
      </c>
      <c r="S319" s="665"/>
      <c r="T319" s="14" t="s">
        <v>9</v>
      </c>
      <c r="V319" s="10"/>
    </row>
    <row r="320" spans="1:22" ht="18" hidden="1" customHeight="1">
      <c r="A320" s="9"/>
      <c r="B320" s="14" t="s">
        <v>463</v>
      </c>
      <c r="P320" s="120" t="s">
        <v>461</v>
      </c>
      <c r="Q320" s="246" t="s">
        <v>138</v>
      </c>
      <c r="R320" s="816">
        <f>R196</f>
        <v>31616.578766904022</v>
      </c>
      <c r="S320" s="665"/>
      <c r="T320" s="14" t="s">
        <v>9</v>
      </c>
      <c r="U320" s="30" t="s">
        <v>444</v>
      </c>
      <c r="V320" s="10"/>
    </row>
    <row r="321" spans="1:22" ht="18" hidden="1" customHeight="1">
      <c r="A321" s="9"/>
      <c r="B321" s="14"/>
      <c r="P321" s="120"/>
      <c r="Q321" s="246" t="s">
        <v>138</v>
      </c>
      <c r="R321" s="816">
        <f>R197</f>
        <v>33779.140438861883</v>
      </c>
      <c r="S321" s="665"/>
      <c r="T321" s="14" t="s">
        <v>9</v>
      </c>
      <c r="U321" s="30" t="s">
        <v>445</v>
      </c>
      <c r="V321" s="10"/>
    </row>
    <row r="322" spans="1:22" ht="18" hidden="1" customHeight="1">
      <c r="A322" s="9"/>
      <c r="B322" s="14" t="s">
        <v>464</v>
      </c>
      <c r="P322" s="120" t="s">
        <v>447</v>
      </c>
      <c r="Q322" s="246" t="s">
        <v>138</v>
      </c>
      <c r="R322" s="665">
        <f>R278</f>
        <v>1</v>
      </c>
      <c r="S322" s="665"/>
      <c r="T322" s="14" t="s">
        <v>9</v>
      </c>
      <c r="V322" s="10"/>
    </row>
    <row r="323" spans="1:22" ht="18" hidden="1" customHeight="1">
      <c r="A323" s="9"/>
      <c r="B323" s="14" t="s">
        <v>448</v>
      </c>
      <c r="P323" s="120" t="s">
        <v>449</v>
      </c>
      <c r="Q323" s="246" t="s">
        <v>138</v>
      </c>
      <c r="R323" s="665">
        <f>R279</f>
        <v>1</v>
      </c>
      <c r="S323" s="665"/>
      <c r="T323" s="14" t="s">
        <v>9</v>
      </c>
      <c r="V323" s="10"/>
    </row>
    <row r="324" spans="1:22" ht="18" hidden="1" customHeight="1">
      <c r="A324" s="9"/>
      <c r="B324" s="14" t="s">
        <v>450</v>
      </c>
      <c r="P324" s="120" t="s">
        <v>451</v>
      </c>
      <c r="Q324" s="246" t="s">
        <v>138</v>
      </c>
      <c r="R324" s="665" t="str">
        <f>L251</f>
        <v>-</v>
      </c>
      <c r="S324" s="665"/>
      <c r="T324" s="204" t="s">
        <v>344</v>
      </c>
      <c r="V324" s="10"/>
    </row>
    <row r="325" spans="1:22" ht="18" hidden="1" customHeight="1">
      <c r="A325" s="9"/>
      <c r="B325" s="14" t="s">
        <v>465</v>
      </c>
      <c r="P325" s="249" t="s">
        <v>452</v>
      </c>
      <c r="Q325" s="246" t="s">
        <v>138</v>
      </c>
      <c r="R325" s="668">
        <f>R281</f>
        <v>0.46875935000000007</v>
      </c>
      <c r="S325" s="665"/>
      <c r="T325" s="204" t="s">
        <v>344</v>
      </c>
      <c r="V325" s="10"/>
    </row>
    <row r="326" spans="1:22" ht="18" hidden="1" customHeight="1">
      <c r="A326" s="9"/>
      <c r="B326" s="40" t="s">
        <v>453</v>
      </c>
      <c r="P326" s="249" t="s">
        <v>454</v>
      </c>
      <c r="Q326" s="246" t="s">
        <v>138</v>
      </c>
      <c r="R326" s="668">
        <f>R282</f>
        <v>0.02</v>
      </c>
      <c r="S326" s="665"/>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669">
        <f>L214</f>
        <v>47.727272727272727</v>
      </c>
      <c r="M343" s="664"/>
      <c r="N343" s="28" t="s">
        <v>475</v>
      </c>
      <c r="O343" s="28" t="s">
        <v>146</v>
      </c>
      <c r="P343" s="28" t="s">
        <v>138</v>
      </c>
      <c r="Q343" s="28">
        <f>IF(L343&lt;=400,Q335,Q336)</f>
        <v>1</v>
      </c>
      <c r="R343" s="7"/>
      <c r="S343" s="7"/>
      <c r="T343" s="7"/>
      <c r="V343" s="10"/>
    </row>
    <row r="344" spans="1:22" ht="18" hidden="1" customHeight="1">
      <c r="A344" s="1005" t="s">
        <v>428</v>
      </c>
      <c r="B344" s="947"/>
      <c r="C344" s="947"/>
      <c r="D344" s="1002">
        <f>R319</f>
        <v>50000</v>
      </c>
      <c r="E344" s="1013"/>
      <c r="F344" s="788" t="s">
        <v>326</v>
      </c>
      <c r="G344" s="1009">
        <f>R322</f>
        <v>1</v>
      </c>
      <c r="H344" s="1014"/>
      <c r="I344" s="788" t="s">
        <v>326</v>
      </c>
      <c r="J344" s="790">
        <f>Q343</f>
        <v>1</v>
      </c>
      <c r="K344" s="788" t="s">
        <v>326</v>
      </c>
      <c r="L344" s="1002" t="s">
        <v>430</v>
      </c>
      <c r="M344" s="975" t="str">
        <f>R324</f>
        <v>-</v>
      </c>
      <c r="N344" s="1003" t="s">
        <v>358</v>
      </c>
      <c r="O344" s="1004">
        <f>R325</f>
        <v>0.46875935000000007</v>
      </c>
      <c r="P344" s="788" t="s">
        <v>358</v>
      </c>
      <c r="Q344" s="1012">
        <f>R326</f>
        <v>0.02</v>
      </c>
      <c r="R344" s="1012"/>
      <c r="S344" s="1012"/>
      <c r="T344" s="944" t="s">
        <v>361</v>
      </c>
      <c r="U344" s="242" t="s">
        <v>433</v>
      </c>
      <c r="V344" s="112"/>
    </row>
    <row r="345" spans="1:22" ht="18" hidden="1" customHeight="1">
      <c r="A345" s="1006"/>
      <c r="B345" s="947"/>
      <c r="C345" s="947"/>
      <c r="D345" s="1013"/>
      <c r="E345" s="1013"/>
      <c r="F345" s="788"/>
      <c r="G345" s="788" t="str">
        <f>R318</f>
        <v>-</v>
      </c>
      <c r="H345" s="1013"/>
      <c r="I345" s="788"/>
      <c r="J345" s="788"/>
      <c r="K345" s="788"/>
      <c r="L345" s="1002"/>
      <c r="M345" s="975"/>
      <c r="N345" s="1003"/>
      <c r="O345" s="975"/>
      <c r="P345" s="788"/>
      <c r="Q345" s="233">
        <f>R323</f>
        <v>1</v>
      </c>
      <c r="R345" s="233" t="s">
        <v>326</v>
      </c>
      <c r="S345" s="233">
        <f>R323</f>
        <v>1</v>
      </c>
      <c r="T345" s="944"/>
      <c r="U345" s="7"/>
      <c r="V345" s="112"/>
    </row>
    <row r="346" spans="1:22" ht="18" hidden="1" customHeight="1">
      <c r="A346" s="9"/>
      <c r="V346" s="10"/>
    </row>
    <row r="347" spans="1:22" ht="18" hidden="1" customHeight="1">
      <c r="A347" s="9"/>
      <c r="C347" s="27" t="s">
        <v>138</v>
      </c>
      <c r="D347" s="860" t="e">
        <f>D344*(G344/G345)*J344*(M344+O344+(Q344/(Q345*S345)))</f>
        <v>#VALUE!</v>
      </c>
      <c r="E347" s="700"/>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668">
        <f>L221</f>
        <v>7.3490763833311119</v>
      </c>
      <c r="M350" s="665"/>
      <c r="N350" s="27" t="s">
        <v>475</v>
      </c>
      <c r="O350" s="28" t="s">
        <v>462</v>
      </c>
      <c r="P350" s="27" t="s">
        <v>138</v>
      </c>
      <c r="Q350" s="27">
        <f>IF(L350&lt;=200,Q339,Q340)</f>
        <v>3</v>
      </c>
      <c r="V350" s="10"/>
    </row>
    <row r="351" spans="1:22" ht="18" hidden="1" customHeight="1">
      <c r="A351" s="1005" t="s">
        <v>428</v>
      </c>
      <c r="B351" s="947"/>
      <c r="C351" s="947"/>
      <c r="D351" s="1007">
        <f>R320</f>
        <v>31616.578766904022</v>
      </c>
      <c r="E351" s="1008"/>
      <c r="F351" s="788" t="s">
        <v>326</v>
      </c>
      <c r="G351" s="1009">
        <f>R322</f>
        <v>1</v>
      </c>
      <c r="H351" s="1010"/>
      <c r="I351" s="788" t="s">
        <v>326</v>
      </c>
      <c r="J351" s="1011">
        <f>Q350</f>
        <v>3</v>
      </c>
      <c r="K351" s="788" t="s">
        <v>326</v>
      </c>
      <c r="L351" s="1002" t="s">
        <v>430</v>
      </c>
      <c r="M351" s="975" t="str">
        <f>R324</f>
        <v>-</v>
      </c>
      <c r="N351" s="1003" t="s">
        <v>358</v>
      </c>
      <c r="O351" s="1004">
        <f>R325</f>
        <v>0.46875935000000007</v>
      </c>
      <c r="P351" s="788" t="s">
        <v>358</v>
      </c>
      <c r="Q351" s="1012">
        <f>R326</f>
        <v>0.02</v>
      </c>
      <c r="R351" s="1012"/>
      <c r="S351" s="1012"/>
      <c r="T351" s="944" t="s">
        <v>361</v>
      </c>
      <c r="U351" s="242" t="s">
        <v>437</v>
      </c>
      <c r="V351" s="112"/>
    </row>
    <row r="352" spans="1:22" ht="18" hidden="1" customHeight="1">
      <c r="A352" s="1006"/>
      <c r="B352" s="947"/>
      <c r="C352" s="947"/>
      <c r="D352" s="1008"/>
      <c r="E352" s="1008"/>
      <c r="F352" s="788"/>
      <c r="G352" s="788" t="str">
        <f>R318</f>
        <v>-</v>
      </c>
      <c r="H352" s="1008"/>
      <c r="I352" s="788"/>
      <c r="J352" s="788"/>
      <c r="K352" s="788"/>
      <c r="L352" s="1002"/>
      <c r="M352" s="975"/>
      <c r="N352" s="1003"/>
      <c r="O352" s="975"/>
      <c r="P352" s="788"/>
      <c r="Q352" s="233">
        <f>R323</f>
        <v>1</v>
      </c>
      <c r="R352" s="233" t="s">
        <v>326</v>
      </c>
      <c r="S352" s="233">
        <f>R323</f>
        <v>1</v>
      </c>
      <c r="T352" s="944"/>
      <c r="U352" s="7"/>
      <c r="V352" s="112"/>
    </row>
    <row r="353" spans="1:22" ht="18" hidden="1" customHeight="1">
      <c r="A353" s="9"/>
      <c r="V353" s="10"/>
    </row>
    <row r="354" spans="1:22" ht="18" hidden="1" customHeight="1">
      <c r="A354" s="9"/>
      <c r="C354" s="27" t="s">
        <v>138</v>
      </c>
      <c r="D354" s="860" t="e">
        <f>D351*(G351/G352)*J351*(M351+O351+(Q351/(Q352*S352)))</f>
        <v>#VALUE!</v>
      </c>
      <c r="E354" s="700"/>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668">
        <f>L228</f>
        <v>7.6723844075738938</v>
      </c>
      <c r="M357" s="665"/>
      <c r="N357" s="27" t="s">
        <v>475</v>
      </c>
      <c r="O357" s="28" t="s">
        <v>462</v>
      </c>
      <c r="P357" s="27" t="s">
        <v>138</v>
      </c>
      <c r="Q357" s="27">
        <f>IF(L357&lt;=30,Q339,Q340)</f>
        <v>3</v>
      </c>
      <c r="V357" s="10"/>
    </row>
    <row r="358" spans="1:22" ht="18" hidden="1" customHeight="1">
      <c r="A358" s="1005" t="s">
        <v>428</v>
      </c>
      <c r="B358" s="947"/>
      <c r="C358" s="947"/>
      <c r="D358" s="1007">
        <f>R321</f>
        <v>33779.140438861883</v>
      </c>
      <c r="E358" s="1008"/>
      <c r="F358" s="788" t="s">
        <v>326</v>
      </c>
      <c r="G358" s="1009">
        <f>R322</f>
        <v>1</v>
      </c>
      <c r="H358" s="1010"/>
      <c r="I358" s="788" t="s">
        <v>326</v>
      </c>
      <c r="J358" s="1011">
        <f>Q357</f>
        <v>3</v>
      </c>
      <c r="K358" s="788" t="s">
        <v>326</v>
      </c>
      <c r="L358" s="1002" t="s">
        <v>430</v>
      </c>
      <c r="M358" s="975" t="str">
        <f>R324</f>
        <v>-</v>
      </c>
      <c r="N358" s="1003" t="s">
        <v>358</v>
      </c>
      <c r="O358" s="1004">
        <f>R325</f>
        <v>0.46875935000000007</v>
      </c>
      <c r="P358" s="788" t="s">
        <v>358</v>
      </c>
      <c r="Q358" s="1012">
        <f>R326</f>
        <v>0.02</v>
      </c>
      <c r="R358" s="1012"/>
      <c r="S358" s="1012"/>
      <c r="T358" s="944" t="s">
        <v>361</v>
      </c>
      <c r="U358" s="242" t="s">
        <v>437</v>
      </c>
      <c r="V358" s="112"/>
    </row>
    <row r="359" spans="1:22" ht="18" hidden="1" customHeight="1">
      <c r="A359" s="1006"/>
      <c r="B359" s="947"/>
      <c r="C359" s="947"/>
      <c r="D359" s="1008"/>
      <c r="E359" s="1008"/>
      <c r="F359" s="788"/>
      <c r="G359" s="788" t="str">
        <f>R318</f>
        <v>-</v>
      </c>
      <c r="H359" s="1008"/>
      <c r="I359" s="788"/>
      <c r="J359" s="788"/>
      <c r="K359" s="788"/>
      <c r="L359" s="1002"/>
      <c r="M359" s="975"/>
      <c r="N359" s="1003"/>
      <c r="O359" s="975"/>
      <c r="P359" s="788"/>
      <c r="Q359" s="233">
        <f>R323</f>
        <v>1</v>
      </c>
      <c r="R359" s="233" t="s">
        <v>326</v>
      </c>
      <c r="S359" s="233">
        <f>R323</f>
        <v>1</v>
      </c>
      <c r="T359" s="944"/>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860" t="e">
        <f>D358*(G358/G359)*J358*(M358+O358+(Q358/(Q359*S359)))</f>
        <v>#VALUE!</v>
      </c>
      <c r="E361" s="700"/>
      <c r="F361" s="27" t="s">
        <v>316</v>
      </c>
      <c r="V361" s="10"/>
    </row>
    <row r="362" spans="1:22" ht="18" hidden="1" customHeight="1">
      <c r="A362" s="9"/>
      <c r="V362" s="10"/>
    </row>
    <row r="363" spans="1:22" ht="18" hidden="1" customHeight="1">
      <c r="A363" s="196" t="s">
        <v>480</v>
      </c>
      <c r="M363" s="998" t="str">
        <f>L249</f>
        <v>-</v>
      </c>
      <c r="N363" s="999"/>
      <c r="O363" s="30" t="s">
        <v>481</v>
      </c>
      <c r="P363" s="30"/>
      <c r="Q363" s="1000" t="e">
        <f>MAX(D293,D299,D305,D347,D354,D361)</f>
        <v>#VALUE!</v>
      </c>
      <c r="R363" s="1001"/>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923" t="s">
        <v>485</v>
      </c>
      <c r="R366" s="923"/>
      <c r="S366" s="28" t="s">
        <v>326</v>
      </c>
      <c r="T366" s="28">
        <v>0.8</v>
      </c>
      <c r="V366" s="10"/>
    </row>
    <row r="367" spans="1:22" ht="18" hidden="1" customHeight="1">
      <c r="A367" s="9"/>
      <c r="N367" s="264"/>
      <c r="O367" s="28"/>
      <c r="P367" s="102" t="s">
        <v>138</v>
      </c>
      <c r="Q367" s="996" t="e">
        <f>+Q363</f>
        <v>#VALUE!</v>
      </c>
      <c r="R367" s="696"/>
      <c r="S367" s="234" t="s">
        <v>326</v>
      </c>
      <c r="T367" s="265">
        <f>+T366</f>
        <v>0.8</v>
      </c>
      <c r="V367" s="10"/>
    </row>
    <row r="368" spans="1:22" ht="18" hidden="1" customHeight="1">
      <c r="A368" s="9"/>
      <c r="O368" s="28"/>
      <c r="P368" s="28" t="s">
        <v>138</v>
      </c>
      <c r="Q368" s="997" t="e">
        <f>Q367*T367</f>
        <v>#VALUE!</v>
      </c>
      <c r="R368" s="617"/>
      <c r="S368" s="28" t="s">
        <v>316</v>
      </c>
      <c r="T368" s="28"/>
      <c r="V368" s="10"/>
    </row>
    <row r="369" spans="1:22" ht="18" hidden="1" customHeight="1">
      <c r="A369" s="9"/>
      <c r="D369" s="30" t="s">
        <v>486</v>
      </c>
      <c r="G369" s="27" t="e">
        <f>IF(E370&gt;H370,"&gt;","&lt;")</f>
        <v>#VALUE!</v>
      </c>
      <c r="H369" s="30" t="s">
        <v>488</v>
      </c>
      <c r="V369" s="10"/>
    </row>
    <row r="370" spans="1:22" ht="18" hidden="1" customHeight="1">
      <c r="A370" s="9"/>
      <c r="E370" s="665" t="str">
        <f>L252</f>
        <v>-</v>
      </c>
      <c r="F370" s="665"/>
      <c r="G370" s="27" t="e">
        <f>G369</f>
        <v>#VALUE!</v>
      </c>
      <c r="H370" s="668" t="e">
        <f>Q368</f>
        <v>#VALUE!</v>
      </c>
      <c r="I370" s="665"/>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800" t="s">
        <v>97</v>
      </c>
      <c r="B380" s="800"/>
      <c r="C380" s="728"/>
      <c r="D380" s="800" t="s">
        <v>98</v>
      </c>
      <c r="E380" s="800"/>
      <c r="F380" s="800"/>
      <c r="G380" s="800" t="s">
        <v>99</v>
      </c>
      <c r="H380" s="800"/>
      <c r="I380" s="800" t="s">
        <v>100</v>
      </c>
      <c r="J380" s="800"/>
      <c r="K380" s="800" t="s">
        <v>513</v>
      </c>
      <c r="L380" s="800"/>
      <c r="M380" s="800" t="s">
        <v>514</v>
      </c>
      <c r="N380" s="800"/>
      <c r="O380" s="800" t="s">
        <v>515</v>
      </c>
      <c r="P380" s="800"/>
      <c r="Q380" s="800" t="s">
        <v>516</v>
      </c>
      <c r="R380" s="800"/>
      <c r="S380" s="800" t="s">
        <v>105</v>
      </c>
      <c r="T380" s="800"/>
      <c r="U380" s="800"/>
      <c r="V380" s="800"/>
    </row>
    <row r="381" spans="1:22" ht="18" customHeight="1">
      <c r="A381" s="800"/>
      <c r="B381" s="800"/>
      <c r="C381" s="728"/>
      <c r="D381" s="800"/>
      <c r="E381" s="800"/>
      <c r="F381" s="800"/>
      <c r="G381" s="800"/>
      <c r="H381" s="800"/>
      <c r="I381" s="800"/>
      <c r="J381" s="800"/>
      <c r="K381" s="800"/>
      <c r="L381" s="800"/>
      <c r="M381" s="800"/>
      <c r="N381" s="800"/>
      <c r="O381" s="800"/>
      <c r="P381" s="800"/>
      <c r="Q381" s="800"/>
      <c r="R381" s="800"/>
      <c r="S381" s="800"/>
      <c r="T381" s="800"/>
      <c r="U381" s="800"/>
      <c r="V381" s="800"/>
    </row>
    <row r="382" spans="1:22" ht="18" customHeight="1">
      <c r="A382" s="800"/>
      <c r="B382" s="800"/>
      <c r="C382" s="728"/>
      <c r="D382" s="800"/>
      <c r="E382" s="800"/>
      <c r="F382" s="800"/>
      <c r="G382" s="800"/>
      <c r="H382" s="800"/>
      <c r="I382" s="800"/>
      <c r="J382" s="800"/>
      <c r="K382" s="800"/>
      <c r="L382" s="800"/>
      <c r="M382" s="800"/>
      <c r="N382" s="800"/>
      <c r="O382" s="800"/>
      <c r="P382" s="800"/>
      <c r="Q382" s="800"/>
      <c r="R382" s="800"/>
      <c r="S382" s="800"/>
      <c r="T382" s="800"/>
      <c r="U382" s="800"/>
      <c r="V382" s="800"/>
    </row>
    <row r="383" spans="1:22" ht="18" customHeight="1">
      <c r="A383" s="800"/>
      <c r="B383" s="800"/>
      <c r="C383" s="728"/>
      <c r="D383" s="800"/>
      <c r="E383" s="800"/>
      <c r="F383" s="800"/>
      <c r="G383" s="800"/>
      <c r="H383" s="800"/>
      <c r="I383" s="800"/>
      <c r="J383" s="800"/>
      <c r="K383" s="800"/>
      <c r="L383" s="800"/>
      <c r="M383" s="800"/>
      <c r="N383" s="800"/>
      <c r="O383" s="800"/>
      <c r="P383" s="800"/>
      <c r="Q383" s="800"/>
      <c r="R383" s="800"/>
      <c r="S383" s="800"/>
      <c r="T383" s="800"/>
      <c r="U383" s="800"/>
      <c r="V383" s="800"/>
    </row>
    <row r="384" spans="1:22" ht="18" customHeight="1">
      <c r="A384" s="733" t="str">
        <f>B7</f>
        <v>T1</v>
      </c>
      <c r="B384" s="733" t="str">
        <f>D7</f>
        <v>Core1</v>
      </c>
      <c r="C384" s="733"/>
      <c r="D384" s="732">
        <f>H10</f>
        <v>1600</v>
      </c>
      <c r="E384" s="732"/>
      <c r="F384" s="734">
        <f>O10</f>
        <v>1</v>
      </c>
      <c r="G384" s="732">
        <f>'CT-VT Burdens'!S19</f>
        <v>50</v>
      </c>
      <c r="H384" s="794">
        <f>'CT-VT Burdens'!S10</f>
        <v>6</v>
      </c>
      <c r="I384" s="794" t="str">
        <f>H11</f>
        <v>PX-A</v>
      </c>
      <c r="J384" s="794"/>
      <c r="K384" s="728">
        <f>H12</f>
        <v>12</v>
      </c>
      <c r="L384" s="728"/>
      <c r="M384" s="728">
        <f>H13</f>
        <v>3500</v>
      </c>
      <c r="N384" s="728"/>
      <c r="O384" s="732">
        <f>H14</f>
        <v>40</v>
      </c>
      <c r="P384" s="732"/>
      <c r="Q384" s="739" t="str">
        <f>IF(T8="",T7,IF(T9="",T7&amp;"+"&amp;T8,T7&amp;"+"&amp;T8&amp;"+"&amp;T9))</f>
        <v>RED670</v>
      </c>
      <c r="R384" s="739"/>
      <c r="S384" s="738" t="str">
        <f>H123</f>
        <v>Suitably Dimensioned</v>
      </c>
      <c r="T384" s="738"/>
      <c r="U384" s="738"/>
      <c r="V384" s="738"/>
    </row>
    <row r="385" spans="1:22" ht="18" customHeight="1">
      <c r="A385" s="733"/>
      <c r="B385" s="733"/>
      <c r="C385" s="733"/>
      <c r="D385" s="732">
        <f>J10</f>
        <v>1800</v>
      </c>
      <c r="E385" s="732"/>
      <c r="F385" s="735"/>
      <c r="G385" s="732"/>
      <c r="H385" s="732"/>
      <c r="I385" s="794"/>
      <c r="J385" s="794"/>
      <c r="K385" s="801" t="s">
        <v>7</v>
      </c>
      <c r="L385" s="728"/>
      <c r="M385" s="801" t="s">
        <v>7</v>
      </c>
      <c r="N385" s="728"/>
      <c r="O385" s="799" t="s">
        <v>7</v>
      </c>
      <c r="P385" s="732"/>
      <c r="Q385" s="739"/>
      <c r="R385" s="739"/>
      <c r="S385" s="978" t="s">
        <v>7</v>
      </c>
      <c r="T385" s="738"/>
      <c r="U385" s="738"/>
      <c r="V385" s="738"/>
    </row>
    <row r="386" spans="1:22" ht="18" customHeight="1">
      <c r="A386" s="733"/>
      <c r="B386" s="733"/>
      <c r="C386" s="733"/>
      <c r="D386" s="732" t="str">
        <f>L10</f>
        <v>-</v>
      </c>
      <c r="E386" s="732"/>
      <c r="F386" s="736"/>
      <c r="G386" s="732"/>
      <c r="H386" s="732"/>
      <c r="I386" s="794"/>
      <c r="J386" s="794"/>
      <c r="K386" s="728" t="str">
        <f>L251</f>
        <v>-</v>
      </c>
      <c r="L386" s="728"/>
      <c r="M386" s="728" t="str">
        <f>L252</f>
        <v>-</v>
      </c>
      <c r="N386" s="728"/>
      <c r="O386" s="732" t="str">
        <f>L253</f>
        <v>-</v>
      </c>
      <c r="P386" s="732"/>
      <c r="Q386" s="739"/>
      <c r="R386" s="739"/>
      <c r="S386" s="738" t="s">
        <v>7</v>
      </c>
      <c r="T386" s="738"/>
      <c r="U386" s="738"/>
      <c r="V386" s="738"/>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B126:C126"/>
    <mergeCell ref="D126:E127"/>
    <mergeCell ref="F126:G126"/>
    <mergeCell ref="H126:M126"/>
    <mergeCell ref="T126:U126"/>
    <mergeCell ref="B127:C127"/>
    <mergeCell ref="T127:U127"/>
    <mergeCell ref="Q118:R118"/>
    <mergeCell ref="Q119:R119"/>
    <mergeCell ref="Q120:R120"/>
    <mergeCell ref="E122:F122"/>
    <mergeCell ref="H122:I122"/>
    <mergeCell ref="AB132:AC132"/>
    <mergeCell ref="J133:K133"/>
    <mergeCell ref="J137:K137"/>
    <mergeCell ref="H128:I128"/>
    <mergeCell ref="J128:K128"/>
    <mergeCell ref="L128:M128"/>
    <mergeCell ref="T128:U128"/>
    <mergeCell ref="H129:I129"/>
    <mergeCell ref="J129:K129"/>
    <mergeCell ref="L129:M129"/>
    <mergeCell ref="J138:K138"/>
    <mergeCell ref="J139:K139"/>
    <mergeCell ref="J140:K140"/>
    <mergeCell ref="J141:K141"/>
    <mergeCell ref="P141:Q141"/>
    <mergeCell ref="A144:V145"/>
    <mergeCell ref="J130:K130"/>
    <mergeCell ref="J131:K131"/>
    <mergeCell ref="J132:K132"/>
    <mergeCell ref="P147:P148"/>
    <mergeCell ref="Q147:S147"/>
    <mergeCell ref="T147:T148"/>
    <mergeCell ref="A147:C148"/>
    <mergeCell ref="F147:G148"/>
    <mergeCell ref="H147:H148"/>
    <mergeCell ref="I147:J147"/>
    <mergeCell ref="K147:K148"/>
    <mergeCell ref="L147:L148"/>
    <mergeCell ref="I148:J148"/>
    <mergeCell ref="A150:C151"/>
    <mergeCell ref="D150:D151"/>
    <mergeCell ref="E150:E151"/>
    <mergeCell ref="F150:G151"/>
    <mergeCell ref="H150:H151"/>
    <mergeCell ref="I150:J150"/>
    <mergeCell ref="M147:M148"/>
    <mergeCell ref="N147:N148"/>
    <mergeCell ref="O147:O148"/>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P166:P167"/>
    <mergeCell ref="Q166:S166"/>
    <mergeCell ref="T166:T167"/>
    <mergeCell ref="A166:C167"/>
    <mergeCell ref="F166:G167"/>
    <mergeCell ref="H166:H167"/>
    <mergeCell ref="I166:J166"/>
    <mergeCell ref="K166:K167"/>
    <mergeCell ref="L166:L167"/>
    <mergeCell ref="I167:J167"/>
    <mergeCell ref="D169:E169"/>
    <mergeCell ref="A172:C173"/>
    <mergeCell ref="D172:D173"/>
    <mergeCell ref="E172:E173"/>
    <mergeCell ref="F172:G173"/>
    <mergeCell ref="H172:H173"/>
    <mergeCell ref="M166:M167"/>
    <mergeCell ref="N166:N167"/>
    <mergeCell ref="O166:O167"/>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D232:E232"/>
    <mergeCell ref="M234:N234"/>
    <mergeCell ref="Q234:R234"/>
    <mergeCell ref="K229:K230"/>
    <mergeCell ref="L229:L230"/>
    <mergeCell ref="M229:M230"/>
    <mergeCell ref="N229:N230"/>
    <mergeCell ref="O229:O230"/>
    <mergeCell ref="P229:P230"/>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270:C271"/>
    <mergeCell ref="D270:D271"/>
    <mergeCell ref="E270:E271"/>
    <mergeCell ref="F270:G271"/>
    <mergeCell ref="H270:H271"/>
    <mergeCell ref="I270:J270"/>
    <mergeCell ref="N267:N268"/>
    <mergeCell ref="O267:O268"/>
    <mergeCell ref="P267:P268"/>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P290:P291"/>
    <mergeCell ref="Q290:S290"/>
    <mergeCell ref="T290:T291"/>
    <mergeCell ref="A290:C291"/>
    <mergeCell ref="F290:G291"/>
    <mergeCell ref="H290:H291"/>
    <mergeCell ref="I290:J290"/>
    <mergeCell ref="K290:K291"/>
    <mergeCell ref="L290:L291"/>
    <mergeCell ref="I291:J291"/>
    <mergeCell ref="D293:E293"/>
    <mergeCell ref="A296:C297"/>
    <mergeCell ref="D296:D297"/>
    <mergeCell ref="E296:E297"/>
    <mergeCell ref="F296:G297"/>
    <mergeCell ref="H296:H297"/>
    <mergeCell ref="M290:M291"/>
    <mergeCell ref="N290:N291"/>
    <mergeCell ref="O290:O291"/>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D361:E361"/>
    <mergeCell ref="M363:N363"/>
    <mergeCell ref="Q363:R363"/>
    <mergeCell ref="K358:K359"/>
    <mergeCell ref="L358:L359"/>
    <mergeCell ref="M358:M359"/>
    <mergeCell ref="N358:N359"/>
    <mergeCell ref="O358:O359"/>
    <mergeCell ref="P358:P359"/>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tabSelected="1" view="pageBreakPreview" topLeftCell="A49" zoomScale="115" zoomScaleNormal="100" zoomScaleSheetLayoutView="115" workbookViewId="0">
      <selection activeCell="AE60" sqref="AE60"/>
    </sheetView>
  </sheetViews>
  <sheetFormatPr defaultColWidth="4.33203125" defaultRowHeight="18" customHeight="1"/>
  <cols>
    <col min="1" max="16384" width="4.33203125" style="30"/>
  </cols>
  <sheetData>
    <row r="1" spans="1:29" ht="18" customHeight="1">
      <c r="A1" s="627"/>
      <c r="B1" s="628"/>
      <c r="C1" s="628"/>
      <c r="D1" s="628"/>
      <c r="E1" s="628"/>
      <c r="F1" s="628"/>
      <c r="G1" s="629"/>
      <c r="H1" s="636"/>
      <c r="I1" s="637"/>
      <c r="J1" s="637"/>
      <c r="K1" s="637"/>
      <c r="L1" s="637"/>
      <c r="M1" s="637"/>
      <c r="N1" s="638"/>
      <c r="O1" s="612"/>
      <c r="P1" s="613"/>
      <c r="Q1" s="614"/>
      <c r="R1" s="615"/>
      <c r="S1" s="616"/>
      <c r="T1" s="616"/>
      <c r="U1" s="616"/>
      <c r="V1" s="617"/>
      <c r="W1" s="14"/>
      <c r="X1" s="14"/>
    </row>
    <row r="2" spans="1:29" ht="18" customHeight="1">
      <c r="A2" s="630"/>
      <c r="B2" s="631"/>
      <c r="C2" s="631"/>
      <c r="D2" s="631"/>
      <c r="E2" s="631"/>
      <c r="F2" s="631"/>
      <c r="G2" s="632"/>
      <c r="H2" s="639"/>
      <c r="I2" s="640"/>
      <c r="J2" s="640"/>
      <c r="K2" s="640"/>
      <c r="L2" s="640"/>
      <c r="M2" s="640"/>
      <c r="N2" s="641"/>
      <c r="O2" s="612"/>
      <c r="P2" s="613"/>
      <c r="Q2" s="614"/>
      <c r="R2" s="642"/>
      <c r="S2" s="643"/>
      <c r="T2" s="643"/>
      <c r="U2" s="643"/>
      <c r="V2" s="644"/>
      <c r="W2" s="14"/>
      <c r="X2" s="14"/>
    </row>
    <row r="3" spans="1:29" ht="18" customHeight="1">
      <c r="A3" s="630"/>
      <c r="B3" s="631"/>
      <c r="C3" s="631"/>
      <c r="D3" s="631"/>
      <c r="E3" s="631"/>
      <c r="F3" s="631"/>
      <c r="G3" s="632"/>
      <c r="H3" s="645" t="s">
        <v>990</v>
      </c>
      <c r="I3" s="646"/>
      <c r="J3" s="646"/>
      <c r="K3" s="646"/>
      <c r="L3" s="646"/>
      <c r="M3" s="646"/>
      <c r="N3" s="647"/>
      <c r="O3" s="612"/>
      <c r="P3" s="613"/>
      <c r="Q3" s="614"/>
      <c r="R3" s="615"/>
      <c r="S3" s="616"/>
      <c r="T3" s="616"/>
      <c r="U3" s="616"/>
      <c r="V3" s="617"/>
      <c r="W3" s="14"/>
      <c r="X3" s="14"/>
    </row>
    <row r="4" spans="1:29" ht="18" customHeight="1">
      <c r="A4" s="633"/>
      <c r="B4" s="634"/>
      <c r="C4" s="634"/>
      <c r="D4" s="634"/>
      <c r="E4" s="634"/>
      <c r="F4" s="634"/>
      <c r="G4" s="635"/>
      <c r="H4" s="648"/>
      <c r="I4" s="649"/>
      <c r="J4" s="649"/>
      <c r="K4" s="649"/>
      <c r="L4" s="649"/>
      <c r="M4" s="649"/>
      <c r="N4" s="650"/>
      <c r="O4" s="612"/>
      <c r="P4" s="613"/>
      <c r="Q4" s="614"/>
      <c r="R4" s="615"/>
      <c r="S4" s="616"/>
      <c r="T4" s="616"/>
      <c r="U4" s="616"/>
      <c r="V4" s="617"/>
      <c r="W4" s="14"/>
      <c r="X4" s="14"/>
    </row>
    <row r="5" spans="1:29" ht="18" customHeight="1">
      <c r="A5" s="618"/>
      <c r="B5" s="619"/>
      <c r="C5" s="25"/>
      <c r="D5" s="618"/>
      <c r="E5" s="620"/>
      <c r="F5" s="619"/>
      <c r="G5" s="25"/>
      <c r="H5" s="621"/>
      <c r="I5" s="622"/>
      <c r="J5" s="622"/>
      <c r="K5" s="622"/>
      <c r="L5" s="622"/>
      <c r="M5" s="622"/>
      <c r="N5" s="623"/>
      <c r="O5" s="624"/>
      <c r="P5" s="625"/>
      <c r="Q5" s="626"/>
      <c r="R5" s="615"/>
      <c r="S5" s="616"/>
      <c r="T5" s="616"/>
      <c r="U5" s="616"/>
      <c r="V5" s="617"/>
      <c r="W5" s="14"/>
      <c r="X5" s="14"/>
    </row>
    <row r="6" spans="1:29" ht="18" customHeight="1">
      <c r="A6" s="196"/>
      <c r="V6" s="197"/>
    </row>
    <row r="7" spans="1:29" ht="18" customHeight="1">
      <c r="A7" s="196"/>
      <c r="B7" s="659" t="s">
        <v>120</v>
      </c>
      <c r="C7" s="660"/>
      <c r="D7" s="659" t="s">
        <v>517</v>
      </c>
      <c r="E7" s="661"/>
      <c r="F7" s="267"/>
      <c r="H7" s="664" t="s">
        <v>570</v>
      </c>
      <c r="I7" s="665"/>
      <c r="J7" s="665"/>
      <c r="K7" s="665"/>
      <c r="L7" s="665"/>
      <c r="M7" s="665"/>
      <c r="P7" s="198"/>
      <c r="S7" s="199" t="s">
        <v>398</v>
      </c>
      <c r="T7" s="655" t="s">
        <v>571</v>
      </c>
      <c r="U7" s="656"/>
      <c r="V7" s="197"/>
    </row>
    <row r="8" spans="1:29" ht="18" customHeight="1">
      <c r="A8" s="196"/>
      <c r="B8" s="657"/>
      <c r="C8" s="658"/>
      <c r="D8" s="662"/>
      <c r="E8" s="663"/>
      <c r="F8" s="267"/>
      <c r="T8" s="655"/>
      <c r="U8" s="656"/>
      <c r="V8" s="197"/>
    </row>
    <row r="9" spans="1:29" ht="18" customHeight="1">
      <c r="A9" s="196"/>
      <c r="H9" s="666" t="s">
        <v>401</v>
      </c>
      <c r="I9" s="666"/>
      <c r="J9" s="667" t="s">
        <v>402</v>
      </c>
      <c r="K9" s="667"/>
      <c r="L9" s="667" t="s">
        <v>403</v>
      </c>
      <c r="M9" s="667"/>
      <c r="T9" s="655"/>
      <c r="U9" s="656"/>
      <c r="V9" s="197"/>
    </row>
    <row r="10" spans="1:29" ht="18" customHeight="1">
      <c r="A10" s="196"/>
      <c r="B10" s="47" t="s">
        <v>404</v>
      </c>
      <c r="H10" s="651">
        <v>1000</v>
      </c>
      <c r="I10" s="652"/>
      <c r="J10" s="653">
        <v>600</v>
      </c>
      <c r="K10" s="654"/>
      <c r="L10" s="653" t="s">
        <v>7</v>
      </c>
      <c r="M10" s="654"/>
      <c r="N10" s="203" t="s">
        <v>353</v>
      </c>
      <c r="O10" s="125">
        <v>1</v>
      </c>
      <c r="P10" s="27" t="s">
        <v>9</v>
      </c>
      <c r="R10" s="267"/>
      <c r="S10" s="267"/>
      <c r="T10" s="655"/>
      <c r="U10" s="656"/>
      <c r="V10" s="197"/>
    </row>
    <row r="11" spans="1:29" ht="18" customHeight="1">
      <c r="A11" s="196"/>
      <c r="B11" s="47" t="s">
        <v>405</v>
      </c>
      <c r="H11" s="305" t="s">
        <v>572</v>
      </c>
      <c r="I11" s="306">
        <v>20</v>
      </c>
      <c r="V11" s="197"/>
    </row>
    <row r="12" spans="1:29" ht="18" customHeight="1">
      <c r="A12" s="196"/>
      <c r="B12" s="47" t="s">
        <v>407</v>
      </c>
      <c r="G12" s="120" t="s">
        <v>508</v>
      </c>
      <c r="H12" s="657">
        <v>14</v>
      </c>
      <c r="I12" s="658"/>
      <c r="J12" s="204" t="s">
        <v>344</v>
      </c>
      <c r="L12" s="464"/>
      <c r="M12" s="464"/>
      <c r="N12" s="464"/>
      <c r="O12" s="464"/>
      <c r="P12" s="464"/>
      <c r="Q12" s="464"/>
      <c r="R12" s="464"/>
      <c r="S12" s="464"/>
      <c r="T12" s="464"/>
      <c r="U12" s="464"/>
      <c r="V12" s="197"/>
    </row>
    <row r="13" spans="1:29" ht="18" customHeight="1">
      <c r="A13" s="196"/>
      <c r="B13" s="47" t="s">
        <v>573</v>
      </c>
      <c r="G13" s="120" t="s">
        <v>504</v>
      </c>
      <c r="H13" s="657">
        <v>13</v>
      </c>
      <c r="I13" s="658"/>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670">
        <f>'CT-VT Burdens'!Q54</f>
        <v>0.02</v>
      </c>
      <c r="K17" s="671"/>
      <c r="L17" s="3" t="s">
        <v>168</v>
      </c>
      <c r="N17" s="209" t="s">
        <v>521</v>
      </c>
      <c r="V17" s="197"/>
    </row>
    <row r="18" spans="1:25" ht="18" customHeight="1">
      <c r="A18" s="196"/>
      <c r="B18" s="96" t="s">
        <v>416</v>
      </c>
      <c r="D18" s="308">
        <f>T8</f>
        <v>0</v>
      </c>
      <c r="I18" s="189" t="s">
        <v>138</v>
      </c>
      <c r="J18" s="672"/>
      <c r="K18" s="673"/>
      <c r="L18" s="210" t="s">
        <v>168</v>
      </c>
      <c r="P18" s="256"/>
      <c r="V18" s="197"/>
    </row>
    <row r="19" spans="1:25" ht="18" customHeight="1">
      <c r="A19" s="196"/>
      <c r="B19" s="96" t="s">
        <v>416</v>
      </c>
      <c r="C19" s="14"/>
      <c r="D19" s="47">
        <f>T9</f>
        <v>0</v>
      </c>
      <c r="E19" s="14"/>
      <c r="G19" s="211"/>
      <c r="H19" s="27"/>
      <c r="I19" s="101" t="s">
        <v>138</v>
      </c>
      <c r="J19" s="674"/>
      <c r="K19" s="675"/>
      <c r="L19" s="214" t="s">
        <v>168</v>
      </c>
      <c r="V19" s="197"/>
    </row>
    <row r="20" spans="1:25" ht="18" customHeight="1">
      <c r="A20" s="196"/>
      <c r="B20" s="96" t="s">
        <v>416</v>
      </c>
      <c r="C20" s="14"/>
      <c r="D20" s="47"/>
      <c r="E20" s="14"/>
      <c r="G20" s="211"/>
      <c r="H20" s="27"/>
      <c r="I20" s="101"/>
      <c r="J20" s="674"/>
      <c r="K20" s="670"/>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76">
        <f>'CT-VT Burdens'!S22</f>
        <v>0.44875935000000006</v>
      </c>
      <c r="K21" s="677"/>
      <c r="L21" s="309" t="s">
        <v>168</v>
      </c>
      <c r="O21" s="27" t="s">
        <v>138</v>
      </c>
      <c r="P21" s="27">
        <f>O10</f>
        <v>1</v>
      </c>
      <c r="Q21" s="27" t="s">
        <v>326</v>
      </c>
      <c r="R21" s="27">
        <f>O10</f>
        <v>1</v>
      </c>
      <c r="S21" s="27" t="s">
        <v>326</v>
      </c>
      <c r="T21" s="27">
        <f>H12</f>
        <v>14</v>
      </c>
      <c r="V21" s="197"/>
    </row>
    <row r="22" spans="1:25" ht="18" customHeight="1">
      <c r="A22" s="196"/>
      <c r="B22" s="1" t="s">
        <v>424</v>
      </c>
      <c r="C22" s="2"/>
      <c r="D22" s="2"/>
      <c r="E22" s="2"/>
      <c r="F22" s="208"/>
      <c r="G22" s="208"/>
      <c r="H22" s="236" t="s">
        <v>523</v>
      </c>
      <c r="I22" s="195" t="s">
        <v>138</v>
      </c>
      <c r="J22" s="678">
        <f>SUM(J17:J21)</f>
        <v>0.46875935000000007</v>
      </c>
      <c r="K22" s="679"/>
      <c r="L22" s="3" t="s">
        <v>168</v>
      </c>
      <c r="O22" s="27" t="s">
        <v>138</v>
      </c>
      <c r="P22" s="668">
        <f>P21*R21*T21</f>
        <v>14</v>
      </c>
      <c r="Q22" s="665"/>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64">
        <f>'Parameters &amp; Fault Cal. (4)'!Q10*1000</f>
        <v>50000</v>
      </c>
      <c r="T24" s="664"/>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64">
        <f>H10</f>
        <v>1000</v>
      </c>
      <c r="T25" s="664"/>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69">
        <f>P22</f>
        <v>14</v>
      </c>
      <c r="T26" s="664"/>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69">
        <f>J22</f>
        <v>0.46875935000000007</v>
      </c>
      <c r="T27" s="664"/>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64">
        <f>O10</f>
        <v>1</v>
      </c>
      <c r="T28" s="664"/>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64">
        <f>I11</f>
        <v>20</v>
      </c>
      <c r="T29" s="664"/>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64">
        <f>H13</f>
        <v>13</v>
      </c>
      <c r="T30" s="664"/>
      <c r="U30" s="14" t="s">
        <v>168</v>
      </c>
      <c r="V30" s="312"/>
      <c r="W30" s="291"/>
      <c r="X30" s="291"/>
      <c r="Y30" s="291"/>
    </row>
    <row r="31" spans="1:25" ht="18" customHeight="1">
      <c r="A31" s="196"/>
      <c r="V31" s="197"/>
    </row>
    <row r="32" spans="1:25" ht="18" customHeight="1">
      <c r="A32" s="196"/>
      <c r="E32" s="256" t="s">
        <v>123</v>
      </c>
      <c r="F32" s="27" t="s">
        <v>138</v>
      </c>
      <c r="G32" s="664" t="s">
        <v>555</v>
      </c>
      <c r="H32" s="664"/>
      <c r="I32" s="203" t="s">
        <v>353</v>
      </c>
      <c r="J32" s="665" t="s">
        <v>434</v>
      </c>
      <c r="K32" s="665"/>
      <c r="V32" s="197"/>
    </row>
    <row r="33" spans="1:22" ht="18" customHeight="1">
      <c r="A33" s="196"/>
      <c r="F33" s="27" t="s">
        <v>138</v>
      </c>
      <c r="G33" s="665">
        <f>S24</f>
        <v>50000</v>
      </c>
      <c r="H33" s="665"/>
      <c r="I33" s="203" t="s">
        <v>353</v>
      </c>
      <c r="J33" s="665">
        <f>S25</f>
        <v>1000</v>
      </c>
      <c r="K33" s="665"/>
      <c r="V33" s="197"/>
    </row>
    <row r="34" spans="1:22" ht="18" customHeight="1">
      <c r="A34" s="196"/>
      <c r="F34" s="27" t="s">
        <v>138</v>
      </c>
      <c r="G34" s="668">
        <f>G33/J33</f>
        <v>50</v>
      </c>
      <c r="H34" s="668"/>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14</v>
      </c>
      <c r="J37" s="257" t="s">
        <v>358</v>
      </c>
      <c r="K37" s="254">
        <f>S30</f>
        <v>13</v>
      </c>
      <c r="L37" s="257" t="s">
        <v>550</v>
      </c>
      <c r="M37" s="313">
        <f>S26</f>
        <v>14</v>
      </c>
      <c r="N37" s="257" t="s">
        <v>358</v>
      </c>
      <c r="O37" s="313">
        <f>S27</f>
        <v>0.46875935000000007</v>
      </c>
      <c r="P37" s="308" t="s">
        <v>361</v>
      </c>
      <c r="V37" s="197"/>
    </row>
    <row r="38" spans="1:22" ht="18" customHeight="1">
      <c r="A38" s="196"/>
      <c r="F38" s="27" t="s">
        <v>138</v>
      </c>
      <c r="G38" s="680">
        <f>G37*((I37+K37)/(M37+O37))</f>
        <v>37.321790136761102</v>
      </c>
      <c r="H38" s="680"/>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668">
        <f>G38</f>
        <v>37.321790136761102</v>
      </c>
      <c r="E41" s="668"/>
      <c r="F41" s="27" t="str">
        <f>F40</f>
        <v>&lt;</v>
      </c>
      <c r="G41" s="668">
        <f>G34</f>
        <v>50</v>
      </c>
      <c r="H41" s="668"/>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81" t="str">
        <f>B7</f>
        <v>T1</v>
      </c>
      <c r="C48" s="682"/>
      <c r="D48" s="683" t="str">
        <f>D7</f>
        <v>Core2</v>
      </c>
      <c r="E48" s="684"/>
      <c r="F48" s="267"/>
      <c r="H48" s="665" t="str">
        <f>H7</f>
        <v>(OC +BCU)</v>
      </c>
      <c r="I48" s="665"/>
      <c r="J48" s="665"/>
      <c r="K48" s="665"/>
      <c r="L48" s="665"/>
      <c r="M48" s="665"/>
      <c r="P48" s="198"/>
      <c r="S48" s="199" t="s">
        <v>398</v>
      </c>
      <c r="T48" s="693" t="str">
        <f>T7</f>
        <v>7SJ85</v>
      </c>
      <c r="U48" s="694"/>
      <c r="V48" s="197"/>
    </row>
    <row r="49" spans="1:30" ht="18" customHeight="1">
      <c r="A49" s="196"/>
      <c r="B49" s="695">
        <f>B8</f>
        <v>0</v>
      </c>
      <c r="C49" s="695"/>
      <c r="D49" s="685"/>
      <c r="E49" s="686"/>
      <c r="F49" s="267"/>
      <c r="T49" s="693">
        <f>T8</f>
        <v>0</v>
      </c>
      <c r="U49" s="694"/>
      <c r="V49" s="197"/>
    </row>
    <row r="50" spans="1:30" ht="18" customHeight="1">
      <c r="A50" s="196"/>
      <c r="H50" s="696" t="s">
        <v>401</v>
      </c>
      <c r="I50" s="696"/>
      <c r="J50" s="666" t="s">
        <v>402</v>
      </c>
      <c r="K50" s="666"/>
      <c r="L50" s="696" t="s">
        <v>403</v>
      </c>
      <c r="M50" s="696"/>
      <c r="T50" s="687">
        <f>T9</f>
        <v>0</v>
      </c>
      <c r="U50" s="688"/>
      <c r="V50" s="197"/>
    </row>
    <row r="51" spans="1:30" ht="18" customHeight="1">
      <c r="A51" s="196"/>
      <c r="B51" s="47" t="s">
        <v>404</v>
      </c>
      <c r="H51" s="681">
        <f>H10</f>
        <v>1000</v>
      </c>
      <c r="I51" s="682"/>
      <c r="J51" s="703">
        <f>J10</f>
        <v>600</v>
      </c>
      <c r="K51" s="704"/>
      <c r="L51" s="681" t="str">
        <f>L10</f>
        <v>-</v>
      </c>
      <c r="M51" s="682"/>
      <c r="N51" s="203" t="s">
        <v>353</v>
      </c>
      <c r="O51" s="501">
        <f>O10</f>
        <v>1</v>
      </c>
      <c r="P51" s="27" t="s">
        <v>9</v>
      </c>
      <c r="R51" s="267"/>
      <c r="S51" s="267"/>
      <c r="T51" s="687">
        <f>T10</f>
        <v>0</v>
      </c>
      <c r="U51" s="688"/>
      <c r="V51" s="197"/>
    </row>
    <row r="52" spans="1:30" ht="18" customHeight="1">
      <c r="A52" s="196"/>
      <c r="B52" s="47" t="s">
        <v>405</v>
      </c>
      <c r="J52" s="503" t="str">
        <f>H11</f>
        <v>5P</v>
      </c>
      <c r="K52" s="502">
        <f>I11</f>
        <v>20</v>
      </c>
      <c r="V52" s="197"/>
    </row>
    <row r="53" spans="1:30" ht="18" customHeight="1">
      <c r="A53" s="196"/>
      <c r="B53" s="47" t="s">
        <v>407</v>
      </c>
      <c r="I53" s="120" t="s">
        <v>508</v>
      </c>
      <c r="J53" s="689">
        <v>10</v>
      </c>
      <c r="K53" s="690"/>
      <c r="L53" s="204" t="s">
        <v>344</v>
      </c>
      <c r="V53" s="197"/>
    </row>
    <row r="54" spans="1:30" ht="18" customHeight="1">
      <c r="A54" s="196"/>
      <c r="B54" s="47" t="s">
        <v>573</v>
      </c>
      <c r="I54" s="120" t="s">
        <v>504</v>
      </c>
      <c r="J54" s="691">
        <v>12</v>
      </c>
      <c r="K54" s="692"/>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678">
        <f>J17</f>
        <v>0.02</v>
      </c>
      <c r="K58" s="679"/>
      <c r="L58" s="3" t="s">
        <v>168</v>
      </c>
      <c r="N58" s="209" t="s">
        <v>521</v>
      </c>
      <c r="V58" s="197"/>
    </row>
    <row r="59" spans="1:30" ht="18" customHeight="1">
      <c r="A59" s="196"/>
      <c r="B59" s="96" t="s">
        <v>416</v>
      </c>
      <c r="D59" s="308">
        <f>T49</f>
        <v>0</v>
      </c>
      <c r="I59" s="189" t="s">
        <v>138</v>
      </c>
      <c r="J59" s="697">
        <f>J18</f>
        <v>0</v>
      </c>
      <c r="K59" s="698"/>
      <c r="L59" s="210" t="s">
        <v>168</v>
      </c>
      <c r="P59" s="256"/>
      <c r="V59" s="197"/>
    </row>
    <row r="60" spans="1:30" ht="18" customHeight="1">
      <c r="A60" s="196"/>
      <c r="B60" s="96" t="s">
        <v>416</v>
      </c>
      <c r="C60" s="14"/>
      <c r="D60" s="47">
        <f>T50</f>
        <v>0</v>
      </c>
      <c r="E60" s="14"/>
      <c r="G60" s="211"/>
      <c r="H60" s="27"/>
      <c r="I60" s="101" t="s">
        <v>138</v>
      </c>
      <c r="J60" s="699">
        <f>J19</f>
        <v>0</v>
      </c>
      <c r="K60" s="700"/>
      <c r="L60" s="214" t="s">
        <v>168</v>
      </c>
      <c r="V60" s="197"/>
    </row>
    <row r="61" spans="1:30" ht="18" customHeight="1">
      <c r="A61" s="196"/>
      <c r="B61" s="96" t="s">
        <v>416</v>
      </c>
      <c r="C61" s="14"/>
      <c r="D61" s="47">
        <f>T51</f>
        <v>0</v>
      </c>
      <c r="E61" s="14"/>
      <c r="G61" s="211"/>
      <c r="H61" s="27"/>
      <c r="I61" s="101"/>
      <c r="J61" s="699">
        <f>J20</f>
        <v>0</v>
      </c>
      <c r="K61" s="700"/>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701">
        <f>J21</f>
        <v>0.44875935000000006</v>
      </c>
      <c r="K62" s="702"/>
      <c r="L62" s="309" t="s">
        <v>168</v>
      </c>
      <c r="O62" s="27" t="s">
        <v>138</v>
      </c>
      <c r="P62" s="27">
        <f>O51</f>
        <v>1</v>
      </c>
      <c r="Q62" s="27" t="s">
        <v>326</v>
      </c>
      <c r="R62" s="27">
        <f>O51</f>
        <v>1</v>
      </c>
      <c r="S62" s="27" t="s">
        <v>326</v>
      </c>
      <c r="T62" s="27">
        <f>J53</f>
        <v>10</v>
      </c>
      <c r="V62" s="197"/>
    </row>
    <row r="63" spans="1:30" ht="18" customHeight="1">
      <c r="A63" s="196"/>
      <c r="B63" s="1" t="s">
        <v>424</v>
      </c>
      <c r="C63" s="2"/>
      <c r="D63" s="2"/>
      <c r="E63" s="2"/>
      <c r="F63" s="208"/>
      <c r="G63" s="208"/>
      <c r="H63" s="236" t="s">
        <v>523</v>
      </c>
      <c r="I63" s="195" t="s">
        <v>138</v>
      </c>
      <c r="J63" s="678">
        <f>SUM(J58:J62)</f>
        <v>0.46875935000000007</v>
      </c>
      <c r="K63" s="679"/>
      <c r="L63" s="3" t="s">
        <v>168</v>
      </c>
      <c r="O63" s="27" t="s">
        <v>138</v>
      </c>
      <c r="P63" s="668">
        <f>P62*R62*T62</f>
        <v>10</v>
      </c>
      <c r="Q63" s="665"/>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64">
        <f>S24</f>
        <v>50000</v>
      </c>
      <c r="T65" s="664"/>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64">
        <f>J51</f>
        <v>600</v>
      </c>
      <c r="T66" s="664"/>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69">
        <f>P63</f>
        <v>10</v>
      </c>
      <c r="T67" s="664"/>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69">
        <f>J63</f>
        <v>0.46875935000000007</v>
      </c>
      <c r="T68" s="664"/>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64">
        <f>O51</f>
        <v>1</v>
      </c>
      <c r="T69" s="664"/>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64">
        <f>K52</f>
        <v>20</v>
      </c>
      <c r="T70" s="664"/>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64">
        <f>J54</f>
        <v>12</v>
      </c>
      <c r="T71" s="664"/>
      <c r="U71" s="14" t="s">
        <v>168</v>
      </c>
      <c r="V71" s="312"/>
      <c r="W71" s="291"/>
      <c r="X71" s="291"/>
      <c r="Y71" s="291"/>
    </row>
    <row r="72" spans="1:25" ht="18" customHeight="1">
      <c r="A72" s="196"/>
      <c r="V72" s="197"/>
    </row>
    <row r="73" spans="1:25" ht="18" customHeight="1">
      <c r="A73" s="196"/>
      <c r="E73" s="256" t="s">
        <v>123</v>
      </c>
      <c r="F73" s="27" t="s">
        <v>138</v>
      </c>
      <c r="G73" s="664" t="s">
        <v>555</v>
      </c>
      <c r="H73" s="664"/>
      <c r="I73" s="203" t="s">
        <v>353</v>
      </c>
      <c r="J73" s="665" t="s">
        <v>434</v>
      </c>
      <c r="K73" s="665"/>
      <c r="V73" s="197"/>
    </row>
    <row r="74" spans="1:25" ht="18" customHeight="1">
      <c r="A74" s="196"/>
      <c r="F74" s="27" t="s">
        <v>138</v>
      </c>
      <c r="G74" s="665">
        <f>S65</f>
        <v>50000</v>
      </c>
      <c r="H74" s="665"/>
      <c r="I74" s="203" t="s">
        <v>353</v>
      </c>
      <c r="J74" s="665">
        <f>S66</f>
        <v>600</v>
      </c>
      <c r="K74" s="665"/>
      <c r="V74" s="197"/>
    </row>
    <row r="75" spans="1:25" ht="18" customHeight="1">
      <c r="A75" s="196"/>
      <c r="F75" s="27" t="s">
        <v>138</v>
      </c>
      <c r="G75" s="668">
        <f>G74/J74</f>
        <v>83.333333333333329</v>
      </c>
      <c r="H75" s="668"/>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10</v>
      </c>
      <c r="J78" s="257" t="s">
        <v>358</v>
      </c>
      <c r="K78" s="254">
        <f>S71</f>
        <v>12</v>
      </c>
      <c r="L78" s="257" t="s">
        <v>550</v>
      </c>
      <c r="M78" s="313">
        <f>S67</f>
        <v>10</v>
      </c>
      <c r="N78" s="257" t="s">
        <v>358</v>
      </c>
      <c r="O78" s="313">
        <f>S68</f>
        <v>0.46875935000000007</v>
      </c>
      <c r="P78" s="308" t="s">
        <v>361</v>
      </c>
      <c r="V78" s="197"/>
    </row>
    <row r="79" spans="1:25" ht="18" customHeight="1">
      <c r="A79" s="196"/>
      <c r="F79" s="27" t="s">
        <v>138</v>
      </c>
      <c r="G79" s="680">
        <f>G78*((I78+K78)/(M78+O78))</f>
        <v>42.029813207999666</v>
      </c>
      <c r="H79" s="680"/>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668">
        <f>G79</f>
        <v>42.029813207999666</v>
      </c>
      <c r="E82" s="668"/>
      <c r="F82" s="27" t="str">
        <f>F81</f>
        <v>&lt;</v>
      </c>
      <c r="G82" s="668">
        <f>G75</f>
        <v>83.333333333333329</v>
      </c>
      <c r="H82" s="668"/>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08" t="str">
        <f>B48</f>
        <v>T1</v>
      </c>
      <c r="C89" s="709"/>
      <c r="D89" s="710" t="str">
        <f>D48</f>
        <v>Core2</v>
      </c>
      <c r="E89" s="711"/>
      <c r="F89" s="267"/>
      <c r="H89" s="665" t="str">
        <f>H48</f>
        <v>(OC +BCU)</v>
      </c>
      <c r="I89" s="665"/>
      <c r="J89" s="665"/>
      <c r="K89" s="665"/>
      <c r="L89" s="665"/>
      <c r="M89" s="665"/>
      <c r="P89" s="198"/>
      <c r="S89" s="199" t="s">
        <v>398</v>
      </c>
      <c r="T89" s="705" t="str">
        <f>T48</f>
        <v>7SJ85</v>
      </c>
      <c r="U89" s="706"/>
      <c r="V89" s="197"/>
    </row>
    <row r="90" spans="1:23" ht="18" hidden="1" customHeight="1">
      <c r="A90" s="196"/>
      <c r="B90" s="707">
        <f>B49</f>
        <v>0</v>
      </c>
      <c r="C90" s="707"/>
      <c r="D90" s="712"/>
      <c r="E90" s="713"/>
      <c r="F90" s="267"/>
      <c r="T90" s="705">
        <f>T49</f>
        <v>0</v>
      </c>
      <c r="U90" s="706"/>
      <c r="V90" s="197"/>
    </row>
    <row r="91" spans="1:23" ht="18" hidden="1" customHeight="1">
      <c r="A91" s="196"/>
      <c r="H91" s="696" t="s">
        <v>401</v>
      </c>
      <c r="I91" s="696"/>
      <c r="J91" s="696" t="s">
        <v>402</v>
      </c>
      <c r="K91" s="696"/>
      <c r="L91" s="666" t="s">
        <v>403</v>
      </c>
      <c r="M91" s="666"/>
      <c r="T91" s="705">
        <f>T50</f>
        <v>0</v>
      </c>
      <c r="U91" s="706"/>
      <c r="V91" s="197"/>
    </row>
    <row r="92" spans="1:23" ht="18" hidden="1" customHeight="1">
      <c r="A92" s="196"/>
      <c r="B92" s="47" t="s">
        <v>404</v>
      </c>
      <c r="H92" s="708">
        <f>H51</f>
        <v>1000</v>
      </c>
      <c r="I92" s="709"/>
      <c r="J92" s="708">
        <f>J51</f>
        <v>600</v>
      </c>
      <c r="K92" s="709"/>
      <c r="L92" s="714" t="str">
        <f>L51</f>
        <v>-</v>
      </c>
      <c r="M92" s="715"/>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7" t="s">
        <v>7</v>
      </c>
      <c r="M94" s="658"/>
      <c r="N94" s="204" t="s">
        <v>344</v>
      </c>
      <c r="V94" s="197"/>
    </row>
    <row r="95" spans="1:23" ht="18" hidden="1" customHeight="1">
      <c r="A95" s="196"/>
      <c r="B95" s="47" t="s">
        <v>573</v>
      </c>
      <c r="K95" s="120" t="s">
        <v>504</v>
      </c>
      <c r="L95" s="653" t="s">
        <v>7</v>
      </c>
      <c r="M95" s="654"/>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78">
        <f>J58</f>
        <v>0.02</v>
      </c>
      <c r="K99" s="679"/>
      <c r="L99" s="3" t="s">
        <v>168</v>
      </c>
      <c r="N99" s="209" t="s">
        <v>521</v>
      </c>
      <c r="V99" s="197"/>
    </row>
    <row r="100" spans="1:25" ht="18" hidden="1" customHeight="1">
      <c r="A100" s="196"/>
      <c r="B100" s="96" t="s">
        <v>416</v>
      </c>
      <c r="D100" s="308">
        <f>T90</f>
        <v>0</v>
      </c>
      <c r="I100" s="189" t="s">
        <v>138</v>
      </c>
      <c r="J100" s="697">
        <f>J59</f>
        <v>0</v>
      </c>
      <c r="K100" s="698"/>
      <c r="L100" s="210" t="s">
        <v>168</v>
      </c>
      <c r="P100" s="256"/>
      <c r="V100" s="197"/>
    </row>
    <row r="101" spans="1:25" ht="18" hidden="1" customHeight="1">
      <c r="A101" s="196"/>
      <c r="B101" s="96" t="s">
        <v>416</v>
      </c>
      <c r="C101" s="14"/>
      <c r="D101" s="47">
        <f>T91</f>
        <v>0</v>
      </c>
      <c r="E101" s="14"/>
      <c r="G101" s="211"/>
      <c r="H101" s="27"/>
      <c r="I101" s="101" t="s">
        <v>138</v>
      </c>
      <c r="J101" s="699">
        <f>J60</f>
        <v>0</v>
      </c>
      <c r="K101" s="700"/>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701">
        <f>J62</f>
        <v>0.44875935000000006</v>
      </c>
      <c r="K102" s="70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78">
        <f>SUM(J99:J102)</f>
        <v>0.46875935000000007</v>
      </c>
      <c r="K103" s="679"/>
      <c r="L103" s="3" t="s">
        <v>168</v>
      </c>
      <c r="O103" s="27" t="s">
        <v>138</v>
      </c>
      <c r="P103" s="668" t="e">
        <f>P102*R102*T102</f>
        <v>#VALUE!</v>
      </c>
      <c r="Q103" s="665"/>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64">
        <f>S65</f>
        <v>50000</v>
      </c>
      <c r="T105" s="664"/>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64">
        <f>J92</f>
        <v>600</v>
      </c>
      <c r="T106" s="664"/>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69" t="e">
        <f>P103</f>
        <v>#VALUE!</v>
      </c>
      <c r="T107" s="664"/>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69">
        <f>J103</f>
        <v>0.46875935000000007</v>
      </c>
      <c r="T108" s="664"/>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64">
        <f>O92</f>
        <v>1</v>
      </c>
      <c r="T109" s="664"/>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64">
        <f>M93</f>
        <v>20</v>
      </c>
      <c r="T110" s="664"/>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64" t="str">
        <f>L95</f>
        <v>-</v>
      </c>
      <c r="T111" s="664"/>
      <c r="U111" s="14" t="s">
        <v>168</v>
      </c>
      <c r="V111" s="312"/>
      <c r="W111" s="291"/>
      <c r="X111" s="291"/>
      <c r="Y111" s="291"/>
    </row>
    <row r="112" spans="1:25" ht="18" hidden="1" customHeight="1">
      <c r="A112" s="196"/>
      <c r="V112" s="197"/>
    </row>
    <row r="113" spans="1:22" ht="18" hidden="1" customHeight="1">
      <c r="A113" s="196"/>
      <c r="E113" s="256" t="s">
        <v>123</v>
      </c>
      <c r="F113" s="27" t="s">
        <v>138</v>
      </c>
      <c r="G113" s="664" t="s">
        <v>555</v>
      </c>
      <c r="H113" s="664"/>
      <c r="I113" s="203" t="s">
        <v>353</v>
      </c>
      <c r="J113" s="665" t="s">
        <v>434</v>
      </c>
      <c r="K113" s="665"/>
      <c r="V113" s="197"/>
    </row>
    <row r="114" spans="1:22" ht="18" hidden="1" customHeight="1">
      <c r="A114" s="196"/>
      <c r="F114" s="27" t="s">
        <v>138</v>
      </c>
      <c r="G114" s="665">
        <f>S105</f>
        <v>50000</v>
      </c>
      <c r="H114" s="665"/>
      <c r="I114" s="203" t="s">
        <v>353</v>
      </c>
      <c r="J114" s="665">
        <f>S106</f>
        <v>600</v>
      </c>
      <c r="K114" s="665"/>
      <c r="V114" s="197"/>
    </row>
    <row r="115" spans="1:22" ht="18" hidden="1" customHeight="1">
      <c r="A115" s="196"/>
      <c r="F115" s="27" t="s">
        <v>138</v>
      </c>
      <c r="G115" s="668">
        <f>G114/J114</f>
        <v>83.333333333333329</v>
      </c>
      <c r="H115" s="668"/>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0.46875935000000007</v>
      </c>
      <c r="P118" s="308" t="s">
        <v>361</v>
      </c>
      <c r="V118" s="197"/>
    </row>
    <row r="119" spans="1:22" ht="18" hidden="1" customHeight="1">
      <c r="A119" s="196"/>
      <c r="F119" s="27" t="s">
        <v>138</v>
      </c>
      <c r="G119" s="680" t="e">
        <f>G118*((I118+K118)/(M118+O118))</f>
        <v>#VALUE!</v>
      </c>
      <c r="H119" s="68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68" t="e">
        <f>G119</f>
        <v>#VALUE!</v>
      </c>
      <c r="E122" s="668"/>
      <c r="F122" s="27" t="e">
        <f>F121</f>
        <v>#VALUE!</v>
      </c>
      <c r="G122" s="668">
        <f>G115</f>
        <v>83.333333333333329</v>
      </c>
      <c r="H122" s="668"/>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16" t="s">
        <v>97</v>
      </c>
      <c r="B134" s="729"/>
      <c r="C134" s="717"/>
      <c r="D134" s="716" t="s">
        <v>98</v>
      </c>
      <c r="E134" s="729"/>
      <c r="F134" s="717"/>
      <c r="G134" s="716" t="s">
        <v>99</v>
      </c>
      <c r="H134" s="717"/>
      <c r="I134" s="716" t="s">
        <v>100</v>
      </c>
      <c r="J134" s="717"/>
      <c r="K134" s="716" t="s">
        <v>513</v>
      </c>
      <c r="L134" s="717"/>
      <c r="M134" s="716" t="s">
        <v>575</v>
      </c>
      <c r="N134" s="717"/>
      <c r="O134" s="716"/>
      <c r="P134" s="717"/>
      <c r="Q134" s="716" t="s">
        <v>516</v>
      </c>
      <c r="R134" s="717"/>
      <c r="S134" s="716" t="s">
        <v>105</v>
      </c>
      <c r="T134" s="729"/>
      <c r="U134" s="729"/>
      <c r="V134" s="717"/>
    </row>
    <row r="135" spans="1:22" ht="18" customHeight="1">
      <c r="A135" s="718"/>
      <c r="B135" s="730"/>
      <c r="C135" s="719"/>
      <c r="D135" s="718"/>
      <c r="E135" s="730"/>
      <c r="F135" s="719"/>
      <c r="G135" s="718"/>
      <c r="H135" s="719"/>
      <c r="I135" s="718"/>
      <c r="J135" s="719"/>
      <c r="K135" s="718"/>
      <c r="L135" s="719"/>
      <c r="M135" s="718"/>
      <c r="N135" s="719"/>
      <c r="O135" s="718"/>
      <c r="P135" s="719"/>
      <c r="Q135" s="718"/>
      <c r="R135" s="719"/>
      <c r="S135" s="718"/>
      <c r="T135" s="730"/>
      <c r="U135" s="730"/>
      <c r="V135" s="719"/>
    </row>
    <row r="136" spans="1:22" ht="18" customHeight="1">
      <c r="A136" s="718"/>
      <c r="B136" s="730"/>
      <c r="C136" s="719"/>
      <c r="D136" s="718"/>
      <c r="E136" s="730"/>
      <c r="F136" s="719"/>
      <c r="G136" s="718"/>
      <c r="H136" s="719"/>
      <c r="I136" s="718"/>
      <c r="J136" s="719"/>
      <c r="K136" s="718"/>
      <c r="L136" s="719"/>
      <c r="M136" s="718"/>
      <c r="N136" s="719"/>
      <c r="O136" s="718"/>
      <c r="P136" s="719"/>
      <c r="Q136" s="718"/>
      <c r="R136" s="719"/>
      <c r="S136" s="718"/>
      <c r="T136" s="730"/>
      <c r="U136" s="730"/>
      <c r="V136" s="719"/>
    </row>
    <row r="137" spans="1:22" ht="18" customHeight="1">
      <c r="A137" s="720"/>
      <c r="B137" s="731"/>
      <c r="C137" s="721"/>
      <c r="D137" s="720"/>
      <c r="E137" s="731"/>
      <c r="F137" s="721"/>
      <c r="G137" s="720"/>
      <c r="H137" s="721"/>
      <c r="I137" s="720"/>
      <c r="J137" s="721"/>
      <c r="K137" s="720"/>
      <c r="L137" s="721"/>
      <c r="M137" s="720"/>
      <c r="N137" s="721"/>
      <c r="O137" s="720"/>
      <c r="P137" s="721"/>
      <c r="Q137" s="720"/>
      <c r="R137" s="721"/>
      <c r="S137" s="720"/>
      <c r="T137" s="731"/>
      <c r="U137" s="731"/>
      <c r="V137" s="721"/>
    </row>
    <row r="138" spans="1:22" ht="18" customHeight="1">
      <c r="A138" s="733" t="str">
        <f>B89</f>
        <v>T1</v>
      </c>
      <c r="B138" s="733" t="str">
        <f>D89</f>
        <v>Core2</v>
      </c>
      <c r="C138" s="733"/>
      <c r="D138" s="732">
        <f>H92</f>
        <v>1000</v>
      </c>
      <c r="E138" s="732"/>
      <c r="F138" s="734">
        <f>O92</f>
        <v>1</v>
      </c>
      <c r="G138" s="737">
        <f>'CT-VT Burdens'!S19</f>
        <v>50</v>
      </c>
      <c r="H138" s="740">
        <f>'CT-VT Burdens'!S10</f>
        <v>6</v>
      </c>
      <c r="I138" s="722" t="str">
        <f>L93</f>
        <v>5P</v>
      </c>
      <c r="J138" s="725">
        <f>M93</f>
        <v>20</v>
      </c>
      <c r="K138" s="728">
        <f>H12</f>
        <v>14</v>
      </c>
      <c r="L138" s="728"/>
      <c r="M138" s="728">
        <f>H13</f>
        <v>13</v>
      </c>
      <c r="N138" s="728"/>
      <c r="O138" s="732" t="s">
        <v>7</v>
      </c>
      <c r="P138" s="732"/>
      <c r="Q138" s="739" t="str">
        <f>CONCATENATE(T7," ",T8," ",T9," ",T10)</f>
        <v xml:space="preserve">7SJ85   </v>
      </c>
      <c r="R138" s="739"/>
      <c r="S138" s="738" t="str">
        <f>G42</f>
        <v>Under Dimensioned</v>
      </c>
      <c r="T138" s="738"/>
      <c r="U138" s="738"/>
      <c r="V138" s="738"/>
    </row>
    <row r="139" spans="1:22" ht="18" customHeight="1">
      <c r="A139" s="733"/>
      <c r="B139" s="733"/>
      <c r="C139" s="733"/>
      <c r="D139" s="732">
        <f>J92</f>
        <v>600</v>
      </c>
      <c r="E139" s="732"/>
      <c r="F139" s="735"/>
      <c r="G139" s="737"/>
      <c r="H139" s="740"/>
      <c r="I139" s="723"/>
      <c r="J139" s="726"/>
      <c r="K139" s="728">
        <f>J53</f>
        <v>10</v>
      </c>
      <c r="L139" s="728"/>
      <c r="M139" s="728">
        <f>J54</f>
        <v>12</v>
      </c>
      <c r="N139" s="728"/>
      <c r="O139" s="732" t="s">
        <v>7</v>
      </c>
      <c r="P139" s="732"/>
      <c r="Q139" s="739"/>
      <c r="R139" s="739"/>
      <c r="S139" s="738" t="str">
        <f>G83</f>
        <v>Under Dimentioned</v>
      </c>
      <c r="T139" s="738"/>
      <c r="U139" s="738"/>
      <c r="V139" s="738"/>
    </row>
    <row r="140" spans="1:22" ht="18" customHeight="1">
      <c r="A140" s="733"/>
      <c r="B140" s="733"/>
      <c r="C140" s="733"/>
      <c r="D140" s="732" t="s">
        <v>7</v>
      </c>
      <c r="E140" s="732"/>
      <c r="F140" s="736"/>
      <c r="G140" s="737"/>
      <c r="H140" s="740"/>
      <c r="I140" s="724"/>
      <c r="J140" s="727"/>
      <c r="K140" s="728" t="s">
        <v>7</v>
      </c>
      <c r="L140" s="728"/>
      <c r="M140" s="728" t="s">
        <v>7</v>
      </c>
      <c r="N140" s="728"/>
      <c r="O140" s="732" t="s">
        <v>7</v>
      </c>
      <c r="P140" s="732"/>
      <c r="Q140" s="739"/>
      <c r="R140" s="739"/>
      <c r="S140" s="738" t="s">
        <v>7</v>
      </c>
      <c r="T140" s="738"/>
      <c r="U140" s="738"/>
      <c r="V140" s="73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601</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125</v>
      </c>
      <c r="E7" s="661"/>
      <c r="F7" s="267"/>
      <c r="H7" s="664" t="s">
        <v>602</v>
      </c>
      <c r="I7" s="665"/>
      <c r="J7" s="665"/>
      <c r="K7" s="665"/>
      <c r="L7" s="665"/>
      <c r="M7" s="665"/>
      <c r="P7" s="198"/>
      <c r="R7" s="267"/>
      <c r="S7" s="199" t="s">
        <v>398</v>
      </c>
      <c r="T7" s="1047" t="s">
        <v>255</v>
      </c>
      <c r="U7" s="1048"/>
      <c r="V7" s="197"/>
    </row>
    <row r="8" spans="1:24" ht="18" customHeight="1">
      <c r="A8" s="196"/>
      <c r="B8" s="657"/>
      <c r="C8" s="658"/>
      <c r="D8" s="662"/>
      <c r="E8" s="663"/>
      <c r="F8" s="267"/>
      <c r="T8" s="1047" t="s">
        <v>257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600</v>
      </c>
      <c r="I10" s="652"/>
      <c r="J10" s="653">
        <v>200</v>
      </c>
      <c r="K10" s="654"/>
      <c r="L10" s="653" t="s">
        <v>7</v>
      </c>
      <c r="M10" s="654"/>
      <c r="N10" s="203" t="s">
        <v>353</v>
      </c>
      <c r="O10" s="125">
        <v>1</v>
      </c>
      <c r="P10" s="27" t="s">
        <v>9</v>
      </c>
      <c r="T10" s="1047"/>
      <c r="U10" s="1048"/>
      <c r="V10" s="197"/>
    </row>
    <row r="11" spans="1:24" ht="18" customHeight="1">
      <c r="A11" s="196"/>
      <c r="B11" s="47" t="s">
        <v>405</v>
      </c>
      <c r="H11" s="653" t="s">
        <v>603</v>
      </c>
      <c r="I11" s="654"/>
      <c r="T11" s="1049"/>
      <c r="U11" s="1049"/>
      <c r="V11" s="197"/>
    </row>
    <row r="12" spans="1:24" ht="18" customHeight="1">
      <c r="A12" s="196"/>
      <c r="B12" s="47" t="s">
        <v>407</v>
      </c>
      <c r="G12" s="120" t="s">
        <v>508</v>
      </c>
      <c r="H12" s="653">
        <v>8</v>
      </c>
      <c r="I12" s="654"/>
      <c r="J12" s="204" t="s">
        <v>344</v>
      </c>
      <c r="T12" s="307"/>
      <c r="U12" s="18"/>
      <c r="V12" s="197"/>
    </row>
    <row r="13" spans="1:24" ht="18" customHeight="1">
      <c r="A13" s="196"/>
      <c r="B13" s="30" t="s">
        <v>579</v>
      </c>
      <c r="G13" s="120" t="s">
        <v>580</v>
      </c>
      <c r="H13" s="653">
        <v>10</v>
      </c>
      <c r="I13" s="654"/>
      <c r="T13" s="307"/>
      <c r="U13" s="18"/>
      <c r="V13" s="197"/>
      <c r="W13" s="30" t="str">
        <f>J47</f>
        <v>Suitable Dimensions</v>
      </c>
    </row>
    <row r="14" spans="1:24" ht="18" customHeight="1">
      <c r="A14" s="196"/>
      <c r="B14" s="47" t="s">
        <v>573</v>
      </c>
      <c r="G14" s="120" t="s">
        <v>504</v>
      </c>
      <c r="H14" s="653">
        <v>7.5</v>
      </c>
      <c r="I14" s="654"/>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674">
        <f>'CT-VT Burdens'!Q86</f>
        <v>0.25</v>
      </c>
      <c r="K19" s="670"/>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8</v>
      </c>
      <c r="Q22" s="665"/>
      <c r="R22" s="27" t="s">
        <v>168</v>
      </c>
      <c r="S22" s="27"/>
      <c r="T22" s="27"/>
      <c r="V22" s="197"/>
    </row>
    <row r="23" spans="1:31" ht="18" customHeight="1">
      <c r="A23" s="196"/>
      <c r="B23" s="1" t="s">
        <v>424</v>
      </c>
      <c r="C23" s="2"/>
      <c r="D23" s="2"/>
      <c r="E23" s="2"/>
      <c r="F23" s="208"/>
      <c r="G23" s="208"/>
      <c r="H23" s="236" t="s">
        <v>523</v>
      </c>
      <c r="I23" s="195" t="s">
        <v>138</v>
      </c>
      <c r="J23" s="678">
        <f>SUM(J18:K22)</f>
        <v>0.70675935000000001</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600</v>
      </c>
      <c r="Q25" s="989"/>
      <c r="R25" s="204" t="s">
        <v>9</v>
      </c>
      <c r="V25" s="197"/>
    </row>
    <row r="26" spans="1:31" ht="18" customHeight="1">
      <c r="A26" s="196"/>
      <c r="B26" s="47" t="s">
        <v>558</v>
      </c>
      <c r="C26" s="47"/>
      <c r="D26" s="47"/>
      <c r="E26" s="47"/>
      <c r="H26" s="27"/>
      <c r="I26" s="28"/>
      <c r="J26" s="211"/>
      <c r="L26" s="47"/>
      <c r="N26" s="120" t="s">
        <v>583</v>
      </c>
      <c r="O26" s="28" t="s">
        <v>138</v>
      </c>
      <c r="P26" s="989">
        <f>H12</f>
        <v>8</v>
      </c>
      <c r="Q26" s="989"/>
      <c r="R26" s="316" t="s">
        <v>168</v>
      </c>
      <c r="V26" s="197"/>
    </row>
    <row r="27" spans="1:31" ht="18" customHeight="1">
      <c r="A27" s="196"/>
      <c r="B27" s="47" t="s">
        <v>559</v>
      </c>
      <c r="C27" s="47"/>
      <c r="D27" s="47"/>
      <c r="E27" s="47"/>
      <c r="H27" s="27"/>
      <c r="I27" s="28"/>
      <c r="J27" s="211"/>
      <c r="L27" s="47"/>
      <c r="N27" s="120" t="s">
        <v>584</v>
      </c>
      <c r="O27" s="28" t="s">
        <v>138</v>
      </c>
      <c r="P27" s="940">
        <f>J23</f>
        <v>0.70675935000000001</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47" t="s">
        <v>588</v>
      </c>
      <c r="C30" s="47"/>
      <c r="D30" s="47"/>
      <c r="E30" s="47"/>
      <c r="H30" s="27"/>
      <c r="I30" s="28"/>
      <c r="J30" s="211"/>
      <c r="L30" s="47"/>
      <c r="O30" s="28" t="s">
        <v>138</v>
      </c>
      <c r="P30" s="940">
        <v>20</v>
      </c>
      <c r="Q30" s="94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0.70675935000000001</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0.70675935000000001</v>
      </c>
      <c r="S38" s="308" t="s">
        <v>361</v>
      </c>
      <c r="V38" s="197"/>
    </row>
    <row r="39" spans="1:22" ht="18" customHeight="1">
      <c r="A39" s="196"/>
      <c r="I39" s="27" t="s">
        <v>138</v>
      </c>
      <c r="J39" s="680">
        <f>J38*((L38+N38)/(P38+R38))</f>
        <v>17.802260722871594</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7.5</v>
      </c>
      <c r="H43" s="665"/>
      <c r="I43" s="27" t="str">
        <f>IF(G43&gt;J43,"&gt;","&lt;")</f>
        <v>&gt;</v>
      </c>
      <c r="J43" s="668">
        <f>J35</f>
        <v>0.70675935000000001</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17.802260722871594</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81" t="str">
        <f>B7</f>
        <v>T1</v>
      </c>
      <c r="C50" s="682"/>
      <c r="D50" s="683" t="str">
        <f>D7</f>
        <v>Core4</v>
      </c>
      <c r="E50" s="684"/>
      <c r="F50" s="267"/>
      <c r="H50" s="665" t="str">
        <f>H7</f>
        <v>(Tariff Meter- Check)</v>
      </c>
      <c r="I50" s="665"/>
      <c r="J50" s="665"/>
      <c r="K50" s="665"/>
      <c r="L50" s="665"/>
      <c r="M50" s="665"/>
      <c r="P50" s="198"/>
      <c r="R50" s="267"/>
      <c r="S50" s="199" t="s">
        <v>398</v>
      </c>
      <c r="T50" s="1047" t="str">
        <f>T7</f>
        <v>XC-RACK</v>
      </c>
      <c r="U50" s="1048"/>
      <c r="V50" s="197"/>
    </row>
    <row r="51" spans="1:23" ht="18" customHeight="1">
      <c r="A51" s="196"/>
      <c r="B51" s="695">
        <f>B8</f>
        <v>0</v>
      </c>
      <c r="C51" s="695"/>
      <c r="D51" s="685"/>
      <c r="E51" s="686"/>
      <c r="F51" s="267"/>
      <c r="T51" s="1047" t="str">
        <f>T8</f>
        <v>GOSSEN</v>
      </c>
      <c r="U51" s="1048"/>
      <c r="V51" s="197"/>
    </row>
    <row r="52" spans="1:23" ht="18" customHeight="1">
      <c r="A52" s="196"/>
      <c r="H52" s="696" t="s">
        <v>401</v>
      </c>
      <c r="I52" s="696"/>
      <c r="J52" s="666" t="s">
        <v>402</v>
      </c>
      <c r="K52" s="666"/>
      <c r="L52" s="667" t="s">
        <v>403</v>
      </c>
      <c r="M52" s="667"/>
      <c r="T52" s="1047"/>
      <c r="U52" s="1048"/>
      <c r="V52" s="197"/>
    </row>
    <row r="53" spans="1:23" ht="18" customHeight="1">
      <c r="A53" s="196"/>
      <c r="B53" s="47" t="s">
        <v>404</v>
      </c>
      <c r="H53" s="681">
        <f>H10</f>
        <v>600</v>
      </c>
      <c r="I53" s="682"/>
      <c r="J53" s="1038">
        <f>J10</f>
        <v>200</v>
      </c>
      <c r="K53" s="1039"/>
      <c r="L53" s="681" t="str">
        <f>L10</f>
        <v>-</v>
      </c>
      <c r="M53" s="682"/>
      <c r="N53" s="203" t="s">
        <v>353</v>
      </c>
      <c r="O53" s="501">
        <f>O10</f>
        <v>1</v>
      </c>
      <c r="P53" s="27" t="s">
        <v>9</v>
      </c>
      <c r="T53" s="1047"/>
      <c r="U53" s="1048"/>
      <c r="V53" s="197"/>
    </row>
    <row r="54" spans="1:23" ht="18" customHeight="1">
      <c r="A54" s="196"/>
      <c r="B54" s="47" t="s">
        <v>405</v>
      </c>
      <c r="H54" s="14"/>
      <c r="I54" s="14"/>
      <c r="J54" s="681" t="str">
        <f>H11</f>
        <v>0.2FS10</v>
      </c>
      <c r="K54" s="682"/>
      <c r="L54" s="14"/>
      <c r="M54" s="14"/>
      <c r="V54" s="197"/>
    </row>
    <row r="55" spans="1:23" ht="18" customHeight="1">
      <c r="A55" s="196"/>
      <c r="B55" s="47" t="s">
        <v>407</v>
      </c>
      <c r="I55" s="120" t="s">
        <v>508</v>
      </c>
      <c r="J55" s="653">
        <v>4</v>
      </c>
      <c r="K55" s="654"/>
      <c r="L55" s="204" t="s">
        <v>344</v>
      </c>
      <c r="T55" s="307"/>
      <c r="U55" s="18"/>
      <c r="V55" s="197"/>
    </row>
    <row r="56" spans="1:23" ht="18" customHeight="1">
      <c r="A56" s="196"/>
      <c r="B56" s="30" t="s">
        <v>579</v>
      </c>
      <c r="I56" s="120" t="s">
        <v>580</v>
      </c>
      <c r="J56" s="653">
        <v>10</v>
      </c>
      <c r="K56" s="654"/>
      <c r="T56" s="307"/>
      <c r="U56" s="18"/>
      <c r="V56" s="197"/>
      <c r="W56" s="30" t="str">
        <f>J90</f>
        <v>Suitable Dimensions</v>
      </c>
    </row>
    <row r="57" spans="1:23" ht="18" customHeight="1">
      <c r="A57" s="196"/>
      <c r="B57" s="47" t="s">
        <v>573</v>
      </c>
      <c r="I57" s="120" t="s">
        <v>504</v>
      </c>
      <c r="J57" s="653">
        <v>5</v>
      </c>
      <c r="K57" s="654"/>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697">
        <f t="shared" si="0"/>
        <v>0.25</v>
      </c>
      <c r="K62" s="698"/>
      <c r="L62" s="210" t="s">
        <v>168</v>
      </c>
      <c r="P62" s="256"/>
      <c r="V62" s="197"/>
    </row>
    <row r="63" spans="1:23" ht="18"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701">
        <f t="shared" si="0"/>
        <v>0.44875935000000006</v>
      </c>
      <c r="K65" s="702"/>
      <c r="L65" s="309" t="s">
        <v>168</v>
      </c>
      <c r="O65" s="27" t="s">
        <v>138</v>
      </c>
      <c r="P65" s="668">
        <f>P64*R64*T64</f>
        <v>4</v>
      </c>
      <c r="Q65" s="665"/>
      <c r="R65" s="27" t="s">
        <v>168</v>
      </c>
      <c r="S65" s="27"/>
      <c r="T65" s="27"/>
      <c r="V65" s="197"/>
    </row>
    <row r="66" spans="1:22" ht="18" customHeight="1">
      <c r="A66" s="196"/>
      <c r="B66" s="1" t="s">
        <v>424</v>
      </c>
      <c r="C66" s="2"/>
      <c r="D66" s="2"/>
      <c r="E66" s="2"/>
      <c r="F66" s="208"/>
      <c r="G66" s="208"/>
      <c r="H66" s="236" t="s">
        <v>523</v>
      </c>
      <c r="I66" s="195" t="s">
        <v>138</v>
      </c>
      <c r="J66" s="678">
        <f t="shared" si="0"/>
        <v>0.70675935000000001</v>
      </c>
      <c r="K66" s="67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9">
        <f>J53</f>
        <v>200</v>
      </c>
      <c r="Q68" s="989"/>
      <c r="R68" s="204" t="s">
        <v>9</v>
      </c>
      <c r="V68" s="197"/>
    </row>
    <row r="69" spans="1:22" ht="18" customHeight="1">
      <c r="A69" s="196"/>
      <c r="B69" s="47" t="s">
        <v>558</v>
      </c>
      <c r="C69" s="47"/>
      <c r="D69" s="47"/>
      <c r="E69" s="47"/>
      <c r="H69" s="27"/>
      <c r="I69" s="28"/>
      <c r="J69" s="211"/>
      <c r="L69" s="47"/>
      <c r="N69" s="120" t="s">
        <v>583</v>
      </c>
      <c r="O69" s="28" t="s">
        <v>138</v>
      </c>
      <c r="P69" s="989">
        <f>J55</f>
        <v>4</v>
      </c>
      <c r="Q69" s="989"/>
      <c r="R69" s="316" t="s">
        <v>168</v>
      </c>
      <c r="V69" s="197"/>
    </row>
    <row r="70" spans="1:22" ht="18" customHeight="1">
      <c r="A70" s="196"/>
      <c r="B70" s="47" t="s">
        <v>559</v>
      </c>
      <c r="C70" s="47"/>
      <c r="D70" s="47"/>
      <c r="E70" s="47"/>
      <c r="H70" s="27"/>
      <c r="I70" s="28"/>
      <c r="J70" s="211"/>
      <c r="L70" s="47"/>
      <c r="N70" s="120" t="s">
        <v>584</v>
      </c>
      <c r="O70" s="28" t="s">
        <v>138</v>
      </c>
      <c r="P70" s="940">
        <f>J66</f>
        <v>0.70675935000000001</v>
      </c>
      <c r="Q70" s="989"/>
      <c r="R70" s="316" t="s">
        <v>168</v>
      </c>
      <c r="V70" s="197"/>
    </row>
    <row r="71" spans="1:22" ht="18" customHeight="1">
      <c r="A71" s="196"/>
      <c r="B71" s="47" t="s">
        <v>560</v>
      </c>
      <c r="C71" s="47"/>
      <c r="D71" s="47"/>
      <c r="E71" s="47"/>
      <c r="H71" s="27"/>
      <c r="I71" s="28"/>
      <c r="J71" s="211"/>
      <c r="L71" s="47"/>
      <c r="N71" s="120" t="s">
        <v>522</v>
      </c>
      <c r="O71" s="28" t="s">
        <v>138</v>
      </c>
      <c r="P71" s="989">
        <f>O53</f>
        <v>1</v>
      </c>
      <c r="Q71" s="989"/>
      <c r="R71" s="204" t="s">
        <v>9</v>
      </c>
      <c r="V71" s="197"/>
    </row>
    <row r="72" spans="1:22" ht="18" customHeight="1">
      <c r="A72" s="196"/>
      <c r="B72" s="47" t="s">
        <v>585</v>
      </c>
      <c r="C72" s="47"/>
      <c r="D72" s="47"/>
      <c r="E72" s="47"/>
      <c r="H72" s="27"/>
      <c r="I72" s="28"/>
      <c r="J72" s="211"/>
      <c r="L72" s="47"/>
      <c r="N72" s="120" t="s">
        <v>506</v>
      </c>
      <c r="O72" s="28" t="s">
        <v>138</v>
      </c>
      <c r="P72" s="989">
        <v>10</v>
      </c>
      <c r="Q72" s="989"/>
      <c r="R72" s="204"/>
      <c r="V72" s="197"/>
    </row>
    <row r="73" spans="1:22" ht="18" customHeight="1">
      <c r="A73" s="196"/>
      <c r="B73" s="47" t="s">
        <v>588</v>
      </c>
      <c r="C73" s="47"/>
      <c r="D73" s="47"/>
      <c r="E73" s="47"/>
      <c r="H73" s="27"/>
      <c r="I73" s="28"/>
      <c r="J73" s="211"/>
      <c r="L73" s="47"/>
      <c r="O73" s="28" t="s">
        <v>138</v>
      </c>
      <c r="P73" s="940">
        <v>20</v>
      </c>
      <c r="Q73" s="94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68">
        <f>J66</f>
        <v>0.70675935000000001</v>
      </c>
      <c r="K78" s="665"/>
      <c r="L78" s="28"/>
      <c r="M78" s="668"/>
      <c r="N78" s="665"/>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0.70675935000000001</v>
      </c>
      <c r="S81" s="308" t="s">
        <v>361</v>
      </c>
      <c r="V81" s="197"/>
    </row>
    <row r="82" spans="1:22" ht="18" customHeight="1">
      <c r="A82" s="196"/>
      <c r="I82" s="27" t="s">
        <v>138</v>
      </c>
      <c r="J82" s="680">
        <f>J81*((L81+N81)/(P81+R81))</f>
        <v>19.121436493242424</v>
      </c>
      <c r="K82" s="68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65">
        <f>J57</f>
        <v>5</v>
      </c>
      <c r="H86" s="665"/>
      <c r="I86" s="27" t="str">
        <f>IF(G86&gt;J86,"&gt;","&lt;")</f>
        <v>&gt;</v>
      </c>
      <c r="J86" s="668">
        <f>J78</f>
        <v>0.70675935000000001</v>
      </c>
      <c r="K86" s="665"/>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68">
        <f>P73</f>
        <v>20</v>
      </c>
      <c r="H89" s="668"/>
      <c r="I89" s="27" t="str">
        <f>IF(G89&gt;J89,"&gt;","&lt;")</f>
        <v>&gt;</v>
      </c>
      <c r="J89" s="668">
        <f>J82</f>
        <v>19.121436493242424</v>
      </c>
      <c r="K89" s="668"/>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Core4</v>
      </c>
      <c r="E95" s="711"/>
      <c r="F95" s="267"/>
      <c r="H95" s="665" t="str">
        <f>H50</f>
        <v>(Tariff Meter- Check)</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600</v>
      </c>
      <c r="I98" s="709"/>
      <c r="J98" s="708">
        <f>J53</f>
        <v>200</v>
      </c>
      <c r="K98" s="709"/>
      <c r="L98" s="714" t="str">
        <f>L53</f>
        <v>-</v>
      </c>
      <c r="M98" s="715"/>
      <c r="N98" s="203" t="s">
        <v>353</v>
      </c>
      <c r="O98" s="268">
        <f>O53</f>
        <v>1</v>
      </c>
      <c r="P98" s="27" t="s">
        <v>9</v>
      </c>
      <c r="V98" s="197"/>
    </row>
    <row r="99" spans="1:23" ht="18" hidden="1" customHeight="1">
      <c r="A99" s="196"/>
      <c r="B99" s="47" t="s">
        <v>405</v>
      </c>
      <c r="H99" s="14"/>
      <c r="I99" s="14"/>
      <c r="K99" s="14"/>
      <c r="L99" s="708" t="str">
        <f>J54</f>
        <v>0.2FS10</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GOSSEN</v>
      </c>
      <c r="I107" s="189" t="s">
        <v>138</v>
      </c>
      <c r="J107" s="697">
        <f t="shared" si="1"/>
        <v>0.25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0.70675935000000001</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0.70675935000000001</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0.70675935000000001</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Core4</v>
      </c>
      <c r="C144" s="733"/>
      <c r="D144" s="732">
        <f>H98</f>
        <v>600</v>
      </c>
      <c r="E144" s="732"/>
      <c r="F144" s="734">
        <f>O98</f>
        <v>1</v>
      </c>
      <c r="G144" s="737">
        <f>'CT-VT Burdens'!S19</f>
        <v>50</v>
      </c>
      <c r="H144" s="740">
        <f>'CT-VT Burdens'!S10</f>
        <v>6</v>
      </c>
      <c r="I144" s="794" t="str">
        <f>L99</f>
        <v>0.2FS10</v>
      </c>
      <c r="J144" s="794"/>
      <c r="K144" s="728">
        <f>H12</f>
        <v>8</v>
      </c>
      <c r="L144" s="728"/>
      <c r="M144" s="728">
        <f>H14</f>
        <v>7.5</v>
      </c>
      <c r="N144" s="728"/>
      <c r="O144" s="732" t="s">
        <v>7</v>
      </c>
      <c r="P144" s="732"/>
      <c r="Q144" s="739" t="str">
        <f>CONCATENATE(T7," ",T8," ",T9," ",T10)</f>
        <v xml:space="preserve">XC-RACK GOSSEN  </v>
      </c>
      <c r="R144" s="739"/>
      <c r="S144" s="738" t="str">
        <f>J47</f>
        <v>Suitable Dimensions</v>
      </c>
      <c r="T144" s="738"/>
      <c r="U144" s="738"/>
      <c r="V144" s="738"/>
    </row>
    <row r="145" spans="1:22" ht="18" customHeight="1">
      <c r="A145" s="733"/>
      <c r="B145" s="733"/>
      <c r="C145" s="733"/>
      <c r="D145" s="732">
        <f>J98</f>
        <v>200</v>
      </c>
      <c r="E145" s="732"/>
      <c r="F145" s="735"/>
      <c r="G145" s="737"/>
      <c r="H145" s="740"/>
      <c r="I145" s="794"/>
      <c r="J145" s="794"/>
      <c r="K145" s="728">
        <f>J55</f>
        <v>4</v>
      </c>
      <c r="L145" s="728"/>
      <c r="M145" s="728">
        <f>J57</f>
        <v>5</v>
      </c>
      <c r="N145" s="728"/>
      <c r="O145" s="732" t="s">
        <v>7</v>
      </c>
      <c r="P145" s="732"/>
      <c r="Q145" s="739"/>
      <c r="R145" s="739"/>
      <c r="S145" s="738" t="str">
        <f>J90</f>
        <v>Suitable Dimensions</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1055" t="str">
        <f>Title!R3</f>
        <v>-</v>
      </c>
      <c r="S3" s="1056"/>
      <c r="T3" s="1056"/>
      <c r="U3" s="1056"/>
      <c r="V3" s="105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926</v>
      </c>
      <c r="I5" s="967"/>
      <c r="J5" s="967"/>
      <c r="K5" s="967"/>
      <c r="L5" s="967"/>
      <c r="M5" s="967"/>
      <c r="N5" s="968"/>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48" t="s">
        <v>396</v>
      </c>
      <c r="E7" s="949"/>
      <c r="F7" s="267"/>
      <c r="H7" s="664"/>
      <c r="I7" s="665"/>
      <c r="J7" s="665"/>
      <c r="K7" s="665"/>
      <c r="L7" s="665"/>
      <c r="M7" s="665"/>
      <c r="P7" s="198"/>
      <c r="S7" s="199" t="s">
        <v>398</v>
      </c>
      <c r="T7" s="948" t="s">
        <v>928</v>
      </c>
      <c r="U7" s="949"/>
      <c r="V7" s="197"/>
    </row>
    <row r="8" spans="1:24" ht="18" customHeight="1">
      <c r="A8" s="196"/>
      <c r="B8"/>
      <c r="C8"/>
      <c r="D8"/>
      <c r="E8"/>
      <c r="F8" s="267"/>
      <c r="T8"/>
      <c r="U8"/>
      <c r="V8" s="197"/>
    </row>
    <row r="9" spans="1:24" ht="18" customHeight="1">
      <c r="A9" s="196"/>
      <c r="H9" s="666" t="s">
        <v>401</v>
      </c>
      <c r="I9" s="666"/>
      <c r="J9" s="667" t="s">
        <v>402</v>
      </c>
      <c r="K9" s="667"/>
      <c r="L9" s="667" t="s">
        <v>403</v>
      </c>
      <c r="M9" s="667"/>
      <c r="T9"/>
      <c r="U9"/>
      <c r="V9" s="197"/>
    </row>
    <row r="10" spans="1:24" ht="18" customHeight="1">
      <c r="A10" s="196"/>
      <c r="B10" s="47" t="s">
        <v>404</v>
      </c>
      <c r="H10" s="957">
        <v>1250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V13" s="197"/>
      <c r="W13" s="30" t="str">
        <f>G56</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52">
        <f>'CT-VT Burdens'!Q48</f>
        <v>0.02</v>
      </c>
      <c r="K18" s="953"/>
      <c r="L18" s="3" t="s">
        <v>168</v>
      </c>
      <c r="N18" s="209" t="s">
        <v>521</v>
      </c>
      <c r="V18" s="197"/>
    </row>
    <row r="19" spans="1:22" ht="18" customHeight="1">
      <c r="A19" s="196"/>
      <c r="B19" s="96" t="s">
        <v>416</v>
      </c>
      <c r="D19" s="308">
        <f>T8</f>
        <v>0</v>
      </c>
      <c r="I19" s="189" t="s">
        <v>138</v>
      </c>
      <c r="J19" s="969"/>
      <c r="K19" s="970"/>
      <c r="L19" s="210" t="s">
        <v>168</v>
      </c>
      <c r="P19" s="256"/>
      <c r="V19" s="197"/>
    </row>
    <row r="20" spans="1:22" ht="18" customHeight="1">
      <c r="A20" s="196"/>
      <c r="B20" s="96" t="s">
        <v>416</v>
      </c>
      <c r="C20" s="14"/>
      <c r="D20" s="47">
        <f>T9</f>
        <v>0</v>
      </c>
      <c r="E20" s="14"/>
      <c r="G20" s="211"/>
      <c r="H20" s="27"/>
      <c r="I20" s="101" t="s">
        <v>138</v>
      </c>
      <c r="J20" s="964"/>
      <c r="K20" s="965"/>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4">
        <f>'CT-VT Burdens'!S39</f>
        <v>2.7035014500000001</v>
      </c>
      <c r="K21" s="95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78">
        <f>SUM(J18:J21)</f>
        <v>2.7235014500000001</v>
      </c>
      <c r="K22" s="679"/>
      <c r="L22" s="3" t="s">
        <v>168</v>
      </c>
      <c r="O22" s="27" t="s">
        <v>138</v>
      </c>
      <c r="P22" s="668">
        <f>P21*R21*T21</f>
        <v>5</v>
      </c>
      <c r="Q22" s="665"/>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(4)'!Q10 *1000</f>
        <v>50000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1250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750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2.7235014500000001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f>E42</f>
        <v>43.75</v>
      </c>
      <c r="T38" s="665"/>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88" t="s">
        <v>484</v>
      </c>
      <c r="I40" s="975"/>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76">
        <f>S33</f>
        <v>750</v>
      </c>
      <c r="I41" s="977"/>
      <c r="J41" s="257" t="s">
        <v>326</v>
      </c>
      <c r="K41" s="257">
        <f>S36</f>
        <v>1</v>
      </c>
      <c r="L41" s="257" t="s">
        <v>552</v>
      </c>
      <c r="M41" s="257">
        <f>S37</f>
        <v>20</v>
      </c>
      <c r="N41" s="474" t="s">
        <v>553</v>
      </c>
      <c r="O41" s="516">
        <f>S34</f>
        <v>5</v>
      </c>
      <c r="V41" s="197"/>
    </row>
    <row r="42" spans="1:25" ht="18" customHeight="1">
      <c r="A42" s="196"/>
      <c r="D42" s="27" t="s">
        <v>138</v>
      </c>
      <c r="E42" s="665">
        <f>((F41*H41)/(K41*M41))-O41</f>
        <v>43.75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664" t="s">
        <v>555</v>
      </c>
      <c r="H46" s="664"/>
      <c r="I46" s="203" t="s">
        <v>353</v>
      </c>
      <c r="J46" s="665" t="s">
        <v>434</v>
      </c>
      <c r="K46" s="665"/>
      <c r="V46" s="197"/>
    </row>
    <row r="47" spans="1:25" ht="18" customHeight="1">
      <c r="A47" s="196"/>
      <c r="F47" s="27" t="s">
        <v>138</v>
      </c>
      <c r="G47" s="665">
        <f>S31</f>
        <v>50000</v>
      </c>
      <c r="H47" s="665"/>
      <c r="I47" s="203" t="s">
        <v>353</v>
      </c>
      <c r="J47" s="665">
        <f>S32</f>
        <v>1250</v>
      </c>
      <c r="K47" s="665"/>
      <c r="V47" s="197"/>
    </row>
    <row r="48" spans="1:25" ht="18" customHeight="1">
      <c r="A48" s="196"/>
      <c r="F48" s="27" t="s">
        <v>138</v>
      </c>
      <c r="G48" s="668">
        <f>G47/J47</f>
        <v>40</v>
      </c>
      <c r="H48" s="668"/>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680">
        <f>G51*((I51+K51)/(M51+O51))</f>
        <v>126.23808078653238</v>
      </c>
      <c r="H52" s="680"/>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68">
        <f>G52</f>
        <v>126.23808078653238</v>
      </c>
      <c r="E55" s="668"/>
      <c r="F55" s="27" t="str">
        <f>F54</f>
        <v>&gt;</v>
      </c>
      <c r="G55" s="668">
        <f>G48</f>
        <v>40</v>
      </c>
      <c r="H55" s="668"/>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08" t="str">
        <f>B7</f>
        <v>T1</v>
      </c>
      <c r="C88" s="709"/>
      <c r="D88" s="710" t="str">
        <f>D7</f>
        <v>Core1</v>
      </c>
      <c r="E88" s="711"/>
      <c r="F88" s="267"/>
      <c r="H88" s="665">
        <f>H7</f>
        <v>0</v>
      </c>
      <c r="I88" s="665"/>
      <c r="J88" s="665"/>
      <c r="K88" s="665"/>
      <c r="L88" s="665"/>
      <c r="M88" s="665"/>
      <c r="P88" s="198"/>
      <c r="S88" s="199" t="s">
        <v>398</v>
      </c>
      <c r="T88" s="705" t="str">
        <f>T7</f>
        <v>REF650</v>
      </c>
      <c r="U88" s="706"/>
      <c r="V88" s="197"/>
    </row>
    <row r="89" spans="1:23" ht="18" hidden="1" customHeight="1">
      <c r="A89" s="196"/>
      <c r="B89" s="707">
        <f>B8</f>
        <v>0</v>
      </c>
      <c r="C89" s="707"/>
      <c r="D89" s="712"/>
      <c r="E89" s="713"/>
      <c r="F89" s="267"/>
      <c r="T89" s="705">
        <f>T8</f>
        <v>0</v>
      </c>
      <c r="U89" s="706"/>
      <c r="V89" s="197"/>
    </row>
    <row r="90" spans="1:23" ht="18" hidden="1" customHeight="1">
      <c r="A90" s="196"/>
      <c r="H90" s="696" t="s">
        <v>401</v>
      </c>
      <c r="I90" s="696"/>
      <c r="J90" s="666" t="s">
        <v>402</v>
      </c>
      <c r="K90" s="666"/>
      <c r="L90" s="667" t="s">
        <v>403</v>
      </c>
      <c r="M90" s="667"/>
      <c r="T90" s="705">
        <f>T9</f>
        <v>0</v>
      </c>
      <c r="U90" s="706"/>
      <c r="V90" s="197"/>
    </row>
    <row r="91" spans="1:23" ht="18" hidden="1" customHeight="1">
      <c r="A91" s="196"/>
      <c r="B91" s="47" t="s">
        <v>404</v>
      </c>
      <c r="H91" s="708">
        <f>H10</f>
        <v>1250</v>
      </c>
      <c r="I91" s="709"/>
      <c r="J91" s="714" t="str">
        <f>J10</f>
        <v>-</v>
      </c>
      <c r="K91" s="715"/>
      <c r="L91" s="708" t="str">
        <f>L10</f>
        <v>-</v>
      </c>
      <c r="M91" s="709"/>
      <c r="N91" s="203" t="s">
        <v>353</v>
      </c>
      <c r="O91" s="268">
        <f>O10</f>
        <v>1</v>
      </c>
      <c r="P91" s="27" t="s">
        <v>9</v>
      </c>
      <c r="R91" s="267"/>
      <c r="S91" s="267"/>
      <c r="V91" s="197"/>
    </row>
    <row r="92" spans="1:23" ht="18" hidden="1" customHeight="1">
      <c r="A92" s="196"/>
      <c r="B92" s="47" t="s">
        <v>405</v>
      </c>
      <c r="H92" s="14"/>
      <c r="I92" s="14"/>
      <c r="J92" s="708" t="str">
        <f>H11</f>
        <v>PX-B</v>
      </c>
      <c r="K92" s="709"/>
      <c r="L92" s="14"/>
      <c r="M92" s="14"/>
      <c r="V92" s="197"/>
    </row>
    <row r="93" spans="1:23" ht="18" hidden="1" customHeight="1">
      <c r="A93" s="196"/>
      <c r="B93" s="47" t="s">
        <v>407</v>
      </c>
      <c r="I93" s="120" t="s">
        <v>508</v>
      </c>
      <c r="J93" s="948">
        <v>5</v>
      </c>
      <c r="K93" s="949"/>
      <c r="L93" s="204" t="s">
        <v>344</v>
      </c>
      <c r="V93" s="197"/>
    </row>
    <row r="94" spans="1:23" ht="18" hidden="1" customHeight="1">
      <c r="A94" s="196"/>
      <c r="B94" s="47" t="s">
        <v>409</v>
      </c>
      <c r="I94" s="120" t="s">
        <v>509</v>
      </c>
      <c r="J94" s="948">
        <v>500</v>
      </c>
      <c r="K94" s="949"/>
      <c r="L94" s="14" t="s">
        <v>316</v>
      </c>
      <c r="T94" s="307"/>
      <c r="U94" s="18"/>
      <c r="V94" s="197"/>
      <c r="W94" s="30" t="e">
        <f>G142</f>
        <v>#VALUE!</v>
      </c>
    </row>
    <row r="95" spans="1:23" ht="18" hidden="1" customHeight="1">
      <c r="A95" s="196"/>
      <c r="B95" s="14" t="s">
        <v>412</v>
      </c>
      <c r="I95" s="120" t="s">
        <v>413</v>
      </c>
      <c r="J95" s="948">
        <v>50</v>
      </c>
      <c r="K95" s="949"/>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678">
        <f>J18</f>
        <v>0.02</v>
      </c>
      <c r="K99" s="679"/>
      <c r="L99" s="3" t="s">
        <v>168</v>
      </c>
      <c r="N99" s="209" t="s">
        <v>521</v>
      </c>
      <c r="V99" s="197"/>
    </row>
    <row r="100" spans="1:22" ht="18" hidden="1" customHeight="1">
      <c r="A100" s="196"/>
      <c r="B100" s="96" t="s">
        <v>416</v>
      </c>
      <c r="D100" s="308">
        <f>T89</f>
        <v>0</v>
      </c>
      <c r="I100" s="189" t="s">
        <v>138</v>
      </c>
      <c r="J100" s="697">
        <f>J19</f>
        <v>0</v>
      </c>
      <c r="K100" s="698"/>
      <c r="L100" s="210" t="s">
        <v>168</v>
      </c>
      <c r="P100" s="256"/>
      <c r="V100" s="197"/>
    </row>
    <row r="101" spans="1:22" ht="18" hidden="1" customHeight="1">
      <c r="A101" s="196"/>
      <c r="B101" s="96" t="s">
        <v>416</v>
      </c>
      <c r="C101" s="14"/>
      <c r="D101" s="47">
        <f>T90</f>
        <v>0</v>
      </c>
      <c r="E101" s="14"/>
      <c r="G101" s="211"/>
      <c r="H101" s="27"/>
      <c r="I101" s="101" t="s">
        <v>138</v>
      </c>
      <c r="J101" s="699">
        <f>J20</f>
        <v>0</v>
      </c>
      <c r="K101" s="700"/>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701">
        <f>J21</f>
        <v>2.7035014500000001</v>
      </c>
      <c r="K102" s="702"/>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678">
        <f>SUM(J99:J102)</f>
        <v>2.7235014500000001</v>
      </c>
      <c r="K103" s="679"/>
      <c r="L103" s="3" t="s">
        <v>168</v>
      </c>
      <c r="O103" s="27" t="s">
        <v>138</v>
      </c>
      <c r="P103" s="668">
        <f>P102*R102*T102</f>
        <v>5</v>
      </c>
      <c r="Q103" s="665"/>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71" t="s">
        <v>547</v>
      </c>
      <c r="B105" s="972"/>
      <c r="C105" s="972"/>
      <c r="D105" s="972"/>
      <c r="E105" s="972"/>
      <c r="F105" s="972"/>
      <c r="G105" s="972"/>
      <c r="H105" s="972"/>
      <c r="I105" s="972"/>
      <c r="J105" s="972"/>
      <c r="K105" s="972"/>
      <c r="L105" s="972"/>
      <c r="M105" s="972"/>
      <c r="N105" s="972"/>
      <c r="O105" s="972"/>
      <c r="P105" s="972"/>
      <c r="Q105" s="972"/>
      <c r="R105" s="972"/>
      <c r="S105" s="972"/>
      <c r="T105" s="972"/>
      <c r="U105" s="972"/>
      <c r="V105" s="973"/>
    </row>
    <row r="106" spans="1:22" ht="18" hidden="1" customHeight="1">
      <c r="A106" s="974"/>
      <c r="B106" s="972"/>
      <c r="C106" s="972"/>
      <c r="D106" s="972"/>
      <c r="E106" s="972"/>
      <c r="F106" s="972"/>
      <c r="G106" s="972"/>
      <c r="H106" s="972"/>
      <c r="I106" s="972"/>
      <c r="J106" s="972"/>
      <c r="K106" s="972"/>
      <c r="L106" s="972"/>
      <c r="M106" s="972"/>
      <c r="N106" s="972"/>
      <c r="O106" s="972"/>
      <c r="P106" s="972"/>
      <c r="Q106" s="972"/>
      <c r="R106" s="972"/>
      <c r="S106" s="972"/>
      <c r="T106" s="972"/>
      <c r="U106" s="972"/>
      <c r="V106" s="973"/>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664" t="s">
        <v>484</v>
      </c>
      <c r="I110" s="936"/>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664">
        <v>40000</v>
      </c>
      <c r="T112" s="664"/>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664" t="str">
        <f>J91</f>
        <v>-</v>
      </c>
      <c r="T113" s="664"/>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664">
        <f>J94</f>
        <v>500</v>
      </c>
      <c r="T114" s="664"/>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669">
        <f>P103</f>
        <v>5</v>
      </c>
      <c r="T115" s="664"/>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669">
        <f>J103</f>
        <v>2.7235014500000001</v>
      </c>
      <c r="T116" s="664"/>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664">
        <f>O91</f>
        <v>1</v>
      </c>
      <c r="T117" s="664"/>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664">
        <v>20</v>
      </c>
      <c r="T118" s="664"/>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788" t="s">
        <v>484</v>
      </c>
      <c r="I121" s="975"/>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76">
        <f>S114</f>
        <v>500</v>
      </c>
      <c r="I122" s="977"/>
      <c r="J122" s="257" t="s">
        <v>326</v>
      </c>
      <c r="K122" s="257">
        <f>S117</f>
        <v>1</v>
      </c>
      <c r="L122" s="257" t="s">
        <v>552</v>
      </c>
      <c r="M122" s="257">
        <f>S118</f>
        <v>20</v>
      </c>
      <c r="N122" s="474" t="s">
        <v>553</v>
      </c>
      <c r="O122" s="516">
        <f>S115</f>
        <v>5</v>
      </c>
      <c r="V122" s="197"/>
    </row>
    <row r="123" spans="1:25" ht="18" hidden="1" customHeight="1">
      <c r="A123" s="196"/>
      <c r="D123" s="27" t="s">
        <v>138</v>
      </c>
      <c r="E123" s="665">
        <f>((F122*H122)/(K122*M122))-O122</f>
        <v>27.5</v>
      </c>
      <c r="F123" s="665"/>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664" t="s">
        <v>555</v>
      </c>
      <c r="H132" s="664"/>
      <c r="I132" s="203" t="s">
        <v>353</v>
      </c>
      <c r="J132" s="665" t="s">
        <v>434</v>
      </c>
      <c r="K132" s="665"/>
      <c r="V132" s="197"/>
    </row>
    <row r="133" spans="1:22" ht="18" hidden="1" customHeight="1">
      <c r="A133" s="196"/>
      <c r="F133" s="27" t="s">
        <v>138</v>
      </c>
      <c r="G133" s="665">
        <f>S112</f>
        <v>40000</v>
      </c>
      <c r="H133" s="665"/>
      <c r="I133" s="203" t="s">
        <v>353</v>
      </c>
      <c r="J133" s="665" t="str">
        <f>S113</f>
        <v>-</v>
      </c>
      <c r="K133" s="665"/>
      <c r="V133" s="197"/>
    </row>
    <row r="134" spans="1:22" ht="18" hidden="1" customHeight="1">
      <c r="A134" s="196"/>
      <c r="F134" s="27" t="s">
        <v>138</v>
      </c>
      <c r="G134" s="668" t="e">
        <f>G133/J133</f>
        <v>#VALUE!</v>
      </c>
      <c r="H134" s="668"/>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680">
        <f>G137*((I137+K137)/(M137+O137))</f>
        <v>84.158720524354905</v>
      </c>
      <c r="H138" s="680"/>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668">
        <f>G138</f>
        <v>84.158720524354905</v>
      </c>
      <c r="E141" s="668"/>
      <c r="F141" s="27" t="e">
        <f>F140</f>
        <v>#VALUE!</v>
      </c>
      <c r="G141" s="668" t="e">
        <f>G134</f>
        <v>#VALUE!</v>
      </c>
      <c r="H141" s="668"/>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08" t="str">
        <f>B88</f>
        <v>T1</v>
      </c>
      <c r="C176" s="709"/>
      <c r="D176" s="710" t="str">
        <f>D88</f>
        <v>Core1</v>
      </c>
      <c r="E176" s="711"/>
      <c r="F176" s="267"/>
      <c r="H176" s="665">
        <f>H88</f>
        <v>0</v>
      </c>
      <c r="I176" s="665"/>
      <c r="J176" s="665"/>
      <c r="K176" s="665"/>
      <c r="L176" s="665"/>
      <c r="M176" s="665"/>
      <c r="P176" s="198"/>
      <c r="S176" s="199" t="s">
        <v>398</v>
      </c>
      <c r="T176" s="705" t="str">
        <f>T88</f>
        <v>REF650</v>
      </c>
      <c r="U176" s="706"/>
      <c r="V176" s="197"/>
    </row>
    <row r="177" spans="1:23" ht="18" hidden="1" customHeight="1">
      <c r="A177" s="196"/>
      <c r="B177" s="707">
        <f>B89</f>
        <v>0</v>
      </c>
      <c r="C177" s="707"/>
      <c r="D177" s="712"/>
      <c r="E177" s="713"/>
      <c r="F177" s="267"/>
      <c r="T177" s="705">
        <f>T89</f>
        <v>0</v>
      </c>
      <c r="U177" s="706"/>
      <c r="V177" s="197"/>
    </row>
    <row r="178" spans="1:23" ht="18" hidden="1" customHeight="1">
      <c r="A178" s="196"/>
      <c r="H178" s="696" t="s">
        <v>401</v>
      </c>
      <c r="I178" s="696"/>
      <c r="J178" s="696" t="s">
        <v>402</v>
      </c>
      <c r="K178" s="696"/>
      <c r="L178" s="666" t="s">
        <v>403</v>
      </c>
      <c r="M178" s="666"/>
      <c r="T178" s="705">
        <f>T90</f>
        <v>0</v>
      </c>
      <c r="U178" s="706"/>
      <c r="V178" s="197"/>
    </row>
    <row r="179" spans="1:23" ht="18" hidden="1" customHeight="1">
      <c r="A179" s="196"/>
      <c r="B179" s="47" t="s">
        <v>404</v>
      </c>
      <c r="H179" s="708">
        <f>H91</f>
        <v>1250</v>
      </c>
      <c r="I179" s="709"/>
      <c r="J179" s="708" t="str">
        <f>J91</f>
        <v>-</v>
      </c>
      <c r="K179" s="709"/>
      <c r="L179" s="714" t="str">
        <f>L91</f>
        <v>-</v>
      </c>
      <c r="M179" s="715"/>
      <c r="N179" s="203" t="s">
        <v>353</v>
      </c>
      <c r="O179" s="268">
        <f>O91</f>
        <v>1</v>
      </c>
      <c r="P179" s="27" t="s">
        <v>9</v>
      </c>
      <c r="R179" s="267"/>
      <c r="S179" s="267"/>
      <c r="V179" s="197"/>
    </row>
    <row r="180" spans="1:23" ht="18" hidden="1" customHeight="1">
      <c r="A180" s="196"/>
      <c r="B180" s="47" t="s">
        <v>405</v>
      </c>
      <c r="H180" s="14"/>
      <c r="I180" s="14"/>
      <c r="L180" s="708" t="str">
        <f>J92</f>
        <v>PX-B</v>
      </c>
      <c r="M180" s="709"/>
      <c r="V180" s="197"/>
    </row>
    <row r="181" spans="1:23" ht="18" hidden="1" customHeight="1">
      <c r="A181" s="196"/>
      <c r="B181" s="47" t="s">
        <v>407</v>
      </c>
      <c r="K181" s="120" t="s">
        <v>508</v>
      </c>
      <c r="L181" s="948">
        <v>3</v>
      </c>
      <c r="M181" s="949"/>
      <c r="N181" s="204" t="s">
        <v>344</v>
      </c>
      <c r="V181" s="197"/>
    </row>
    <row r="182" spans="1:23" ht="18" hidden="1" customHeight="1">
      <c r="A182" s="196"/>
      <c r="B182" s="47" t="s">
        <v>409</v>
      </c>
      <c r="K182" s="120" t="s">
        <v>509</v>
      </c>
      <c r="L182" s="948">
        <v>300</v>
      </c>
      <c r="M182" s="949"/>
      <c r="N182" s="14" t="s">
        <v>316</v>
      </c>
      <c r="T182" s="307"/>
      <c r="U182" s="18"/>
      <c r="V182" s="197"/>
      <c r="W182" s="30" t="e">
        <f>G230</f>
        <v>#VALUE!</v>
      </c>
    </row>
    <row r="183" spans="1:23" ht="18" hidden="1" customHeight="1">
      <c r="A183" s="196"/>
      <c r="B183" s="14" t="s">
        <v>412</v>
      </c>
      <c r="K183" s="120" t="s">
        <v>413</v>
      </c>
      <c r="L183" s="948">
        <v>75</v>
      </c>
      <c r="M183" s="949"/>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678">
        <f>J99</f>
        <v>0.02</v>
      </c>
      <c r="K187" s="679"/>
      <c r="L187" s="3" t="s">
        <v>168</v>
      </c>
      <c r="N187" s="209" t="s">
        <v>521</v>
      </c>
      <c r="V187" s="197"/>
    </row>
    <row r="188" spans="1:23" ht="18" hidden="1" customHeight="1">
      <c r="A188" s="196"/>
      <c r="B188" s="96" t="s">
        <v>416</v>
      </c>
      <c r="D188" s="308">
        <f>T177</f>
        <v>0</v>
      </c>
      <c r="I188" s="189" t="s">
        <v>138</v>
      </c>
      <c r="J188" s="697">
        <f>J100</f>
        <v>0</v>
      </c>
      <c r="K188" s="698"/>
      <c r="L188" s="210" t="s">
        <v>168</v>
      </c>
      <c r="P188" s="256"/>
      <c r="V188" s="197"/>
    </row>
    <row r="189" spans="1:23" ht="18" hidden="1" customHeight="1">
      <c r="A189" s="196"/>
      <c r="B189" s="96" t="s">
        <v>416</v>
      </c>
      <c r="C189" s="14"/>
      <c r="D189" s="47">
        <f>T178</f>
        <v>0</v>
      </c>
      <c r="E189" s="14"/>
      <c r="G189" s="211"/>
      <c r="H189" s="27"/>
      <c r="I189" s="101" t="s">
        <v>138</v>
      </c>
      <c r="J189" s="699">
        <f>J101</f>
        <v>0</v>
      </c>
      <c r="K189" s="700"/>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701">
        <f>J102</f>
        <v>2.7035014500000001</v>
      </c>
      <c r="K190" s="702"/>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678">
        <f>SUM(J187:J190)</f>
        <v>2.7235014500000001</v>
      </c>
      <c r="K191" s="679"/>
      <c r="L191" s="3" t="s">
        <v>168</v>
      </c>
      <c r="O191" s="27" t="s">
        <v>138</v>
      </c>
      <c r="P191" s="668">
        <f>P190*R190*T190</f>
        <v>3</v>
      </c>
      <c r="Q191" s="665"/>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71" t="s">
        <v>547</v>
      </c>
      <c r="B193" s="972"/>
      <c r="C193" s="972"/>
      <c r="D193" s="972"/>
      <c r="E193" s="972"/>
      <c r="F193" s="972"/>
      <c r="G193" s="972"/>
      <c r="H193" s="972"/>
      <c r="I193" s="972"/>
      <c r="J193" s="972"/>
      <c r="K193" s="972"/>
      <c r="L193" s="972"/>
      <c r="M193" s="972"/>
      <c r="N193" s="972"/>
      <c r="O193" s="972"/>
      <c r="P193" s="972"/>
      <c r="Q193" s="972"/>
      <c r="R193" s="972"/>
      <c r="S193" s="972"/>
      <c r="T193" s="972"/>
      <c r="U193" s="972"/>
      <c r="V193" s="973"/>
    </row>
    <row r="194" spans="1:25" ht="18" hidden="1" customHeight="1">
      <c r="A194" s="974"/>
      <c r="B194" s="972"/>
      <c r="C194" s="972"/>
      <c r="D194" s="972"/>
      <c r="E194" s="972"/>
      <c r="F194" s="972"/>
      <c r="G194" s="972"/>
      <c r="H194" s="972"/>
      <c r="I194" s="972"/>
      <c r="J194" s="972"/>
      <c r="K194" s="972"/>
      <c r="L194" s="972"/>
      <c r="M194" s="972"/>
      <c r="N194" s="972"/>
      <c r="O194" s="972"/>
      <c r="P194" s="972"/>
      <c r="Q194" s="972"/>
      <c r="R194" s="972"/>
      <c r="S194" s="972"/>
      <c r="T194" s="972"/>
      <c r="U194" s="972"/>
      <c r="V194" s="973"/>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664" t="s">
        <v>484</v>
      </c>
      <c r="I198" s="936"/>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664">
        <v>40000</v>
      </c>
      <c r="T200" s="664"/>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664" t="str">
        <f>L179</f>
        <v>-</v>
      </c>
      <c r="T201" s="664"/>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664">
        <f>L182</f>
        <v>300</v>
      </c>
      <c r="T202" s="664"/>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669">
        <f>P191</f>
        <v>3</v>
      </c>
      <c r="T203" s="664"/>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669">
        <f>J191</f>
        <v>2.7235014500000001</v>
      </c>
      <c r="T204" s="664"/>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664">
        <f>O179</f>
        <v>1</v>
      </c>
      <c r="T205" s="664"/>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664">
        <v>20</v>
      </c>
      <c r="T206" s="664"/>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788" t="s">
        <v>484</v>
      </c>
      <c r="I209" s="975"/>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76">
        <f>S202</f>
        <v>300</v>
      </c>
      <c r="I210" s="977"/>
      <c r="J210" s="257" t="s">
        <v>326</v>
      </c>
      <c r="K210" s="257">
        <f>S205</f>
        <v>1</v>
      </c>
      <c r="L210" s="257" t="s">
        <v>552</v>
      </c>
      <c r="M210" s="257">
        <f>S206</f>
        <v>20</v>
      </c>
      <c r="N210" s="474" t="s">
        <v>553</v>
      </c>
      <c r="O210" s="516">
        <f>S203</f>
        <v>3</v>
      </c>
      <c r="V210" s="197"/>
    </row>
    <row r="211" spans="1:22" ht="18" hidden="1" customHeight="1">
      <c r="A211" s="196"/>
      <c r="D211" s="27" t="s">
        <v>138</v>
      </c>
      <c r="E211" s="665">
        <f>((F210*H210)/(K210*M210))-O210</f>
        <v>16.5</v>
      </c>
      <c r="F211" s="665"/>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664" t="s">
        <v>555</v>
      </c>
      <c r="H220" s="664"/>
      <c r="I220" s="203" t="s">
        <v>353</v>
      </c>
      <c r="J220" s="665" t="s">
        <v>434</v>
      </c>
      <c r="K220" s="665"/>
      <c r="V220" s="197"/>
    </row>
    <row r="221" spans="1:22" ht="18" hidden="1" customHeight="1">
      <c r="A221" s="196"/>
      <c r="F221" s="27" t="s">
        <v>138</v>
      </c>
      <c r="G221" s="665">
        <f>S200</f>
        <v>40000</v>
      </c>
      <c r="H221" s="665"/>
      <c r="I221" s="203" t="s">
        <v>353</v>
      </c>
      <c r="J221" s="665" t="str">
        <f>S201</f>
        <v>-</v>
      </c>
      <c r="K221" s="665"/>
      <c r="V221" s="197"/>
    </row>
    <row r="222" spans="1:22" ht="18" hidden="1" customHeight="1">
      <c r="A222" s="196"/>
      <c r="F222" s="27" t="s">
        <v>138</v>
      </c>
      <c r="G222" s="668" t="e">
        <f>G221/J221</f>
        <v>#VALUE!</v>
      </c>
      <c r="H222" s="668"/>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680">
        <f>G225*((I225+K225)/(M225+O225))</f>
        <v>68.140106787253444</v>
      </c>
      <c r="H226" s="680"/>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668">
        <f>G226</f>
        <v>68.140106787253444</v>
      </c>
      <c r="E229" s="668"/>
      <c r="F229" s="27" t="e">
        <f>F228</f>
        <v>#VALUE!</v>
      </c>
      <c r="G229" s="668" t="e">
        <f>G222</f>
        <v>#VALUE!</v>
      </c>
      <c r="H229" s="668"/>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800" t="s">
        <v>97</v>
      </c>
      <c r="B265" s="800"/>
      <c r="C265" s="728"/>
      <c r="D265" s="800" t="s">
        <v>98</v>
      </c>
      <c r="E265" s="800"/>
      <c r="F265" s="800"/>
      <c r="G265" s="800" t="s">
        <v>99</v>
      </c>
      <c r="H265" s="800"/>
      <c r="I265" s="800" t="s">
        <v>100</v>
      </c>
      <c r="J265" s="800"/>
      <c r="K265" s="716" t="s">
        <v>101</v>
      </c>
      <c r="L265" s="717"/>
      <c r="M265" s="716" t="s">
        <v>102</v>
      </c>
      <c r="N265" s="717"/>
      <c r="O265" s="716" t="s">
        <v>103</v>
      </c>
      <c r="P265" s="717"/>
      <c r="Q265" s="716" t="s">
        <v>104</v>
      </c>
      <c r="R265" s="717"/>
      <c r="S265" s="800" t="s">
        <v>105</v>
      </c>
      <c r="T265" s="800"/>
      <c r="U265" s="800"/>
      <c r="V265" s="800"/>
    </row>
    <row r="266" spans="1:22" ht="18" customHeight="1">
      <c r="A266" s="728" t="str">
        <f>B7</f>
        <v>T1</v>
      </c>
      <c r="B266" s="733" t="str">
        <f>D7</f>
        <v>Core1</v>
      </c>
      <c r="C266" s="733"/>
      <c r="D266" s="732">
        <f>H10</f>
        <v>1250</v>
      </c>
      <c r="E266" s="732"/>
      <c r="F266" s="734">
        <f>O10</f>
        <v>1</v>
      </c>
      <c r="G266" s="737">
        <f>'CT-VT Burdens'!S19</f>
        <v>50</v>
      </c>
      <c r="H266" s="794">
        <f>'CT-VT Burdens'!S10</f>
        <v>6</v>
      </c>
      <c r="I266" s="794" t="str">
        <f>H11</f>
        <v>PX-B</v>
      </c>
      <c r="J266" s="794"/>
      <c r="K266" s="728">
        <f>H12</f>
        <v>5</v>
      </c>
      <c r="L266" s="728"/>
      <c r="M266" s="728">
        <f>H13</f>
        <v>750</v>
      </c>
      <c r="N266" s="728"/>
      <c r="O266" s="732">
        <f>H14</f>
        <v>60</v>
      </c>
      <c r="P266" s="732"/>
      <c r="Q266" s="739" t="str">
        <f>T7</f>
        <v>REF650</v>
      </c>
      <c r="R266" s="739"/>
      <c r="S266" s="738" t="str">
        <f>G56</f>
        <v>Suitably Dimentioned</v>
      </c>
      <c r="T266" s="738"/>
      <c r="U266" s="738"/>
      <c r="V266" s="738"/>
    </row>
    <row r="267" spans="1:22" ht="18" customHeight="1">
      <c r="A267" s="728"/>
      <c r="B267" s="733"/>
      <c r="C267" s="733"/>
      <c r="D267" s="732" t="s">
        <v>7</v>
      </c>
      <c r="E267" s="732"/>
      <c r="F267" s="735"/>
      <c r="G267" s="737"/>
      <c r="H267" s="732"/>
      <c r="I267" s="794"/>
      <c r="J267" s="794"/>
      <c r="K267" s="728" t="s">
        <v>7</v>
      </c>
      <c r="L267" s="728"/>
      <c r="M267" s="728" t="s">
        <v>7</v>
      </c>
      <c r="N267" s="728"/>
      <c r="O267" s="732" t="s">
        <v>7</v>
      </c>
      <c r="P267" s="732"/>
      <c r="Q267" s="739"/>
      <c r="R267" s="739"/>
      <c r="S267" s="738" t="s">
        <v>7</v>
      </c>
      <c r="T267" s="738"/>
      <c r="U267" s="738"/>
      <c r="V267" s="738"/>
    </row>
    <row r="268" spans="1:22" ht="18" customHeight="1">
      <c r="A268" s="728"/>
      <c r="B268" s="733"/>
      <c r="C268" s="733"/>
      <c r="D268" s="732" t="s">
        <v>7</v>
      </c>
      <c r="E268" s="732"/>
      <c r="F268" s="736"/>
      <c r="G268" s="737"/>
      <c r="H268" s="732"/>
      <c r="I268" s="794"/>
      <c r="J268" s="794"/>
      <c r="K268" s="728" t="s">
        <v>7</v>
      </c>
      <c r="L268" s="728"/>
      <c r="M268" s="728" t="s">
        <v>7</v>
      </c>
      <c r="N268" s="728"/>
      <c r="O268" s="732" t="s">
        <v>7</v>
      </c>
      <c r="P268" s="732"/>
      <c r="Q268" s="739"/>
      <c r="R268" s="739"/>
      <c r="S268" s="738" t="s">
        <v>7</v>
      </c>
      <c r="T268" s="738"/>
      <c r="U268" s="738"/>
      <c r="V268" s="738"/>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 ref="A266:A268"/>
    <mergeCell ref="B266:C268"/>
    <mergeCell ref="D266:E266"/>
    <mergeCell ref="F266:F268"/>
    <mergeCell ref="G266:G268"/>
    <mergeCell ref="H266:H268"/>
    <mergeCell ref="I266:J268"/>
    <mergeCell ref="A265:C265"/>
    <mergeCell ref="D265:F265"/>
    <mergeCell ref="G265:H265"/>
    <mergeCell ref="I265:J265"/>
    <mergeCell ref="D268:E268"/>
    <mergeCell ref="G221:H221"/>
    <mergeCell ref="J221:K221"/>
    <mergeCell ref="G222:H222"/>
    <mergeCell ref="G226:H226"/>
    <mergeCell ref="D229:E229"/>
    <mergeCell ref="G229:H229"/>
    <mergeCell ref="S206:T206"/>
    <mergeCell ref="H209:I209"/>
    <mergeCell ref="H210:I210"/>
    <mergeCell ref="E211:F211"/>
    <mergeCell ref="G220:H220"/>
    <mergeCell ref="J220:K220"/>
    <mergeCell ref="S200:T200"/>
    <mergeCell ref="S201:T201"/>
    <mergeCell ref="S202:T202"/>
    <mergeCell ref="S203:T203"/>
    <mergeCell ref="S204:T204"/>
    <mergeCell ref="S205:T205"/>
    <mergeCell ref="J189:K189"/>
    <mergeCell ref="J190:K190"/>
    <mergeCell ref="J191:K191"/>
    <mergeCell ref="P191:Q191"/>
    <mergeCell ref="A193:V194"/>
    <mergeCell ref="H198:I198"/>
    <mergeCell ref="L180:M180"/>
    <mergeCell ref="L181:M181"/>
    <mergeCell ref="L182:M182"/>
    <mergeCell ref="L183:M183"/>
    <mergeCell ref="J187:K187"/>
    <mergeCell ref="J188:K188"/>
    <mergeCell ref="H178:I178"/>
    <mergeCell ref="J178:K178"/>
    <mergeCell ref="L178:M178"/>
    <mergeCell ref="T178:U178"/>
    <mergeCell ref="H179:I179"/>
    <mergeCell ref="J179:K179"/>
    <mergeCell ref="L179:M179"/>
    <mergeCell ref="B176:C176"/>
    <mergeCell ref="D176:E177"/>
    <mergeCell ref="H176:M176"/>
    <mergeCell ref="T176:U176"/>
    <mergeCell ref="B177:C177"/>
    <mergeCell ref="T177:U177"/>
    <mergeCell ref="G133:H133"/>
    <mergeCell ref="J133:K133"/>
    <mergeCell ref="G134:H134"/>
    <mergeCell ref="G138:H138"/>
    <mergeCell ref="D141:E141"/>
    <mergeCell ref="G141:H141"/>
    <mergeCell ref="S118:T118"/>
    <mergeCell ref="H121:I121"/>
    <mergeCell ref="H122:I122"/>
    <mergeCell ref="E123:F123"/>
    <mergeCell ref="G132:H132"/>
    <mergeCell ref="J132:K132"/>
    <mergeCell ref="S112:T112"/>
    <mergeCell ref="S113:T113"/>
    <mergeCell ref="S114:T114"/>
    <mergeCell ref="S115:T115"/>
    <mergeCell ref="S116:T116"/>
    <mergeCell ref="S117:T117"/>
    <mergeCell ref="J101:K101"/>
    <mergeCell ref="J102:K102"/>
    <mergeCell ref="J103:K103"/>
    <mergeCell ref="P103:Q103"/>
    <mergeCell ref="A105:V106"/>
    <mergeCell ref="H110:I110"/>
    <mergeCell ref="J92:K92"/>
    <mergeCell ref="J93:K93"/>
    <mergeCell ref="J94:K94"/>
    <mergeCell ref="J95:K95"/>
    <mergeCell ref="J99:K99"/>
    <mergeCell ref="J100:K100"/>
    <mergeCell ref="H90:I90"/>
    <mergeCell ref="J90:K90"/>
    <mergeCell ref="L90:M90"/>
    <mergeCell ref="T90:U90"/>
    <mergeCell ref="H91:I91"/>
    <mergeCell ref="J91:K91"/>
    <mergeCell ref="L91:M91"/>
    <mergeCell ref="B88:C88"/>
    <mergeCell ref="D88:E89"/>
    <mergeCell ref="H88:M88"/>
    <mergeCell ref="T88:U88"/>
    <mergeCell ref="B89:C89"/>
    <mergeCell ref="T89:U89"/>
    <mergeCell ref="G47:H47"/>
    <mergeCell ref="J47:K47"/>
    <mergeCell ref="G48:H48"/>
    <mergeCell ref="G52:H52"/>
    <mergeCell ref="D55:E55"/>
    <mergeCell ref="G55:H55"/>
    <mergeCell ref="S37:T37"/>
    <mergeCell ref="H40:I40"/>
    <mergeCell ref="H41:I41"/>
    <mergeCell ref="E42:F42"/>
    <mergeCell ref="G46:H46"/>
    <mergeCell ref="J46:K46"/>
    <mergeCell ref="S38:T38"/>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H9:I9"/>
    <mergeCell ref="J9:K9"/>
    <mergeCell ref="L9:M9"/>
    <mergeCell ref="H10:I10"/>
    <mergeCell ref="J10:K10"/>
    <mergeCell ref="L10:M10"/>
    <mergeCell ref="A5:B5"/>
    <mergeCell ref="D5:F5"/>
    <mergeCell ref="H5:N5"/>
    <mergeCell ref="O5:Q5"/>
    <mergeCell ref="R5:V5"/>
    <mergeCell ref="B7:C7"/>
    <mergeCell ref="D7:E7"/>
    <mergeCell ref="H7:M7"/>
    <mergeCell ref="T7:U7"/>
    <mergeCell ref="A1:G4"/>
    <mergeCell ref="H3:N4"/>
    <mergeCell ref="O3:Q3"/>
    <mergeCell ref="R3:V3"/>
    <mergeCell ref="O4:Q4"/>
    <mergeCell ref="R4:V4"/>
    <mergeCell ref="H1:N1"/>
    <mergeCell ref="O1:Q1"/>
    <mergeCell ref="R1:V1"/>
    <mergeCell ref="H2:N2"/>
    <mergeCell ref="O2:Q2"/>
    <mergeCell ref="R2:V2"/>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926</v>
      </c>
      <c r="I5" s="622"/>
      <c r="J5" s="622"/>
      <c r="K5" s="622"/>
      <c r="L5" s="622"/>
      <c r="M5" s="622"/>
      <c r="N5" s="623"/>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517</v>
      </c>
      <c r="E7" s="960"/>
      <c r="F7" s="468"/>
      <c r="H7" s="665"/>
      <c r="I7" s="665"/>
      <c r="J7" s="665"/>
      <c r="K7" s="665"/>
      <c r="L7" s="665"/>
      <c r="M7" s="665"/>
      <c r="P7" s="198"/>
      <c r="S7" s="199" t="s">
        <v>398</v>
      </c>
      <c r="T7" s="948" t="s">
        <v>973</v>
      </c>
      <c r="U7" s="949"/>
      <c r="V7" s="197"/>
    </row>
    <row r="8" spans="1:24" ht="18" customHeight="1">
      <c r="A8" s="469"/>
      <c r="F8" s="468"/>
      <c r="T8" s="948" t="s">
        <v>978</v>
      </c>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1250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e">
        <f>#REF!</f>
        <v>#REF!</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950">
        <f>'CT-VT Burdens'!Q48</f>
        <v>0.02</v>
      </c>
      <c r="K18" s="951"/>
      <c r="L18" s="3" t="s">
        <v>168</v>
      </c>
      <c r="N18" s="209"/>
      <c r="V18" s="197"/>
    </row>
    <row r="19" spans="1:25" ht="18" customHeight="1">
      <c r="A19" s="196"/>
      <c r="B19" s="96" t="s">
        <v>416</v>
      </c>
      <c r="C19" s="14"/>
      <c r="D19" s="47" t="str">
        <f>T8</f>
        <v>MVTP</v>
      </c>
      <c r="E19" s="14"/>
      <c r="G19" s="211"/>
      <c r="H19" s="27"/>
      <c r="I19" s="101" t="s">
        <v>138</v>
      </c>
      <c r="J19" s="950">
        <f>'CT-VT Burdens'!Q48</f>
        <v>0.02</v>
      </c>
      <c r="K19" s="951"/>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0.44875935000000006</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0.48875935000000004</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28681.090829928391</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1250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22.944872663942714</v>
      </c>
      <c r="T26" s="669"/>
      <c r="U26" s="14" t="s">
        <v>9</v>
      </c>
      <c r="V26" s="197"/>
    </row>
    <row r="27" spans="1:25" ht="18" customHeight="1">
      <c r="A27" s="180"/>
      <c r="B27" s="5"/>
      <c r="C27" s="889" t="s">
        <v>976</v>
      </c>
      <c r="D27" s="889"/>
      <c r="E27" s="889"/>
      <c r="F27" s="889"/>
      <c r="G27" s="889"/>
      <c r="H27" s="889"/>
      <c r="I27" s="889"/>
      <c r="J27" s="889"/>
      <c r="K27" s="889"/>
      <c r="L27" s="889"/>
      <c r="M27" s="889"/>
      <c r="N27" s="14"/>
      <c r="O27" s="14"/>
      <c r="P27" s="14"/>
      <c r="Q27" s="256" t="s">
        <v>975</v>
      </c>
      <c r="R27" s="28" t="s">
        <v>138</v>
      </c>
      <c r="S27" s="669">
        <f>J22/O10*O10</f>
        <v>0.48875935000000004</v>
      </c>
      <c r="T27" s="669"/>
      <c r="U27" s="204" t="s">
        <v>344</v>
      </c>
      <c r="V27" s="197"/>
      <c r="X27" s="291"/>
      <c r="Y27" s="291"/>
    </row>
    <row r="28" spans="1:25" ht="18" customHeight="1">
      <c r="A28" s="180"/>
      <c r="B28" s="5"/>
      <c r="C28" s="47" t="s">
        <v>857</v>
      </c>
      <c r="Q28" s="120" t="s">
        <v>858</v>
      </c>
      <c r="R28" s="28" t="s">
        <v>138</v>
      </c>
      <c r="S28" s="983">
        <f>20*S25</f>
        <v>25000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664" t="s">
        <v>484</v>
      </c>
      <c r="C35" s="664"/>
      <c r="D35" s="28" t="s">
        <v>862</v>
      </c>
      <c r="E35" s="28">
        <v>2</v>
      </c>
      <c r="F35" s="27" t="s">
        <v>326</v>
      </c>
      <c r="G35" s="665" t="s">
        <v>974</v>
      </c>
      <c r="H35" s="664"/>
      <c r="I35" s="28" t="s">
        <v>683</v>
      </c>
      <c r="J35" s="664" t="s">
        <v>431</v>
      </c>
      <c r="K35" s="664"/>
      <c r="L35" s="28" t="s">
        <v>358</v>
      </c>
      <c r="M35" s="665" t="s">
        <v>975</v>
      </c>
      <c r="N35" s="664"/>
      <c r="O35" s="14" t="s">
        <v>361</v>
      </c>
      <c r="P35" s="14"/>
      <c r="Q35" s="14"/>
      <c r="R35" s="14"/>
      <c r="T35" s="14"/>
      <c r="U35" s="14"/>
      <c r="V35" s="197"/>
    </row>
    <row r="36" spans="1:23" ht="18" customHeight="1">
      <c r="A36" s="196"/>
      <c r="B36" s="14"/>
      <c r="C36" s="14"/>
      <c r="D36" s="102" t="s">
        <v>138</v>
      </c>
      <c r="E36" s="102">
        <v>2</v>
      </c>
      <c r="F36" s="203" t="s">
        <v>326</v>
      </c>
      <c r="G36" s="669">
        <f>S26</f>
        <v>22.944872663942714</v>
      </c>
      <c r="H36" s="664"/>
      <c r="I36" s="28" t="s">
        <v>683</v>
      </c>
      <c r="J36" s="664">
        <f>H12</f>
        <v>5</v>
      </c>
      <c r="K36" s="664"/>
      <c r="L36" s="28" t="s">
        <v>358</v>
      </c>
      <c r="M36" s="669">
        <f>S27</f>
        <v>0.48875935000000004</v>
      </c>
      <c r="N36" s="664"/>
      <c r="O36" s="14" t="s">
        <v>361</v>
      </c>
      <c r="S36" s="14"/>
      <c r="T36" s="14"/>
      <c r="U36" s="14"/>
      <c r="V36" s="197"/>
    </row>
    <row r="37" spans="1:23" ht="18" customHeight="1">
      <c r="A37" s="196"/>
      <c r="B37" s="14"/>
      <c r="C37" s="14"/>
      <c r="D37" s="102" t="s">
        <v>138</v>
      </c>
      <c r="E37" s="941">
        <f>E36*G36*(J36+M36)</f>
        <v>251.87776873754999</v>
      </c>
      <c r="F37" s="941"/>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41">
        <f>H13</f>
        <v>750</v>
      </c>
      <c r="F43" s="941"/>
      <c r="G43" s="28" t="str">
        <f>G42</f>
        <v>&gt;</v>
      </c>
      <c r="H43" s="669">
        <f>E37</f>
        <v>251.87776873754999</v>
      </c>
      <c r="I43" s="669"/>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800" t="s">
        <v>97</v>
      </c>
      <c r="B50" s="800"/>
      <c r="C50" s="728"/>
      <c r="D50" s="800" t="s">
        <v>98</v>
      </c>
      <c r="E50" s="800"/>
      <c r="F50" s="800"/>
      <c r="G50" s="800" t="s">
        <v>99</v>
      </c>
      <c r="H50" s="800"/>
      <c r="I50" s="800" t="s">
        <v>100</v>
      </c>
      <c r="J50" s="800"/>
      <c r="K50" s="716" t="s">
        <v>101</v>
      </c>
      <c r="L50" s="717"/>
      <c r="M50" s="716" t="s">
        <v>102</v>
      </c>
      <c r="N50" s="717"/>
      <c r="O50" s="716" t="s">
        <v>103</v>
      </c>
      <c r="P50" s="717"/>
      <c r="Q50" s="716" t="s">
        <v>104</v>
      </c>
      <c r="R50" s="717"/>
      <c r="S50" s="800" t="s">
        <v>105</v>
      </c>
      <c r="T50" s="800"/>
      <c r="U50" s="800"/>
      <c r="V50" s="800"/>
    </row>
    <row r="51" spans="1:44" ht="18" customHeight="1">
      <c r="A51" s="728" t="str">
        <f>B7</f>
        <v>T1</v>
      </c>
      <c r="B51" s="733" t="str">
        <f>D7</f>
        <v>Core2</v>
      </c>
      <c r="C51" s="733"/>
      <c r="D51" s="732">
        <f>H10</f>
        <v>1250</v>
      </c>
      <c r="E51" s="732"/>
      <c r="F51" s="734">
        <f>O10</f>
        <v>1</v>
      </c>
      <c r="G51" s="737">
        <f>'CT-VT Burdens'!S19</f>
        <v>50</v>
      </c>
      <c r="H51" s="794">
        <f>'CT-VT Burdens'!S10</f>
        <v>6</v>
      </c>
      <c r="I51" s="794" t="str">
        <f>H11</f>
        <v>PX-B</v>
      </c>
      <c r="J51" s="794"/>
      <c r="K51" s="728">
        <f>H12</f>
        <v>5</v>
      </c>
      <c r="L51" s="728"/>
      <c r="M51" s="728">
        <f>H13</f>
        <v>750</v>
      </c>
      <c r="N51" s="728"/>
      <c r="O51" s="732">
        <f>H14</f>
        <v>60</v>
      </c>
      <c r="P51" s="732"/>
      <c r="Q51" s="739" t="str">
        <f>IF(T8="",T7,IF(T9="",T7&amp;" "&amp;T8,T7&amp;" "&amp;T8&amp;" "&amp;T9))</f>
        <v>MFAC MVTP</v>
      </c>
      <c r="R51" s="739"/>
      <c r="S51" s="738" t="str">
        <f>H45</f>
        <v>Suitably Dimentioned</v>
      </c>
      <c r="T51" s="738"/>
      <c r="U51" s="738"/>
      <c r="V51" s="738"/>
    </row>
    <row r="52" spans="1:44" ht="18" customHeight="1">
      <c r="A52" s="728"/>
      <c r="B52" s="733"/>
      <c r="C52" s="733"/>
      <c r="D52" s="732" t="s">
        <v>7</v>
      </c>
      <c r="E52" s="732"/>
      <c r="F52" s="735"/>
      <c r="G52" s="737"/>
      <c r="H52" s="732"/>
      <c r="I52" s="794"/>
      <c r="J52" s="794"/>
      <c r="K52" s="728" t="s">
        <v>7</v>
      </c>
      <c r="L52" s="728"/>
      <c r="M52" s="728" t="s">
        <v>7</v>
      </c>
      <c r="N52" s="728"/>
      <c r="O52" s="732" t="s">
        <v>7</v>
      </c>
      <c r="P52" s="732"/>
      <c r="Q52" s="739"/>
      <c r="R52" s="739"/>
      <c r="S52" s="738" t="s">
        <v>7</v>
      </c>
      <c r="T52" s="738"/>
      <c r="U52" s="738"/>
      <c r="V52" s="738"/>
    </row>
    <row r="53" spans="1:44" ht="18" customHeight="1">
      <c r="A53" s="728"/>
      <c r="B53" s="733"/>
      <c r="C53" s="733"/>
      <c r="D53" s="732" t="s">
        <v>7</v>
      </c>
      <c r="E53" s="732"/>
      <c r="F53" s="736"/>
      <c r="G53" s="737"/>
      <c r="H53" s="732"/>
      <c r="I53" s="794"/>
      <c r="J53" s="794"/>
      <c r="K53" s="728" t="s">
        <v>7</v>
      </c>
      <c r="L53" s="728"/>
      <c r="M53" s="728" t="s">
        <v>7</v>
      </c>
      <c r="N53" s="728"/>
      <c r="O53" s="732" t="s">
        <v>7</v>
      </c>
      <c r="P53" s="732"/>
      <c r="Q53" s="739"/>
      <c r="R53" s="739"/>
      <c r="S53" s="738" t="s">
        <v>7</v>
      </c>
      <c r="T53" s="738"/>
      <c r="U53" s="738"/>
      <c r="V53" s="738"/>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 ref="A51:A53"/>
    <mergeCell ref="B51:C53"/>
    <mergeCell ref="D51:E51"/>
    <mergeCell ref="F51:F53"/>
    <mergeCell ref="G51:G53"/>
    <mergeCell ref="D52:E52"/>
    <mergeCell ref="D53:E53"/>
    <mergeCell ref="A50:C50"/>
    <mergeCell ref="D50:F50"/>
    <mergeCell ref="G50:H50"/>
    <mergeCell ref="I50:J50"/>
    <mergeCell ref="K50:L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Q50:R50"/>
    <mergeCell ref="S50:V50"/>
    <mergeCell ref="O50:P50"/>
    <mergeCell ref="M36:N36"/>
    <mergeCell ref="J19:K19"/>
    <mergeCell ref="J20:K20"/>
    <mergeCell ref="J21:K21"/>
    <mergeCell ref="M50:N50"/>
    <mergeCell ref="H11:I11"/>
    <mergeCell ref="H12:I12"/>
    <mergeCell ref="H13:I13"/>
    <mergeCell ref="H14:I14"/>
    <mergeCell ref="J18:K18"/>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926</v>
      </c>
      <c r="I5" s="967"/>
      <c r="J5" s="967"/>
      <c r="K5" s="967"/>
      <c r="L5" s="967"/>
      <c r="M5" s="967"/>
      <c r="N5" s="968"/>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577" t="s">
        <v>121</v>
      </c>
      <c r="E7" s="579"/>
      <c r="F7" s="267"/>
      <c r="H7" s="582"/>
      <c r="I7" s="582"/>
      <c r="J7" s="582"/>
      <c r="K7" s="582"/>
      <c r="L7" s="582"/>
      <c r="M7" s="582"/>
      <c r="P7" s="198"/>
      <c r="S7" s="199" t="s">
        <v>398</v>
      </c>
      <c r="T7" s="961" t="s">
        <v>928</v>
      </c>
      <c r="U7" s="962"/>
      <c r="V7" s="197"/>
    </row>
    <row r="8" spans="1:24" ht="18" customHeight="1">
      <c r="A8" s="196"/>
      <c r="B8" s="468"/>
      <c r="C8" s="571"/>
      <c r="D8" s="571"/>
      <c r="E8" s="571"/>
      <c r="F8" s="267"/>
      <c r="T8" s="961" t="s">
        <v>519</v>
      </c>
      <c r="U8" s="962"/>
      <c r="V8" s="197"/>
    </row>
    <row r="9" spans="1:24" ht="18" customHeight="1">
      <c r="A9" s="196"/>
      <c r="H9" s="666" t="s">
        <v>401</v>
      </c>
      <c r="I9" s="666"/>
      <c r="J9" s="667" t="s">
        <v>402</v>
      </c>
      <c r="K9" s="667"/>
      <c r="L9" s="667" t="s">
        <v>403</v>
      </c>
      <c r="M9" s="667"/>
      <c r="T9" s="961" t="s">
        <v>932</v>
      </c>
      <c r="U9" s="962"/>
      <c r="V9" s="197"/>
    </row>
    <row r="10" spans="1:24" ht="18" customHeight="1">
      <c r="A10" s="196"/>
      <c r="B10" s="47" t="s">
        <v>404</v>
      </c>
      <c r="H10" s="957">
        <v>1250</v>
      </c>
      <c r="I10" s="958"/>
      <c r="J10" s="948" t="s">
        <v>7</v>
      </c>
      <c r="K10" s="949"/>
      <c r="L10" s="948" t="s">
        <v>7</v>
      </c>
      <c r="M10" s="949"/>
      <c r="N10" s="203" t="s">
        <v>353</v>
      </c>
      <c r="O10" s="515">
        <v>1</v>
      </c>
      <c r="P10" s="27" t="s">
        <v>9</v>
      </c>
      <c r="R10" s="267"/>
      <c r="S10" s="267"/>
      <c r="T10" s="961" t="s">
        <v>933</v>
      </c>
      <c r="U10" s="962"/>
      <c r="V10" s="197"/>
    </row>
    <row r="11" spans="1:24" ht="18" customHeight="1">
      <c r="A11" s="196"/>
      <c r="B11" s="47" t="s">
        <v>405</v>
      </c>
      <c r="H11" s="948" t="s">
        <v>846</v>
      </c>
      <c r="I11" s="949"/>
      <c r="T11" s="961" t="s">
        <v>957</v>
      </c>
      <c r="U11" s="962"/>
      <c r="V11" s="197"/>
    </row>
    <row r="12" spans="1:24" ht="18" customHeight="1">
      <c r="A12" s="196"/>
      <c r="B12" s="47" t="s">
        <v>407</v>
      </c>
      <c r="G12" s="120" t="s">
        <v>508</v>
      </c>
      <c r="H12" s="948">
        <v>5</v>
      </c>
      <c r="I12" s="949"/>
      <c r="J12" s="204" t="s">
        <v>344</v>
      </c>
      <c r="T12" s="961" t="s">
        <v>956</v>
      </c>
      <c r="U12" s="962"/>
      <c r="V12" s="197"/>
    </row>
    <row r="13" spans="1:24" ht="18" customHeight="1">
      <c r="A13" s="196"/>
      <c r="B13" s="47" t="s">
        <v>409</v>
      </c>
      <c r="G13" s="120" t="s">
        <v>509</v>
      </c>
      <c r="H13" s="948"/>
      <c r="I13" s="949"/>
      <c r="J13" s="14" t="s">
        <v>316</v>
      </c>
      <c r="T13" s="307"/>
      <c r="U13" s="18"/>
      <c r="V13" s="197"/>
      <c r="W13" s="30" t="str">
        <f>G60</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t="str">
        <f>T9</f>
        <v>IDM+18</v>
      </c>
      <c r="E20" s="14"/>
      <c r="G20" s="211"/>
      <c r="H20" s="27"/>
      <c r="I20" s="101" t="s">
        <v>138</v>
      </c>
      <c r="J20" s="964">
        <f>'CT-VT Burdens'!Q92</f>
        <v>5.8000000000000003E-2</v>
      </c>
      <c r="K20" s="965"/>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64">
        <f>'CT-VT Burdens'!Q100</f>
        <v>0.04</v>
      </c>
      <c r="K21" s="950"/>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64"/>
      <c r="K22" s="950"/>
      <c r="L22" s="214"/>
      <c r="N22" s="120"/>
      <c r="O22" s="27"/>
      <c r="P22" s="27"/>
      <c r="Q22" s="27"/>
      <c r="R22" s="27"/>
      <c r="S22" s="27"/>
      <c r="T22" s="27"/>
      <c r="V22" s="197"/>
    </row>
    <row r="23" spans="1:23" ht="18" customHeight="1">
      <c r="A23" s="196"/>
      <c r="B23" s="196" t="s">
        <v>423</v>
      </c>
      <c r="C23" s="14"/>
      <c r="D23" s="14"/>
      <c r="E23" s="14"/>
      <c r="H23" s="27"/>
      <c r="I23" s="101" t="s">
        <v>138</v>
      </c>
      <c r="J23" s="954">
        <f>'CT-VT Burdens'!S22</f>
        <v>0.44875935000000006</v>
      </c>
      <c r="K23" s="955"/>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678">
        <f>SUM(J18:J23)</f>
        <v>0.58675935000000012</v>
      </c>
      <c r="K24" s="679"/>
      <c r="L24" s="3" t="s">
        <v>168</v>
      </c>
      <c r="O24" s="27" t="s">
        <v>138</v>
      </c>
      <c r="P24" s="668">
        <f>P23*R23*T23</f>
        <v>5</v>
      </c>
      <c r="Q24" s="665"/>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71" t="s">
        <v>547</v>
      </c>
      <c r="B26" s="972"/>
      <c r="C26" s="972"/>
      <c r="D26" s="972"/>
      <c r="E26" s="972"/>
      <c r="F26" s="972"/>
      <c r="G26" s="972"/>
      <c r="H26" s="972"/>
      <c r="I26" s="972"/>
      <c r="J26" s="972"/>
      <c r="K26" s="972"/>
      <c r="L26" s="972"/>
      <c r="M26" s="972"/>
      <c r="N26" s="972"/>
      <c r="O26" s="972"/>
      <c r="P26" s="972"/>
      <c r="Q26" s="972"/>
      <c r="R26" s="972"/>
      <c r="S26" s="972"/>
      <c r="T26" s="972"/>
      <c r="U26" s="972"/>
      <c r="V26" s="973"/>
      <c r="W26" s="30" t="s">
        <v>547</v>
      </c>
    </row>
    <row r="27" spans="1:23" ht="18" customHeight="1">
      <c r="A27" s="974"/>
      <c r="B27" s="972"/>
      <c r="C27" s="972"/>
      <c r="D27" s="972"/>
      <c r="E27" s="972"/>
      <c r="F27" s="972"/>
      <c r="G27" s="972"/>
      <c r="H27" s="972"/>
      <c r="I27" s="972"/>
      <c r="J27" s="972"/>
      <c r="K27" s="972"/>
      <c r="L27" s="972"/>
      <c r="M27" s="972"/>
      <c r="N27" s="972"/>
      <c r="O27" s="972"/>
      <c r="P27" s="972"/>
      <c r="Q27" s="972"/>
      <c r="R27" s="972"/>
      <c r="S27" s="972"/>
      <c r="T27" s="972"/>
      <c r="U27" s="972"/>
      <c r="V27" s="973"/>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664" t="s">
        <v>484</v>
      </c>
      <c r="I31" s="936"/>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664">
        <f>'Parameters &amp; Fault Cal. (4)'!Q32</f>
        <v>50000</v>
      </c>
      <c r="T33" s="664"/>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664">
        <f>H10</f>
        <v>1250</v>
      </c>
      <c r="T34" s="664"/>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664">
        <f>H13</f>
        <v>0</v>
      </c>
      <c r="T35" s="664"/>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669">
        <f>P24</f>
        <v>5</v>
      </c>
      <c r="T36" s="664"/>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669">
        <f>J24</f>
        <v>0.58675935000000012</v>
      </c>
      <c r="T37" s="664"/>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664">
        <f>O10</f>
        <v>1</v>
      </c>
      <c r="T38" s="664"/>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664">
        <v>20</v>
      </c>
      <c r="T39" s="664"/>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665">
        <v>30</v>
      </c>
      <c r="T40" s="665"/>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788" t="s">
        <v>484</v>
      </c>
      <c r="I44" s="975"/>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76">
        <f>S35</f>
        <v>0</v>
      </c>
      <c r="I45" s="977"/>
      <c r="J45" s="257" t="s">
        <v>326</v>
      </c>
      <c r="K45" s="257">
        <f>S38</f>
        <v>1</v>
      </c>
      <c r="L45" s="257" t="s">
        <v>552</v>
      </c>
      <c r="M45" s="257">
        <f>S39</f>
        <v>20</v>
      </c>
      <c r="N45" s="474" t="s">
        <v>553</v>
      </c>
      <c r="O45" s="516">
        <f>S36</f>
        <v>5</v>
      </c>
      <c r="V45" s="197"/>
    </row>
    <row r="46" spans="1:25" ht="18" hidden="1" customHeight="1">
      <c r="A46" s="196"/>
      <c r="D46" s="27" t="s">
        <v>138</v>
      </c>
      <c r="E46" s="665">
        <f>((F45*H45)/(K45*M45))-O45</f>
        <v>-5</v>
      </c>
      <c r="F46" s="665"/>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664" t="s">
        <v>555</v>
      </c>
      <c r="H50" s="664"/>
      <c r="I50" s="203" t="s">
        <v>353</v>
      </c>
      <c r="J50" s="665" t="s">
        <v>434</v>
      </c>
      <c r="K50" s="665"/>
      <c r="V50" s="197"/>
    </row>
    <row r="51" spans="1:22" ht="18" customHeight="1">
      <c r="A51" s="196"/>
      <c r="F51" s="27" t="s">
        <v>138</v>
      </c>
      <c r="G51" s="665">
        <f>S33</f>
        <v>50000</v>
      </c>
      <c r="H51" s="665"/>
      <c r="I51" s="203" t="s">
        <v>353</v>
      </c>
      <c r="J51" s="665">
        <f>S34</f>
        <v>1250</v>
      </c>
      <c r="K51" s="665"/>
      <c r="V51" s="197"/>
    </row>
    <row r="52" spans="1:22" ht="18" customHeight="1">
      <c r="A52" s="196"/>
      <c r="F52" s="27" t="s">
        <v>138</v>
      </c>
      <c r="G52" s="668">
        <f>G51/J51</f>
        <v>40</v>
      </c>
      <c r="H52" s="668"/>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0.58675935000000012</v>
      </c>
      <c r="P55" s="27" t="s">
        <v>361</v>
      </c>
      <c r="V55" s="197"/>
    </row>
    <row r="56" spans="1:22" ht="18" customHeight="1">
      <c r="A56" s="196"/>
      <c r="F56" s="27" t="s">
        <v>138</v>
      </c>
      <c r="G56" s="680">
        <f>G55*((I55+K55)/(M55+O55))</f>
        <v>125.29625067884837</v>
      </c>
      <c r="H56" s="680"/>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668">
        <f>G56</f>
        <v>125.29625067884837</v>
      </c>
      <c r="E59" s="668"/>
      <c r="F59" s="27" t="str">
        <f>F58</f>
        <v>&gt;</v>
      </c>
      <c r="G59" s="668">
        <f>G52</f>
        <v>40</v>
      </c>
      <c r="H59" s="668"/>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16" t="s">
        <v>97</v>
      </c>
      <c r="B91" s="729"/>
      <c r="C91" s="717"/>
      <c r="D91" s="716" t="s">
        <v>98</v>
      </c>
      <c r="E91" s="729"/>
      <c r="F91" s="717"/>
      <c r="G91" s="716" t="s">
        <v>99</v>
      </c>
      <c r="H91" s="717"/>
      <c r="I91" s="716" t="s">
        <v>100</v>
      </c>
      <c r="J91" s="717"/>
      <c r="K91" s="716" t="s">
        <v>513</v>
      </c>
      <c r="L91" s="717"/>
      <c r="M91" s="716" t="s">
        <v>514</v>
      </c>
      <c r="N91" s="717"/>
      <c r="O91" s="716" t="s">
        <v>515</v>
      </c>
      <c r="P91" s="717"/>
      <c r="Q91" s="716" t="s">
        <v>516</v>
      </c>
      <c r="R91" s="717"/>
      <c r="S91" s="716" t="s">
        <v>105</v>
      </c>
      <c r="T91" s="729"/>
      <c r="U91" s="729"/>
      <c r="V91" s="717"/>
    </row>
    <row r="92" spans="1:22" ht="18" customHeight="1">
      <c r="A92" s="718"/>
      <c r="B92" s="730"/>
      <c r="C92" s="719"/>
      <c r="D92" s="718"/>
      <c r="E92" s="730"/>
      <c r="F92" s="719"/>
      <c r="G92" s="718"/>
      <c r="H92" s="719"/>
      <c r="I92" s="718"/>
      <c r="J92" s="719"/>
      <c r="K92" s="718"/>
      <c r="L92" s="719"/>
      <c r="M92" s="718"/>
      <c r="N92" s="719"/>
      <c r="O92" s="718"/>
      <c r="P92" s="719"/>
      <c r="Q92" s="718"/>
      <c r="R92" s="719"/>
      <c r="S92" s="718"/>
      <c r="T92" s="730"/>
      <c r="U92" s="730"/>
      <c r="V92" s="719"/>
    </row>
    <row r="93" spans="1:22" ht="18" customHeight="1">
      <c r="A93" s="718"/>
      <c r="B93" s="730"/>
      <c r="C93" s="719"/>
      <c r="D93" s="718"/>
      <c r="E93" s="730"/>
      <c r="F93" s="719"/>
      <c r="G93" s="718"/>
      <c r="H93" s="719"/>
      <c r="I93" s="718"/>
      <c r="J93" s="719"/>
      <c r="K93" s="718"/>
      <c r="L93" s="719"/>
      <c r="M93" s="718"/>
      <c r="N93" s="719"/>
      <c r="O93" s="718"/>
      <c r="P93" s="719"/>
      <c r="Q93" s="718"/>
      <c r="R93" s="719"/>
      <c r="S93" s="718"/>
      <c r="T93" s="730"/>
      <c r="U93" s="730"/>
      <c r="V93" s="719"/>
    </row>
    <row r="94" spans="1:22" ht="18" customHeight="1">
      <c r="A94" s="720"/>
      <c r="B94" s="731"/>
      <c r="C94" s="721"/>
      <c r="D94" s="720"/>
      <c r="E94" s="731"/>
      <c r="F94" s="721"/>
      <c r="G94" s="720"/>
      <c r="H94" s="721"/>
      <c r="I94" s="720"/>
      <c r="J94" s="721"/>
      <c r="K94" s="720"/>
      <c r="L94" s="721"/>
      <c r="M94" s="720"/>
      <c r="N94" s="721"/>
      <c r="O94" s="720"/>
      <c r="P94" s="721"/>
      <c r="Q94" s="720"/>
      <c r="R94" s="721"/>
      <c r="S94" s="720"/>
      <c r="T94" s="731"/>
      <c r="U94" s="731"/>
      <c r="V94" s="721"/>
    </row>
    <row r="95" spans="1:22" ht="18" customHeight="1">
      <c r="A95" s="733" t="str">
        <f>B7</f>
        <v>T1</v>
      </c>
      <c r="B95" s="733" t="str">
        <f>D7</f>
        <v>Core3</v>
      </c>
      <c r="C95" s="733"/>
      <c r="D95" s="732">
        <f>H10</f>
        <v>1250</v>
      </c>
      <c r="E95" s="732"/>
      <c r="F95" s="734">
        <f>O10</f>
        <v>1</v>
      </c>
      <c r="G95" s="732">
        <f>'CT-VT Burdens'!S19</f>
        <v>50</v>
      </c>
      <c r="H95" s="794">
        <f>'CT-VT Burdens'!S10</f>
        <v>6</v>
      </c>
      <c r="I95" s="794" t="str">
        <f>H11</f>
        <v>5P20</v>
      </c>
      <c r="J95" s="794" t="e">
        <f>#REF!</f>
        <v>#REF!</v>
      </c>
      <c r="K95" s="728">
        <f>H12</f>
        <v>5</v>
      </c>
      <c r="L95" s="728"/>
      <c r="M95" s="801" t="s">
        <v>7</v>
      </c>
      <c r="N95" s="728"/>
      <c r="O95" s="799" t="s">
        <v>7</v>
      </c>
      <c r="P95" s="732"/>
      <c r="Q95" s="739" t="str">
        <f>IF(T8="",T7,IF(T9="",T7&amp;" "&amp;T8,T7&amp;" "&amp;T8&amp;" "&amp;T9))</f>
        <v>REF650 REC670 IDM+18</v>
      </c>
      <c r="R95" s="739"/>
      <c r="S95" s="738" t="str">
        <f>G60</f>
        <v>Suitably Dimentioned</v>
      </c>
      <c r="T95" s="738"/>
      <c r="U95" s="738"/>
      <c r="V95" s="738"/>
    </row>
    <row r="96" spans="1:22" ht="18" customHeight="1">
      <c r="A96" s="733"/>
      <c r="B96" s="733"/>
      <c r="C96" s="733"/>
      <c r="D96" s="799" t="s">
        <v>7</v>
      </c>
      <c r="E96" s="732"/>
      <c r="F96" s="735"/>
      <c r="G96" s="732"/>
      <c r="H96" s="732"/>
      <c r="I96" s="794"/>
      <c r="J96" s="794"/>
      <c r="K96" s="801" t="s">
        <v>7</v>
      </c>
      <c r="L96" s="728"/>
      <c r="M96" s="801" t="s">
        <v>7</v>
      </c>
      <c r="N96" s="728"/>
      <c r="O96" s="799" t="s">
        <v>7</v>
      </c>
      <c r="P96" s="732"/>
      <c r="Q96" s="739"/>
      <c r="R96" s="739"/>
      <c r="S96" s="978" t="s">
        <v>7</v>
      </c>
      <c r="T96" s="738"/>
      <c r="U96" s="738"/>
      <c r="V96" s="738"/>
    </row>
    <row r="97" spans="1:22" ht="18" customHeight="1">
      <c r="A97" s="733"/>
      <c r="B97" s="733"/>
      <c r="C97" s="733"/>
      <c r="D97" s="799" t="s">
        <v>7</v>
      </c>
      <c r="E97" s="732"/>
      <c r="F97" s="736"/>
      <c r="G97" s="732"/>
      <c r="H97" s="732"/>
      <c r="I97" s="794"/>
      <c r="J97" s="794"/>
      <c r="K97" s="801" t="s">
        <v>7</v>
      </c>
      <c r="L97" s="728"/>
      <c r="M97" s="801" t="s">
        <v>7</v>
      </c>
      <c r="N97" s="728"/>
      <c r="O97" s="799" t="s">
        <v>7</v>
      </c>
      <c r="P97" s="732"/>
      <c r="Q97" s="739"/>
      <c r="R97" s="739"/>
      <c r="S97" s="738" t="s">
        <v>7</v>
      </c>
      <c r="T97" s="738"/>
      <c r="U97" s="738"/>
      <c r="V97" s="738"/>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 ref="O91:P94"/>
    <mergeCell ref="Q91:R94"/>
    <mergeCell ref="D95:E95"/>
    <mergeCell ref="K95:L95"/>
    <mergeCell ref="M95:N95"/>
    <mergeCell ref="O95:P95"/>
    <mergeCell ref="D91:F94"/>
    <mergeCell ref="G91:H94"/>
    <mergeCell ref="I91:J94"/>
    <mergeCell ref="K91:L94"/>
    <mergeCell ref="M91:N94"/>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H44:I44"/>
    <mergeCell ref="H45:I45"/>
    <mergeCell ref="E46:F46"/>
    <mergeCell ref="G50:H50"/>
    <mergeCell ref="J50:K50"/>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10:I10"/>
    <mergeCell ref="J10:K10"/>
    <mergeCell ref="L10:M10"/>
    <mergeCell ref="T12:U12"/>
    <mergeCell ref="B7:C7"/>
    <mergeCell ref="T7:U7"/>
    <mergeCell ref="H11:I11"/>
    <mergeCell ref="T8:U8"/>
    <mergeCell ref="H9:I9"/>
    <mergeCell ref="J9:K9"/>
    <mergeCell ref="L9:M9"/>
    <mergeCell ref="T9:U9"/>
    <mergeCell ref="H12:I12"/>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926</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V6" s="197"/>
    </row>
    <row r="7" spans="1:24" ht="18" customHeight="1">
      <c r="A7" s="196"/>
      <c r="B7" s="653" t="s">
        <v>120</v>
      </c>
      <c r="C7" s="654"/>
      <c r="D7" s="890" t="s">
        <v>125</v>
      </c>
      <c r="E7" s="985"/>
      <c r="F7" s="468"/>
      <c r="H7" s="664"/>
      <c r="I7" s="665"/>
      <c r="J7" s="665"/>
      <c r="K7" s="665"/>
      <c r="L7" s="665"/>
      <c r="M7" s="665"/>
      <c r="P7" s="198"/>
      <c r="S7" s="199" t="s">
        <v>398</v>
      </c>
      <c r="T7" s="653" t="s">
        <v>190</v>
      </c>
      <c r="U7" s="654"/>
      <c r="V7" s="197"/>
    </row>
    <row r="8" spans="1:24" ht="18" customHeight="1">
      <c r="A8" s="469"/>
      <c r="F8" s="468"/>
      <c r="T8" s="653"/>
      <c r="U8" s="654"/>
      <c r="V8" s="197"/>
    </row>
    <row r="9" spans="1:24" ht="18" customHeight="1">
      <c r="A9" s="196"/>
      <c r="H9" s="666" t="s">
        <v>401</v>
      </c>
      <c r="I9" s="666"/>
      <c r="J9" s="667" t="s">
        <v>402</v>
      </c>
      <c r="K9" s="667"/>
      <c r="L9" s="667" t="s">
        <v>403</v>
      </c>
      <c r="M9" s="667"/>
      <c r="T9" s="653"/>
      <c r="U9" s="654"/>
      <c r="V9" s="197"/>
    </row>
    <row r="10" spans="1:24" ht="18" customHeight="1">
      <c r="A10" s="196"/>
      <c r="B10" s="47" t="s">
        <v>404</v>
      </c>
      <c r="H10" s="651">
        <v>2500</v>
      </c>
      <c r="I10" s="652"/>
      <c r="J10" s="653" t="s">
        <v>7</v>
      </c>
      <c r="K10" s="654"/>
      <c r="L10" s="653" t="s">
        <v>7</v>
      </c>
      <c r="M10" s="654"/>
      <c r="N10" s="203" t="s">
        <v>353</v>
      </c>
      <c r="O10" s="125">
        <v>1</v>
      </c>
      <c r="P10" s="27" t="s">
        <v>9</v>
      </c>
      <c r="R10" s="267"/>
      <c r="S10" s="267"/>
      <c r="V10" s="197"/>
    </row>
    <row r="11" spans="1:24" ht="18" customHeight="1">
      <c r="A11" s="196"/>
      <c r="B11" s="47" t="s">
        <v>405</v>
      </c>
      <c r="H11" s="653" t="s">
        <v>849</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f>T8</f>
        <v>0</v>
      </c>
      <c r="H19" s="28"/>
      <c r="I19" s="101" t="s">
        <v>138</v>
      </c>
      <c r="J19" s="670"/>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0.44875935000000006</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0.45875935000000007</v>
      </c>
      <c r="K22" s="67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f>'Parameters &amp; Fault Cal. (4)'!Q10 *1000</f>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400</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0.45875935000000007</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64" t="s">
        <v>734</v>
      </c>
      <c r="J36" s="664" t="s">
        <v>138</v>
      </c>
      <c r="K36" s="885" t="s">
        <v>725</v>
      </c>
      <c r="L36" s="885"/>
      <c r="M36" s="27"/>
      <c r="N36" s="308"/>
      <c r="O36" s="234"/>
      <c r="V36" s="197"/>
    </row>
    <row r="37" spans="1:29" ht="18" customHeight="1">
      <c r="A37" s="196"/>
      <c r="D37" s="27"/>
      <c r="G37" s="27"/>
      <c r="I37" s="664"/>
      <c r="J37" s="664"/>
      <c r="K37" s="988" t="s">
        <v>735</v>
      </c>
      <c r="L37" s="98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88">
        <f>S25</f>
        <v>50000</v>
      </c>
      <c r="F50" s="788"/>
      <c r="G50" s="14"/>
      <c r="H50" s="14"/>
      <c r="I50" s="102"/>
      <c r="J50" s="47"/>
      <c r="K50" s="47"/>
      <c r="L50" s="14"/>
      <c r="M50" s="14"/>
      <c r="N50" s="14"/>
      <c r="O50" s="14"/>
      <c r="P50" s="14"/>
      <c r="Q50" s="14"/>
      <c r="R50" s="14"/>
      <c r="S50" s="14"/>
      <c r="T50" s="14"/>
      <c r="U50" s="14"/>
      <c r="V50" s="197"/>
    </row>
    <row r="51" spans="1:22" ht="18" customHeight="1">
      <c r="A51" s="96"/>
      <c r="B51" s="14"/>
      <c r="C51" s="120"/>
      <c r="D51" s="28"/>
      <c r="E51" s="786" t="str">
        <f>"5 x "&amp;S26&amp;""</f>
        <v>5 x 2500</v>
      </c>
      <c r="F51" s="786"/>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86">
        <f>S25/5/S26</f>
        <v>4</v>
      </c>
      <c r="F53" s="67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64" t="s">
        <v>747</v>
      </c>
      <c r="F56" s="664">
        <v>1</v>
      </c>
      <c r="G56" s="664"/>
      <c r="H56" s="664" t="s">
        <v>323</v>
      </c>
      <c r="I56" s="472" t="s">
        <v>323</v>
      </c>
      <c r="J56" s="120"/>
      <c r="K56" s="28"/>
      <c r="L56" s="120"/>
      <c r="M56" s="28"/>
      <c r="N56" s="120"/>
      <c r="O56" s="28"/>
      <c r="P56" s="120"/>
      <c r="Q56" s="308"/>
      <c r="V56" s="197"/>
    </row>
    <row r="57" spans="1:22" ht="18" customHeight="1">
      <c r="A57" s="96"/>
      <c r="C57" s="14"/>
      <c r="D57" s="14"/>
      <c r="E57" s="987"/>
      <c r="F57" s="285"/>
      <c r="G57" s="286" t="s">
        <v>748</v>
      </c>
      <c r="H57" s="664"/>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96">
        <v>1</v>
      </c>
      <c r="G59" s="696"/>
      <c r="H59" s="696"/>
      <c r="I59" s="27"/>
      <c r="J59" s="664" t="s">
        <v>326</v>
      </c>
      <c r="K59" s="991">
        <v>15</v>
      </c>
      <c r="L59" s="120"/>
      <c r="M59" s="28"/>
      <c r="N59" s="120"/>
      <c r="O59" s="28"/>
      <c r="P59" s="120"/>
      <c r="Q59" s="308"/>
      <c r="V59" s="197"/>
    </row>
    <row r="60" spans="1:22" ht="18" customHeight="1">
      <c r="A60" s="96"/>
      <c r="C60" s="120"/>
      <c r="D60" s="120" t="s">
        <v>749</v>
      </c>
      <c r="E60" s="102" t="s">
        <v>138</v>
      </c>
      <c r="F60" s="30" t="s">
        <v>750</v>
      </c>
      <c r="I60" s="27"/>
      <c r="J60" s="665"/>
      <c r="K60" s="989"/>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92">
        <f>1*K59/(2*3.14*50)</f>
        <v>4.7770700636942678E-2</v>
      </c>
      <c r="G62" s="992"/>
      <c r="H62" s="28" t="s">
        <v>751</v>
      </c>
      <c r="I62" s="27"/>
      <c r="J62" s="120"/>
      <c r="K62" s="28"/>
      <c r="L62" s="120"/>
      <c r="M62" s="28"/>
      <c r="N62" s="120"/>
      <c r="O62" s="28"/>
      <c r="P62" s="120"/>
      <c r="Q62" s="308"/>
      <c r="V62" s="197"/>
    </row>
    <row r="63" spans="1:22" ht="18" customHeight="1">
      <c r="A63" s="96"/>
      <c r="C63" s="120"/>
      <c r="D63" s="120" t="s">
        <v>749</v>
      </c>
      <c r="E63" s="230" t="s">
        <v>138</v>
      </c>
      <c r="F63" s="993">
        <f>F62*1000</f>
        <v>47.770700636942678</v>
      </c>
      <c r="G63" s="993"/>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69">
        <f>S29</f>
        <v>5</v>
      </c>
      <c r="G75" s="669"/>
      <c r="H75" s="102" t="s">
        <v>358</v>
      </c>
      <c r="I75" s="230">
        <f>S30</f>
        <v>0.45875935000000007</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54.687593499999998</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9">
        <f>0.8*D76</f>
        <v>43.7500748</v>
      </c>
      <c r="O79" s="989"/>
      <c r="V79" s="197"/>
    </row>
    <row r="80" spans="1:22" ht="17.399999999999999" customHeight="1">
      <c r="A80" s="196"/>
      <c r="B80" s="7"/>
      <c r="E80" s="14"/>
      <c r="F80" s="14" t="s">
        <v>763</v>
      </c>
      <c r="G80" s="7"/>
      <c r="L80" s="28" t="s">
        <v>138</v>
      </c>
      <c r="N80" s="940">
        <f>N79*1.2</f>
        <v>52.500089760000002</v>
      </c>
      <c r="O80" s="940"/>
      <c r="V80" s="197"/>
    </row>
    <row r="81" spans="1:23" ht="17.399999999999999" customHeight="1">
      <c r="A81" s="196"/>
      <c r="K81" s="211" t="s">
        <v>486</v>
      </c>
      <c r="L81" s="28" t="str">
        <f>IF(I82&gt;M82,"&gt;","&lt;")</f>
        <v>&gt;</v>
      </c>
      <c r="M81" s="269" t="s">
        <v>488</v>
      </c>
      <c r="O81" s="18"/>
      <c r="P81" s="280"/>
      <c r="V81" s="197"/>
    </row>
    <row r="82" spans="1:23" ht="17.399999999999999" customHeight="1">
      <c r="A82" s="196"/>
      <c r="I82" s="668">
        <f>S28</f>
        <v>750</v>
      </c>
      <c r="J82" s="668"/>
      <c r="K82" s="27"/>
      <c r="L82" s="27" t="str">
        <f>IF(I82&gt;=M82,"&gt;","&lt;")</f>
        <v>&gt;</v>
      </c>
      <c r="M82" s="668">
        <f>N80</f>
        <v>52.500089760000002</v>
      </c>
      <c r="N82" s="668"/>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81" t="str">
        <f>B7</f>
        <v>T1</v>
      </c>
      <c r="C89" s="682"/>
      <c r="D89" s="695" t="str">
        <f>D7</f>
        <v>Core4</v>
      </c>
      <c r="E89" s="990"/>
      <c r="F89" s="468"/>
      <c r="H89" s="665">
        <f>H7</f>
        <v>0</v>
      </c>
      <c r="I89" s="665"/>
      <c r="J89" s="665"/>
      <c r="K89" s="665"/>
      <c r="L89" s="665"/>
      <c r="M89" s="665"/>
      <c r="P89" s="198"/>
      <c r="S89" s="199" t="s">
        <v>398</v>
      </c>
      <c r="T89" s="681" t="str">
        <f>T7</f>
        <v>REB500</v>
      </c>
      <c r="U89" s="682"/>
      <c r="V89" s="197"/>
    </row>
    <row r="90" spans="1:23" ht="18" hidden="1" customHeight="1">
      <c r="A90" s="469"/>
      <c r="F90" s="468"/>
      <c r="T90" s="994">
        <f>T8</f>
        <v>0</v>
      </c>
      <c r="U90" s="995"/>
      <c r="V90" s="197"/>
    </row>
    <row r="91" spans="1:23" ht="18" hidden="1" customHeight="1">
      <c r="A91" s="196"/>
      <c r="H91" s="696" t="s">
        <v>401</v>
      </c>
      <c r="I91" s="696"/>
      <c r="J91" s="666" t="s">
        <v>402</v>
      </c>
      <c r="K91" s="666"/>
      <c r="L91" s="667" t="s">
        <v>403</v>
      </c>
      <c r="M91" s="667"/>
      <c r="T91" s="994">
        <f>T9</f>
        <v>0</v>
      </c>
      <c r="U91" s="995"/>
      <c r="V91" s="197"/>
    </row>
    <row r="92" spans="1:23" ht="18" hidden="1" customHeight="1">
      <c r="A92" s="196"/>
      <c r="B92" s="47" t="s">
        <v>404</v>
      </c>
      <c r="H92" s="681">
        <f>H10</f>
        <v>2500</v>
      </c>
      <c r="I92" s="682"/>
      <c r="J92" s="681" t="str">
        <f>J10</f>
        <v>-</v>
      </c>
      <c r="K92" s="682"/>
      <c r="L92" s="681" t="str">
        <f>L10</f>
        <v>-</v>
      </c>
      <c r="M92" s="682"/>
      <c r="N92" s="203" t="s">
        <v>353</v>
      </c>
      <c r="O92" s="501">
        <f>O10</f>
        <v>1</v>
      </c>
      <c r="P92" s="27" t="s">
        <v>9</v>
      </c>
      <c r="R92" s="267"/>
      <c r="S92" s="267"/>
      <c r="V92" s="197"/>
    </row>
    <row r="93" spans="1:23" ht="18" hidden="1" customHeight="1">
      <c r="A93" s="196"/>
      <c r="B93" s="47" t="s">
        <v>405</v>
      </c>
      <c r="H93" s="14"/>
      <c r="I93" s="14"/>
      <c r="J93" s="681" t="str">
        <f>H11</f>
        <v>PX-B</v>
      </c>
      <c r="K93" s="682"/>
      <c r="L93" s="14"/>
      <c r="M93" s="14"/>
      <c r="V93" s="197"/>
    </row>
    <row r="94" spans="1:23" ht="18" hidden="1" customHeight="1">
      <c r="A94" s="196"/>
      <c r="B94" s="47" t="s">
        <v>407</v>
      </c>
      <c r="I94" s="120" t="s">
        <v>508</v>
      </c>
      <c r="J94" s="653">
        <v>9.3000000000000007</v>
      </c>
      <c r="K94" s="654"/>
      <c r="L94" s="204" t="s">
        <v>344</v>
      </c>
      <c r="V94" s="197"/>
    </row>
    <row r="95" spans="1:23" ht="18" hidden="1" customHeight="1">
      <c r="A95" s="196"/>
      <c r="B95" s="47" t="s">
        <v>409</v>
      </c>
      <c r="I95" s="120" t="s">
        <v>509</v>
      </c>
      <c r="J95" s="653">
        <v>500</v>
      </c>
      <c r="K95" s="654"/>
      <c r="L95" s="14" t="s">
        <v>316</v>
      </c>
      <c r="T95" s="307"/>
      <c r="U95" s="18"/>
      <c r="V95" s="197"/>
      <c r="W95" s="30" t="str">
        <f>M162</f>
        <v>Required Vk</v>
      </c>
    </row>
    <row r="96" spans="1:23" ht="18" hidden="1" customHeight="1">
      <c r="A96" s="196"/>
      <c r="B96" s="14" t="s">
        <v>412</v>
      </c>
      <c r="I96" s="120" t="s">
        <v>413</v>
      </c>
      <c r="J96" s="653">
        <v>60</v>
      </c>
      <c r="K96" s="654"/>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78">
        <f>J18</f>
        <v>0.01</v>
      </c>
      <c r="K100" s="679"/>
      <c r="L100" s="3" t="s">
        <v>168</v>
      </c>
      <c r="N100" s="209" t="s">
        <v>521</v>
      </c>
      <c r="V100" s="197"/>
    </row>
    <row r="101" spans="1:22" ht="18" hidden="1" customHeight="1">
      <c r="A101" s="196"/>
      <c r="B101" s="96" t="s">
        <v>416</v>
      </c>
      <c r="C101" s="14"/>
      <c r="D101" s="47">
        <f>T90</f>
        <v>0</v>
      </c>
      <c r="H101" s="28"/>
      <c r="I101" s="101" t="s">
        <v>138</v>
      </c>
      <c r="J101" s="678">
        <f>J19</f>
        <v>0</v>
      </c>
      <c r="K101" s="67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78">
        <f>J20</f>
        <v>0</v>
      </c>
      <c r="K102" s="67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701">
        <f>J21</f>
        <v>0.44875935000000006</v>
      </c>
      <c r="K103" s="702"/>
      <c r="L103" s="309" t="s">
        <v>168</v>
      </c>
      <c r="O103" s="27" t="s">
        <v>138</v>
      </c>
      <c r="P103" s="668">
        <f>P102*R102*T102</f>
        <v>9.3000000000000007</v>
      </c>
      <c r="Q103" s="665"/>
      <c r="R103" s="27" t="s">
        <v>168</v>
      </c>
      <c r="V103" s="197"/>
    </row>
    <row r="104" spans="1:22" ht="18" hidden="1" customHeight="1">
      <c r="A104" s="196"/>
      <c r="B104" s="1" t="s">
        <v>424</v>
      </c>
      <c r="C104" s="2"/>
      <c r="D104" s="2"/>
      <c r="E104" s="2"/>
      <c r="F104" s="208"/>
      <c r="G104" s="208"/>
      <c r="H104" s="236" t="s">
        <v>523</v>
      </c>
      <c r="I104" s="195" t="s">
        <v>138</v>
      </c>
      <c r="J104" s="678">
        <f>SUM(J100:J103)</f>
        <v>0.45875935000000007</v>
      </c>
      <c r="K104" s="67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64">
        <v>31500</v>
      </c>
      <c r="T107" s="664"/>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64" t="str">
        <f>J92</f>
        <v>-</v>
      </c>
      <c r="T108" s="664"/>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64">
        <v>33</v>
      </c>
      <c r="T109" s="664"/>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64">
        <f>J95</f>
        <v>500</v>
      </c>
      <c r="T110" s="664"/>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69">
        <f>P103</f>
        <v>9.3000000000000007</v>
      </c>
      <c r="T111" s="664"/>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69">
        <f>J104</f>
        <v>0.45875935000000007</v>
      </c>
      <c r="T112" s="664"/>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64">
        <f>O92</f>
        <v>1</v>
      </c>
      <c r="T113" s="664"/>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64">
        <v>50</v>
      </c>
      <c r="T114" s="664"/>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64" t="s">
        <v>734</v>
      </c>
      <c r="J118" s="664" t="s">
        <v>138</v>
      </c>
      <c r="K118" s="885" t="s">
        <v>725</v>
      </c>
      <c r="L118" s="885"/>
      <c r="M118" s="27"/>
      <c r="N118" s="308"/>
      <c r="O118" s="234"/>
      <c r="V118" s="197"/>
      <c r="X118" s="291"/>
      <c r="Y118" s="291"/>
    </row>
    <row r="119" spans="1:25" ht="18" hidden="1" customHeight="1">
      <c r="A119" s="180"/>
      <c r="D119" s="27"/>
      <c r="G119" s="27"/>
      <c r="I119" s="664"/>
      <c r="J119" s="664"/>
      <c r="K119" s="988" t="s">
        <v>735</v>
      </c>
      <c r="L119" s="98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88">
        <f>S107</f>
        <v>31500</v>
      </c>
      <c r="F132" s="78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86" t="str">
        <f>"5 x "&amp;S108&amp;""</f>
        <v>5 x -</v>
      </c>
      <c r="F133" s="786"/>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86" t="e">
        <f>S107/5/S108</f>
        <v>#VALUE!</v>
      </c>
      <c r="F135" s="67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64" t="s">
        <v>747</v>
      </c>
      <c r="F138" s="664">
        <v>1</v>
      </c>
      <c r="G138" s="664"/>
      <c r="H138" s="664" t="s">
        <v>323</v>
      </c>
      <c r="I138" s="472" t="s">
        <v>323</v>
      </c>
      <c r="J138" s="120"/>
      <c r="K138" s="28"/>
      <c r="L138" s="120"/>
      <c r="M138" s="28"/>
      <c r="N138" s="120"/>
      <c r="O138" s="28"/>
      <c r="P138" s="120"/>
      <c r="Q138" s="308"/>
      <c r="V138" s="197"/>
    </row>
    <row r="139" spans="1:22" ht="18" hidden="1" customHeight="1">
      <c r="A139" s="96"/>
      <c r="C139" s="14"/>
      <c r="D139" s="14"/>
      <c r="E139" s="987"/>
      <c r="F139" s="285"/>
      <c r="G139" s="286" t="s">
        <v>748</v>
      </c>
      <c r="H139" s="664"/>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96">
        <v>1</v>
      </c>
      <c r="G143" s="696"/>
      <c r="H143" s="696"/>
      <c r="I143" s="27"/>
      <c r="J143" s="664" t="s">
        <v>326</v>
      </c>
      <c r="K143" s="991" t="e">
        <f>O141</f>
        <v>#REF!</v>
      </c>
      <c r="L143" s="120"/>
      <c r="M143" s="28"/>
      <c r="N143" s="120"/>
      <c r="O143" s="28"/>
      <c r="P143" s="120"/>
      <c r="Q143" s="308"/>
      <c r="V143" s="197"/>
    </row>
    <row r="144" spans="1:22" ht="18" hidden="1" customHeight="1">
      <c r="A144" s="196"/>
      <c r="C144" s="120"/>
      <c r="D144" s="120" t="s">
        <v>749</v>
      </c>
      <c r="E144" s="102" t="s">
        <v>138</v>
      </c>
      <c r="F144" s="14" t="s">
        <v>750</v>
      </c>
      <c r="I144" s="27"/>
      <c r="J144" s="665"/>
      <c r="K144" s="989"/>
      <c r="L144" s="120"/>
      <c r="M144" s="28"/>
      <c r="N144" s="120"/>
      <c r="O144" s="28"/>
      <c r="P144" s="120"/>
      <c r="Q144" s="308"/>
      <c r="V144" s="197"/>
    </row>
    <row r="145" spans="1:22" ht="18" hidden="1" customHeight="1">
      <c r="A145" s="196"/>
      <c r="C145" s="120"/>
      <c r="D145" s="28"/>
      <c r="E145" s="230" t="s">
        <v>138</v>
      </c>
      <c r="F145" s="992" t="e">
        <f>1*O141/(2*3.14*50)</f>
        <v>#REF!</v>
      </c>
      <c r="G145" s="992"/>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93" t="e">
        <f>F145*1000</f>
        <v>#REF!</v>
      </c>
      <c r="G146" s="993"/>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93" t="e">
        <f>MAX(E135,F147)</f>
        <v>#VALUE!</v>
      </c>
      <c r="F152" s="993"/>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669">
        <f>S111</f>
        <v>9.3000000000000007</v>
      </c>
      <c r="G156" s="669"/>
      <c r="H156" s="102" t="s">
        <v>358</v>
      </c>
      <c r="I156" s="230">
        <f>S112</f>
        <v>0.45875935000000007</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9" t="e">
        <f>0.8*D157</f>
        <v>#VALUE!</v>
      </c>
      <c r="O160" s="989"/>
      <c r="V160" s="197"/>
    </row>
    <row r="161" spans="1:22" ht="18" hidden="1" customHeight="1">
      <c r="A161" s="196"/>
      <c r="B161" s="7"/>
      <c r="E161" s="14"/>
      <c r="F161" s="14" t="s">
        <v>763</v>
      </c>
      <c r="G161" s="7"/>
      <c r="L161" s="28" t="s">
        <v>138</v>
      </c>
      <c r="N161" s="940" t="e">
        <f>N160*1.2</f>
        <v>#VALUE!</v>
      </c>
      <c r="O161" s="940"/>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668">
        <f>S110</f>
        <v>500</v>
      </c>
      <c r="K163" s="668"/>
      <c r="L163" s="27" t="e">
        <f>IF(J163&gt;=M163,"&gt;","&lt;")</f>
        <v>#VALUE!</v>
      </c>
      <c r="M163" s="668" t="e">
        <f>N161</f>
        <v>#VALUE!</v>
      </c>
      <c r="N163" s="668"/>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08" t="str">
        <f>B89</f>
        <v>T1</v>
      </c>
      <c r="C171" s="709"/>
      <c r="D171" s="708" t="str">
        <f>D89</f>
        <v>Core4</v>
      </c>
      <c r="E171" s="709"/>
      <c r="F171" s="468"/>
      <c r="H171" s="665">
        <f>H89</f>
        <v>0</v>
      </c>
      <c r="I171" s="665"/>
      <c r="J171" s="665"/>
      <c r="K171" s="665"/>
      <c r="L171" s="665"/>
      <c r="M171" s="665"/>
      <c r="P171" s="198"/>
      <c r="S171" s="199" t="s">
        <v>398</v>
      </c>
      <c r="T171" s="708" t="str">
        <f>T89</f>
        <v>REB500</v>
      </c>
      <c r="U171" s="709"/>
      <c r="V171" s="197"/>
    </row>
    <row r="172" spans="1:22" ht="18" hidden="1" customHeight="1">
      <c r="A172" s="469"/>
      <c r="F172" s="468"/>
      <c r="T172" s="708">
        <f>T90</f>
        <v>0</v>
      </c>
      <c r="U172" s="709"/>
      <c r="V172" s="197"/>
    </row>
    <row r="173" spans="1:22" ht="18" hidden="1" customHeight="1">
      <c r="A173" s="196"/>
      <c r="H173" s="696" t="s">
        <v>401</v>
      </c>
      <c r="I173" s="696"/>
      <c r="J173" s="696" t="s">
        <v>402</v>
      </c>
      <c r="K173" s="696"/>
      <c r="L173" s="666" t="s">
        <v>403</v>
      </c>
      <c r="M173" s="666"/>
      <c r="T173" s="708">
        <f>T91</f>
        <v>0</v>
      </c>
      <c r="U173" s="709"/>
      <c r="V173" s="197"/>
    </row>
    <row r="174" spans="1:22" ht="18" hidden="1" customHeight="1">
      <c r="A174" s="196"/>
      <c r="B174" s="47" t="s">
        <v>404</v>
      </c>
      <c r="H174" s="708">
        <f>H92</f>
        <v>2500</v>
      </c>
      <c r="I174" s="709"/>
      <c r="J174" s="708" t="str">
        <f>J92</f>
        <v>-</v>
      </c>
      <c r="K174" s="709"/>
      <c r="L174" s="714" t="str">
        <f>L92</f>
        <v>-</v>
      </c>
      <c r="M174" s="715"/>
      <c r="N174" s="203" t="s">
        <v>353</v>
      </c>
      <c r="O174" s="268">
        <f>O92</f>
        <v>1</v>
      </c>
      <c r="P174" s="27" t="s">
        <v>9</v>
      </c>
      <c r="R174" s="267"/>
      <c r="S174" s="267"/>
      <c r="V174" s="197"/>
    </row>
    <row r="175" spans="1:22" ht="18" hidden="1" customHeight="1">
      <c r="A175" s="196"/>
      <c r="B175" s="47" t="s">
        <v>405</v>
      </c>
      <c r="H175" s="14"/>
      <c r="K175" s="14"/>
      <c r="L175" s="708" t="str">
        <f>J93</f>
        <v>PX-B</v>
      </c>
      <c r="M175" s="709"/>
      <c r="N175" s="14"/>
      <c r="V175" s="197"/>
    </row>
    <row r="176" spans="1:22" ht="18" hidden="1" customHeight="1">
      <c r="A176" s="196"/>
      <c r="B176" s="47" t="s">
        <v>407</v>
      </c>
      <c r="K176" s="120" t="s">
        <v>508</v>
      </c>
      <c r="L176" s="653" t="s">
        <v>7</v>
      </c>
      <c r="M176" s="654"/>
      <c r="N176" s="204" t="s">
        <v>344</v>
      </c>
      <c r="V176" s="197"/>
    </row>
    <row r="177" spans="1:23" ht="18" hidden="1" customHeight="1">
      <c r="A177" s="196"/>
      <c r="B177" s="47" t="s">
        <v>409</v>
      </c>
      <c r="K177" s="120" t="s">
        <v>509</v>
      </c>
      <c r="L177" s="653" t="s">
        <v>7</v>
      </c>
      <c r="M177" s="654"/>
      <c r="N177" s="14" t="s">
        <v>316</v>
      </c>
      <c r="V177" s="197"/>
      <c r="W177" s="30" t="e">
        <f>G237</f>
        <v>#VALUE!</v>
      </c>
    </row>
    <row r="178" spans="1:23" ht="18" hidden="1" customHeight="1">
      <c r="A178" s="196"/>
      <c r="B178" s="14" t="s">
        <v>412</v>
      </c>
      <c r="K178" s="120" t="s">
        <v>413</v>
      </c>
      <c r="L178" s="653" t="s">
        <v>7</v>
      </c>
      <c r="M178" s="654"/>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78">
        <f>J100</f>
        <v>0.01</v>
      </c>
      <c r="K182" s="679"/>
      <c r="L182" s="3" t="s">
        <v>168</v>
      </c>
      <c r="N182" s="209" t="s">
        <v>521</v>
      </c>
      <c r="V182" s="197"/>
    </row>
    <row r="183" spans="1:23" ht="18" hidden="1" customHeight="1">
      <c r="A183" s="196"/>
      <c r="B183" s="96" t="s">
        <v>416</v>
      </c>
      <c r="C183" s="14"/>
      <c r="D183" s="47">
        <f>T172</f>
        <v>0</v>
      </c>
      <c r="H183" s="28"/>
      <c r="I183" s="101" t="s">
        <v>138</v>
      </c>
      <c r="J183" s="678">
        <f>J101</f>
        <v>0</v>
      </c>
      <c r="K183" s="67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78">
        <f>J102</f>
        <v>0</v>
      </c>
      <c r="K184" s="67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701">
        <f>J103</f>
        <v>0.44875935000000006</v>
      </c>
      <c r="K185" s="702"/>
      <c r="L185" s="309" t="s">
        <v>168</v>
      </c>
      <c r="O185" s="27" t="s">
        <v>138</v>
      </c>
      <c r="P185" s="668" t="e">
        <f>P184*R184*T184</f>
        <v>#VALUE!</v>
      </c>
      <c r="Q185" s="665"/>
      <c r="R185" s="27" t="s">
        <v>168</v>
      </c>
      <c r="V185" s="197"/>
    </row>
    <row r="186" spans="1:23" ht="18" hidden="1" customHeight="1">
      <c r="A186" s="196"/>
      <c r="B186" s="1" t="s">
        <v>424</v>
      </c>
      <c r="C186" s="2"/>
      <c r="D186" s="2"/>
      <c r="E186" s="2"/>
      <c r="F186" s="208"/>
      <c r="G186" s="208"/>
      <c r="H186" s="236" t="s">
        <v>523</v>
      </c>
      <c r="I186" s="195" t="s">
        <v>138</v>
      </c>
      <c r="J186" s="678">
        <f>SUM(J182:J185)</f>
        <v>0.45875935000000007</v>
      </c>
      <c r="K186" s="67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71" t="s">
        <v>547</v>
      </c>
      <c r="B188" s="972"/>
      <c r="C188" s="972"/>
      <c r="D188" s="972"/>
      <c r="E188" s="972"/>
      <c r="F188" s="972"/>
      <c r="G188" s="972"/>
      <c r="H188" s="972"/>
      <c r="I188" s="972"/>
      <c r="J188" s="972"/>
      <c r="K188" s="972"/>
      <c r="L188" s="972"/>
      <c r="M188" s="972"/>
      <c r="N188" s="972"/>
      <c r="O188" s="972"/>
      <c r="P188" s="972"/>
      <c r="Q188" s="972"/>
      <c r="R188" s="972"/>
      <c r="S188" s="972"/>
      <c r="T188" s="972"/>
      <c r="U188" s="972"/>
      <c r="V188" s="973"/>
    </row>
    <row r="189" spans="1:23" ht="18" hidden="1" customHeight="1">
      <c r="A189" s="974"/>
      <c r="B189" s="972"/>
      <c r="C189" s="972"/>
      <c r="D189" s="972"/>
      <c r="E189" s="972"/>
      <c r="F189" s="972"/>
      <c r="G189" s="972"/>
      <c r="H189" s="972"/>
      <c r="I189" s="972"/>
      <c r="J189" s="972"/>
      <c r="K189" s="972"/>
      <c r="L189" s="972"/>
      <c r="M189" s="972"/>
      <c r="N189" s="972"/>
      <c r="O189" s="972"/>
      <c r="P189" s="972"/>
      <c r="Q189" s="972"/>
      <c r="R189" s="972"/>
      <c r="S189" s="972"/>
      <c r="T189" s="972"/>
      <c r="U189" s="972"/>
      <c r="V189" s="973"/>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64" t="s">
        <v>484</v>
      </c>
      <c r="I193" s="936"/>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64">
        <f>S113</f>
        <v>1</v>
      </c>
      <c r="T195" s="664"/>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64" t="str">
        <f>L174</f>
        <v>-</v>
      </c>
      <c r="T196" s="664"/>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64" t="str">
        <f>L177</f>
        <v>-</v>
      </c>
      <c r="T197" s="664"/>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69" t="e">
        <f>P185</f>
        <v>#VALUE!</v>
      </c>
      <c r="T198" s="664"/>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69">
        <f>J186</f>
        <v>0.45875935000000007</v>
      </c>
      <c r="T199" s="664"/>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64">
        <f>O174</f>
        <v>1</v>
      </c>
      <c r="T200" s="664"/>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64">
        <v>20</v>
      </c>
      <c r="T201" s="664"/>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64" t="s">
        <v>484</v>
      </c>
      <c r="I204" s="936"/>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65" t="str">
        <f>S197</f>
        <v>-</v>
      </c>
      <c r="I205" s="987"/>
      <c r="J205" s="27" t="s">
        <v>326</v>
      </c>
      <c r="K205" s="27">
        <f>S200</f>
        <v>1</v>
      </c>
      <c r="L205" s="27" t="s">
        <v>552</v>
      </c>
      <c r="M205" s="27">
        <f>S201</f>
        <v>20</v>
      </c>
      <c r="N205" s="308" t="s">
        <v>553</v>
      </c>
      <c r="O205" s="234" t="e">
        <f>S198</f>
        <v>#VALUE!</v>
      </c>
      <c r="V205" s="197"/>
    </row>
    <row r="206" spans="1:25" ht="18" hidden="1" customHeight="1">
      <c r="A206" s="196"/>
      <c r="D206" s="27" t="s">
        <v>138</v>
      </c>
      <c r="E206" s="665" t="e">
        <f>((F205*H205*K205)/M205)-O205</f>
        <v>#VALUE!</v>
      </c>
      <c r="F206" s="665"/>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65" t="s">
        <v>436</v>
      </c>
      <c r="N223" s="665"/>
      <c r="O223" s="27" t="s">
        <v>780</v>
      </c>
      <c r="P223" s="27">
        <v>5</v>
      </c>
      <c r="Q223" s="28" t="s">
        <v>326</v>
      </c>
      <c r="R223" s="665" t="s">
        <v>434</v>
      </c>
      <c r="S223" s="665"/>
      <c r="T223" s="14" t="s">
        <v>361</v>
      </c>
      <c r="U223" s="14"/>
      <c r="V223" s="197"/>
    </row>
    <row r="224" spans="1:22" ht="18" hidden="1" customHeight="1">
      <c r="A224" s="96"/>
      <c r="B224" s="14"/>
      <c r="C224" s="14"/>
      <c r="L224" s="27" t="s">
        <v>138</v>
      </c>
      <c r="M224" s="665">
        <f>S195</f>
        <v>1</v>
      </c>
      <c r="N224" s="665"/>
      <c r="O224" s="27" t="s">
        <v>780</v>
      </c>
      <c r="P224" s="27">
        <v>5</v>
      </c>
      <c r="Q224" s="28" t="s">
        <v>326</v>
      </c>
      <c r="R224" s="665" t="str">
        <f>S196</f>
        <v>-</v>
      </c>
      <c r="S224" s="665"/>
      <c r="T224" s="14" t="s">
        <v>361</v>
      </c>
      <c r="U224" s="14"/>
      <c r="V224" s="197"/>
    </row>
    <row r="225" spans="1:22" ht="18" hidden="1" customHeight="1">
      <c r="A225" s="96"/>
      <c r="B225" s="14"/>
      <c r="C225" s="14"/>
      <c r="D225" s="14"/>
      <c r="E225" s="120"/>
      <c r="F225" s="28"/>
      <c r="L225" s="27" t="s">
        <v>138</v>
      </c>
      <c r="M225" s="664" t="e">
        <f>M224/(P224*R224)</f>
        <v>#VALUE!</v>
      </c>
      <c r="N225" s="665"/>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69" t="e">
        <f>'[2]Parameters &amp; Fault Cal.'!Q184</f>
        <v>#REF!</v>
      </c>
      <c r="I227" s="665"/>
      <c r="J227" s="30" t="s">
        <v>542</v>
      </c>
      <c r="K227" s="28" t="s">
        <v>771</v>
      </c>
      <c r="L227" s="230" t="s">
        <v>138</v>
      </c>
      <c r="M227" s="669" t="e">
        <f>IF(H227&lt;=120,M220,M221)</f>
        <v>#REF!</v>
      </c>
      <c r="N227" s="665"/>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0.45875935000000007</v>
      </c>
      <c r="Q230" s="474" t="s">
        <v>361</v>
      </c>
      <c r="V230" s="197"/>
    </row>
    <row r="231" spans="1:22" ht="18" hidden="1" customHeight="1">
      <c r="A231" s="196"/>
      <c r="G231" s="27" t="s">
        <v>138</v>
      </c>
      <c r="H231" s="668" t="e">
        <f>H230*((J230+L230)/(N230+P230))</f>
        <v>#VALUE!</v>
      </c>
      <c r="I231" s="668"/>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68" t="e">
        <f>H231</f>
        <v>#VALUE!</v>
      </c>
      <c r="E235" s="665"/>
      <c r="F235" s="27" t="e">
        <f>IF(D235&gt;=G235,"&gt;","&lt;")</f>
        <v>#VALUE!</v>
      </c>
      <c r="G235" s="668" t="e">
        <f>M225</f>
        <v>#VALUE!</v>
      </c>
      <c r="H235" s="665"/>
      <c r="I235" s="18"/>
      <c r="J235" s="280" t="s">
        <v>769</v>
      </c>
      <c r="V235" s="197"/>
    </row>
    <row r="236" spans="1:22" ht="18" hidden="1" customHeight="1">
      <c r="A236" s="196"/>
      <c r="D236" s="668" t="e">
        <f>H231</f>
        <v>#VALUE!</v>
      </c>
      <c r="E236" s="665"/>
      <c r="F236" s="27" t="e">
        <f>IF(D236&gt;=G236,"&gt;","&lt;")</f>
        <v>#VALUE!</v>
      </c>
      <c r="G236" s="668" t="e">
        <f>M227</f>
        <v>#REF!</v>
      </c>
      <c r="H236" s="665"/>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16" t="s">
        <v>97</v>
      </c>
      <c r="B260" s="729"/>
      <c r="C260" s="717"/>
      <c r="D260" s="716" t="s">
        <v>98</v>
      </c>
      <c r="E260" s="729"/>
      <c r="F260" s="717"/>
      <c r="G260" s="716" t="s">
        <v>99</v>
      </c>
      <c r="H260" s="717"/>
      <c r="I260" s="716" t="s">
        <v>100</v>
      </c>
      <c r="J260" s="717"/>
      <c r="K260" s="716" t="s">
        <v>513</v>
      </c>
      <c r="L260" s="717"/>
      <c r="M260" s="716" t="s">
        <v>514</v>
      </c>
      <c r="N260" s="717"/>
      <c r="O260" s="716" t="s">
        <v>515</v>
      </c>
      <c r="P260" s="717"/>
      <c r="Q260" s="716" t="s">
        <v>516</v>
      </c>
      <c r="R260" s="717"/>
      <c r="S260" s="716" t="s">
        <v>105</v>
      </c>
      <c r="T260" s="729"/>
      <c r="U260" s="729"/>
      <c r="V260" s="717"/>
    </row>
    <row r="261" spans="1:22" ht="18" customHeight="1">
      <c r="A261" s="718"/>
      <c r="B261" s="730"/>
      <c r="C261" s="719"/>
      <c r="D261" s="718"/>
      <c r="E261" s="730"/>
      <c r="F261" s="719"/>
      <c r="G261" s="718"/>
      <c r="H261" s="719"/>
      <c r="I261" s="718"/>
      <c r="J261" s="719"/>
      <c r="K261" s="718"/>
      <c r="L261" s="719"/>
      <c r="M261" s="718"/>
      <c r="N261" s="719"/>
      <c r="O261" s="718"/>
      <c r="P261" s="719"/>
      <c r="Q261" s="718"/>
      <c r="R261" s="719"/>
      <c r="S261" s="718"/>
      <c r="T261" s="730"/>
      <c r="U261" s="730"/>
      <c r="V261" s="719"/>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20"/>
      <c r="B263" s="731"/>
      <c r="C263" s="721"/>
      <c r="D263" s="720"/>
      <c r="E263" s="731"/>
      <c r="F263" s="721"/>
      <c r="G263" s="720"/>
      <c r="H263" s="721"/>
      <c r="I263" s="720"/>
      <c r="J263" s="721"/>
      <c r="K263" s="720"/>
      <c r="L263" s="721"/>
      <c r="M263" s="720"/>
      <c r="N263" s="721"/>
      <c r="O263" s="720"/>
      <c r="P263" s="721"/>
      <c r="Q263" s="720"/>
      <c r="R263" s="721"/>
      <c r="S263" s="720"/>
      <c r="T263" s="731"/>
      <c r="U263" s="731"/>
      <c r="V263" s="721"/>
    </row>
    <row r="264" spans="1:22" ht="18" customHeight="1">
      <c r="A264" s="733" t="str">
        <f>B7</f>
        <v>T1</v>
      </c>
      <c r="B264" s="733" t="str">
        <f>D7</f>
        <v>Core4</v>
      </c>
      <c r="C264" s="733"/>
      <c r="D264" s="732">
        <f>H10</f>
        <v>2500</v>
      </c>
      <c r="E264" s="732"/>
      <c r="F264" s="734">
        <f>O10</f>
        <v>1</v>
      </c>
      <c r="G264" s="732">
        <f>'CT-VT Burdens'!S19</f>
        <v>50</v>
      </c>
      <c r="H264" s="794">
        <f>'CT-VT Burdens'!S10</f>
        <v>6</v>
      </c>
      <c r="I264" s="794" t="str">
        <f>H11</f>
        <v>PX-B</v>
      </c>
      <c r="J264" s="794" t="e">
        <f>#REF!</f>
        <v>#REF!</v>
      </c>
      <c r="K264" s="728">
        <f>H12</f>
        <v>5</v>
      </c>
      <c r="L264" s="728"/>
      <c r="M264" s="728">
        <f>H13</f>
        <v>750</v>
      </c>
      <c r="N264" s="728"/>
      <c r="O264" s="732">
        <f>H14</f>
        <v>60</v>
      </c>
      <c r="P264" s="732"/>
      <c r="Q264" s="739" t="str">
        <f>IF(T8="",T7,IF(T9="",T7&amp;"+"&amp;T8,T7&amp;"+"&amp;T8&amp;"+"&amp;T9))</f>
        <v>REB500</v>
      </c>
      <c r="R264" s="739"/>
      <c r="S264" s="738" t="str">
        <f>M83</f>
        <v>Suitable Dimensions</v>
      </c>
      <c r="T264" s="738"/>
      <c r="U264" s="738"/>
      <c r="V264" s="738"/>
    </row>
    <row r="265" spans="1:22" ht="18" customHeight="1">
      <c r="A265" s="733"/>
      <c r="B265" s="733"/>
      <c r="C265" s="733"/>
      <c r="D265" s="732" t="str">
        <f>J10</f>
        <v>-</v>
      </c>
      <c r="E265" s="732"/>
      <c r="F265" s="735"/>
      <c r="G265" s="732"/>
      <c r="H265" s="732"/>
      <c r="I265" s="794"/>
      <c r="J265" s="794"/>
      <c r="K265" s="801" t="s">
        <v>7</v>
      </c>
      <c r="L265" s="728"/>
      <c r="M265" s="801" t="s">
        <v>7</v>
      </c>
      <c r="N265" s="728"/>
      <c r="O265" s="799" t="s">
        <v>7</v>
      </c>
      <c r="P265" s="732"/>
      <c r="Q265" s="739"/>
      <c r="R265" s="739"/>
      <c r="S265" s="978" t="s">
        <v>7</v>
      </c>
      <c r="T265" s="738"/>
      <c r="U265" s="738"/>
      <c r="V265" s="738"/>
    </row>
    <row r="266" spans="1:22" ht="18" customHeight="1">
      <c r="A266" s="733"/>
      <c r="B266" s="733"/>
      <c r="C266" s="733"/>
      <c r="D266" s="732" t="str">
        <f>L10</f>
        <v>-</v>
      </c>
      <c r="E266" s="732"/>
      <c r="F266" s="736"/>
      <c r="G266" s="732"/>
      <c r="H266" s="732"/>
      <c r="I266" s="794"/>
      <c r="J266" s="794"/>
      <c r="K266" s="728" t="str">
        <f>L176</f>
        <v>-</v>
      </c>
      <c r="L266" s="728"/>
      <c r="M266" s="728" t="str">
        <f>L177</f>
        <v>-</v>
      </c>
      <c r="N266" s="728"/>
      <c r="O266" s="732" t="str">
        <f>L178</f>
        <v>-</v>
      </c>
      <c r="P266" s="732"/>
      <c r="Q266" s="739"/>
      <c r="R266" s="739"/>
      <c r="S266" s="738" t="s">
        <v>7</v>
      </c>
      <c r="T266" s="738"/>
      <c r="U266" s="738"/>
      <c r="V266" s="73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926</v>
      </c>
      <c r="I5" s="622"/>
      <c r="J5" s="622"/>
      <c r="K5" s="622"/>
      <c r="L5" s="622"/>
      <c r="M5" s="622"/>
      <c r="N5" s="623"/>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124</v>
      </c>
      <c r="E7" s="960"/>
      <c r="F7" s="468"/>
      <c r="H7" s="665"/>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str">
        <f>H58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'CT-VT Burdens'!Q98</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0.44875935000000006</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0.54875935000000009</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50000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2500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20</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0.54875935000000009</v>
      </c>
      <c r="T27" s="669"/>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20</v>
      </c>
      <c r="H36" s="664"/>
      <c r="I36" s="28" t="s">
        <v>683</v>
      </c>
      <c r="J36" s="664">
        <f>H12</f>
        <v>5</v>
      </c>
      <c r="K36" s="664"/>
      <c r="L36" s="28" t="s">
        <v>358</v>
      </c>
      <c r="M36" s="669">
        <f>S27</f>
        <v>0.54875935000000009</v>
      </c>
      <c r="N36" s="664"/>
      <c r="O36" s="14" t="s">
        <v>361</v>
      </c>
      <c r="S36" s="14"/>
      <c r="T36" s="14"/>
      <c r="U36" s="14"/>
      <c r="V36" s="197"/>
    </row>
    <row r="37" spans="1:22" ht="18" customHeight="1">
      <c r="A37" s="196"/>
      <c r="B37" s="14"/>
      <c r="C37" s="14"/>
      <c r="D37" s="102" t="s">
        <v>138</v>
      </c>
      <c r="E37" s="669">
        <f>E36*G36*(J36+M36)</f>
        <v>55.487593500000003</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5</v>
      </c>
      <c r="I42" s="664"/>
      <c r="J42" s="28" t="s">
        <v>358</v>
      </c>
      <c r="K42" s="669">
        <f>S27</f>
        <v>0.54875935000000009</v>
      </c>
      <c r="L42" s="664"/>
      <c r="M42" s="14" t="s">
        <v>361</v>
      </c>
      <c r="N42" s="14"/>
      <c r="O42" s="14"/>
      <c r="P42" s="14"/>
      <c r="Q42" s="14"/>
      <c r="R42" s="14"/>
      <c r="V42" s="197"/>
    </row>
    <row r="43" spans="1:22" ht="18" customHeight="1">
      <c r="A43" s="196"/>
      <c r="B43" s="14"/>
      <c r="C43" s="14"/>
      <c r="D43" s="102" t="s">
        <v>138</v>
      </c>
      <c r="E43" s="669">
        <f>E42*(H42+K42)</f>
        <v>110.97518700000001</v>
      </c>
      <c r="F43" s="66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41">
        <f>H13</f>
        <v>750</v>
      </c>
      <c r="F51" s="941"/>
      <c r="G51" s="28" t="str">
        <f>G50</f>
        <v>&gt;</v>
      </c>
      <c r="H51" s="669">
        <f>E37</f>
        <v>55.487593500000003</v>
      </c>
      <c r="I51" s="66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41">
        <f>H13</f>
        <v>750</v>
      </c>
      <c r="F55" s="941"/>
      <c r="G55" s="28" t="str">
        <f>G54</f>
        <v>&gt;</v>
      </c>
      <c r="H55" s="669">
        <f>E43</f>
        <v>110.97518700000001</v>
      </c>
      <c r="I55" s="66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08" t="str">
        <f>B7</f>
        <v>T1</v>
      </c>
      <c r="C87" s="709"/>
      <c r="D87" s="708" t="str">
        <f>D7</f>
        <v>Core5</v>
      </c>
      <c r="E87" s="709"/>
      <c r="F87" s="468"/>
      <c r="H87" s="665" t="s">
        <v>722</v>
      </c>
      <c r="I87" s="665"/>
      <c r="J87" s="665"/>
      <c r="K87" s="665"/>
      <c r="L87" s="665"/>
      <c r="M87" s="665"/>
      <c r="P87" s="198"/>
      <c r="S87" s="199" t="s">
        <v>398</v>
      </c>
      <c r="T87" s="708" t="str">
        <f>T7</f>
        <v>P743</v>
      </c>
      <c r="U87" s="709"/>
      <c r="V87" s="197"/>
    </row>
    <row r="88" spans="1:23" ht="18" hidden="1" customHeight="1">
      <c r="A88" s="469"/>
      <c r="F88" s="468"/>
      <c r="T88" s="708">
        <f>T8</f>
        <v>0</v>
      </c>
      <c r="U88" s="709"/>
      <c r="V88" s="197"/>
    </row>
    <row r="89" spans="1:23" ht="18" hidden="1" customHeight="1">
      <c r="A89" s="196"/>
      <c r="H89" s="696" t="s">
        <v>401</v>
      </c>
      <c r="I89" s="696"/>
      <c r="J89" s="666" t="s">
        <v>402</v>
      </c>
      <c r="K89" s="666"/>
      <c r="L89" s="667" t="s">
        <v>403</v>
      </c>
      <c r="M89" s="667"/>
      <c r="T89" s="708">
        <f>T9</f>
        <v>0</v>
      </c>
      <c r="U89" s="709"/>
      <c r="V89" s="197"/>
    </row>
    <row r="90" spans="1:23" ht="18" hidden="1" customHeight="1">
      <c r="A90" s="196"/>
      <c r="B90" s="47" t="s">
        <v>404</v>
      </c>
      <c r="H90" s="708">
        <f>H10</f>
        <v>2500</v>
      </c>
      <c r="I90" s="709"/>
      <c r="J90" s="714" t="str">
        <f>J10</f>
        <v>-</v>
      </c>
      <c r="K90" s="715"/>
      <c r="L90" s="708" t="str">
        <f>L10</f>
        <v>-</v>
      </c>
      <c r="M90" s="709"/>
      <c r="N90" s="203" t="s">
        <v>353</v>
      </c>
      <c r="O90" s="268">
        <f>O10</f>
        <v>1</v>
      </c>
      <c r="P90" s="27" t="s">
        <v>9</v>
      </c>
      <c r="R90" s="267"/>
      <c r="S90" s="267"/>
      <c r="V90" s="197"/>
    </row>
    <row r="91" spans="1:23" ht="18" hidden="1" customHeight="1">
      <c r="A91" s="196"/>
      <c r="B91" s="47" t="s">
        <v>405</v>
      </c>
      <c r="J91" s="708" t="str">
        <f>H11</f>
        <v>PX-B</v>
      </c>
      <c r="K91" s="709"/>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8"/>
      <c r="K93" s="949"/>
      <c r="L93" s="14" t="s">
        <v>316</v>
      </c>
      <c r="U93" s="18"/>
      <c r="V93" s="197"/>
      <c r="W93" s="30" t="str">
        <f>H142</f>
        <v>Under Dimentioned</v>
      </c>
    </row>
    <row r="94" spans="1:23" ht="18" hidden="1" customHeight="1">
      <c r="A94" s="196"/>
      <c r="B94" s="14" t="s">
        <v>412</v>
      </c>
      <c r="I94" s="120" t="s">
        <v>413</v>
      </c>
      <c r="J94" s="948"/>
      <c r="K94" s="949"/>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99">
        <f>J18</f>
        <v>0.1</v>
      </c>
      <c r="K98" s="678"/>
      <c r="L98" s="3" t="s">
        <v>168</v>
      </c>
      <c r="N98" s="209"/>
      <c r="V98" s="197"/>
    </row>
    <row r="99" spans="1:22" ht="18" hidden="1" customHeight="1">
      <c r="A99" s="196"/>
      <c r="B99" s="96" t="s">
        <v>416</v>
      </c>
      <c r="C99" s="14"/>
      <c r="D99" s="47">
        <f>T88</f>
        <v>0</v>
      </c>
      <c r="E99" s="14"/>
      <c r="G99" s="211"/>
      <c r="H99" s="27"/>
      <c r="I99" s="101" t="s">
        <v>138</v>
      </c>
      <c r="J99" s="699">
        <f>J19</f>
        <v>0</v>
      </c>
      <c r="K99" s="67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99">
        <f>J20</f>
        <v>0</v>
      </c>
      <c r="K100" s="67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99">
        <f>J21</f>
        <v>0.44875935000000006</v>
      </c>
      <c r="K101" s="67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78">
        <f>SUM(J98:J101)</f>
        <v>0.54875935000000009</v>
      </c>
      <c r="K102" s="67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08">
        <f>S24</f>
        <v>50000</v>
      </c>
      <c r="T104" s="709"/>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64">
        <f>H90</f>
        <v>2500</v>
      </c>
      <c r="T105" s="664"/>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69">
        <f>S104/S105*O90</f>
        <v>20</v>
      </c>
      <c r="T106" s="66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69">
        <f>J102/O90*O90</f>
        <v>0.54875935000000009</v>
      </c>
      <c r="T107" s="669"/>
      <c r="U107" s="204" t="s">
        <v>344</v>
      </c>
      <c r="V107" s="197"/>
    </row>
    <row r="108" spans="1:22" ht="18" hidden="1" customHeight="1">
      <c r="A108" s="180"/>
      <c r="B108" s="5"/>
      <c r="C108" s="47" t="s">
        <v>857</v>
      </c>
      <c r="Q108" s="120" t="s">
        <v>858</v>
      </c>
      <c r="R108" s="28" t="s">
        <v>138</v>
      </c>
      <c r="S108" s="708">
        <f>S28</f>
        <v>50000</v>
      </c>
      <c r="T108" s="709"/>
      <c r="U108" s="14" t="s">
        <v>9</v>
      </c>
      <c r="V108" s="197"/>
    </row>
    <row r="109" spans="1:22" ht="18" hidden="1" customHeight="1">
      <c r="A109" s="311"/>
      <c r="B109" s="291"/>
      <c r="C109" s="47" t="s">
        <v>859</v>
      </c>
      <c r="Q109" s="256" t="s">
        <v>860</v>
      </c>
      <c r="R109" s="28" t="s">
        <v>138</v>
      </c>
      <c r="S109" s="668">
        <f>S108/S105</f>
        <v>20</v>
      </c>
      <c r="T109" s="668"/>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64" t="s">
        <v>484</v>
      </c>
      <c r="C115" s="664"/>
      <c r="D115" s="28" t="s">
        <v>862</v>
      </c>
      <c r="E115" s="28">
        <v>0.5</v>
      </c>
      <c r="F115" s="28" t="s">
        <v>326</v>
      </c>
      <c r="G115" s="664" t="s">
        <v>855</v>
      </c>
      <c r="H115" s="664"/>
      <c r="I115" s="28" t="s">
        <v>683</v>
      </c>
      <c r="J115" s="664" t="s">
        <v>431</v>
      </c>
      <c r="K115" s="664"/>
      <c r="L115" s="28" t="s">
        <v>358</v>
      </c>
      <c r="M115" s="664" t="s">
        <v>700</v>
      </c>
      <c r="N115" s="664"/>
      <c r="O115" s="14" t="s">
        <v>361</v>
      </c>
      <c r="P115" s="14"/>
      <c r="Q115" s="14"/>
      <c r="R115" s="14"/>
      <c r="T115" s="14"/>
      <c r="U115" s="14"/>
      <c r="V115" s="197"/>
    </row>
    <row r="116" spans="1:22" ht="18" hidden="1" customHeight="1">
      <c r="A116" s="196"/>
      <c r="B116" s="14"/>
      <c r="C116" s="14"/>
      <c r="D116" s="102" t="s">
        <v>138</v>
      </c>
      <c r="E116" s="28">
        <v>0.5</v>
      </c>
      <c r="F116" s="28" t="s">
        <v>326</v>
      </c>
      <c r="G116" s="669">
        <f>S106</f>
        <v>20</v>
      </c>
      <c r="H116" s="664"/>
      <c r="I116" s="28" t="s">
        <v>683</v>
      </c>
      <c r="J116" s="664">
        <f>J92</f>
        <v>0</v>
      </c>
      <c r="K116" s="664"/>
      <c r="L116" s="28" t="s">
        <v>358</v>
      </c>
      <c r="M116" s="669">
        <f>S107</f>
        <v>0.54875935000000009</v>
      </c>
      <c r="N116" s="664"/>
      <c r="O116" s="14" t="s">
        <v>361</v>
      </c>
      <c r="S116" s="14"/>
      <c r="T116" s="14"/>
      <c r="U116" s="14"/>
      <c r="V116" s="197"/>
    </row>
    <row r="117" spans="1:22" ht="18" hidden="1" customHeight="1">
      <c r="A117" s="196"/>
      <c r="B117" s="14"/>
      <c r="C117" s="14"/>
      <c r="D117" s="102" t="s">
        <v>138</v>
      </c>
      <c r="E117" s="669">
        <f>E116*G116*(J116+M116)</f>
        <v>5.4875935000000009</v>
      </c>
      <c r="F117" s="66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64" t="s">
        <v>484</v>
      </c>
      <c r="C121" s="664"/>
      <c r="D121" s="28" t="s">
        <v>862</v>
      </c>
      <c r="E121" s="664" t="s">
        <v>860</v>
      </c>
      <c r="F121" s="664"/>
      <c r="G121" s="28" t="s">
        <v>683</v>
      </c>
      <c r="H121" s="664" t="s">
        <v>431</v>
      </c>
      <c r="I121" s="664"/>
      <c r="J121" s="28" t="s">
        <v>358</v>
      </c>
      <c r="K121" s="664" t="s">
        <v>700</v>
      </c>
      <c r="L121" s="664"/>
      <c r="M121" s="14" t="s">
        <v>361</v>
      </c>
      <c r="P121" s="14"/>
      <c r="Q121" s="14"/>
      <c r="R121" s="14"/>
      <c r="V121" s="197"/>
    </row>
    <row r="122" spans="1:22" ht="18" hidden="1" customHeight="1">
      <c r="A122" s="196"/>
      <c r="B122" s="14"/>
      <c r="C122" s="14"/>
      <c r="D122" s="102" t="s">
        <v>138</v>
      </c>
      <c r="E122" s="669">
        <f>S109</f>
        <v>20</v>
      </c>
      <c r="F122" s="664"/>
      <c r="G122" s="28" t="s">
        <v>683</v>
      </c>
      <c r="H122" s="664">
        <f>J92</f>
        <v>0</v>
      </c>
      <c r="I122" s="664"/>
      <c r="J122" s="28" t="s">
        <v>358</v>
      </c>
      <c r="K122" s="669">
        <f>S107</f>
        <v>0.54875935000000009</v>
      </c>
      <c r="L122" s="664"/>
      <c r="M122" s="14" t="s">
        <v>361</v>
      </c>
      <c r="N122" s="14"/>
      <c r="O122" s="14"/>
      <c r="P122" s="14"/>
      <c r="Q122" s="14"/>
      <c r="R122" s="14"/>
      <c r="V122" s="197"/>
    </row>
    <row r="123" spans="1:22" ht="18" hidden="1" customHeight="1">
      <c r="A123" s="196"/>
      <c r="B123" s="14"/>
      <c r="C123" s="14"/>
      <c r="D123" s="102" t="s">
        <v>138</v>
      </c>
      <c r="E123" s="669">
        <f>E122*(H122+K122)</f>
        <v>10.975187000000002</v>
      </c>
      <c r="F123" s="66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41">
        <f>J93</f>
        <v>0</v>
      </c>
      <c r="F135" s="941"/>
      <c r="G135" s="28" t="str">
        <f>G134</f>
        <v>&lt;</v>
      </c>
      <c r="H135" s="669">
        <f>E117</f>
        <v>5.4875935000000009</v>
      </c>
      <c r="I135" s="66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41">
        <f>J93</f>
        <v>0</v>
      </c>
      <c r="F139" s="941"/>
      <c r="G139" s="28" t="str">
        <f>G138</f>
        <v>&lt;</v>
      </c>
      <c r="H139" s="669">
        <f>E123</f>
        <v>10.975187000000002</v>
      </c>
      <c r="I139" s="66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08" t="str">
        <f>B87</f>
        <v>T1</v>
      </c>
      <c r="C175" s="709"/>
      <c r="D175" s="708" t="str">
        <f>D87</f>
        <v>Core5</v>
      </c>
      <c r="E175" s="709"/>
      <c r="F175" s="468"/>
      <c r="H175" s="665" t="s">
        <v>722</v>
      </c>
      <c r="I175" s="665"/>
      <c r="J175" s="665"/>
      <c r="K175" s="665"/>
      <c r="L175" s="665"/>
      <c r="M175" s="665"/>
      <c r="P175" s="198"/>
      <c r="S175" s="199" t="s">
        <v>398</v>
      </c>
      <c r="T175" s="708" t="str">
        <f>T87</f>
        <v>P743</v>
      </c>
      <c r="U175" s="709"/>
      <c r="V175" s="197"/>
    </row>
    <row r="176" spans="1:22" ht="18" hidden="1" customHeight="1">
      <c r="A176" s="469"/>
      <c r="F176" s="468"/>
      <c r="T176" s="708">
        <f>T88</f>
        <v>0</v>
      </c>
      <c r="U176" s="709"/>
      <c r="V176" s="197"/>
    </row>
    <row r="177" spans="1:23" ht="18" hidden="1" customHeight="1">
      <c r="A177" s="196"/>
      <c r="H177" s="696" t="s">
        <v>401</v>
      </c>
      <c r="I177" s="696"/>
      <c r="J177" s="696" t="s">
        <v>402</v>
      </c>
      <c r="K177" s="696"/>
      <c r="L177" s="666" t="s">
        <v>403</v>
      </c>
      <c r="M177" s="666"/>
      <c r="T177" s="708">
        <f>T89</f>
        <v>0</v>
      </c>
      <c r="U177" s="709"/>
      <c r="V177" s="197"/>
    </row>
    <row r="178" spans="1:23" ht="18" hidden="1" customHeight="1">
      <c r="A178" s="196"/>
      <c r="B178" s="47" t="s">
        <v>404</v>
      </c>
      <c r="H178" s="708">
        <f>H90</f>
        <v>2500</v>
      </c>
      <c r="I178" s="709"/>
      <c r="J178" s="708" t="str">
        <f>J90</f>
        <v>-</v>
      </c>
      <c r="K178" s="709"/>
      <c r="L178" s="714" t="str">
        <f>L90</f>
        <v>-</v>
      </c>
      <c r="M178" s="715"/>
      <c r="N178" s="203" t="s">
        <v>353</v>
      </c>
      <c r="O178" s="268">
        <f>O90</f>
        <v>1</v>
      </c>
      <c r="P178" s="27" t="s">
        <v>9</v>
      </c>
      <c r="R178" s="267"/>
      <c r="S178" s="267"/>
      <c r="V178" s="197"/>
    </row>
    <row r="179" spans="1:23" ht="18" hidden="1" customHeight="1">
      <c r="A179" s="196"/>
      <c r="B179" s="47" t="s">
        <v>405</v>
      </c>
      <c r="L179" s="708" t="str">
        <f>J91</f>
        <v>PX-B</v>
      </c>
      <c r="M179" s="709"/>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8"/>
      <c r="M181" s="949"/>
      <c r="N181" s="14" t="s">
        <v>316</v>
      </c>
      <c r="U181" s="18"/>
      <c r="V181" s="197"/>
      <c r="W181" s="30" t="e">
        <f>H230</f>
        <v>#VALUE!</v>
      </c>
    </row>
    <row r="182" spans="1:23" ht="18" hidden="1" customHeight="1">
      <c r="A182" s="196"/>
      <c r="B182" s="14" t="s">
        <v>412</v>
      </c>
      <c r="K182" s="120" t="s">
        <v>413</v>
      </c>
      <c r="L182" s="948"/>
      <c r="M182" s="949"/>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99">
        <f>J98</f>
        <v>0.1</v>
      </c>
      <c r="K186" s="678"/>
      <c r="L186" s="3" t="s">
        <v>168</v>
      </c>
      <c r="N186" s="209"/>
      <c r="V186" s="197"/>
    </row>
    <row r="187" spans="1:23" ht="18" hidden="1" customHeight="1">
      <c r="A187" s="196"/>
      <c r="B187" s="96" t="s">
        <v>416</v>
      </c>
      <c r="C187" s="14"/>
      <c r="D187" s="47">
        <f>T176</f>
        <v>0</v>
      </c>
      <c r="E187" s="14"/>
      <c r="G187" s="211"/>
      <c r="H187" s="27"/>
      <c r="I187" s="101" t="s">
        <v>138</v>
      </c>
      <c r="J187" s="699">
        <f>J99</f>
        <v>0</v>
      </c>
      <c r="K187" s="67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99">
        <f>J100</f>
        <v>0</v>
      </c>
      <c r="K188" s="67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99">
        <f>J101</f>
        <v>0.44875935000000006</v>
      </c>
      <c r="K189" s="67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78">
        <f>SUM(J186:J189)</f>
        <v>0.54875935000000009</v>
      </c>
      <c r="K190" s="67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08">
        <f>S104</f>
        <v>50000</v>
      </c>
      <c r="T192" s="709"/>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64" t="str">
        <f>L178</f>
        <v>-</v>
      </c>
      <c r="T193" s="664"/>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69" t="e">
        <f>S192/S193*O178</f>
        <v>#VALUE!</v>
      </c>
      <c r="T194" s="66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69">
        <f>J190/O178*O178</f>
        <v>0.54875935000000009</v>
      </c>
      <c r="T195" s="669"/>
      <c r="U195" s="204" t="s">
        <v>344</v>
      </c>
      <c r="V195" s="197"/>
    </row>
    <row r="196" spans="1:22" ht="18" hidden="1" customHeight="1">
      <c r="A196" s="180"/>
      <c r="B196" s="5"/>
      <c r="C196" s="47" t="s">
        <v>857</v>
      </c>
      <c r="Q196" s="120" t="s">
        <v>858</v>
      </c>
      <c r="R196" s="28" t="s">
        <v>138</v>
      </c>
      <c r="S196" s="708">
        <f>S108</f>
        <v>50000</v>
      </c>
      <c r="T196" s="709"/>
      <c r="U196" s="14" t="s">
        <v>9</v>
      </c>
      <c r="V196" s="197"/>
    </row>
    <row r="197" spans="1:22" ht="18" hidden="1" customHeight="1">
      <c r="A197" s="311"/>
      <c r="B197" s="291"/>
      <c r="C197" s="47" t="s">
        <v>859</v>
      </c>
      <c r="Q197" s="256" t="s">
        <v>860</v>
      </c>
      <c r="R197" s="28" t="s">
        <v>138</v>
      </c>
      <c r="S197" s="668" t="e">
        <f>S196/S193</f>
        <v>#VALUE!</v>
      </c>
      <c r="T197" s="668"/>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64" t="s">
        <v>484</v>
      </c>
      <c r="C203" s="664"/>
      <c r="D203" s="28" t="s">
        <v>862</v>
      </c>
      <c r="E203" s="28">
        <v>0.5</v>
      </c>
      <c r="F203" s="28" t="s">
        <v>326</v>
      </c>
      <c r="G203" s="664" t="s">
        <v>855</v>
      </c>
      <c r="H203" s="664"/>
      <c r="I203" s="28" t="s">
        <v>683</v>
      </c>
      <c r="J203" s="664" t="s">
        <v>431</v>
      </c>
      <c r="K203" s="664"/>
      <c r="L203" s="28" t="s">
        <v>358</v>
      </c>
      <c r="M203" s="664" t="s">
        <v>700</v>
      </c>
      <c r="N203" s="664"/>
      <c r="O203" s="14" t="s">
        <v>361</v>
      </c>
      <c r="P203" s="14"/>
      <c r="Q203" s="14"/>
      <c r="R203" s="14"/>
      <c r="T203" s="14"/>
      <c r="U203" s="14"/>
      <c r="V203" s="197"/>
    </row>
    <row r="204" spans="1:22" ht="18" hidden="1" customHeight="1">
      <c r="A204" s="196"/>
      <c r="B204" s="14"/>
      <c r="C204" s="14"/>
      <c r="D204" s="102" t="s">
        <v>138</v>
      </c>
      <c r="E204" s="28">
        <v>0.5</v>
      </c>
      <c r="F204" s="28" t="s">
        <v>326</v>
      </c>
      <c r="G204" s="669" t="e">
        <f>S194</f>
        <v>#VALUE!</v>
      </c>
      <c r="H204" s="664"/>
      <c r="I204" s="28" t="s">
        <v>683</v>
      </c>
      <c r="J204" s="664">
        <f>L180</f>
        <v>0</v>
      </c>
      <c r="K204" s="664"/>
      <c r="L204" s="28" t="s">
        <v>358</v>
      </c>
      <c r="M204" s="669">
        <f>S195</f>
        <v>0.54875935000000009</v>
      </c>
      <c r="N204" s="664"/>
      <c r="O204" s="14" t="s">
        <v>361</v>
      </c>
      <c r="S204" s="14"/>
      <c r="T204" s="14"/>
      <c r="U204" s="14"/>
      <c r="V204" s="197"/>
    </row>
    <row r="205" spans="1:22" ht="18" hidden="1" customHeight="1">
      <c r="A205" s="196"/>
      <c r="B205" s="14"/>
      <c r="C205" s="14"/>
      <c r="D205" s="102" t="s">
        <v>138</v>
      </c>
      <c r="E205" s="669" t="e">
        <f>E204*G204*(J204+M204)</f>
        <v>#VALUE!</v>
      </c>
      <c r="F205" s="66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64" t="s">
        <v>484</v>
      </c>
      <c r="C209" s="664"/>
      <c r="D209" s="28" t="s">
        <v>862</v>
      </c>
      <c r="E209" s="664" t="s">
        <v>860</v>
      </c>
      <c r="F209" s="664"/>
      <c r="G209" s="28" t="s">
        <v>683</v>
      </c>
      <c r="H209" s="664" t="s">
        <v>431</v>
      </c>
      <c r="I209" s="664"/>
      <c r="J209" s="28" t="s">
        <v>358</v>
      </c>
      <c r="K209" s="664" t="s">
        <v>700</v>
      </c>
      <c r="L209" s="664"/>
      <c r="M209" s="14" t="s">
        <v>361</v>
      </c>
      <c r="P209" s="14"/>
      <c r="Q209" s="14"/>
      <c r="R209" s="14"/>
      <c r="V209" s="197"/>
    </row>
    <row r="210" spans="1:22" ht="18" hidden="1" customHeight="1">
      <c r="A210" s="196"/>
      <c r="B210" s="14"/>
      <c r="C210" s="14"/>
      <c r="D210" s="102" t="s">
        <v>138</v>
      </c>
      <c r="E210" s="669" t="e">
        <f>S197</f>
        <v>#VALUE!</v>
      </c>
      <c r="F210" s="664"/>
      <c r="G210" s="28" t="s">
        <v>683</v>
      </c>
      <c r="H210" s="664">
        <f>L180</f>
        <v>0</v>
      </c>
      <c r="I210" s="664"/>
      <c r="J210" s="28" t="s">
        <v>358</v>
      </c>
      <c r="K210" s="669">
        <f>S195</f>
        <v>0.54875935000000009</v>
      </c>
      <c r="L210" s="664"/>
      <c r="M210" s="14" t="s">
        <v>361</v>
      </c>
      <c r="N210" s="14"/>
      <c r="O210" s="14"/>
      <c r="P210" s="14"/>
      <c r="Q210" s="14"/>
      <c r="R210" s="14"/>
      <c r="V210" s="197"/>
    </row>
    <row r="211" spans="1:22" ht="18" hidden="1" customHeight="1">
      <c r="A211" s="196"/>
      <c r="B211" s="14"/>
      <c r="C211" s="14"/>
      <c r="D211" s="102" t="s">
        <v>138</v>
      </c>
      <c r="E211" s="669" t="e">
        <f>E210*(H210+K210)</f>
        <v>#VALUE!</v>
      </c>
      <c r="F211" s="66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41">
        <f>L181</f>
        <v>0</v>
      </c>
      <c r="F223" s="941"/>
      <c r="G223" s="28" t="e">
        <f>G222</f>
        <v>#VALUE!</v>
      </c>
      <c r="H223" s="669" t="e">
        <f>E205</f>
        <v>#VALUE!</v>
      </c>
      <c r="I223" s="66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41">
        <f>L181</f>
        <v>0</v>
      </c>
      <c r="F227" s="941"/>
      <c r="G227" s="28" t="e">
        <f>G226</f>
        <v>#VALUE!</v>
      </c>
      <c r="H227" s="669" t="e">
        <f>E211</f>
        <v>#VALUE!</v>
      </c>
      <c r="I227" s="66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16" t="s">
        <v>97</v>
      </c>
      <c r="B264" s="729"/>
      <c r="C264" s="717"/>
      <c r="D264" s="716" t="s">
        <v>98</v>
      </c>
      <c r="E264" s="729"/>
      <c r="F264" s="717"/>
      <c r="G264" s="716" t="s">
        <v>99</v>
      </c>
      <c r="H264" s="717"/>
      <c r="I264" s="716" t="s">
        <v>100</v>
      </c>
      <c r="J264" s="717"/>
      <c r="K264" s="716" t="s">
        <v>513</v>
      </c>
      <c r="L264" s="717"/>
      <c r="M264" s="716" t="s">
        <v>514</v>
      </c>
      <c r="N264" s="717"/>
      <c r="O264" s="716" t="s">
        <v>515</v>
      </c>
      <c r="P264" s="717"/>
      <c r="Q264" s="716" t="s">
        <v>516</v>
      </c>
      <c r="R264" s="717"/>
      <c r="S264" s="716" t="s">
        <v>105</v>
      </c>
      <c r="T264" s="729"/>
      <c r="U264" s="729"/>
      <c r="V264" s="717"/>
    </row>
    <row r="265" spans="1:44" ht="18" customHeight="1">
      <c r="A265" s="718"/>
      <c r="B265" s="730"/>
      <c r="C265" s="719"/>
      <c r="D265" s="718"/>
      <c r="E265" s="730"/>
      <c r="F265" s="719"/>
      <c r="G265" s="718"/>
      <c r="H265" s="719"/>
      <c r="I265" s="718"/>
      <c r="J265" s="719"/>
      <c r="K265" s="718"/>
      <c r="L265" s="719"/>
      <c r="M265" s="718"/>
      <c r="N265" s="719"/>
      <c r="O265" s="718"/>
      <c r="P265" s="719"/>
      <c r="Q265" s="718"/>
      <c r="R265" s="719"/>
      <c r="S265" s="718"/>
      <c r="T265" s="730"/>
      <c r="U265" s="730"/>
      <c r="V265" s="719"/>
    </row>
    <row r="266" spans="1:44" ht="18" customHeight="1">
      <c r="A266" s="718"/>
      <c r="B266" s="730"/>
      <c r="C266" s="719"/>
      <c r="D266" s="718"/>
      <c r="E266" s="730"/>
      <c r="F266" s="719"/>
      <c r="G266" s="718"/>
      <c r="H266" s="719"/>
      <c r="I266" s="718"/>
      <c r="J266" s="719"/>
      <c r="K266" s="718"/>
      <c r="L266" s="719"/>
      <c r="M266" s="718"/>
      <c r="N266" s="719"/>
      <c r="O266" s="718"/>
      <c r="P266" s="719"/>
      <c r="Q266" s="718"/>
      <c r="R266" s="719"/>
      <c r="S266" s="718"/>
      <c r="T266" s="730"/>
      <c r="U266" s="730"/>
      <c r="V266" s="719"/>
    </row>
    <row r="267" spans="1:44" ht="18" customHeight="1">
      <c r="A267" s="720"/>
      <c r="B267" s="731"/>
      <c r="C267" s="721"/>
      <c r="D267" s="720"/>
      <c r="E267" s="731"/>
      <c r="F267" s="721"/>
      <c r="G267" s="720"/>
      <c r="H267" s="721"/>
      <c r="I267" s="720"/>
      <c r="J267" s="721"/>
      <c r="K267" s="720"/>
      <c r="L267" s="721"/>
      <c r="M267" s="720"/>
      <c r="N267" s="721"/>
      <c r="O267" s="720"/>
      <c r="P267" s="721"/>
      <c r="Q267" s="720"/>
      <c r="R267" s="721"/>
      <c r="S267" s="720"/>
      <c r="T267" s="731"/>
      <c r="U267" s="731"/>
      <c r="V267" s="721"/>
    </row>
    <row r="268" spans="1:44" ht="18" customHeight="1">
      <c r="A268" s="806" t="str">
        <f>B7</f>
        <v>T1</v>
      </c>
      <c r="B268" s="782" t="str">
        <f>D7</f>
        <v>Core5</v>
      </c>
      <c r="C268" s="711"/>
      <c r="D268" s="819">
        <f>H10</f>
        <v>2500</v>
      </c>
      <c r="E268" s="821"/>
      <c r="F268" s="734">
        <f>O10</f>
        <v>1</v>
      </c>
      <c r="G268" s="734">
        <f>'CT-VT Burdens'!S19</f>
        <v>50</v>
      </c>
      <c r="H268" s="722">
        <f>'CT-VT Burdens'!S10</f>
        <v>6</v>
      </c>
      <c r="I268" s="802" t="str">
        <f>H11</f>
        <v>PX-B</v>
      </c>
      <c r="J268" s="847"/>
      <c r="K268" s="852">
        <f>H12</f>
        <v>5</v>
      </c>
      <c r="L268" s="853"/>
      <c r="M268" s="852">
        <f>H13</f>
        <v>750</v>
      </c>
      <c r="N268" s="853"/>
      <c r="O268" s="819">
        <f>H14</f>
        <v>60</v>
      </c>
      <c r="P268" s="821"/>
      <c r="Q268" s="839" t="str">
        <f>T7</f>
        <v>P743</v>
      </c>
      <c r="R268" s="840"/>
      <c r="S268" s="1059" t="str">
        <f>H58</f>
        <v>Suitably Dimentioned</v>
      </c>
      <c r="T268" s="1060"/>
      <c r="U268" s="1060"/>
      <c r="V268" s="1061"/>
    </row>
    <row r="269" spans="1:44" ht="18" customHeight="1">
      <c r="A269" s="854"/>
      <c r="B269" s="783"/>
      <c r="C269" s="784"/>
      <c r="D269" s="812" t="s">
        <v>7</v>
      </c>
      <c r="E269" s="814"/>
      <c r="F269" s="735"/>
      <c r="G269" s="735"/>
      <c r="H269" s="723"/>
      <c r="I269" s="848"/>
      <c r="J269" s="849"/>
      <c r="K269" s="869" t="s">
        <v>7</v>
      </c>
      <c r="L269" s="870"/>
      <c r="M269" s="869" t="s">
        <v>7</v>
      </c>
      <c r="N269" s="870"/>
      <c r="O269" s="812" t="s">
        <v>7</v>
      </c>
      <c r="P269" s="814"/>
      <c r="Q269" s="841"/>
      <c r="R269" s="842"/>
      <c r="S269" s="1062" t="s">
        <v>7</v>
      </c>
      <c r="T269" s="1063"/>
      <c r="U269" s="1063"/>
      <c r="V269" s="1064"/>
    </row>
    <row r="270" spans="1:44" ht="18" customHeight="1">
      <c r="A270" s="855"/>
      <c r="B270" s="712"/>
      <c r="C270" s="713"/>
      <c r="D270" s="812" t="s">
        <v>7</v>
      </c>
      <c r="E270" s="814"/>
      <c r="F270" s="736"/>
      <c r="G270" s="736"/>
      <c r="H270" s="724"/>
      <c r="I270" s="850"/>
      <c r="J270" s="851"/>
      <c r="K270" s="869" t="s">
        <v>7</v>
      </c>
      <c r="L270" s="870"/>
      <c r="M270" s="869" t="s">
        <v>7</v>
      </c>
      <c r="N270" s="870"/>
      <c r="O270" s="812" t="s">
        <v>7</v>
      </c>
      <c r="P270" s="814"/>
      <c r="Q270" s="843"/>
      <c r="R270" s="844"/>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H178:I178"/>
    <mergeCell ref="J178:K178"/>
    <mergeCell ref="L178:M178"/>
    <mergeCell ref="L179:M179"/>
    <mergeCell ref="L180:M180"/>
    <mergeCell ref="L181:M181"/>
    <mergeCell ref="T175:U175"/>
    <mergeCell ref="T176:U176"/>
    <mergeCell ref="H177:I177"/>
    <mergeCell ref="J177:K177"/>
    <mergeCell ref="L177:M177"/>
    <mergeCell ref="T177:U177"/>
    <mergeCell ref="S192:T192"/>
    <mergeCell ref="S193:T193"/>
    <mergeCell ref="S194:T194"/>
    <mergeCell ref="S195:T195"/>
    <mergeCell ref="S196:T196"/>
    <mergeCell ref="S197:T197"/>
    <mergeCell ref="L182:M182"/>
    <mergeCell ref="J186:K186"/>
    <mergeCell ref="J187:K187"/>
    <mergeCell ref="J188:K188"/>
    <mergeCell ref="J189:K189"/>
    <mergeCell ref="J190:K190"/>
    <mergeCell ref="K209:L209"/>
    <mergeCell ref="E210:F210"/>
    <mergeCell ref="H210:I210"/>
    <mergeCell ref="K210:L210"/>
    <mergeCell ref="B203:C203"/>
    <mergeCell ref="G203:H203"/>
    <mergeCell ref="J203:K203"/>
    <mergeCell ref="M203:N203"/>
    <mergeCell ref="G204:H204"/>
    <mergeCell ref="J204:K204"/>
    <mergeCell ref="M204:N204"/>
    <mergeCell ref="E211:F211"/>
    <mergeCell ref="E223:F223"/>
    <mergeCell ref="H223:I223"/>
    <mergeCell ref="E227:F227"/>
    <mergeCell ref="H227:I227"/>
    <mergeCell ref="E205:F205"/>
    <mergeCell ref="B209:C209"/>
    <mergeCell ref="E209:F209"/>
    <mergeCell ref="H209:I209"/>
    <mergeCell ref="A268:A270"/>
    <mergeCell ref="B268:C270"/>
    <mergeCell ref="D268:E268"/>
    <mergeCell ref="F268:F270"/>
    <mergeCell ref="G268:G270"/>
    <mergeCell ref="H268:H270"/>
    <mergeCell ref="I268:J270"/>
    <mergeCell ref="A264:C267"/>
    <mergeCell ref="D264:F267"/>
    <mergeCell ref="G264:H267"/>
    <mergeCell ref="I264:J267"/>
    <mergeCell ref="D270:E270"/>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7"/>
      <c r="X1" s="7"/>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7"/>
      <c r="X2" s="7"/>
    </row>
    <row r="3" spans="1:29"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7"/>
      <c r="X3" s="7"/>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7"/>
      <c r="X4" s="7"/>
    </row>
    <row r="5" spans="1:29" ht="18" customHeight="1">
      <c r="A5" s="618" t="str">
        <f>Title!A5</f>
        <v>Prep. By</v>
      </c>
      <c r="B5" s="619"/>
      <c r="C5" s="25" t="str">
        <f>Title!C5</f>
        <v>AP</v>
      </c>
      <c r="D5" s="618" t="str">
        <f>Title!D5</f>
        <v>Checked By</v>
      </c>
      <c r="E5" s="620"/>
      <c r="F5" s="619"/>
      <c r="G5" s="25" t="str">
        <f>Title!G5</f>
        <v>RB</v>
      </c>
      <c r="H5" s="621" t="s">
        <v>395</v>
      </c>
      <c r="I5" s="622"/>
      <c r="J5" s="622"/>
      <c r="K5" s="622"/>
      <c r="L5" s="622"/>
      <c r="M5" s="622"/>
      <c r="N5" s="623"/>
      <c r="O5" s="624" t="str">
        <f>Title!O5</f>
        <v>Contractor</v>
      </c>
      <c r="P5" s="625"/>
      <c r="Q5" s="626"/>
      <c r="R5" s="615" t="str">
        <f>Title!R5</f>
        <v>HITACHI</v>
      </c>
      <c r="S5" s="616"/>
      <c r="T5" s="616"/>
      <c r="U5" s="616"/>
      <c r="V5" s="617"/>
      <c r="W5" s="7"/>
      <c r="X5" s="7"/>
    </row>
    <row r="6" spans="1:29" ht="18" customHeight="1">
      <c r="A6" s="9"/>
      <c r="V6" s="10"/>
    </row>
    <row r="7" spans="1:29" ht="18" customHeight="1">
      <c r="A7" s="9"/>
      <c r="B7" s="659" t="s">
        <v>120</v>
      </c>
      <c r="C7" s="660"/>
      <c r="D7" s="659" t="s">
        <v>396</v>
      </c>
      <c r="E7" s="661"/>
      <c r="F7" s="664"/>
      <c r="G7" s="664"/>
      <c r="H7" s="664" t="s">
        <v>397</v>
      </c>
      <c r="I7" s="664"/>
      <c r="J7" s="664"/>
      <c r="K7" s="664"/>
      <c r="L7" s="664"/>
      <c r="M7" s="664"/>
      <c r="N7" s="664"/>
      <c r="S7" s="199" t="s">
        <v>398</v>
      </c>
      <c r="T7" s="653" t="s">
        <v>399</v>
      </c>
      <c r="U7" s="654"/>
      <c r="V7" s="10"/>
      <c r="W7" s="30" t="s">
        <v>400</v>
      </c>
    </row>
    <row r="8" spans="1:29" ht="18" customHeight="1">
      <c r="A8" s="9"/>
      <c r="B8" s="657"/>
      <c r="C8" s="658"/>
      <c r="D8" s="662"/>
      <c r="E8" s="663"/>
      <c r="T8" s="653"/>
      <c r="U8" s="654"/>
      <c r="V8" s="10"/>
    </row>
    <row r="9" spans="1:29" ht="18" customHeight="1">
      <c r="A9" s="9"/>
      <c r="H9" s="666" t="s">
        <v>401</v>
      </c>
      <c r="I9" s="666"/>
      <c r="J9" s="667" t="s">
        <v>402</v>
      </c>
      <c r="K9" s="667"/>
      <c r="L9" s="667" t="s">
        <v>403</v>
      </c>
      <c r="M9" s="667"/>
      <c r="T9" s="653"/>
      <c r="U9" s="654"/>
      <c r="V9" s="10"/>
    </row>
    <row r="10" spans="1:29" ht="18" customHeight="1">
      <c r="A10" s="9"/>
      <c r="B10" s="47" t="s">
        <v>404</v>
      </c>
      <c r="H10" s="651">
        <v>600</v>
      </c>
      <c r="I10" s="652"/>
      <c r="J10" s="653" t="s">
        <v>7</v>
      </c>
      <c r="K10" s="654"/>
      <c r="L10" s="653" t="s">
        <v>7</v>
      </c>
      <c r="M10" s="654"/>
      <c r="N10" s="203" t="s">
        <v>353</v>
      </c>
      <c r="O10" s="125">
        <v>1</v>
      </c>
      <c r="P10" s="27" t="s">
        <v>9</v>
      </c>
      <c r="V10" s="10"/>
    </row>
    <row r="11" spans="1:29" ht="18" customHeight="1">
      <c r="A11" s="9"/>
      <c r="B11" s="47" t="s">
        <v>405</v>
      </c>
      <c r="H11" s="653" t="s">
        <v>406</v>
      </c>
      <c r="I11" s="654"/>
      <c r="V11" s="10"/>
    </row>
    <row r="12" spans="1:29" ht="18" customHeight="1">
      <c r="A12" s="9"/>
      <c r="B12" s="47" t="s">
        <v>407</v>
      </c>
      <c r="G12" s="120" t="s">
        <v>408</v>
      </c>
      <c r="H12" s="653">
        <v>4</v>
      </c>
      <c r="I12" s="654"/>
      <c r="J12" s="204" t="s">
        <v>344</v>
      </c>
      <c r="M12" s="14"/>
      <c r="V12" s="10"/>
    </row>
    <row r="13" spans="1:29" ht="18" customHeight="1">
      <c r="A13" s="9"/>
      <c r="B13" s="47" t="s">
        <v>409</v>
      </c>
      <c r="G13" s="120" t="s">
        <v>410</v>
      </c>
      <c r="H13" s="653">
        <v>800</v>
      </c>
      <c r="I13" s="654"/>
      <c r="J13" s="14" t="s">
        <v>316</v>
      </c>
      <c r="V13" s="10"/>
      <c r="W13" s="30" t="s">
        <v>411</v>
      </c>
      <c r="AA13" s="30"/>
      <c r="AB13" s="1022">
        <f>Q120</f>
        <v>606.50572991961758</v>
      </c>
      <c r="AC13" s="1023"/>
    </row>
    <row r="14" spans="1:29" ht="18" customHeight="1">
      <c r="A14" s="9"/>
      <c r="B14" s="14" t="s">
        <v>412</v>
      </c>
      <c r="G14" s="120" t="s">
        <v>413</v>
      </c>
      <c r="H14" s="653">
        <v>50</v>
      </c>
      <c r="I14" s="654"/>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44">
        <f>'CT-VT Burdens'!Q48</f>
        <v>0.02</v>
      </c>
      <c r="K18" s="675"/>
      <c r="L18" s="214" t="s">
        <v>168</v>
      </c>
      <c r="N18" s="209" t="s">
        <v>418</v>
      </c>
      <c r="V18" s="10"/>
    </row>
    <row r="19" spans="1:22" ht="18" customHeight="1">
      <c r="A19" s="9"/>
      <c r="B19" s="196" t="s">
        <v>416</v>
      </c>
      <c r="D19" s="437">
        <f>T8</f>
        <v>0</v>
      </c>
      <c r="E19" s="14"/>
      <c r="I19" s="28" t="s">
        <v>138</v>
      </c>
      <c r="J19" s="1044"/>
      <c r="K19" s="675"/>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44"/>
      <c r="K20" s="675"/>
      <c r="L20" s="439" t="s">
        <v>168</v>
      </c>
      <c r="O20" s="27" t="s">
        <v>138</v>
      </c>
      <c r="P20" s="216">
        <f>J22</f>
        <v>0.46875935000000007</v>
      </c>
      <c r="Q20" s="203" t="s">
        <v>421</v>
      </c>
      <c r="R20" s="27">
        <f>O10</f>
        <v>1</v>
      </c>
      <c r="S20" s="27" t="s">
        <v>326</v>
      </c>
      <c r="T20" s="27">
        <f>O10</f>
        <v>1</v>
      </c>
      <c r="U20" s="30" t="s">
        <v>361</v>
      </c>
      <c r="V20" s="10"/>
    </row>
    <row r="21" spans="1:22" ht="18" customHeight="1">
      <c r="A21" s="9"/>
      <c r="B21" s="196" t="s">
        <v>423</v>
      </c>
      <c r="H21" s="438"/>
      <c r="I21" s="440" t="s">
        <v>138</v>
      </c>
      <c r="J21" s="1045">
        <f>'CT-VT Burdens'!S22</f>
        <v>0.44875935000000006</v>
      </c>
      <c r="K21" s="1046"/>
      <c r="L21" s="439" t="s">
        <v>168</v>
      </c>
      <c r="O21" s="27" t="s">
        <v>138</v>
      </c>
      <c r="P21" s="668">
        <f>P20/(R20*T20)</f>
        <v>0.46875935000000007</v>
      </c>
      <c r="Q21" s="668"/>
      <c r="R21" s="204" t="s">
        <v>344</v>
      </c>
      <c r="V21" s="10"/>
    </row>
    <row r="22" spans="1:22" ht="18" customHeight="1">
      <c r="A22" s="9"/>
      <c r="B22" s="217" t="s">
        <v>424</v>
      </c>
      <c r="C22" s="218"/>
      <c r="D22" s="218"/>
      <c r="E22" s="218"/>
      <c r="F22" s="359"/>
      <c r="G22" s="359"/>
      <c r="H22" s="202" t="s">
        <v>420</v>
      </c>
      <c r="I22" s="220" t="s">
        <v>138</v>
      </c>
      <c r="J22" s="896">
        <f>SUM(J18:K21)</f>
        <v>0.46875935000000007</v>
      </c>
      <c r="K22" s="1021"/>
      <c r="L22" s="441" t="s">
        <v>168</v>
      </c>
      <c r="V22" s="10"/>
    </row>
    <row r="23" spans="1:22" ht="18" customHeight="1">
      <c r="A23" s="9"/>
      <c r="V23" s="10"/>
    </row>
    <row r="24" spans="1:22" ht="18" customHeight="1">
      <c r="A24" s="116" t="s">
        <v>425</v>
      </c>
      <c r="V24" s="10"/>
    </row>
    <row r="25" spans="1:22" ht="18" customHeight="1">
      <c r="A25" s="1018" t="s">
        <v>426</v>
      </c>
      <c r="B25" s="1019"/>
      <c r="C25" s="1019"/>
      <c r="D25" s="1019"/>
      <c r="E25" s="1019"/>
      <c r="F25" s="1019"/>
      <c r="G25" s="1019"/>
      <c r="H25" s="1019"/>
      <c r="I25" s="1019"/>
      <c r="J25" s="1019"/>
      <c r="K25" s="1019"/>
      <c r="L25" s="1019"/>
      <c r="M25" s="1019"/>
      <c r="N25" s="1019"/>
      <c r="O25" s="1019"/>
      <c r="P25" s="1019"/>
      <c r="Q25" s="1019"/>
      <c r="R25" s="1019"/>
      <c r="S25" s="1019"/>
      <c r="T25" s="1019"/>
      <c r="U25" s="1019"/>
      <c r="V25" s="1020"/>
    </row>
    <row r="26" spans="1:22" ht="18" customHeight="1">
      <c r="A26" s="1018"/>
      <c r="B26" s="1019"/>
      <c r="C26" s="1019"/>
      <c r="D26" s="1019"/>
      <c r="E26" s="1019"/>
      <c r="F26" s="1019"/>
      <c r="G26" s="1019"/>
      <c r="H26" s="1019"/>
      <c r="I26" s="1019"/>
      <c r="J26" s="1019"/>
      <c r="K26" s="1019"/>
      <c r="L26" s="1019"/>
      <c r="M26" s="1019"/>
      <c r="N26" s="1019"/>
      <c r="O26" s="1019"/>
      <c r="P26" s="1019"/>
      <c r="Q26" s="1019"/>
      <c r="R26" s="1019"/>
      <c r="S26" s="1019"/>
      <c r="T26" s="1019"/>
      <c r="U26" s="1019"/>
      <c r="V26" s="1020"/>
    </row>
    <row r="27" spans="1:22" ht="18" customHeight="1">
      <c r="A27" s="205" t="s">
        <v>427</v>
      </c>
      <c r="V27" s="10"/>
    </row>
    <row r="28" spans="1:22" ht="18" customHeight="1">
      <c r="A28" s="1005" t="s">
        <v>428</v>
      </c>
      <c r="B28" s="947"/>
      <c r="C28" s="947"/>
      <c r="D28" s="14"/>
      <c r="E28" s="7"/>
      <c r="F28" s="1015" t="s">
        <v>429</v>
      </c>
      <c r="G28" s="903"/>
      <c r="H28" s="664" t="s">
        <v>326</v>
      </c>
      <c r="I28" s="696" t="s">
        <v>422</v>
      </c>
      <c r="J28" s="939"/>
      <c r="K28" s="664" t="s">
        <v>326</v>
      </c>
      <c r="L28" s="1015" t="s">
        <v>430</v>
      </c>
      <c r="M28" s="664" t="s">
        <v>431</v>
      </c>
      <c r="N28" s="942" t="s">
        <v>358</v>
      </c>
      <c r="O28" s="664" t="s">
        <v>419</v>
      </c>
      <c r="P28" s="664" t="s">
        <v>358</v>
      </c>
      <c r="Q28" s="943" t="s">
        <v>432</v>
      </c>
      <c r="R28" s="1016"/>
      <c r="S28" s="1016"/>
      <c r="T28" s="944" t="s">
        <v>361</v>
      </c>
      <c r="U28" s="242" t="s">
        <v>433</v>
      </c>
      <c r="V28" s="112"/>
    </row>
    <row r="29" spans="1:22" ht="18" customHeight="1">
      <c r="A29" s="1006"/>
      <c r="B29" s="947"/>
      <c r="C29" s="947"/>
      <c r="D29" s="14"/>
      <c r="E29" s="7"/>
      <c r="F29" s="903"/>
      <c r="G29" s="903"/>
      <c r="H29" s="664"/>
      <c r="I29" s="664" t="s">
        <v>434</v>
      </c>
      <c r="J29" s="903"/>
      <c r="K29" s="664"/>
      <c r="L29" s="1015"/>
      <c r="M29" s="664"/>
      <c r="N29" s="942"/>
      <c r="O29" s="664"/>
      <c r="P29" s="664"/>
      <c r="Q29" s="28" t="s">
        <v>157</v>
      </c>
      <c r="R29" s="28" t="s">
        <v>326</v>
      </c>
      <c r="S29" s="28" t="s">
        <v>157</v>
      </c>
      <c r="T29" s="944"/>
      <c r="U29" s="7"/>
      <c r="V29" s="112"/>
    </row>
    <row r="30" spans="1:22" ht="18" customHeight="1">
      <c r="A30" s="205" t="s">
        <v>435</v>
      </c>
      <c r="L30" s="442"/>
      <c r="M30" s="438"/>
      <c r="O30" s="438"/>
      <c r="V30" s="10"/>
    </row>
    <row r="31" spans="1:22" ht="18" customHeight="1">
      <c r="A31" s="1005" t="s">
        <v>428</v>
      </c>
      <c r="B31" s="947"/>
      <c r="C31" s="947"/>
      <c r="D31" s="664">
        <v>2</v>
      </c>
      <c r="E31" s="664" t="s">
        <v>326</v>
      </c>
      <c r="F31" s="1015" t="s">
        <v>436</v>
      </c>
      <c r="G31" s="903"/>
      <c r="H31" s="664" t="s">
        <v>326</v>
      </c>
      <c r="I31" s="696" t="s">
        <v>422</v>
      </c>
      <c r="J31" s="939"/>
      <c r="K31" s="664" t="s">
        <v>326</v>
      </c>
      <c r="L31" s="1015" t="s">
        <v>430</v>
      </c>
      <c r="M31" s="664" t="s">
        <v>431</v>
      </c>
      <c r="N31" s="942" t="s">
        <v>358</v>
      </c>
      <c r="O31" s="664" t="s">
        <v>419</v>
      </c>
      <c r="P31" s="664" t="s">
        <v>358</v>
      </c>
      <c r="Q31" s="943" t="s">
        <v>432</v>
      </c>
      <c r="R31" s="1016"/>
      <c r="S31" s="1016"/>
      <c r="T31" s="944" t="s">
        <v>361</v>
      </c>
      <c r="U31" s="242" t="s">
        <v>437</v>
      </c>
      <c r="V31" s="112"/>
    </row>
    <row r="32" spans="1:22" ht="18" customHeight="1">
      <c r="A32" s="1006"/>
      <c r="B32" s="947"/>
      <c r="C32" s="947"/>
      <c r="D32" s="664"/>
      <c r="E32" s="664"/>
      <c r="F32" s="903"/>
      <c r="G32" s="903"/>
      <c r="H32" s="664"/>
      <c r="I32" s="664" t="s">
        <v>434</v>
      </c>
      <c r="J32" s="903"/>
      <c r="K32" s="664"/>
      <c r="L32" s="1015"/>
      <c r="M32" s="664"/>
      <c r="N32" s="942"/>
      <c r="O32" s="664"/>
      <c r="P32" s="664"/>
      <c r="Q32" s="28" t="s">
        <v>157</v>
      </c>
      <c r="R32" s="28" t="s">
        <v>326</v>
      </c>
      <c r="S32" s="28" t="s">
        <v>157</v>
      </c>
      <c r="T32" s="944"/>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65">
        <f>H10</f>
        <v>600</v>
      </c>
      <c r="S35" s="665"/>
      <c r="T35" s="14" t="s">
        <v>9</v>
      </c>
      <c r="V35" s="10"/>
    </row>
    <row r="36" spans="1:22" ht="18" customHeight="1">
      <c r="A36" s="9"/>
      <c r="B36" s="14" t="s">
        <v>442</v>
      </c>
      <c r="C36" s="14"/>
      <c r="D36" s="14"/>
      <c r="E36" s="14"/>
      <c r="F36" s="14"/>
      <c r="G36" s="14"/>
      <c r="H36" s="14"/>
      <c r="I36" s="14"/>
      <c r="J36" s="14"/>
      <c r="P36" s="120" t="s">
        <v>429</v>
      </c>
      <c r="Q36" s="246" t="s">
        <v>138</v>
      </c>
      <c r="R36" s="665">
        <f>'Parameters &amp; Fault Cal. (4)'!Q32</f>
        <v>50000</v>
      </c>
      <c r="S36" s="665"/>
      <c r="T36" s="14" t="s">
        <v>9</v>
      </c>
      <c r="V36" s="10"/>
    </row>
    <row r="37" spans="1:22" ht="18" customHeight="1">
      <c r="A37" s="9"/>
      <c r="B37" s="14" t="s">
        <v>443</v>
      </c>
      <c r="C37" s="14"/>
      <c r="D37" s="14"/>
      <c r="E37" s="14"/>
      <c r="F37" s="14"/>
      <c r="G37" s="14"/>
      <c r="H37" s="14"/>
      <c r="I37" s="14"/>
      <c r="J37" s="14"/>
      <c r="P37" s="120" t="s">
        <v>436</v>
      </c>
      <c r="Q37" s="246" t="s">
        <v>138</v>
      </c>
      <c r="R37" s="816">
        <f>'Parameters &amp; Fault Cal. (4)'!M70</f>
        <v>28681.090829928391</v>
      </c>
      <c r="S37" s="665"/>
      <c r="T37" s="14" t="s">
        <v>9</v>
      </c>
      <c r="U37" s="30" t="s">
        <v>444</v>
      </c>
      <c r="V37" s="10"/>
    </row>
    <row r="38" spans="1:22" ht="18" customHeight="1">
      <c r="A38" s="9"/>
      <c r="B38" s="14"/>
      <c r="C38" s="14"/>
      <c r="D38" s="14"/>
      <c r="E38" s="14"/>
      <c r="F38" s="14"/>
      <c r="G38" s="14"/>
      <c r="H38" s="14"/>
      <c r="I38" s="14"/>
      <c r="J38" s="14"/>
      <c r="P38" s="120"/>
      <c r="Q38" s="246" t="s">
        <v>138</v>
      </c>
      <c r="R38" s="816">
        <f>'Parameters &amp; Fault Cal. (4)'!M91</f>
        <v>30950.978286194932</v>
      </c>
      <c r="S38" s="665"/>
      <c r="T38" s="14" t="s">
        <v>9</v>
      </c>
      <c r="U38" s="30" t="s">
        <v>445</v>
      </c>
      <c r="V38" s="10"/>
    </row>
    <row r="39" spans="1:22" ht="18" customHeight="1">
      <c r="A39" s="9"/>
      <c r="B39" s="14" t="s">
        <v>446</v>
      </c>
      <c r="C39" s="14"/>
      <c r="D39" s="103"/>
      <c r="E39" s="103"/>
      <c r="F39" s="14"/>
      <c r="G39" s="14"/>
      <c r="H39" s="5"/>
      <c r="I39" s="5"/>
      <c r="J39" s="5"/>
      <c r="P39" s="120" t="s">
        <v>447</v>
      </c>
      <c r="Q39" s="246" t="s">
        <v>138</v>
      </c>
      <c r="R39" s="665">
        <f>'CT-VT Burdens'!S17</f>
        <v>1</v>
      </c>
      <c r="S39" s="665"/>
      <c r="T39" s="14" t="s">
        <v>9</v>
      </c>
      <c r="V39" s="10"/>
    </row>
    <row r="40" spans="1:22" ht="18" customHeight="1">
      <c r="A40" s="9"/>
      <c r="B40" s="14" t="s">
        <v>448</v>
      </c>
      <c r="C40" s="14"/>
      <c r="D40" s="103"/>
      <c r="E40" s="103"/>
      <c r="F40" s="14"/>
      <c r="G40" s="14"/>
      <c r="H40" s="5"/>
      <c r="I40" s="5"/>
      <c r="J40" s="5"/>
      <c r="P40" s="120" t="s">
        <v>449</v>
      </c>
      <c r="Q40" s="246" t="s">
        <v>138</v>
      </c>
      <c r="R40" s="665">
        <f>'CT-VT Burdens'!S18</f>
        <v>1</v>
      </c>
      <c r="S40" s="665"/>
      <c r="T40" s="14" t="s">
        <v>9</v>
      </c>
      <c r="V40" s="10"/>
    </row>
    <row r="41" spans="1:22" ht="18" customHeight="1">
      <c r="A41" s="9"/>
      <c r="B41" s="14" t="s">
        <v>450</v>
      </c>
      <c r="C41" s="14"/>
      <c r="D41" s="103"/>
      <c r="E41" s="103"/>
      <c r="F41" s="14"/>
      <c r="G41" s="14"/>
      <c r="H41" s="5"/>
      <c r="I41" s="5"/>
      <c r="J41" s="5"/>
      <c r="P41" s="120" t="s">
        <v>451</v>
      </c>
      <c r="Q41" s="246" t="s">
        <v>138</v>
      </c>
      <c r="R41" s="665">
        <f>H12</f>
        <v>4</v>
      </c>
      <c r="S41" s="665"/>
      <c r="T41" s="204" t="s">
        <v>344</v>
      </c>
      <c r="V41" s="10"/>
    </row>
    <row r="42" spans="1:22" ht="18" customHeight="1">
      <c r="A42" s="9"/>
      <c r="B42" s="7" t="s">
        <v>164</v>
      </c>
      <c r="C42" s="14"/>
      <c r="D42" s="14"/>
      <c r="E42" s="14"/>
      <c r="F42" s="14"/>
      <c r="G42" s="14"/>
      <c r="H42" s="14"/>
      <c r="I42" s="14"/>
      <c r="J42" s="14"/>
      <c r="P42" s="249" t="s">
        <v>452</v>
      </c>
      <c r="Q42" s="246" t="s">
        <v>138</v>
      </c>
      <c r="R42" s="668">
        <f>P21</f>
        <v>0.46875935000000007</v>
      </c>
      <c r="S42" s="665"/>
      <c r="T42" s="204" t="s">
        <v>344</v>
      </c>
      <c r="V42" s="10"/>
    </row>
    <row r="43" spans="1:22" ht="18" customHeight="1">
      <c r="A43" s="9"/>
      <c r="B43" s="40" t="s">
        <v>453</v>
      </c>
      <c r="C43" s="14"/>
      <c r="D43" s="14"/>
      <c r="E43" s="14"/>
      <c r="F43" s="14"/>
      <c r="G43" s="14"/>
      <c r="H43" s="5"/>
      <c r="I43" s="5"/>
      <c r="J43" s="5"/>
      <c r="P43" s="249" t="s">
        <v>454</v>
      </c>
      <c r="Q43" s="246" t="s">
        <v>138</v>
      </c>
      <c r="R43" s="668">
        <f>J18</f>
        <v>0.02</v>
      </c>
      <c r="S43" s="665"/>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5" t="s">
        <v>428</v>
      </c>
      <c r="B47" s="947"/>
      <c r="C47" s="947"/>
      <c r="D47" s="14"/>
      <c r="E47" s="7"/>
      <c r="F47" s="1002">
        <f>R36</f>
        <v>50000</v>
      </c>
      <c r="G47" s="1043"/>
      <c r="H47" s="788" t="s">
        <v>326</v>
      </c>
      <c r="I47" s="1009">
        <f>R39</f>
        <v>1</v>
      </c>
      <c r="J47" s="1010"/>
      <c r="K47" s="788" t="s">
        <v>326</v>
      </c>
      <c r="L47" s="1002" t="s">
        <v>430</v>
      </c>
      <c r="M47" s="975">
        <f>R41</f>
        <v>4</v>
      </c>
      <c r="N47" s="1003" t="s">
        <v>358</v>
      </c>
      <c r="O47" s="1004">
        <f>R42</f>
        <v>0.46875935000000007</v>
      </c>
      <c r="P47" s="788" t="s">
        <v>358</v>
      </c>
      <c r="Q47" s="1042">
        <f>R43</f>
        <v>0.02</v>
      </c>
      <c r="R47" s="1012"/>
      <c r="S47" s="1012"/>
      <c r="T47" s="944" t="s">
        <v>361</v>
      </c>
      <c r="U47" s="242" t="s">
        <v>433</v>
      </c>
      <c r="V47" s="112"/>
    </row>
    <row r="48" spans="1:22" ht="18" customHeight="1">
      <c r="A48" s="1006"/>
      <c r="B48" s="947"/>
      <c r="C48" s="947"/>
      <c r="D48" s="14"/>
      <c r="E48" s="7"/>
      <c r="F48" s="1043"/>
      <c r="G48" s="1043"/>
      <c r="H48" s="788"/>
      <c r="I48" s="788">
        <f>R35</f>
        <v>600</v>
      </c>
      <c r="J48" s="1008"/>
      <c r="K48" s="788"/>
      <c r="L48" s="1002"/>
      <c r="M48" s="975"/>
      <c r="N48" s="1003"/>
      <c r="O48" s="975"/>
      <c r="P48" s="788"/>
      <c r="Q48" s="233">
        <f>R40</f>
        <v>1</v>
      </c>
      <c r="R48" s="233" t="s">
        <v>326</v>
      </c>
      <c r="S48" s="233">
        <f>R40</f>
        <v>1</v>
      </c>
      <c r="T48" s="944"/>
      <c r="U48" s="7"/>
      <c r="V48" s="112"/>
    </row>
    <row r="49" spans="1:22" ht="18" customHeight="1">
      <c r="A49" s="9"/>
      <c r="L49" s="442"/>
      <c r="V49" s="10"/>
    </row>
    <row r="50" spans="1:22" ht="18" customHeight="1">
      <c r="A50" s="9"/>
      <c r="C50" s="27" t="s">
        <v>138</v>
      </c>
      <c r="D50" s="875">
        <f>F47*(I47/I48)*(M47+O47+(Q47/(Q48*S48)))</f>
        <v>374.06327916666669</v>
      </c>
      <c r="E50" s="876"/>
      <c r="F50" s="27" t="s">
        <v>316</v>
      </c>
      <c r="L50" s="442"/>
      <c r="V50" s="10"/>
    </row>
    <row r="51" spans="1:22" ht="18" customHeight="1">
      <c r="A51" s="9"/>
      <c r="L51" s="442"/>
      <c r="V51" s="10"/>
    </row>
    <row r="52" spans="1:22" ht="18" customHeight="1">
      <c r="A52" s="205" t="s">
        <v>455</v>
      </c>
      <c r="L52" s="442"/>
      <c r="V52" s="10"/>
    </row>
    <row r="53" spans="1:22" ht="18" customHeight="1">
      <c r="A53" s="1005" t="s">
        <v>428</v>
      </c>
      <c r="B53" s="947"/>
      <c r="C53" s="947"/>
      <c r="D53" s="788">
        <v>2</v>
      </c>
      <c r="E53" s="788" t="s">
        <v>326</v>
      </c>
      <c r="F53" s="1007">
        <f>R37</f>
        <v>28681.090829928391</v>
      </c>
      <c r="G53" s="1008"/>
      <c r="H53" s="788" t="s">
        <v>326</v>
      </c>
      <c r="I53" s="1009">
        <f>R39</f>
        <v>1</v>
      </c>
      <c r="J53" s="1010"/>
      <c r="K53" s="788" t="s">
        <v>326</v>
      </c>
      <c r="L53" s="1002" t="s">
        <v>430</v>
      </c>
      <c r="M53" s="975">
        <f>R41</f>
        <v>4</v>
      </c>
      <c r="N53" s="1003" t="s">
        <v>358</v>
      </c>
      <c r="O53" s="1004">
        <f>R42</f>
        <v>0.46875935000000007</v>
      </c>
      <c r="P53" s="788" t="s">
        <v>358</v>
      </c>
      <c r="Q53" s="1012">
        <f>Q47</f>
        <v>0.02</v>
      </c>
      <c r="R53" s="1012"/>
      <c r="S53" s="1012"/>
      <c r="T53" s="944" t="s">
        <v>361</v>
      </c>
      <c r="U53" s="242" t="s">
        <v>437</v>
      </c>
      <c r="V53" s="112"/>
    </row>
    <row r="54" spans="1:22" ht="18" customHeight="1">
      <c r="A54" s="1006"/>
      <c r="B54" s="947"/>
      <c r="C54" s="947"/>
      <c r="D54" s="788"/>
      <c r="E54" s="788"/>
      <c r="F54" s="1008"/>
      <c r="G54" s="1008"/>
      <c r="H54" s="788"/>
      <c r="I54" s="788">
        <f>R35</f>
        <v>600</v>
      </c>
      <c r="J54" s="1008"/>
      <c r="K54" s="788"/>
      <c r="L54" s="1002"/>
      <c r="M54" s="975"/>
      <c r="N54" s="1003"/>
      <c r="O54" s="975"/>
      <c r="P54" s="788"/>
      <c r="Q54" s="233">
        <f>R40</f>
        <v>1</v>
      </c>
      <c r="R54" s="233" t="s">
        <v>326</v>
      </c>
      <c r="S54" s="233">
        <f>R40</f>
        <v>1</v>
      </c>
      <c r="T54" s="944"/>
      <c r="U54" s="7"/>
      <c r="V54" s="112"/>
    </row>
    <row r="55" spans="1:22" ht="18" customHeight="1">
      <c r="A55" s="9"/>
      <c r="L55" s="442"/>
      <c r="V55" s="10"/>
    </row>
    <row r="56" spans="1:22" ht="18" customHeight="1">
      <c r="A56" s="9"/>
      <c r="C56" s="27" t="s">
        <v>138</v>
      </c>
      <c r="D56" s="875">
        <f>D53*F53*(I53/I54)*(M53+O53+(Q53/(Q54*S54)))</f>
        <v>429.14171543680106</v>
      </c>
      <c r="E56" s="876"/>
      <c r="F56" s="27" t="s">
        <v>316</v>
      </c>
      <c r="L56" s="442"/>
      <c r="V56" s="10"/>
    </row>
    <row r="57" spans="1:22" ht="18" customHeight="1">
      <c r="A57" s="9"/>
      <c r="L57" s="442"/>
      <c r="V57" s="10"/>
    </row>
    <row r="58" spans="1:22" ht="18" customHeight="1">
      <c r="A58" s="205" t="s">
        <v>456</v>
      </c>
      <c r="L58" s="442"/>
      <c r="V58" s="10"/>
    </row>
    <row r="59" spans="1:22" ht="18" customHeight="1">
      <c r="A59" s="1005" t="s">
        <v>428</v>
      </c>
      <c r="B59" s="947"/>
      <c r="C59" s="947"/>
      <c r="D59" s="788">
        <v>2</v>
      </c>
      <c r="E59" s="788" t="s">
        <v>326</v>
      </c>
      <c r="F59" s="1007">
        <f>R38</f>
        <v>30950.978286194932</v>
      </c>
      <c r="G59" s="1008"/>
      <c r="H59" s="788" t="s">
        <v>326</v>
      </c>
      <c r="I59" s="1009">
        <f>R39</f>
        <v>1</v>
      </c>
      <c r="J59" s="1010"/>
      <c r="K59" s="788" t="s">
        <v>326</v>
      </c>
      <c r="L59" s="1002" t="s">
        <v>430</v>
      </c>
      <c r="M59" s="975">
        <f>R41</f>
        <v>4</v>
      </c>
      <c r="N59" s="1003" t="s">
        <v>358</v>
      </c>
      <c r="O59" s="1004">
        <f>R42</f>
        <v>0.46875935000000007</v>
      </c>
      <c r="P59" s="788" t="s">
        <v>358</v>
      </c>
      <c r="Q59" s="1012">
        <f>R43</f>
        <v>0.02</v>
      </c>
      <c r="R59" s="1012"/>
      <c r="S59" s="1012"/>
      <c r="T59" s="944" t="s">
        <v>361</v>
      </c>
      <c r="U59" s="242" t="s">
        <v>437</v>
      </c>
      <c r="V59" s="112"/>
    </row>
    <row r="60" spans="1:22" ht="18" customHeight="1">
      <c r="A60" s="1006"/>
      <c r="B60" s="947"/>
      <c r="C60" s="947"/>
      <c r="D60" s="788"/>
      <c r="E60" s="788"/>
      <c r="F60" s="1008"/>
      <c r="G60" s="1008"/>
      <c r="H60" s="788"/>
      <c r="I60" s="788">
        <f>R35</f>
        <v>600</v>
      </c>
      <c r="J60" s="1008"/>
      <c r="K60" s="788"/>
      <c r="L60" s="1002"/>
      <c r="M60" s="975"/>
      <c r="N60" s="1003"/>
      <c r="O60" s="975"/>
      <c r="P60" s="788"/>
      <c r="Q60" s="233">
        <f>R40</f>
        <v>1</v>
      </c>
      <c r="R60" s="233" t="s">
        <v>326</v>
      </c>
      <c r="S60" s="233">
        <f>R40</f>
        <v>1</v>
      </c>
      <c r="T60" s="944"/>
      <c r="U60" s="7"/>
      <c r="V60" s="112"/>
    </row>
    <row r="61" spans="1:22" ht="18" customHeight="1">
      <c r="A61" s="9"/>
      <c r="V61" s="10"/>
    </row>
    <row r="62" spans="1:22" ht="18" customHeight="1">
      <c r="A62" s="9"/>
      <c r="C62" s="27" t="s">
        <v>138</v>
      </c>
      <c r="D62" s="875">
        <f>D59*F59*(I59/I60)*(M59+O59+(Q59/(Q60*S60)))</f>
        <v>463.10497724601487</v>
      </c>
      <c r="E62" s="876"/>
      <c r="F62" s="27" t="s">
        <v>316</v>
      </c>
      <c r="V62" s="10"/>
    </row>
    <row r="63" spans="1:22" ht="18" customHeight="1">
      <c r="A63" s="9"/>
      <c r="V63" s="10"/>
    </row>
    <row r="64" spans="1:22" ht="18" customHeight="1">
      <c r="A64" s="116" t="s">
        <v>457</v>
      </c>
      <c r="V64" s="10"/>
    </row>
    <row r="65" spans="1:22" ht="18" customHeight="1">
      <c r="A65" s="1018" t="s">
        <v>426</v>
      </c>
      <c r="B65" s="1019"/>
      <c r="C65" s="1019"/>
      <c r="D65" s="1019"/>
      <c r="E65" s="1019"/>
      <c r="F65" s="1019"/>
      <c r="G65" s="1019"/>
      <c r="H65" s="1019"/>
      <c r="I65" s="1019"/>
      <c r="J65" s="1019"/>
      <c r="K65" s="1019"/>
      <c r="L65" s="1019"/>
      <c r="M65" s="1019"/>
      <c r="N65" s="1019"/>
      <c r="O65" s="1019"/>
      <c r="P65" s="1019"/>
      <c r="Q65" s="1019"/>
      <c r="R65" s="1019"/>
      <c r="S65" s="1019"/>
      <c r="T65" s="1019"/>
      <c r="U65" s="1019"/>
      <c r="V65" s="1020"/>
    </row>
    <row r="66" spans="1:22" ht="18" customHeight="1">
      <c r="A66" s="1018"/>
      <c r="B66" s="1019"/>
      <c r="C66" s="1019"/>
      <c r="D66" s="1019"/>
      <c r="E66" s="1019"/>
      <c r="F66" s="1019"/>
      <c r="G66" s="1019"/>
      <c r="H66" s="1019"/>
      <c r="I66" s="1019"/>
      <c r="J66" s="1019"/>
      <c r="K66" s="1019"/>
      <c r="L66" s="1019"/>
      <c r="M66" s="1019"/>
      <c r="N66" s="1019"/>
      <c r="O66" s="1019"/>
      <c r="P66" s="1019"/>
      <c r="Q66" s="1019"/>
      <c r="R66" s="1019"/>
      <c r="S66" s="1019"/>
      <c r="T66" s="1019"/>
      <c r="U66" s="1019"/>
      <c r="V66" s="1020"/>
    </row>
    <row r="67" spans="1:22" ht="18" customHeight="1">
      <c r="A67" s="205" t="s">
        <v>427</v>
      </c>
      <c r="V67" s="10"/>
    </row>
    <row r="68" spans="1:22" ht="18" customHeight="1">
      <c r="A68" s="1005" t="s">
        <v>428</v>
      </c>
      <c r="B68" s="947"/>
      <c r="C68" s="947"/>
      <c r="D68" s="1015" t="s">
        <v>429</v>
      </c>
      <c r="E68" s="903"/>
      <c r="F68" s="664" t="s">
        <v>326</v>
      </c>
      <c r="G68" s="696" t="s">
        <v>447</v>
      </c>
      <c r="H68" s="939"/>
      <c r="I68" s="664" t="s">
        <v>326</v>
      </c>
      <c r="J68" s="696" t="s">
        <v>146</v>
      </c>
      <c r="K68" s="664" t="s">
        <v>326</v>
      </c>
      <c r="L68" s="1015" t="s">
        <v>430</v>
      </c>
      <c r="M68" s="664" t="s">
        <v>451</v>
      </c>
      <c r="N68" s="942" t="s">
        <v>358</v>
      </c>
      <c r="O68" s="664" t="s">
        <v>458</v>
      </c>
      <c r="P68" s="664" t="s">
        <v>358</v>
      </c>
      <c r="Q68" s="943" t="s">
        <v>459</v>
      </c>
      <c r="R68" s="1016"/>
      <c r="S68" s="1016"/>
      <c r="T68" s="944" t="s">
        <v>361</v>
      </c>
      <c r="U68" s="242" t="s">
        <v>433</v>
      </c>
      <c r="V68" s="112"/>
    </row>
    <row r="69" spans="1:22" ht="18" customHeight="1">
      <c r="A69" s="1006"/>
      <c r="B69" s="947"/>
      <c r="C69" s="947"/>
      <c r="D69" s="903"/>
      <c r="E69" s="903"/>
      <c r="F69" s="664"/>
      <c r="G69" s="664" t="s">
        <v>441</v>
      </c>
      <c r="H69" s="903"/>
      <c r="I69" s="664"/>
      <c r="J69" s="664"/>
      <c r="K69" s="664"/>
      <c r="L69" s="1015"/>
      <c r="M69" s="664"/>
      <c r="N69" s="942"/>
      <c r="O69" s="664"/>
      <c r="P69" s="664"/>
      <c r="Q69" s="28" t="s">
        <v>449</v>
      </c>
      <c r="R69" s="28" t="s">
        <v>326</v>
      </c>
      <c r="S69" s="28" t="s">
        <v>449</v>
      </c>
      <c r="T69" s="944"/>
      <c r="U69" s="7"/>
      <c r="V69" s="112"/>
    </row>
    <row r="70" spans="1:22" ht="18" customHeight="1">
      <c r="A70" s="205" t="s">
        <v>460</v>
      </c>
      <c r="I70" s="7"/>
      <c r="J70" s="7"/>
      <c r="K70" s="7"/>
      <c r="L70" s="442"/>
      <c r="M70" s="438"/>
      <c r="O70" s="438"/>
      <c r="V70" s="10"/>
    </row>
    <row r="71" spans="1:22" ht="18" customHeight="1">
      <c r="A71" s="1005" t="s">
        <v>428</v>
      </c>
      <c r="B71" s="947"/>
      <c r="C71" s="947"/>
      <c r="D71" s="1015" t="s">
        <v>461</v>
      </c>
      <c r="E71" s="903"/>
      <c r="F71" s="664" t="s">
        <v>326</v>
      </c>
      <c r="G71" s="696" t="s">
        <v>447</v>
      </c>
      <c r="H71" s="939"/>
      <c r="I71" s="664" t="s">
        <v>326</v>
      </c>
      <c r="J71" s="696" t="s">
        <v>462</v>
      </c>
      <c r="K71" s="664" t="s">
        <v>326</v>
      </c>
      <c r="L71" s="1015" t="s">
        <v>430</v>
      </c>
      <c r="M71" s="664" t="s">
        <v>451</v>
      </c>
      <c r="N71" s="942" t="s">
        <v>358</v>
      </c>
      <c r="O71" s="664" t="s">
        <v>458</v>
      </c>
      <c r="P71" s="664" t="s">
        <v>358</v>
      </c>
      <c r="Q71" s="943" t="s">
        <v>459</v>
      </c>
      <c r="R71" s="1016"/>
      <c r="S71" s="1016"/>
      <c r="T71" s="944" t="s">
        <v>361</v>
      </c>
      <c r="U71" s="242" t="s">
        <v>437</v>
      </c>
      <c r="V71" s="112"/>
    </row>
    <row r="72" spans="1:22" ht="18" customHeight="1">
      <c r="A72" s="1006"/>
      <c r="B72" s="947"/>
      <c r="C72" s="947"/>
      <c r="D72" s="903"/>
      <c r="E72" s="903"/>
      <c r="F72" s="664"/>
      <c r="G72" s="664" t="s">
        <v>441</v>
      </c>
      <c r="H72" s="903"/>
      <c r="I72" s="664"/>
      <c r="J72" s="664"/>
      <c r="K72" s="664"/>
      <c r="L72" s="1015"/>
      <c r="M72" s="664"/>
      <c r="N72" s="942"/>
      <c r="O72" s="664"/>
      <c r="P72" s="664"/>
      <c r="Q72" s="28" t="s">
        <v>449</v>
      </c>
      <c r="R72" s="28" t="s">
        <v>326</v>
      </c>
      <c r="S72" s="28" t="s">
        <v>449</v>
      </c>
      <c r="T72" s="944"/>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65">
        <f>R35</f>
        <v>600</v>
      </c>
      <c r="S75" s="665"/>
      <c r="T75" s="14" t="s">
        <v>9</v>
      </c>
      <c r="V75" s="10"/>
    </row>
    <row r="76" spans="1:22" ht="18" customHeight="1">
      <c r="A76" s="9"/>
      <c r="B76" s="14" t="s">
        <v>442</v>
      </c>
      <c r="P76" s="120" t="s">
        <v>429</v>
      </c>
      <c r="Q76" s="246" t="s">
        <v>138</v>
      </c>
      <c r="R76" s="665">
        <f>R36</f>
        <v>50000</v>
      </c>
      <c r="S76" s="665"/>
      <c r="T76" s="14" t="s">
        <v>9</v>
      </c>
      <c r="V76" s="10"/>
    </row>
    <row r="77" spans="1:22" ht="18" customHeight="1">
      <c r="A77" s="9"/>
      <c r="B77" s="14" t="s">
        <v>463</v>
      </c>
      <c r="P77" s="120" t="s">
        <v>461</v>
      </c>
      <c r="Q77" s="246" t="s">
        <v>138</v>
      </c>
      <c r="R77" s="816">
        <f>'Parameters &amp; Fault Cal. (4)'!M110</f>
        <v>31616.578766904022</v>
      </c>
      <c r="S77" s="665"/>
      <c r="T77" s="14" t="s">
        <v>9</v>
      </c>
      <c r="U77" s="30" t="s">
        <v>444</v>
      </c>
      <c r="V77" s="10"/>
    </row>
    <row r="78" spans="1:22" ht="18" customHeight="1">
      <c r="A78" s="9"/>
      <c r="B78" s="14"/>
      <c r="P78" s="120"/>
      <c r="Q78" s="246" t="s">
        <v>138</v>
      </c>
      <c r="R78" s="816">
        <f>'Parameters &amp; Fault Cal. (4)'!M131</f>
        <v>33779.140438861883</v>
      </c>
      <c r="S78" s="665"/>
      <c r="T78" s="14" t="s">
        <v>9</v>
      </c>
      <c r="U78" s="30" t="s">
        <v>445</v>
      </c>
      <c r="V78" s="10"/>
    </row>
    <row r="79" spans="1:22" ht="18" customHeight="1">
      <c r="A79" s="9"/>
      <c r="B79" s="14" t="s">
        <v>464</v>
      </c>
      <c r="P79" s="120" t="s">
        <v>447</v>
      </c>
      <c r="Q79" s="246" t="s">
        <v>138</v>
      </c>
      <c r="R79" s="665">
        <f>R39</f>
        <v>1</v>
      </c>
      <c r="S79" s="665"/>
      <c r="T79" s="14" t="s">
        <v>9</v>
      </c>
      <c r="V79" s="10"/>
    </row>
    <row r="80" spans="1:22" ht="18" customHeight="1">
      <c r="A80" s="9"/>
      <c r="B80" s="14" t="s">
        <v>448</v>
      </c>
      <c r="P80" s="120" t="s">
        <v>449</v>
      </c>
      <c r="Q80" s="246" t="s">
        <v>138</v>
      </c>
      <c r="R80" s="665">
        <f>R40</f>
        <v>1</v>
      </c>
      <c r="S80" s="665"/>
      <c r="T80" s="14" t="s">
        <v>9</v>
      </c>
      <c r="V80" s="10"/>
    </row>
    <row r="81" spans="1:22" ht="18" customHeight="1">
      <c r="A81" s="9"/>
      <c r="B81" s="14" t="s">
        <v>450</v>
      </c>
      <c r="P81" s="120" t="s">
        <v>451</v>
      </c>
      <c r="Q81" s="246" t="s">
        <v>138</v>
      </c>
      <c r="R81" s="665">
        <f>R41</f>
        <v>4</v>
      </c>
      <c r="S81" s="665"/>
      <c r="T81" s="204" t="s">
        <v>344</v>
      </c>
      <c r="V81" s="10"/>
    </row>
    <row r="82" spans="1:22" ht="18" customHeight="1">
      <c r="A82" s="9"/>
      <c r="B82" s="14" t="s">
        <v>465</v>
      </c>
      <c r="P82" s="249" t="s">
        <v>452</v>
      </c>
      <c r="Q82" s="246" t="s">
        <v>138</v>
      </c>
      <c r="R82" s="668">
        <f>R42</f>
        <v>0.46875935000000007</v>
      </c>
      <c r="S82" s="665"/>
      <c r="T82" s="204" t="s">
        <v>344</v>
      </c>
      <c r="V82" s="10"/>
    </row>
    <row r="83" spans="1:22" ht="18" customHeight="1">
      <c r="A83" s="9"/>
      <c r="B83" s="40" t="s">
        <v>453</v>
      </c>
      <c r="P83" s="249" t="s">
        <v>454</v>
      </c>
      <c r="Q83" s="246" t="s">
        <v>138</v>
      </c>
      <c r="R83" s="668">
        <f>J18</f>
        <v>0.02</v>
      </c>
      <c r="S83" s="665"/>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69">
        <f>'Parameters &amp; Fault Cal. (4)'!Q59</f>
        <v>47.727272727272727</v>
      </c>
      <c r="M95" s="664"/>
      <c r="N95" s="14" t="s">
        <v>475</v>
      </c>
      <c r="O95" s="28" t="s">
        <v>146</v>
      </c>
      <c r="P95" s="28" t="s">
        <v>138</v>
      </c>
      <c r="Q95" s="28">
        <f>IF(L95&lt;=400,Q88,Q89)</f>
        <v>1</v>
      </c>
      <c r="R95" s="7"/>
      <c r="S95" s="7"/>
      <c r="T95" s="7"/>
      <c r="V95" s="10"/>
    </row>
    <row r="96" spans="1:22" ht="18" customHeight="1">
      <c r="A96" s="1005" t="s">
        <v>428</v>
      </c>
      <c r="B96" s="947"/>
      <c r="C96" s="947"/>
      <c r="D96" s="1002">
        <f>R76</f>
        <v>50000</v>
      </c>
      <c r="E96" s="1013"/>
      <c r="F96" s="788" t="s">
        <v>326</v>
      </c>
      <c r="G96" s="1009">
        <f>R79</f>
        <v>1</v>
      </c>
      <c r="H96" s="1014"/>
      <c r="I96" s="788" t="s">
        <v>326</v>
      </c>
      <c r="J96" s="790">
        <f>Q95</f>
        <v>1</v>
      </c>
      <c r="K96" s="788" t="s">
        <v>326</v>
      </c>
      <c r="L96" s="1002" t="s">
        <v>430</v>
      </c>
      <c r="M96" s="975">
        <f>R81</f>
        <v>4</v>
      </c>
      <c r="N96" s="1003" t="s">
        <v>358</v>
      </c>
      <c r="O96" s="1004">
        <f>R82</f>
        <v>0.46875935000000007</v>
      </c>
      <c r="P96" s="788" t="s">
        <v>358</v>
      </c>
      <c r="Q96" s="1012">
        <f>R83</f>
        <v>0.02</v>
      </c>
      <c r="R96" s="1012"/>
      <c r="S96" s="1012"/>
      <c r="T96" s="944" t="s">
        <v>361</v>
      </c>
      <c r="U96" s="242" t="s">
        <v>433</v>
      </c>
      <c r="V96" s="112"/>
    </row>
    <row r="97" spans="1:22" ht="18" customHeight="1">
      <c r="A97" s="1006"/>
      <c r="B97" s="947"/>
      <c r="C97" s="947"/>
      <c r="D97" s="1013"/>
      <c r="E97" s="1013"/>
      <c r="F97" s="788"/>
      <c r="G97" s="788">
        <f>R75</f>
        <v>600</v>
      </c>
      <c r="H97" s="1013"/>
      <c r="I97" s="788"/>
      <c r="J97" s="788"/>
      <c r="K97" s="788"/>
      <c r="L97" s="1002"/>
      <c r="M97" s="975"/>
      <c r="N97" s="1003"/>
      <c r="O97" s="975"/>
      <c r="P97" s="788"/>
      <c r="Q97" s="233">
        <f>R80</f>
        <v>1</v>
      </c>
      <c r="R97" s="233" t="s">
        <v>326</v>
      </c>
      <c r="S97" s="233">
        <f>R80</f>
        <v>1</v>
      </c>
      <c r="T97" s="944"/>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60">
        <f>D96*(G96/G97)*J96*(M96+O96+(Q96/(Q97*S97)))</f>
        <v>374.06327916666669</v>
      </c>
      <c r="E99" s="700"/>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68">
        <f>'Parameters &amp; Fault Cal. (4)'!Q116</f>
        <v>7.3490763833311119</v>
      </c>
      <c r="M102" s="665"/>
      <c r="N102" s="30" t="s">
        <v>475</v>
      </c>
      <c r="O102" s="28" t="s">
        <v>462</v>
      </c>
      <c r="P102" s="27" t="s">
        <v>138</v>
      </c>
      <c r="Q102" s="27">
        <f>IF(L102&lt;=200,Q92,Q93)</f>
        <v>3</v>
      </c>
      <c r="V102" s="10"/>
    </row>
    <row r="103" spans="1:22" ht="18" customHeight="1">
      <c r="A103" s="1005" t="s">
        <v>428</v>
      </c>
      <c r="B103" s="947"/>
      <c r="C103" s="947"/>
      <c r="D103" s="1007">
        <f>R77</f>
        <v>31616.578766904022</v>
      </c>
      <c r="E103" s="1008"/>
      <c r="F103" s="788" t="s">
        <v>326</v>
      </c>
      <c r="G103" s="1009">
        <f>R79</f>
        <v>1</v>
      </c>
      <c r="H103" s="1010"/>
      <c r="I103" s="788" t="s">
        <v>326</v>
      </c>
      <c r="J103" s="790">
        <f>Q102</f>
        <v>3</v>
      </c>
      <c r="K103" s="788" t="s">
        <v>326</v>
      </c>
      <c r="L103" s="1002" t="s">
        <v>430</v>
      </c>
      <c r="M103" s="975">
        <f>R81</f>
        <v>4</v>
      </c>
      <c r="N103" s="1003" t="s">
        <v>358</v>
      </c>
      <c r="O103" s="1004">
        <f>R82</f>
        <v>0.46875935000000007</v>
      </c>
      <c r="P103" s="788" t="s">
        <v>358</v>
      </c>
      <c r="Q103" s="1012">
        <f>R83</f>
        <v>0.02</v>
      </c>
      <c r="R103" s="1012"/>
      <c r="S103" s="1012"/>
      <c r="T103" s="944" t="s">
        <v>361</v>
      </c>
      <c r="U103" s="242" t="s">
        <v>437</v>
      </c>
      <c r="V103" s="112"/>
    </row>
    <row r="104" spans="1:22" ht="18" customHeight="1">
      <c r="A104" s="1006"/>
      <c r="B104" s="947"/>
      <c r="C104" s="947"/>
      <c r="D104" s="1008"/>
      <c r="E104" s="1008"/>
      <c r="F104" s="788"/>
      <c r="G104" s="788">
        <f>R75</f>
        <v>600</v>
      </c>
      <c r="H104" s="1008"/>
      <c r="I104" s="788"/>
      <c r="J104" s="788"/>
      <c r="K104" s="788"/>
      <c r="L104" s="1002"/>
      <c r="M104" s="975"/>
      <c r="N104" s="1003"/>
      <c r="O104" s="975"/>
      <c r="P104" s="788"/>
      <c r="Q104" s="233">
        <f>R80</f>
        <v>1</v>
      </c>
      <c r="R104" s="233" t="s">
        <v>326</v>
      </c>
      <c r="S104" s="233">
        <f>R80</f>
        <v>1</v>
      </c>
      <c r="T104" s="944"/>
      <c r="U104" s="7"/>
      <c r="V104" s="112"/>
    </row>
    <row r="105" spans="1:22" ht="18" customHeight="1">
      <c r="A105" s="9"/>
      <c r="I105" s="7"/>
      <c r="J105" s="7"/>
      <c r="K105" s="7"/>
      <c r="V105" s="10"/>
    </row>
    <row r="106" spans="1:22" ht="18" customHeight="1">
      <c r="A106" s="9"/>
      <c r="C106" s="27" t="s">
        <v>138</v>
      </c>
      <c r="D106" s="860">
        <f>D103*(G103/G104)*J103*(M103+O103+(Q103/(Q104*S104)))</f>
        <v>709.59606777475949</v>
      </c>
      <c r="E106" s="700"/>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68">
        <f>'Parameters &amp; Fault Cal. (4)'!Q139</f>
        <v>7.6723844075738938</v>
      </c>
      <c r="M109" s="665"/>
      <c r="N109" s="27" t="s">
        <v>475</v>
      </c>
      <c r="O109" s="28" t="s">
        <v>462</v>
      </c>
      <c r="P109" s="27" t="s">
        <v>138</v>
      </c>
      <c r="Q109" s="27">
        <f>IF(L109&lt;=200,Q92,Q93)</f>
        <v>3</v>
      </c>
      <c r="V109" s="10"/>
    </row>
    <row r="110" spans="1:22" ht="18" customHeight="1">
      <c r="A110" s="1005" t="s">
        <v>428</v>
      </c>
      <c r="B110" s="947"/>
      <c r="C110" s="947"/>
      <c r="D110" s="1007">
        <f>R78</f>
        <v>33779.140438861883</v>
      </c>
      <c r="E110" s="1008"/>
      <c r="F110" s="788" t="s">
        <v>326</v>
      </c>
      <c r="G110" s="1009">
        <f>R79</f>
        <v>1</v>
      </c>
      <c r="H110" s="1010"/>
      <c r="I110" s="788" t="s">
        <v>326</v>
      </c>
      <c r="J110" s="790">
        <f>Q109</f>
        <v>3</v>
      </c>
      <c r="K110" s="788" t="s">
        <v>326</v>
      </c>
      <c r="L110" s="1002" t="s">
        <v>430</v>
      </c>
      <c r="M110" s="975">
        <f>R81</f>
        <v>4</v>
      </c>
      <c r="N110" s="1003" t="s">
        <v>358</v>
      </c>
      <c r="O110" s="1004">
        <f>R82</f>
        <v>0.46875935000000007</v>
      </c>
      <c r="P110" s="788" t="s">
        <v>358</v>
      </c>
      <c r="Q110" s="1012">
        <f>R83</f>
        <v>0.02</v>
      </c>
      <c r="R110" s="1012"/>
      <c r="S110" s="1012"/>
      <c r="T110" s="944" t="s">
        <v>361</v>
      </c>
      <c r="U110" s="242" t="s">
        <v>437</v>
      </c>
      <c r="V110" s="112"/>
    </row>
    <row r="111" spans="1:22" ht="18" customHeight="1">
      <c r="A111" s="1006"/>
      <c r="B111" s="947"/>
      <c r="C111" s="947"/>
      <c r="D111" s="1008"/>
      <c r="E111" s="1008"/>
      <c r="F111" s="788"/>
      <c r="G111" s="788">
        <f>R75</f>
        <v>600</v>
      </c>
      <c r="H111" s="1008"/>
      <c r="I111" s="788"/>
      <c r="J111" s="788"/>
      <c r="K111" s="788"/>
      <c r="L111" s="1002"/>
      <c r="M111" s="975"/>
      <c r="N111" s="1003"/>
      <c r="O111" s="975"/>
      <c r="P111" s="788"/>
      <c r="Q111" s="233">
        <f>R80</f>
        <v>1</v>
      </c>
      <c r="R111" s="233" t="s">
        <v>326</v>
      </c>
      <c r="S111" s="233">
        <f>R80</f>
        <v>1</v>
      </c>
      <c r="T111" s="944"/>
      <c r="U111" s="7"/>
      <c r="V111" s="112"/>
    </row>
    <row r="112" spans="1:22" ht="18" customHeight="1">
      <c r="A112" s="9"/>
      <c r="V112" s="10"/>
    </row>
    <row r="113" spans="1:26" ht="18" customHeight="1">
      <c r="A113" s="9"/>
      <c r="C113" s="30" t="s">
        <v>138</v>
      </c>
      <c r="D113" s="1041">
        <f>D110*(G110/G111)*J110*(M110+O110+(Q110/(Q111*S111)))</f>
        <v>758.13216239952192</v>
      </c>
      <c r="E113" s="1001"/>
      <c r="F113" s="27" t="s">
        <v>316</v>
      </c>
      <c r="V113" s="10"/>
    </row>
    <row r="114" spans="1:26" ht="18" customHeight="1">
      <c r="A114" s="9"/>
      <c r="V114" s="10"/>
    </row>
    <row r="115" spans="1:26" ht="18" customHeight="1">
      <c r="A115" s="196" t="s">
        <v>480</v>
      </c>
      <c r="M115" s="1028">
        <f>H10</f>
        <v>600</v>
      </c>
      <c r="N115" s="1029"/>
      <c r="O115" s="30" t="s">
        <v>481</v>
      </c>
      <c r="Q115" s="875">
        <f>MAX(D50,D56,D62,D99,D106,D113)</f>
        <v>758.13216239952192</v>
      </c>
      <c r="R115" s="876"/>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23" t="s">
        <v>485</v>
      </c>
      <c r="R118" s="923"/>
      <c r="S118" s="28" t="s">
        <v>326</v>
      </c>
      <c r="T118" s="28">
        <v>0.8</v>
      </c>
      <c r="V118" s="10"/>
    </row>
    <row r="119" spans="1:26" ht="18" customHeight="1">
      <c r="A119" s="9"/>
      <c r="N119" s="264"/>
      <c r="O119" s="28"/>
      <c r="P119" s="102" t="s">
        <v>138</v>
      </c>
      <c r="Q119" s="996">
        <f>+Q115</f>
        <v>758.13216239952192</v>
      </c>
      <c r="R119" s="696"/>
      <c r="S119" s="234" t="s">
        <v>326</v>
      </c>
      <c r="T119" s="265">
        <f>+T118</f>
        <v>0.8</v>
      </c>
      <c r="V119" s="10"/>
    </row>
    <row r="120" spans="1:26" ht="18" customHeight="1">
      <c r="A120" s="9"/>
      <c r="O120" s="28"/>
      <c r="P120" s="28" t="s">
        <v>138</v>
      </c>
      <c r="Q120" s="997">
        <f>Q119*T119</f>
        <v>606.50572991961758</v>
      </c>
      <c r="R120" s="709"/>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65">
        <f>H13</f>
        <v>800</v>
      </c>
      <c r="F122" s="665"/>
      <c r="G122" s="27" t="s">
        <v>487</v>
      </c>
      <c r="H122" s="668">
        <f>Q120</f>
        <v>606.50572991961758</v>
      </c>
      <c r="I122" s="665"/>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18" t="s">
        <v>491</v>
      </c>
      <c r="B128" s="972"/>
      <c r="C128" s="972"/>
      <c r="D128" s="972"/>
      <c r="E128" s="972"/>
      <c r="F128" s="972"/>
      <c r="G128" s="972"/>
      <c r="H128" s="972"/>
      <c r="I128" s="972"/>
      <c r="J128" s="972"/>
      <c r="K128" s="972"/>
      <c r="L128" s="972"/>
      <c r="M128" s="972"/>
      <c r="N128" s="972"/>
      <c r="O128" s="972"/>
      <c r="P128" s="972"/>
      <c r="Q128" s="972"/>
      <c r="R128" s="972"/>
      <c r="S128" s="972"/>
      <c r="T128" s="972"/>
      <c r="U128" s="972"/>
      <c r="V128" s="973"/>
    </row>
    <row r="129" spans="1:22" ht="18" hidden="1" customHeight="1">
      <c r="A129" s="974"/>
      <c r="B129" s="972"/>
      <c r="C129" s="972"/>
      <c r="D129" s="972"/>
      <c r="E129" s="972"/>
      <c r="F129" s="972"/>
      <c r="G129" s="972"/>
      <c r="H129" s="972"/>
      <c r="I129" s="972"/>
      <c r="J129" s="972"/>
      <c r="K129" s="972"/>
      <c r="L129" s="972"/>
      <c r="M129" s="972"/>
      <c r="N129" s="972"/>
      <c r="O129" s="972"/>
      <c r="P129" s="972"/>
      <c r="Q129" s="972"/>
      <c r="R129" s="972"/>
      <c r="S129" s="972"/>
      <c r="T129" s="972"/>
      <c r="U129" s="972"/>
      <c r="V129" s="973"/>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5" t="s">
        <v>428</v>
      </c>
      <c r="B131" s="1015"/>
      <c r="C131" s="1015"/>
      <c r="D131" s="664">
        <v>5</v>
      </c>
      <c r="E131" s="664" t="s">
        <v>326</v>
      </c>
      <c r="F131" s="664" t="s">
        <v>492</v>
      </c>
      <c r="G131" s="665"/>
      <c r="H131" s="664" t="s">
        <v>326</v>
      </c>
      <c r="I131" s="696" t="s">
        <v>493</v>
      </c>
      <c r="J131" s="1066"/>
      <c r="K131" s="664" t="s">
        <v>326</v>
      </c>
      <c r="L131" s="936" t="s">
        <v>430</v>
      </c>
      <c r="M131" s="936" t="s">
        <v>431</v>
      </c>
      <c r="N131" s="942" t="s">
        <v>358</v>
      </c>
      <c r="O131" s="936" t="s">
        <v>419</v>
      </c>
      <c r="P131" s="664" t="s">
        <v>358</v>
      </c>
      <c r="Q131" s="943" t="s">
        <v>432</v>
      </c>
      <c r="R131" s="1016"/>
      <c r="S131" s="1016"/>
      <c r="T131" s="944" t="s">
        <v>361</v>
      </c>
      <c r="U131" s="242" t="s">
        <v>433</v>
      </c>
      <c r="V131" s="97"/>
    </row>
    <row r="132" spans="1:22" ht="18" hidden="1" customHeight="1">
      <c r="A132" s="1065"/>
      <c r="B132" s="1015"/>
      <c r="C132" s="1015"/>
      <c r="D132" s="664"/>
      <c r="E132" s="664"/>
      <c r="F132" s="665"/>
      <c r="G132" s="665"/>
      <c r="H132" s="664"/>
      <c r="I132" s="664" t="s">
        <v>494</v>
      </c>
      <c r="J132" s="987"/>
      <c r="K132" s="664"/>
      <c r="L132" s="936"/>
      <c r="M132" s="936"/>
      <c r="N132" s="942"/>
      <c r="O132" s="936"/>
      <c r="P132" s="664"/>
      <c r="Q132" s="28" t="s">
        <v>157</v>
      </c>
      <c r="R132" s="28" t="s">
        <v>326</v>
      </c>
      <c r="S132" s="28" t="s">
        <v>157</v>
      </c>
      <c r="T132" s="944"/>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65">
        <f>R35</f>
        <v>600</v>
      </c>
      <c r="S134" s="665"/>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16">
        <f>R76</f>
        <v>50000</v>
      </c>
      <c r="S135" s="816"/>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65">
        <f>R79</f>
        <v>1</v>
      </c>
      <c r="S136" s="665"/>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65">
        <f>R80</f>
        <v>1</v>
      </c>
      <c r="S137" s="665"/>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65">
        <f>R81</f>
        <v>4</v>
      </c>
      <c r="S138" s="665"/>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68">
        <f>R82</f>
        <v>0.46875935000000007</v>
      </c>
      <c r="S139" s="668"/>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68">
        <f>J19</f>
        <v>0</v>
      </c>
      <c r="S140" s="665"/>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68">
        <f>R138*R136*R136</f>
        <v>4</v>
      </c>
      <c r="S141" s="665"/>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68">
        <f>H122</f>
        <v>606.50572991961758</v>
      </c>
      <c r="S142" s="665"/>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65">
        <f>I120</f>
        <v>0</v>
      </c>
      <c r="S143" s="665"/>
      <c r="T143" s="30"/>
      <c r="U143" s="30"/>
      <c r="V143" s="197"/>
    </row>
    <row r="144" spans="1:22" ht="18" hidden="1" customHeight="1">
      <c r="A144" s="1005" t="s">
        <v>428</v>
      </c>
      <c r="B144" s="1015"/>
      <c r="C144" s="1015"/>
      <c r="D144" s="664">
        <v>5</v>
      </c>
      <c r="E144" s="664" t="s">
        <v>326</v>
      </c>
      <c r="F144" s="941">
        <f>R135</f>
        <v>50000</v>
      </c>
      <c r="G144" s="816"/>
      <c r="H144" s="664" t="s">
        <v>326</v>
      </c>
      <c r="I144" s="696">
        <f>R136</f>
        <v>1</v>
      </c>
      <c r="J144" s="1066"/>
      <c r="K144" s="664" t="s">
        <v>326</v>
      </c>
      <c r="L144" s="936" t="s">
        <v>430</v>
      </c>
      <c r="M144" s="936">
        <f>R138</f>
        <v>4</v>
      </c>
      <c r="N144" s="942" t="s">
        <v>358</v>
      </c>
      <c r="O144" s="1067">
        <f>R139</f>
        <v>0.46875935000000007</v>
      </c>
      <c r="P144" s="664" t="s">
        <v>358</v>
      </c>
      <c r="Q144" s="1068">
        <f>R140</f>
        <v>0</v>
      </c>
      <c r="R144" s="1016"/>
      <c r="S144" s="1016"/>
      <c r="T144" s="944" t="s">
        <v>361</v>
      </c>
      <c r="U144" s="242" t="s">
        <v>433</v>
      </c>
      <c r="V144" s="97"/>
    </row>
    <row r="145" spans="1:22" ht="18" hidden="1" customHeight="1">
      <c r="A145" s="1065"/>
      <c r="B145" s="1015"/>
      <c r="C145" s="1015"/>
      <c r="D145" s="664"/>
      <c r="E145" s="664"/>
      <c r="F145" s="816"/>
      <c r="G145" s="816"/>
      <c r="H145" s="664"/>
      <c r="I145" s="664">
        <f>R134</f>
        <v>600</v>
      </c>
      <c r="J145" s="987"/>
      <c r="K145" s="664"/>
      <c r="L145" s="936"/>
      <c r="M145" s="936"/>
      <c r="N145" s="942"/>
      <c r="O145" s="936"/>
      <c r="P145" s="664"/>
      <c r="Q145" s="28">
        <f>R137</f>
        <v>1</v>
      </c>
      <c r="R145" s="28" t="s">
        <v>326</v>
      </c>
      <c r="S145" s="28">
        <f>R137</f>
        <v>1</v>
      </c>
      <c r="T145" s="944"/>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875">
        <f>D144*F144*(I144/I145)*(M144+O144+(Q144/(Q145*S145)))</f>
        <v>1861.9830625000002</v>
      </c>
      <c r="E147" s="876"/>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23" t="s">
        <v>485</v>
      </c>
      <c r="R151" s="923"/>
      <c r="S151" s="28" t="s">
        <v>326</v>
      </c>
      <c r="T151" s="28">
        <v>0.8</v>
      </c>
      <c r="V151" s="10"/>
    </row>
    <row r="152" spans="1:22" ht="18" hidden="1" customHeight="1">
      <c r="A152" s="9"/>
      <c r="N152" s="264"/>
      <c r="O152" s="28"/>
      <c r="P152" s="102" t="s">
        <v>138</v>
      </c>
      <c r="Q152" s="996">
        <f>D147</f>
        <v>1861.9830625000002</v>
      </c>
      <c r="R152" s="696"/>
      <c r="S152" s="234" t="s">
        <v>326</v>
      </c>
      <c r="T152" s="265">
        <f>+T151</f>
        <v>0.8</v>
      </c>
      <c r="V152" s="10"/>
    </row>
    <row r="153" spans="1:22" ht="18" hidden="1" customHeight="1">
      <c r="A153" s="9"/>
      <c r="O153" s="28"/>
      <c r="P153" s="28" t="s">
        <v>138</v>
      </c>
      <c r="Q153" s="997">
        <f>Q152*T152</f>
        <v>1489.5864500000002</v>
      </c>
      <c r="R153" s="709"/>
      <c r="S153" s="47" t="s">
        <v>316</v>
      </c>
      <c r="T153" s="28"/>
      <c r="V153" s="10"/>
    </row>
    <row r="154" spans="1:22" ht="18" hidden="1" customHeight="1">
      <c r="A154" s="9"/>
      <c r="D154" s="14" t="s">
        <v>486</v>
      </c>
      <c r="G154" s="27" t="str">
        <f>IF(E155&gt;H155,"&gt;","&lt;")</f>
        <v>&lt;</v>
      </c>
      <c r="H154" s="14" t="s">
        <v>488</v>
      </c>
      <c r="V154" s="10"/>
    </row>
    <row r="155" spans="1:22" ht="18" hidden="1" customHeight="1">
      <c r="A155" s="9"/>
      <c r="E155" s="665">
        <f>H13</f>
        <v>800</v>
      </c>
      <c r="F155" s="665"/>
      <c r="G155" s="27" t="str">
        <f>G154</f>
        <v>&lt;</v>
      </c>
      <c r="H155" s="668">
        <f>Q153</f>
        <v>1489.5864500000002</v>
      </c>
      <c r="I155" s="665"/>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81" t="str">
        <f>B7</f>
        <v>T1</v>
      </c>
      <c r="C173" s="682"/>
      <c r="D173" s="1040" t="str">
        <f>D7</f>
        <v>Core1</v>
      </c>
      <c r="E173" s="684"/>
      <c r="F173" s="664">
        <f>F7</f>
        <v>0</v>
      </c>
      <c r="G173" s="664"/>
      <c r="H173" s="664" t="str">
        <f>H7</f>
        <v>(Diff. + Dist.)</v>
      </c>
      <c r="I173" s="664"/>
      <c r="J173" s="664"/>
      <c r="K173" s="664"/>
      <c r="L173" s="664"/>
      <c r="M173" s="664"/>
      <c r="P173" s="198"/>
      <c r="S173" s="199" t="s">
        <v>398</v>
      </c>
      <c r="T173" s="681" t="str">
        <f>T7</f>
        <v>RED670</v>
      </c>
      <c r="U173" s="682"/>
      <c r="V173" s="10"/>
    </row>
    <row r="174" spans="1:22" ht="18" hidden="1" customHeight="1">
      <c r="A174" s="9"/>
      <c r="B174" s="695">
        <f>B8</f>
        <v>0</v>
      </c>
      <c r="C174" s="695"/>
      <c r="D174" s="685"/>
      <c r="E174" s="686"/>
      <c r="T174" s="994">
        <f>T8</f>
        <v>0</v>
      </c>
      <c r="U174" s="995"/>
      <c r="V174" s="10"/>
    </row>
    <row r="175" spans="1:22" ht="18" hidden="1" customHeight="1">
      <c r="A175" s="9"/>
      <c r="H175" s="696" t="s">
        <v>401</v>
      </c>
      <c r="I175" s="696"/>
      <c r="J175" s="666" t="s">
        <v>402</v>
      </c>
      <c r="K175" s="666"/>
      <c r="L175" s="667" t="s">
        <v>403</v>
      </c>
      <c r="M175" s="667"/>
      <c r="T175" s="994">
        <f>T9</f>
        <v>0</v>
      </c>
      <c r="U175" s="995"/>
      <c r="V175" s="10"/>
    </row>
    <row r="176" spans="1:22" ht="18" hidden="1" customHeight="1">
      <c r="A176" s="9"/>
      <c r="B176" s="47" t="s">
        <v>404</v>
      </c>
      <c r="H176" s="681">
        <f>H10</f>
        <v>600</v>
      </c>
      <c r="I176" s="682"/>
      <c r="J176" s="1038" t="str">
        <f>J10</f>
        <v>-</v>
      </c>
      <c r="K176" s="1039"/>
      <c r="L176" s="681" t="str">
        <f>L10</f>
        <v>-</v>
      </c>
      <c r="M176" s="682"/>
      <c r="N176" s="203" t="s">
        <v>353</v>
      </c>
      <c r="O176" s="504">
        <f>O10</f>
        <v>1</v>
      </c>
      <c r="P176" s="27" t="s">
        <v>9</v>
      </c>
      <c r="V176" s="10"/>
    </row>
    <row r="177" spans="1:29" ht="18" hidden="1" customHeight="1">
      <c r="A177" s="9"/>
      <c r="B177" s="47" t="s">
        <v>405</v>
      </c>
      <c r="J177" s="681" t="str">
        <f>H11</f>
        <v>PX</v>
      </c>
      <c r="K177" s="682"/>
      <c r="V177" s="10"/>
    </row>
    <row r="178" spans="1:29" ht="18" hidden="1" customHeight="1">
      <c r="A178" s="9"/>
      <c r="B178" s="47" t="s">
        <v>407</v>
      </c>
      <c r="I178" s="120" t="s">
        <v>508</v>
      </c>
      <c r="J178" s="653">
        <v>3</v>
      </c>
      <c r="K178" s="654"/>
      <c r="L178" s="204" t="s">
        <v>344</v>
      </c>
      <c r="N178" s="7"/>
      <c r="O178" s="7"/>
      <c r="V178" s="10"/>
    </row>
    <row r="179" spans="1:29" ht="18" hidden="1" customHeight="1">
      <c r="A179" s="9"/>
      <c r="B179" s="47" t="s">
        <v>409</v>
      </c>
      <c r="I179" s="120" t="s">
        <v>509</v>
      </c>
      <c r="J179" s="653">
        <v>200</v>
      </c>
      <c r="K179" s="654"/>
      <c r="L179" s="14" t="s">
        <v>316</v>
      </c>
      <c r="O179" s="7"/>
      <c r="V179" s="10"/>
      <c r="W179" s="30" t="s">
        <v>411</v>
      </c>
      <c r="AB179" s="1022" t="e">
        <f>Q286</f>
        <v>#VALUE!</v>
      </c>
      <c r="AC179" s="1023"/>
    </row>
    <row r="180" spans="1:29" ht="18" hidden="1" customHeight="1">
      <c r="A180" s="9"/>
      <c r="B180" s="14" t="s">
        <v>412</v>
      </c>
      <c r="I180" s="120" t="s">
        <v>413</v>
      </c>
      <c r="J180" s="653">
        <v>100</v>
      </c>
      <c r="K180" s="654"/>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31">
        <f>J18</f>
        <v>0.02</v>
      </c>
      <c r="K184" s="1037"/>
      <c r="L184" s="214" t="s">
        <v>168</v>
      </c>
      <c r="N184" s="209" t="s">
        <v>418</v>
      </c>
      <c r="V184" s="10"/>
    </row>
    <row r="185" spans="1:29" ht="18" hidden="1" customHeight="1">
      <c r="A185" s="9"/>
      <c r="B185" s="9" t="s">
        <v>416</v>
      </c>
      <c r="D185" s="437">
        <f>T174</f>
        <v>0</v>
      </c>
      <c r="I185" s="28" t="s">
        <v>138</v>
      </c>
      <c r="J185" s="1031">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0.44875935000000006</v>
      </c>
      <c r="K187" s="1036"/>
      <c r="L187" s="439" t="s">
        <v>168</v>
      </c>
      <c r="N187" s="27"/>
      <c r="O187" s="27" t="s">
        <v>138</v>
      </c>
      <c r="P187" s="223">
        <f>J188</f>
        <v>0.46875935000000007</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6">
        <f>SUM(J184:K187)</f>
        <v>0.46875935000000007</v>
      </c>
      <c r="K188" s="1021"/>
      <c r="L188" s="441" t="s">
        <v>168</v>
      </c>
      <c r="O188" s="27" t="s">
        <v>138</v>
      </c>
      <c r="P188" s="668">
        <f>P187/(R187*T187)</f>
        <v>0.46875935000000007</v>
      </c>
      <c r="Q188" s="668"/>
      <c r="R188" s="204" t="s">
        <v>344</v>
      </c>
      <c r="V188" s="10"/>
    </row>
    <row r="189" spans="1:29" ht="18" hidden="1" customHeight="1">
      <c r="A189" s="9"/>
      <c r="V189" s="10"/>
    </row>
    <row r="190" spans="1:29" ht="18" hidden="1" customHeight="1">
      <c r="A190" s="116" t="s">
        <v>425</v>
      </c>
      <c r="V190" s="10"/>
    </row>
    <row r="191" spans="1:29" ht="18" hidden="1" customHeight="1">
      <c r="A191" s="1018" t="s">
        <v>426</v>
      </c>
      <c r="B191" s="1019"/>
      <c r="C191" s="1019"/>
      <c r="D191" s="1019"/>
      <c r="E191" s="1019"/>
      <c r="F191" s="1019"/>
      <c r="G191" s="1019"/>
      <c r="H191" s="1019"/>
      <c r="I191" s="1019"/>
      <c r="J191" s="1019"/>
      <c r="K191" s="1019"/>
      <c r="L191" s="1019"/>
      <c r="M191" s="1019"/>
      <c r="N191" s="1019"/>
      <c r="O191" s="1019"/>
      <c r="P191" s="1019"/>
      <c r="Q191" s="1019"/>
      <c r="R191" s="1019"/>
      <c r="S191" s="1019"/>
      <c r="T191" s="1019"/>
      <c r="U191" s="1019"/>
      <c r="V191" s="1020"/>
    </row>
    <row r="192" spans="1:29" ht="18" hidden="1" customHeight="1">
      <c r="A192" s="1018"/>
      <c r="B192" s="1019"/>
      <c r="C192" s="1019"/>
      <c r="D192" s="1019"/>
      <c r="E192" s="1019"/>
      <c r="F192" s="1019"/>
      <c r="G192" s="1019"/>
      <c r="H192" s="1019"/>
      <c r="I192" s="1019"/>
      <c r="J192" s="1019"/>
      <c r="K192" s="1019"/>
      <c r="L192" s="1019"/>
      <c r="M192" s="1019"/>
      <c r="N192" s="1019"/>
      <c r="O192" s="1019"/>
      <c r="P192" s="1019"/>
      <c r="Q192" s="1019"/>
      <c r="R192" s="1019"/>
      <c r="S192" s="1019"/>
      <c r="T192" s="1019"/>
      <c r="U192" s="1019"/>
      <c r="V192" s="1020"/>
    </row>
    <row r="193" spans="1:22" ht="18" hidden="1" customHeight="1">
      <c r="A193" s="205" t="s">
        <v>427</v>
      </c>
      <c r="V193" s="10"/>
    </row>
    <row r="194" spans="1:22" ht="18" hidden="1" customHeight="1">
      <c r="A194" s="1005" t="s">
        <v>428</v>
      </c>
      <c r="B194" s="947"/>
      <c r="C194" s="947"/>
      <c r="D194" s="14"/>
      <c r="E194" s="7"/>
      <c r="F194" s="1002" t="s">
        <v>429</v>
      </c>
      <c r="G194" s="1008"/>
      <c r="H194" s="788" t="s">
        <v>326</v>
      </c>
      <c r="I194" s="790" t="s">
        <v>422</v>
      </c>
      <c r="J194" s="1010"/>
      <c r="K194" s="788" t="s">
        <v>326</v>
      </c>
      <c r="L194" s="1002" t="s">
        <v>430</v>
      </c>
      <c r="M194" s="788" t="s">
        <v>431</v>
      </c>
      <c r="N194" s="1003" t="s">
        <v>358</v>
      </c>
      <c r="O194" s="788" t="s">
        <v>419</v>
      </c>
      <c r="P194" s="788" t="s">
        <v>358</v>
      </c>
      <c r="Q194" s="1030" t="s">
        <v>432</v>
      </c>
      <c r="R194" s="1012"/>
      <c r="S194" s="1012"/>
      <c r="T194" s="944" t="s">
        <v>361</v>
      </c>
      <c r="U194" s="242" t="s">
        <v>433</v>
      </c>
      <c r="V194" s="112"/>
    </row>
    <row r="195" spans="1:22" ht="18" hidden="1" customHeight="1">
      <c r="A195" s="1006"/>
      <c r="B195" s="947"/>
      <c r="C195" s="947"/>
      <c r="D195" s="14"/>
      <c r="E195" s="7"/>
      <c r="F195" s="1008"/>
      <c r="G195" s="1008"/>
      <c r="H195" s="788"/>
      <c r="I195" s="788" t="s">
        <v>434</v>
      </c>
      <c r="J195" s="1008"/>
      <c r="K195" s="788"/>
      <c r="L195" s="1002"/>
      <c r="M195" s="788"/>
      <c r="N195" s="1003"/>
      <c r="O195" s="788"/>
      <c r="P195" s="788"/>
      <c r="Q195" s="233" t="s">
        <v>157</v>
      </c>
      <c r="R195" s="233" t="s">
        <v>326</v>
      </c>
      <c r="S195" s="233" t="s">
        <v>157</v>
      </c>
      <c r="T195" s="944"/>
      <c r="U195" s="7"/>
      <c r="V195" s="112"/>
    </row>
    <row r="196" spans="1:22" ht="18" hidden="1" customHeight="1">
      <c r="A196" s="205" t="s">
        <v>435</v>
      </c>
      <c r="L196" s="442"/>
      <c r="M196" s="27"/>
      <c r="N196" s="27"/>
      <c r="O196" s="27"/>
      <c r="V196" s="10"/>
    </row>
    <row r="197" spans="1:22" ht="18" hidden="1" customHeight="1">
      <c r="A197" s="1005" t="s">
        <v>428</v>
      </c>
      <c r="B197" s="947"/>
      <c r="C197" s="947"/>
      <c r="D197" s="664">
        <v>2</v>
      </c>
      <c r="E197" s="664" t="s">
        <v>326</v>
      </c>
      <c r="F197" s="1002" t="s">
        <v>436</v>
      </c>
      <c r="G197" s="1008"/>
      <c r="H197" s="788" t="s">
        <v>326</v>
      </c>
      <c r="I197" s="790" t="s">
        <v>422</v>
      </c>
      <c r="J197" s="1010"/>
      <c r="K197" s="788" t="s">
        <v>326</v>
      </c>
      <c r="L197" s="1002" t="s">
        <v>430</v>
      </c>
      <c r="M197" s="788" t="s">
        <v>431</v>
      </c>
      <c r="N197" s="1003" t="s">
        <v>358</v>
      </c>
      <c r="O197" s="788" t="s">
        <v>419</v>
      </c>
      <c r="P197" s="788" t="s">
        <v>358</v>
      </c>
      <c r="Q197" s="1030" t="s">
        <v>432</v>
      </c>
      <c r="R197" s="1012"/>
      <c r="S197" s="1012"/>
      <c r="T197" s="944" t="s">
        <v>361</v>
      </c>
      <c r="U197" s="242" t="s">
        <v>437</v>
      </c>
      <c r="V197" s="112"/>
    </row>
    <row r="198" spans="1:22" ht="18" hidden="1" customHeight="1">
      <c r="A198" s="1006"/>
      <c r="B198" s="947"/>
      <c r="C198" s="947"/>
      <c r="D198" s="664"/>
      <c r="E198" s="664"/>
      <c r="F198" s="1008"/>
      <c r="G198" s="1008"/>
      <c r="H198" s="788"/>
      <c r="I198" s="788" t="s">
        <v>434</v>
      </c>
      <c r="J198" s="1008"/>
      <c r="K198" s="788"/>
      <c r="L198" s="1002"/>
      <c r="M198" s="788"/>
      <c r="N198" s="1003"/>
      <c r="O198" s="788"/>
      <c r="P198" s="788"/>
      <c r="Q198" s="233" t="s">
        <v>157</v>
      </c>
      <c r="R198" s="233" t="s">
        <v>326</v>
      </c>
      <c r="S198" s="233" t="s">
        <v>157</v>
      </c>
      <c r="T198" s="944"/>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65" t="str">
        <f>J176</f>
        <v>-</v>
      </c>
      <c r="S201" s="665"/>
      <c r="T201" s="14" t="s">
        <v>9</v>
      </c>
      <c r="V201" s="10"/>
    </row>
    <row r="202" spans="1:22" ht="18" hidden="1" customHeight="1">
      <c r="A202" s="9"/>
      <c r="B202" s="14" t="s">
        <v>442</v>
      </c>
      <c r="C202" s="14"/>
      <c r="D202" s="14"/>
      <c r="E202" s="14"/>
      <c r="F202" s="14"/>
      <c r="G202" s="14"/>
      <c r="H202" s="14"/>
      <c r="I202" s="14"/>
      <c r="J202" s="14"/>
      <c r="P202" s="120" t="s">
        <v>429</v>
      </c>
      <c r="Q202" s="246" t="s">
        <v>138</v>
      </c>
      <c r="R202" s="665">
        <f>R36</f>
        <v>50000</v>
      </c>
      <c r="S202" s="665"/>
      <c r="T202" s="14" t="s">
        <v>9</v>
      </c>
      <c r="V202" s="10"/>
    </row>
    <row r="203" spans="1:22" ht="18" hidden="1" customHeight="1">
      <c r="A203" s="9"/>
      <c r="B203" s="14" t="s">
        <v>443</v>
      </c>
      <c r="C203" s="14"/>
      <c r="D203" s="14"/>
      <c r="E203" s="14"/>
      <c r="F203" s="14"/>
      <c r="G203" s="14"/>
      <c r="H203" s="14"/>
      <c r="I203" s="14"/>
      <c r="J203" s="14"/>
      <c r="P203" s="120" t="s">
        <v>436</v>
      </c>
      <c r="Q203" s="246" t="s">
        <v>138</v>
      </c>
      <c r="R203" s="816">
        <f>R37</f>
        <v>28681.090829928391</v>
      </c>
      <c r="S203" s="665"/>
      <c r="T203" s="14" t="s">
        <v>9</v>
      </c>
      <c r="U203" s="30" t="s">
        <v>444</v>
      </c>
      <c r="V203" s="10"/>
    </row>
    <row r="204" spans="1:22" ht="18" hidden="1" customHeight="1">
      <c r="A204" s="9"/>
      <c r="B204" s="14"/>
      <c r="C204" s="14"/>
      <c r="D204" s="14"/>
      <c r="E204" s="14"/>
      <c r="F204" s="14"/>
      <c r="G204" s="14"/>
      <c r="H204" s="14"/>
      <c r="I204" s="14"/>
      <c r="J204" s="14"/>
      <c r="P204" s="120"/>
      <c r="Q204" s="246" t="s">
        <v>138</v>
      </c>
      <c r="R204" s="816">
        <f>R38</f>
        <v>30950.978286194932</v>
      </c>
      <c r="S204" s="665"/>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65">
        <f>R39</f>
        <v>1</v>
      </c>
      <c r="S205" s="665"/>
      <c r="T205" s="14" t="s">
        <v>9</v>
      </c>
      <c r="V205" s="10"/>
    </row>
    <row r="206" spans="1:22" ht="18" hidden="1" customHeight="1">
      <c r="A206" s="9"/>
      <c r="B206" s="14" t="s">
        <v>448</v>
      </c>
      <c r="C206" s="14"/>
      <c r="D206" s="103"/>
      <c r="E206" s="103"/>
      <c r="F206" s="14"/>
      <c r="G206" s="14"/>
      <c r="H206" s="5"/>
      <c r="I206" s="5"/>
      <c r="J206" s="5"/>
      <c r="P206" s="120" t="s">
        <v>449</v>
      </c>
      <c r="Q206" s="246" t="s">
        <v>138</v>
      </c>
      <c r="R206" s="665">
        <f>R40</f>
        <v>1</v>
      </c>
      <c r="S206" s="665"/>
      <c r="T206" s="14" t="s">
        <v>9</v>
      </c>
      <c r="V206" s="10"/>
    </row>
    <row r="207" spans="1:22" ht="18" hidden="1" customHeight="1">
      <c r="A207" s="9"/>
      <c r="B207" s="14" t="s">
        <v>450</v>
      </c>
      <c r="C207" s="14"/>
      <c r="D207" s="103"/>
      <c r="E207" s="103"/>
      <c r="F207" s="14"/>
      <c r="G207" s="14"/>
      <c r="H207" s="5"/>
      <c r="I207" s="5"/>
      <c r="J207" s="5"/>
      <c r="P207" s="120" t="s">
        <v>451</v>
      </c>
      <c r="Q207" s="246" t="s">
        <v>138</v>
      </c>
      <c r="R207" s="665">
        <f>J178</f>
        <v>3</v>
      </c>
      <c r="S207" s="665"/>
      <c r="T207" s="204" t="s">
        <v>344</v>
      </c>
      <c r="V207" s="10"/>
    </row>
    <row r="208" spans="1:22" ht="18" hidden="1" customHeight="1">
      <c r="A208" s="9"/>
      <c r="B208" s="14" t="s">
        <v>164</v>
      </c>
      <c r="C208" s="14"/>
      <c r="D208" s="14"/>
      <c r="E208" s="14"/>
      <c r="F208" s="14"/>
      <c r="G208" s="14"/>
      <c r="H208" s="14"/>
      <c r="I208" s="14"/>
      <c r="J208" s="14"/>
      <c r="P208" s="249" t="s">
        <v>452</v>
      </c>
      <c r="Q208" s="246" t="s">
        <v>138</v>
      </c>
      <c r="R208" s="668">
        <f>R42</f>
        <v>0.46875935000000007</v>
      </c>
      <c r="S208" s="665"/>
      <c r="T208" s="204" t="s">
        <v>344</v>
      </c>
      <c r="V208" s="10"/>
    </row>
    <row r="209" spans="1:22" ht="18" hidden="1" customHeight="1">
      <c r="A209" s="9"/>
      <c r="B209" s="40" t="s">
        <v>453</v>
      </c>
      <c r="C209" s="14"/>
      <c r="D209" s="14"/>
      <c r="E209" s="14"/>
      <c r="F209" s="14"/>
      <c r="G209" s="14"/>
      <c r="H209" s="5"/>
      <c r="I209" s="5"/>
      <c r="J209" s="5"/>
      <c r="P209" s="249" t="s">
        <v>454</v>
      </c>
      <c r="Q209" s="246" t="s">
        <v>138</v>
      </c>
      <c r="R209" s="668">
        <f>R43</f>
        <v>0.02</v>
      </c>
      <c r="S209" s="665"/>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5" t="s">
        <v>428</v>
      </c>
      <c r="B213" s="947"/>
      <c r="C213" s="947"/>
      <c r="D213" s="14"/>
      <c r="E213" s="7"/>
      <c r="F213" s="1002">
        <f>R202</f>
        <v>50000</v>
      </c>
      <c r="G213" s="1008"/>
      <c r="H213" s="788" t="s">
        <v>326</v>
      </c>
      <c r="I213" s="1009">
        <f>R205</f>
        <v>1</v>
      </c>
      <c r="J213" s="1010"/>
      <c r="K213" s="788" t="s">
        <v>326</v>
      </c>
      <c r="L213" s="1002" t="s">
        <v>430</v>
      </c>
      <c r="M213" s="975">
        <f>R207</f>
        <v>3</v>
      </c>
      <c r="N213" s="1003" t="s">
        <v>358</v>
      </c>
      <c r="O213" s="1004">
        <f>R208</f>
        <v>0.46875935000000007</v>
      </c>
      <c r="P213" s="788" t="s">
        <v>358</v>
      </c>
      <c r="Q213" s="1012">
        <f>R209</f>
        <v>0.02</v>
      </c>
      <c r="R213" s="1012"/>
      <c r="S213" s="1012"/>
      <c r="T213" s="944" t="s">
        <v>361</v>
      </c>
      <c r="U213" s="242" t="s">
        <v>433</v>
      </c>
      <c r="V213" s="112"/>
    </row>
    <row r="214" spans="1:22" ht="18" hidden="1" customHeight="1">
      <c r="A214" s="1006"/>
      <c r="B214" s="947"/>
      <c r="C214" s="947"/>
      <c r="D214" s="14"/>
      <c r="E214" s="7"/>
      <c r="F214" s="1008"/>
      <c r="G214" s="1008"/>
      <c r="H214" s="788"/>
      <c r="I214" s="788" t="str">
        <f>R201</f>
        <v>-</v>
      </c>
      <c r="J214" s="1008"/>
      <c r="K214" s="788"/>
      <c r="L214" s="1002"/>
      <c r="M214" s="975"/>
      <c r="N214" s="1003"/>
      <c r="O214" s="975"/>
      <c r="P214" s="788"/>
      <c r="Q214" s="233">
        <f>R206</f>
        <v>1</v>
      </c>
      <c r="R214" s="233" t="s">
        <v>326</v>
      </c>
      <c r="S214" s="233">
        <f>R206</f>
        <v>1</v>
      </c>
      <c r="T214" s="944"/>
      <c r="U214" s="7"/>
      <c r="V214" s="112"/>
    </row>
    <row r="215" spans="1:22" ht="18" hidden="1" customHeight="1">
      <c r="A215" s="9"/>
      <c r="L215" s="442"/>
      <c r="V215" s="10"/>
    </row>
    <row r="216" spans="1:22" ht="18" hidden="1" customHeight="1">
      <c r="A216" s="9"/>
      <c r="C216" s="27" t="s">
        <v>138</v>
      </c>
      <c r="D216" s="875" t="e">
        <f>F213*(I213/I214)*(M213+O213+(Q213/(Q214*S214)))</f>
        <v>#VALUE!</v>
      </c>
      <c r="E216" s="876"/>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5" t="s">
        <v>428</v>
      </c>
      <c r="B219" s="947"/>
      <c r="C219" s="947"/>
      <c r="D219" s="664">
        <v>2</v>
      </c>
      <c r="E219" s="664" t="s">
        <v>326</v>
      </c>
      <c r="F219" s="1007">
        <f>R203</f>
        <v>28681.090829928391</v>
      </c>
      <c r="G219" s="1008"/>
      <c r="H219" s="788" t="s">
        <v>326</v>
      </c>
      <c r="I219" s="1009">
        <f>R205</f>
        <v>1</v>
      </c>
      <c r="J219" s="1010"/>
      <c r="K219" s="788" t="s">
        <v>326</v>
      </c>
      <c r="L219" s="1002" t="s">
        <v>430</v>
      </c>
      <c r="M219" s="975">
        <f>R207</f>
        <v>3</v>
      </c>
      <c r="N219" s="1003" t="s">
        <v>358</v>
      </c>
      <c r="O219" s="1004">
        <f>R208</f>
        <v>0.46875935000000007</v>
      </c>
      <c r="P219" s="788" t="s">
        <v>358</v>
      </c>
      <c r="Q219" s="1012">
        <f>Q213</f>
        <v>0.02</v>
      </c>
      <c r="R219" s="1012"/>
      <c r="S219" s="1012"/>
      <c r="T219" s="944" t="s">
        <v>361</v>
      </c>
      <c r="U219" s="242" t="s">
        <v>437</v>
      </c>
      <c r="V219" s="112"/>
    </row>
    <row r="220" spans="1:22" ht="18" hidden="1" customHeight="1">
      <c r="A220" s="1006"/>
      <c r="B220" s="947"/>
      <c r="C220" s="947"/>
      <c r="D220" s="664"/>
      <c r="E220" s="664"/>
      <c r="F220" s="1008"/>
      <c r="G220" s="1008"/>
      <c r="H220" s="788"/>
      <c r="I220" s="788" t="str">
        <f>R201</f>
        <v>-</v>
      </c>
      <c r="J220" s="1008"/>
      <c r="K220" s="788"/>
      <c r="L220" s="1002"/>
      <c r="M220" s="975"/>
      <c r="N220" s="1003"/>
      <c r="O220" s="975"/>
      <c r="P220" s="788"/>
      <c r="Q220" s="233">
        <f>R206</f>
        <v>1</v>
      </c>
      <c r="R220" s="233" t="s">
        <v>326</v>
      </c>
      <c r="S220" s="233">
        <f>R206</f>
        <v>1</v>
      </c>
      <c r="T220" s="944"/>
      <c r="U220" s="7"/>
      <c r="V220" s="112"/>
    </row>
    <row r="221" spans="1:22" ht="18" hidden="1" customHeight="1">
      <c r="A221" s="9"/>
      <c r="L221" s="442"/>
      <c r="V221" s="10"/>
    </row>
    <row r="222" spans="1:22" ht="18" hidden="1" customHeight="1">
      <c r="A222" s="9"/>
      <c r="C222" s="27" t="s">
        <v>138</v>
      </c>
      <c r="D222" s="875" t="e">
        <f>D219*F219*(I219/I220)*(M219+O219+(Q219/(Q220*S220)))</f>
        <v>#VALUE!</v>
      </c>
      <c r="E222" s="876"/>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5" t="s">
        <v>428</v>
      </c>
      <c r="B225" s="947"/>
      <c r="C225" s="947"/>
      <c r="D225" s="788">
        <v>2</v>
      </c>
      <c r="E225" s="788" t="s">
        <v>326</v>
      </c>
      <c r="F225" s="1007">
        <f>R204</f>
        <v>30950.978286194932</v>
      </c>
      <c r="G225" s="1008"/>
      <c r="H225" s="788" t="s">
        <v>326</v>
      </c>
      <c r="I225" s="1009">
        <f>R205</f>
        <v>1</v>
      </c>
      <c r="J225" s="1010"/>
      <c r="K225" s="788" t="s">
        <v>326</v>
      </c>
      <c r="L225" s="1002" t="s">
        <v>430</v>
      </c>
      <c r="M225" s="975">
        <f>R207</f>
        <v>3</v>
      </c>
      <c r="N225" s="1003" t="s">
        <v>358</v>
      </c>
      <c r="O225" s="1004">
        <f>R208</f>
        <v>0.46875935000000007</v>
      </c>
      <c r="P225" s="788" t="s">
        <v>358</v>
      </c>
      <c r="Q225" s="1012">
        <f>R209</f>
        <v>0.02</v>
      </c>
      <c r="R225" s="1012"/>
      <c r="S225" s="1012"/>
      <c r="T225" s="944" t="s">
        <v>361</v>
      </c>
      <c r="U225" s="242" t="s">
        <v>437</v>
      </c>
      <c r="V225" s="112"/>
    </row>
    <row r="226" spans="1:22" ht="18" hidden="1" customHeight="1">
      <c r="A226" s="1006"/>
      <c r="B226" s="947"/>
      <c r="C226" s="947"/>
      <c r="D226" s="788"/>
      <c r="E226" s="788"/>
      <c r="F226" s="1008"/>
      <c r="G226" s="1008"/>
      <c r="H226" s="788"/>
      <c r="I226" s="788" t="str">
        <f>R201</f>
        <v>-</v>
      </c>
      <c r="J226" s="1008"/>
      <c r="K226" s="788"/>
      <c r="L226" s="1002"/>
      <c r="M226" s="975"/>
      <c r="N226" s="1003"/>
      <c r="O226" s="975"/>
      <c r="P226" s="788"/>
      <c r="Q226" s="233">
        <f>R206</f>
        <v>1</v>
      </c>
      <c r="R226" s="233" t="s">
        <v>326</v>
      </c>
      <c r="S226" s="233">
        <f>R206</f>
        <v>1</v>
      </c>
      <c r="T226" s="944"/>
      <c r="U226" s="7"/>
      <c r="V226" s="112"/>
    </row>
    <row r="227" spans="1:22" ht="18" hidden="1" customHeight="1">
      <c r="A227" s="9"/>
      <c r="V227" s="10"/>
    </row>
    <row r="228" spans="1:22" ht="18" hidden="1" customHeight="1">
      <c r="A228" s="9"/>
      <c r="C228" s="27" t="s">
        <v>138</v>
      </c>
      <c r="D228" s="875" t="e">
        <f>D225*F225*(I225/I226)*(M225+O225+(Q225/(Q226*S226)))</f>
        <v>#VALUE!</v>
      </c>
      <c r="E228" s="876"/>
      <c r="F228" s="27" t="s">
        <v>316</v>
      </c>
      <c r="V228" s="10"/>
    </row>
    <row r="229" spans="1:22" ht="18" hidden="1" customHeight="1">
      <c r="A229" s="9"/>
      <c r="V229" s="10"/>
    </row>
    <row r="230" spans="1:22" ht="18" hidden="1" customHeight="1">
      <c r="A230" s="116" t="s">
        <v>457</v>
      </c>
      <c r="V230" s="10"/>
    </row>
    <row r="231" spans="1:22" ht="18" hidden="1" customHeight="1">
      <c r="A231" s="1018" t="s">
        <v>510</v>
      </c>
      <c r="B231" s="1019"/>
      <c r="C231" s="1019"/>
      <c r="D231" s="1019"/>
      <c r="E231" s="1019"/>
      <c r="F231" s="1019"/>
      <c r="G231" s="1019"/>
      <c r="H231" s="1019"/>
      <c r="I231" s="1019"/>
      <c r="J231" s="1019"/>
      <c r="K231" s="1019"/>
      <c r="L231" s="1019"/>
      <c r="M231" s="1019"/>
      <c r="N231" s="1019"/>
      <c r="O231" s="1019"/>
      <c r="P231" s="1019"/>
      <c r="Q231" s="1019"/>
      <c r="R231" s="1019"/>
      <c r="S231" s="1019"/>
      <c r="T231" s="1019"/>
      <c r="U231" s="1019"/>
      <c r="V231" s="1020"/>
    </row>
    <row r="232" spans="1:22" ht="18" hidden="1" customHeight="1">
      <c r="A232" s="1018"/>
      <c r="B232" s="1019"/>
      <c r="C232" s="1019"/>
      <c r="D232" s="1019"/>
      <c r="E232" s="1019"/>
      <c r="F232" s="1019"/>
      <c r="G232" s="1019"/>
      <c r="H232" s="1019"/>
      <c r="I232" s="1019"/>
      <c r="J232" s="1019"/>
      <c r="K232" s="1019"/>
      <c r="L232" s="1019"/>
      <c r="M232" s="1019"/>
      <c r="N232" s="1019"/>
      <c r="O232" s="1019"/>
      <c r="P232" s="1019"/>
      <c r="Q232" s="1019"/>
      <c r="R232" s="1019"/>
      <c r="S232" s="1019"/>
      <c r="T232" s="1019"/>
      <c r="U232" s="1019"/>
      <c r="V232" s="1020"/>
    </row>
    <row r="233" spans="1:22" ht="18" hidden="1" customHeight="1">
      <c r="A233" s="460" t="s">
        <v>427</v>
      </c>
      <c r="V233" s="10"/>
    </row>
    <row r="234" spans="1:22" ht="18" hidden="1" customHeight="1">
      <c r="A234" s="1005" t="s">
        <v>428</v>
      </c>
      <c r="B234" s="947"/>
      <c r="C234" s="947"/>
      <c r="D234" s="1015" t="s">
        <v>429</v>
      </c>
      <c r="E234" s="903"/>
      <c r="F234" s="664" t="s">
        <v>326</v>
      </c>
      <c r="G234" s="696" t="s">
        <v>447</v>
      </c>
      <c r="H234" s="939"/>
      <c r="I234" s="664" t="s">
        <v>326</v>
      </c>
      <c r="J234" s="1017" t="s">
        <v>146</v>
      </c>
      <c r="K234" s="664" t="s">
        <v>326</v>
      </c>
      <c r="L234" s="1015" t="s">
        <v>430</v>
      </c>
      <c r="M234" s="936" t="s">
        <v>451</v>
      </c>
      <c r="N234" s="942" t="s">
        <v>358</v>
      </c>
      <c r="O234" s="936" t="s">
        <v>458</v>
      </c>
      <c r="P234" s="664" t="s">
        <v>358</v>
      </c>
      <c r="Q234" s="943" t="s">
        <v>459</v>
      </c>
      <c r="R234" s="1016"/>
      <c r="S234" s="1016"/>
      <c r="T234" s="944" t="s">
        <v>361</v>
      </c>
      <c r="U234" s="242" t="s">
        <v>433</v>
      </c>
      <c r="V234" s="112"/>
    </row>
    <row r="235" spans="1:22" ht="18" hidden="1" customHeight="1">
      <c r="A235" s="1006"/>
      <c r="B235" s="947"/>
      <c r="C235" s="947"/>
      <c r="D235" s="903"/>
      <c r="E235" s="903"/>
      <c r="F235" s="664"/>
      <c r="G235" s="664" t="s">
        <v>441</v>
      </c>
      <c r="H235" s="903"/>
      <c r="I235" s="664"/>
      <c r="J235" s="664"/>
      <c r="K235" s="664"/>
      <c r="L235" s="1015"/>
      <c r="M235" s="936"/>
      <c r="N235" s="942"/>
      <c r="O235" s="936"/>
      <c r="P235" s="664"/>
      <c r="Q235" s="28" t="s">
        <v>449</v>
      </c>
      <c r="R235" s="28" t="s">
        <v>326</v>
      </c>
      <c r="S235" s="28" t="s">
        <v>449</v>
      </c>
      <c r="T235" s="944"/>
      <c r="U235" s="7"/>
      <c r="V235" s="112"/>
    </row>
    <row r="236" spans="1:22" ht="18" hidden="1" customHeight="1">
      <c r="A236" s="460" t="s">
        <v>460</v>
      </c>
      <c r="L236" s="442"/>
      <c r="V236" s="10"/>
    </row>
    <row r="237" spans="1:22" ht="18" hidden="1" customHeight="1">
      <c r="A237" s="1005" t="s">
        <v>428</v>
      </c>
      <c r="B237" s="947"/>
      <c r="C237" s="947"/>
      <c r="D237" s="1015" t="s">
        <v>461</v>
      </c>
      <c r="E237" s="903"/>
      <c r="F237" s="664" t="s">
        <v>326</v>
      </c>
      <c r="G237" s="696" t="s">
        <v>447</v>
      </c>
      <c r="H237" s="939"/>
      <c r="I237" s="664" t="s">
        <v>326</v>
      </c>
      <c r="J237" s="1017" t="s">
        <v>462</v>
      </c>
      <c r="K237" s="664" t="s">
        <v>326</v>
      </c>
      <c r="L237" s="1015" t="s">
        <v>430</v>
      </c>
      <c r="M237" s="936" t="s">
        <v>451</v>
      </c>
      <c r="N237" s="942" t="s">
        <v>358</v>
      </c>
      <c r="O237" s="936" t="s">
        <v>458</v>
      </c>
      <c r="P237" s="664" t="s">
        <v>358</v>
      </c>
      <c r="Q237" s="943" t="s">
        <v>459</v>
      </c>
      <c r="R237" s="1016"/>
      <c r="S237" s="1016"/>
      <c r="T237" s="944" t="s">
        <v>361</v>
      </c>
      <c r="U237" s="242" t="s">
        <v>437</v>
      </c>
      <c r="V237" s="112"/>
    </row>
    <row r="238" spans="1:22" ht="18" hidden="1" customHeight="1">
      <c r="A238" s="1006"/>
      <c r="B238" s="947"/>
      <c r="C238" s="947"/>
      <c r="D238" s="903"/>
      <c r="E238" s="903"/>
      <c r="F238" s="664"/>
      <c r="G238" s="664" t="s">
        <v>441</v>
      </c>
      <c r="H238" s="903"/>
      <c r="I238" s="664"/>
      <c r="J238" s="664"/>
      <c r="K238" s="664"/>
      <c r="L238" s="1015"/>
      <c r="M238" s="936"/>
      <c r="N238" s="942"/>
      <c r="O238" s="936"/>
      <c r="P238" s="664"/>
      <c r="Q238" s="28" t="s">
        <v>449</v>
      </c>
      <c r="R238" s="28" t="s">
        <v>326</v>
      </c>
      <c r="S238" s="28" t="s">
        <v>449</v>
      </c>
      <c r="T238" s="944"/>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65" t="str">
        <f>R201</f>
        <v>-</v>
      </c>
      <c r="S241" s="665"/>
      <c r="T241" s="14" t="s">
        <v>9</v>
      </c>
      <c r="V241" s="10"/>
    </row>
    <row r="242" spans="1:22" ht="18" hidden="1" customHeight="1">
      <c r="A242" s="9"/>
      <c r="B242" s="14" t="s">
        <v>442</v>
      </c>
      <c r="P242" s="120" t="s">
        <v>429</v>
      </c>
      <c r="Q242" s="246" t="s">
        <v>138</v>
      </c>
      <c r="R242" s="665">
        <f>R202</f>
        <v>50000</v>
      </c>
      <c r="S242" s="665"/>
      <c r="T242" s="14" t="s">
        <v>9</v>
      </c>
      <c r="V242" s="10"/>
    </row>
    <row r="243" spans="1:22" ht="18" hidden="1" customHeight="1">
      <c r="A243" s="9"/>
      <c r="B243" s="14" t="s">
        <v>463</v>
      </c>
      <c r="P243" s="120" t="s">
        <v>461</v>
      </c>
      <c r="Q243" s="246" t="s">
        <v>138</v>
      </c>
      <c r="R243" s="816">
        <f>R77</f>
        <v>31616.578766904022</v>
      </c>
      <c r="S243" s="665"/>
      <c r="T243" s="14" t="s">
        <v>9</v>
      </c>
      <c r="U243" s="30" t="s">
        <v>444</v>
      </c>
      <c r="V243" s="10"/>
    </row>
    <row r="244" spans="1:22" ht="18" hidden="1" customHeight="1">
      <c r="A244" s="9"/>
      <c r="B244" s="14"/>
      <c r="P244" s="120"/>
      <c r="Q244" s="246" t="s">
        <v>138</v>
      </c>
      <c r="R244" s="816">
        <f>R78</f>
        <v>33779.140438861883</v>
      </c>
      <c r="S244" s="665"/>
      <c r="T244" s="14" t="s">
        <v>9</v>
      </c>
      <c r="U244" s="30" t="s">
        <v>445</v>
      </c>
      <c r="V244" s="10"/>
    </row>
    <row r="245" spans="1:22" ht="18" hidden="1" customHeight="1">
      <c r="A245" s="9"/>
      <c r="B245" s="14" t="s">
        <v>464</v>
      </c>
      <c r="P245" s="120" t="s">
        <v>447</v>
      </c>
      <c r="Q245" s="246" t="s">
        <v>138</v>
      </c>
      <c r="R245" s="665">
        <f>R205</f>
        <v>1</v>
      </c>
      <c r="S245" s="665"/>
      <c r="T245" s="14" t="s">
        <v>9</v>
      </c>
      <c r="V245" s="10"/>
    </row>
    <row r="246" spans="1:22" ht="18" hidden="1" customHeight="1">
      <c r="A246" s="9"/>
      <c r="B246" s="14" t="s">
        <v>448</v>
      </c>
      <c r="P246" s="120" t="s">
        <v>449</v>
      </c>
      <c r="Q246" s="246" t="s">
        <v>138</v>
      </c>
      <c r="R246" s="665">
        <f>R206</f>
        <v>1</v>
      </c>
      <c r="S246" s="665"/>
      <c r="T246" s="14" t="s">
        <v>9</v>
      </c>
      <c r="V246" s="10"/>
    </row>
    <row r="247" spans="1:22" ht="18" hidden="1" customHeight="1">
      <c r="A247" s="9"/>
      <c r="B247" s="14" t="s">
        <v>450</v>
      </c>
      <c r="P247" s="120" t="s">
        <v>451</v>
      </c>
      <c r="Q247" s="246" t="s">
        <v>138</v>
      </c>
      <c r="R247" s="665">
        <f>R207</f>
        <v>3</v>
      </c>
      <c r="S247" s="665"/>
      <c r="T247" s="204" t="s">
        <v>344</v>
      </c>
      <c r="V247" s="10"/>
    </row>
    <row r="248" spans="1:22" ht="18" hidden="1" customHeight="1">
      <c r="A248" s="9"/>
      <c r="B248" s="14" t="s">
        <v>465</v>
      </c>
      <c r="P248" s="249" t="s">
        <v>452</v>
      </c>
      <c r="Q248" s="246" t="s">
        <v>138</v>
      </c>
      <c r="R248" s="668">
        <f>R208</f>
        <v>0.46875935000000007</v>
      </c>
      <c r="S248" s="665"/>
      <c r="T248" s="204" t="s">
        <v>344</v>
      </c>
      <c r="V248" s="10"/>
    </row>
    <row r="249" spans="1:22" ht="18" hidden="1" customHeight="1">
      <c r="A249" s="9"/>
      <c r="B249" s="40" t="s">
        <v>453</v>
      </c>
      <c r="P249" s="249" t="s">
        <v>454</v>
      </c>
      <c r="Q249" s="246" t="s">
        <v>138</v>
      </c>
      <c r="R249" s="668">
        <f>R209</f>
        <v>0.02</v>
      </c>
      <c r="S249" s="665"/>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69">
        <f>L95</f>
        <v>47.727272727272727</v>
      </c>
      <c r="M261" s="664"/>
      <c r="N261" s="28" t="s">
        <v>475</v>
      </c>
      <c r="O261" s="28" t="s">
        <v>146</v>
      </c>
      <c r="P261" s="28" t="s">
        <v>138</v>
      </c>
      <c r="Q261" s="28">
        <f>IF(L261&lt;=400,Q254,Q255)</f>
        <v>1</v>
      </c>
      <c r="R261" s="7"/>
      <c r="S261" s="7"/>
      <c r="T261" s="7"/>
      <c r="V261" s="10"/>
    </row>
    <row r="262" spans="1:22" ht="18" hidden="1" customHeight="1">
      <c r="A262" s="1005" t="s">
        <v>428</v>
      </c>
      <c r="B262" s="947"/>
      <c r="C262" s="947"/>
      <c r="D262" s="1002">
        <f>R242</f>
        <v>50000</v>
      </c>
      <c r="E262" s="1013"/>
      <c r="F262" s="788" t="s">
        <v>326</v>
      </c>
      <c r="G262" s="1009">
        <f>R245</f>
        <v>1</v>
      </c>
      <c r="H262" s="1014"/>
      <c r="I262" s="788" t="s">
        <v>326</v>
      </c>
      <c r="J262" s="790">
        <f>Q261</f>
        <v>1</v>
      </c>
      <c r="K262" s="788" t="s">
        <v>326</v>
      </c>
      <c r="L262" s="1002" t="s">
        <v>430</v>
      </c>
      <c r="M262" s="975">
        <f>R247</f>
        <v>3</v>
      </c>
      <c r="N262" s="1003" t="s">
        <v>358</v>
      </c>
      <c r="O262" s="1004">
        <f>R248</f>
        <v>0.46875935000000007</v>
      </c>
      <c r="P262" s="788" t="s">
        <v>358</v>
      </c>
      <c r="Q262" s="1012">
        <f>R249</f>
        <v>0.02</v>
      </c>
      <c r="R262" s="1012"/>
      <c r="S262" s="1012"/>
      <c r="T262" s="944" t="s">
        <v>361</v>
      </c>
      <c r="U262" s="242" t="s">
        <v>433</v>
      </c>
      <c r="V262" s="112"/>
    </row>
    <row r="263" spans="1:22" ht="18" hidden="1" customHeight="1">
      <c r="A263" s="1006"/>
      <c r="B263" s="947"/>
      <c r="C263" s="947"/>
      <c r="D263" s="1013"/>
      <c r="E263" s="1013"/>
      <c r="F263" s="788"/>
      <c r="G263" s="788" t="str">
        <f>R241</f>
        <v>-</v>
      </c>
      <c r="H263" s="1013"/>
      <c r="I263" s="788"/>
      <c r="J263" s="788"/>
      <c r="K263" s="788"/>
      <c r="L263" s="1002"/>
      <c r="M263" s="975"/>
      <c r="N263" s="1003"/>
      <c r="O263" s="975"/>
      <c r="P263" s="788"/>
      <c r="Q263" s="233">
        <f>R246</f>
        <v>1</v>
      </c>
      <c r="R263" s="233" t="s">
        <v>326</v>
      </c>
      <c r="S263" s="233">
        <f>R246</f>
        <v>1</v>
      </c>
      <c r="T263" s="944"/>
      <c r="U263" s="7"/>
      <c r="V263" s="112"/>
    </row>
    <row r="264" spans="1:22" ht="18" hidden="1" customHeight="1">
      <c r="A264" s="9"/>
      <c r="V264" s="10"/>
    </row>
    <row r="265" spans="1:22" ht="18" hidden="1" customHeight="1">
      <c r="A265" s="9"/>
      <c r="C265" s="27" t="s">
        <v>138</v>
      </c>
      <c r="D265" s="860" t="e">
        <f>D262*(G262/G263)*J262*(M262+O262+(Q262/(Q263*S263)))</f>
        <v>#VALUE!</v>
      </c>
      <c r="E265" s="700"/>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68">
        <f>L102</f>
        <v>7.3490763833311119</v>
      </c>
      <c r="M268" s="665"/>
      <c r="N268" s="27" t="s">
        <v>475</v>
      </c>
      <c r="O268" s="28" t="s">
        <v>462</v>
      </c>
      <c r="P268" s="27" t="s">
        <v>138</v>
      </c>
      <c r="Q268" s="27">
        <f>IF(L268&lt;=200,Q258,Q259)</f>
        <v>3</v>
      </c>
      <c r="V268" s="10"/>
    </row>
    <row r="269" spans="1:22" ht="18" hidden="1" customHeight="1">
      <c r="A269" s="1005" t="s">
        <v>428</v>
      </c>
      <c r="B269" s="947"/>
      <c r="C269" s="947"/>
      <c r="D269" s="1007">
        <f>R243</f>
        <v>31616.578766904022</v>
      </c>
      <c r="E269" s="1008"/>
      <c r="F269" s="788" t="s">
        <v>326</v>
      </c>
      <c r="G269" s="1009">
        <f>R245</f>
        <v>1</v>
      </c>
      <c r="H269" s="1010"/>
      <c r="I269" s="788" t="s">
        <v>326</v>
      </c>
      <c r="J269" s="1011">
        <f>Q268</f>
        <v>3</v>
      </c>
      <c r="K269" s="788" t="s">
        <v>326</v>
      </c>
      <c r="L269" s="1002" t="s">
        <v>430</v>
      </c>
      <c r="M269" s="975">
        <f>R247</f>
        <v>3</v>
      </c>
      <c r="N269" s="1003" t="s">
        <v>358</v>
      </c>
      <c r="O269" s="1004">
        <f>R248</f>
        <v>0.46875935000000007</v>
      </c>
      <c r="P269" s="788" t="s">
        <v>358</v>
      </c>
      <c r="Q269" s="1012">
        <f>R249</f>
        <v>0.02</v>
      </c>
      <c r="R269" s="1012"/>
      <c r="S269" s="1012"/>
      <c r="T269" s="944" t="s">
        <v>361</v>
      </c>
      <c r="U269" s="242" t="s">
        <v>437</v>
      </c>
      <c r="V269" s="112"/>
    </row>
    <row r="270" spans="1:22" ht="18" hidden="1" customHeight="1">
      <c r="A270" s="1006"/>
      <c r="B270" s="947"/>
      <c r="C270" s="947"/>
      <c r="D270" s="1008"/>
      <c r="E270" s="1008"/>
      <c r="F270" s="788"/>
      <c r="G270" s="788" t="str">
        <f>R241</f>
        <v>-</v>
      </c>
      <c r="H270" s="1008"/>
      <c r="I270" s="788"/>
      <c r="J270" s="788"/>
      <c r="K270" s="788"/>
      <c r="L270" s="1002"/>
      <c r="M270" s="975"/>
      <c r="N270" s="1003"/>
      <c r="O270" s="975"/>
      <c r="P270" s="788"/>
      <c r="Q270" s="233">
        <f>R246</f>
        <v>1</v>
      </c>
      <c r="R270" s="233" t="s">
        <v>326</v>
      </c>
      <c r="S270" s="233">
        <f>R246</f>
        <v>1</v>
      </c>
      <c r="T270" s="944"/>
      <c r="U270" s="7"/>
      <c r="V270" s="112"/>
    </row>
    <row r="271" spans="1:22" ht="18" hidden="1" customHeight="1">
      <c r="A271" s="9"/>
      <c r="V271" s="10"/>
    </row>
    <row r="272" spans="1:22" ht="18" hidden="1" customHeight="1">
      <c r="A272" s="9"/>
      <c r="C272" s="27" t="s">
        <v>138</v>
      </c>
      <c r="D272" s="860" t="e">
        <f>D269*(G269/G270)*J269*(M269+O269+(Q269/(Q270*S270)))</f>
        <v>#VALUE!</v>
      </c>
      <c r="E272" s="700"/>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68">
        <f>L109</f>
        <v>7.6723844075738938</v>
      </c>
      <c r="M275" s="665"/>
      <c r="N275" s="27" t="s">
        <v>475</v>
      </c>
      <c r="O275" s="28" t="s">
        <v>462</v>
      </c>
      <c r="P275" s="27" t="s">
        <v>138</v>
      </c>
      <c r="Q275" s="27">
        <f>IF(L275&lt;=200,Q258,Q259)</f>
        <v>3</v>
      </c>
      <c r="V275" s="10"/>
    </row>
    <row r="276" spans="1:22" ht="18" hidden="1" customHeight="1">
      <c r="A276" s="1005" t="s">
        <v>428</v>
      </c>
      <c r="B276" s="947"/>
      <c r="C276" s="947"/>
      <c r="D276" s="1007">
        <f>R244</f>
        <v>33779.140438861883</v>
      </c>
      <c r="E276" s="1008"/>
      <c r="F276" s="788" t="s">
        <v>326</v>
      </c>
      <c r="G276" s="1009">
        <f>R245</f>
        <v>1</v>
      </c>
      <c r="H276" s="1010"/>
      <c r="I276" s="788" t="s">
        <v>326</v>
      </c>
      <c r="J276" s="1011">
        <f>Q275</f>
        <v>3</v>
      </c>
      <c r="K276" s="788" t="s">
        <v>326</v>
      </c>
      <c r="L276" s="1002" t="s">
        <v>430</v>
      </c>
      <c r="M276" s="975">
        <f>R247</f>
        <v>3</v>
      </c>
      <c r="N276" s="1003" t="s">
        <v>358</v>
      </c>
      <c r="O276" s="1004">
        <f>R248</f>
        <v>0.46875935000000007</v>
      </c>
      <c r="P276" s="788" t="s">
        <v>358</v>
      </c>
      <c r="Q276" s="1012">
        <f>R249</f>
        <v>0.02</v>
      </c>
      <c r="R276" s="1012"/>
      <c r="S276" s="1012"/>
      <c r="T276" s="944" t="s">
        <v>361</v>
      </c>
      <c r="U276" s="242" t="s">
        <v>437</v>
      </c>
      <c r="V276" s="112"/>
    </row>
    <row r="277" spans="1:22" ht="18" hidden="1" customHeight="1">
      <c r="A277" s="1006"/>
      <c r="B277" s="947"/>
      <c r="C277" s="947"/>
      <c r="D277" s="1008"/>
      <c r="E277" s="1008"/>
      <c r="F277" s="788"/>
      <c r="G277" s="788" t="str">
        <f>R241</f>
        <v>-</v>
      </c>
      <c r="H277" s="1008"/>
      <c r="I277" s="788"/>
      <c r="J277" s="788"/>
      <c r="K277" s="788"/>
      <c r="L277" s="1002"/>
      <c r="M277" s="975"/>
      <c r="N277" s="1003"/>
      <c r="O277" s="975"/>
      <c r="P277" s="788"/>
      <c r="Q277" s="233">
        <f>R246</f>
        <v>1</v>
      </c>
      <c r="R277" s="233" t="s">
        <v>326</v>
      </c>
      <c r="S277" s="233">
        <f>R246</f>
        <v>1</v>
      </c>
      <c r="T277" s="944"/>
      <c r="U277" s="7"/>
      <c r="V277" s="112"/>
    </row>
    <row r="278" spans="1:22" ht="18" hidden="1" customHeight="1">
      <c r="A278" s="9"/>
      <c r="V278" s="10"/>
    </row>
    <row r="279" spans="1:22" ht="18" hidden="1" customHeight="1">
      <c r="A279" s="9"/>
      <c r="C279" s="27" t="s">
        <v>138</v>
      </c>
      <c r="D279" s="860" t="e">
        <f>D276*(G276/G277)*J276*(M276+O276+(Q276/(Q277*S277)))</f>
        <v>#VALUE!</v>
      </c>
      <c r="E279" s="700"/>
      <c r="F279" s="27" t="s">
        <v>316</v>
      </c>
      <c r="V279" s="10"/>
    </row>
    <row r="280" spans="1:22" ht="18" hidden="1" customHeight="1">
      <c r="A280" s="9"/>
      <c r="V280" s="10"/>
    </row>
    <row r="281" spans="1:22" ht="18" hidden="1" customHeight="1">
      <c r="A281" s="196" t="s">
        <v>480</v>
      </c>
      <c r="M281" s="1028" t="str">
        <f>J176</f>
        <v>-</v>
      </c>
      <c r="N281" s="1029"/>
      <c r="O281" s="30" t="s">
        <v>481</v>
      </c>
      <c r="Q281" s="875" t="e">
        <f>MAX(D216,D222,D228,D265,D272,D279)</f>
        <v>#VALUE!</v>
      </c>
      <c r="R281" s="700"/>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23" t="s">
        <v>485</v>
      </c>
      <c r="R284" s="923"/>
      <c r="S284" s="28" t="s">
        <v>326</v>
      </c>
      <c r="T284" s="28">
        <v>0.8</v>
      </c>
      <c r="V284" s="10"/>
    </row>
    <row r="285" spans="1:22" ht="18" hidden="1" customHeight="1">
      <c r="A285" s="9"/>
      <c r="N285" s="264"/>
      <c r="O285" s="28"/>
      <c r="P285" s="102" t="s">
        <v>138</v>
      </c>
      <c r="Q285" s="996" t="e">
        <f>+Q281</f>
        <v>#VALUE!</v>
      </c>
      <c r="R285" s="696"/>
      <c r="S285" s="234" t="s">
        <v>326</v>
      </c>
      <c r="T285" s="265">
        <f>+T284</f>
        <v>0.8</v>
      </c>
      <c r="V285" s="10"/>
    </row>
    <row r="286" spans="1:22" ht="18" hidden="1" customHeight="1">
      <c r="A286" s="9"/>
      <c r="O286" s="28"/>
      <c r="P286" s="28" t="s">
        <v>138</v>
      </c>
      <c r="Q286" s="997" t="e">
        <f>Q285*T285</f>
        <v>#VALUE!</v>
      </c>
      <c r="R286" s="61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65">
        <f>J179</f>
        <v>200</v>
      </c>
      <c r="F288" s="665"/>
      <c r="G288" s="27" t="e">
        <f>G287</f>
        <v>#VALUE!</v>
      </c>
      <c r="H288" s="668" t="e">
        <f>Q286</f>
        <v>#VALUE!</v>
      </c>
      <c r="I288" s="665"/>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08" t="str">
        <f>B173</f>
        <v>T1</v>
      </c>
      <c r="C293" s="709"/>
      <c r="D293" s="710" t="str">
        <f>D173</f>
        <v>Core1</v>
      </c>
      <c r="E293" s="711"/>
      <c r="F293" s="664">
        <f>F173</f>
        <v>0</v>
      </c>
      <c r="G293" s="664"/>
      <c r="H293" s="664" t="str">
        <f>H173</f>
        <v>(Diff. + Dist.)</v>
      </c>
      <c r="I293" s="664"/>
      <c r="J293" s="664"/>
      <c r="K293" s="664"/>
      <c r="L293" s="664"/>
      <c r="M293" s="664"/>
      <c r="P293" s="198"/>
      <c r="S293" s="199" t="s">
        <v>398</v>
      </c>
      <c r="T293" s="708" t="str">
        <f>T173</f>
        <v>RED670</v>
      </c>
      <c r="U293" s="709"/>
      <c r="V293" s="10"/>
    </row>
    <row r="294" spans="1:29" ht="18" hidden="1" customHeight="1">
      <c r="A294" s="9"/>
      <c r="B294" s="707">
        <f>B174</f>
        <v>0</v>
      </c>
      <c r="C294" s="707"/>
      <c r="D294" s="712"/>
      <c r="E294" s="713"/>
      <c r="F294" s="461"/>
      <c r="T294" s="708">
        <f>T174</f>
        <v>0</v>
      </c>
      <c r="U294" s="709"/>
      <c r="V294" s="10"/>
    </row>
    <row r="295" spans="1:29" ht="18" hidden="1" customHeight="1">
      <c r="A295" s="9"/>
      <c r="H295" s="696" t="s">
        <v>401</v>
      </c>
      <c r="I295" s="696"/>
      <c r="J295" s="667" t="s">
        <v>402</v>
      </c>
      <c r="K295" s="667"/>
      <c r="L295" s="666" t="s">
        <v>403</v>
      </c>
      <c r="M295" s="666"/>
      <c r="T295" s="708">
        <f>T175</f>
        <v>0</v>
      </c>
      <c r="U295" s="709"/>
      <c r="V295" s="10"/>
    </row>
    <row r="296" spans="1:29" ht="18" hidden="1" customHeight="1">
      <c r="A296" s="9"/>
      <c r="B296" s="47" t="s">
        <v>404</v>
      </c>
      <c r="H296" s="708">
        <f>H176</f>
        <v>600</v>
      </c>
      <c r="I296" s="709"/>
      <c r="J296" s="708" t="str">
        <f>J176</f>
        <v>-</v>
      </c>
      <c r="K296" s="709"/>
      <c r="L296" s="714" t="str">
        <f>L176</f>
        <v>-</v>
      </c>
      <c r="M296" s="715"/>
      <c r="N296" s="123" t="s">
        <v>353</v>
      </c>
      <c r="O296" s="268">
        <f>O176</f>
        <v>1</v>
      </c>
      <c r="P296" s="438" t="s">
        <v>9</v>
      </c>
      <c r="V296" s="10"/>
    </row>
    <row r="297" spans="1:29" ht="18" hidden="1" customHeight="1">
      <c r="A297" s="9"/>
      <c r="B297" s="47" t="s">
        <v>405</v>
      </c>
      <c r="L297" s="708" t="str">
        <f>J177</f>
        <v>PX</v>
      </c>
      <c r="M297" s="709"/>
      <c r="V297" s="10"/>
    </row>
    <row r="298" spans="1:29" ht="18" hidden="1" customHeight="1">
      <c r="A298" s="9"/>
      <c r="B298" s="47" t="s">
        <v>407</v>
      </c>
      <c r="K298" s="120" t="s">
        <v>508</v>
      </c>
      <c r="L298" s="653" t="s">
        <v>7</v>
      </c>
      <c r="M298" s="654"/>
      <c r="N298" s="204" t="s">
        <v>344</v>
      </c>
      <c r="V298" s="10"/>
    </row>
    <row r="299" spans="1:29" ht="18" hidden="1" customHeight="1">
      <c r="A299" s="9"/>
      <c r="B299" s="47" t="s">
        <v>409</v>
      </c>
      <c r="K299" s="120" t="s">
        <v>509</v>
      </c>
      <c r="L299" s="653" t="s">
        <v>7</v>
      </c>
      <c r="M299" s="654"/>
      <c r="N299" s="14" t="s">
        <v>316</v>
      </c>
      <c r="V299" s="10"/>
      <c r="W299" s="30" t="s">
        <v>411</v>
      </c>
      <c r="AB299" s="1022" t="e">
        <f>Q415</f>
        <v>#VALUE!</v>
      </c>
      <c r="AC299" s="1023"/>
    </row>
    <row r="300" spans="1:29" ht="18" hidden="1" customHeight="1">
      <c r="A300" s="9"/>
      <c r="B300" s="14" t="s">
        <v>412</v>
      </c>
      <c r="K300" s="120" t="s">
        <v>413</v>
      </c>
      <c r="L300" s="653" t="s">
        <v>7</v>
      </c>
      <c r="M300" s="654"/>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6">
        <f>J184</f>
        <v>0.02</v>
      </c>
      <c r="K304" s="1024"/>
      <c r="L304" s="214" t="s">
        <v>168</v>
      </c>
      <c r="N304" s="209" t="s">
        <v>418</v>
      </c>
      <c r="V304" s="10"/>
    </row>
    <row r="305" spans="1:22" ht="18" hidden="1" customHeight="1">
      <c r="A305" s="9"/>
      <c r="B305" s="196" t="s">
        <v>416</v>
      </c>
      <c r="D305" s="437">
        <f>T294</f>
        <v>0</v>
      </c>
      <c r="I305" s="28" t="s">
        <v>138</v>
      </c>
      <c r="J305" s="896">
        <f>J185</f>
        <v>0</v>
      </c>
      <c r="K305" s="1021"/>
      <c r="L305" s="309" t="s">
        <v>168</v>
      </c>
      <c r="V305" s="10"/>
    </row>
    <row r="306" spans="1:22" ht="18" hidden="1" customHeight="1">
      <c r="A306" s="9"/>
      <c r="B306" s="196" t="s">
        <v>416</v>
      </c>
      <c r="D306" s="437">
        <f>T295</f>
        <v>0</v>
      </c>
      <c r="E306" s="14"/>
      <c r="G306" s="211"/>
      <c r="H306" s="438"/>
      <c r="I306" s="101" t="s">
        <v>138</v>
      </c>
      <c r="J306" s="699">
        <f>J186</f>
        <v>0</v>
      </c>
      <c r="K306" s="1025"/>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26">
        <f>J187</f>
        <v>0.44875935000000006</v>
      </c>
      <c r="K307" s="1027"/>
      <c r="L307" s="439" t="s">
        <v>168</v>
      </c>
      <c r="O307" s="27" t="s">
        <v>138</v>
      </c>
      <c r="P307" s="223">
        <f>J308</f>
        <v>0.44875935000000006</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6">
        <f>SUM(J305:K307)</f>
        <v>0.44875935000000006</v>
      </c>
      <c r="K308" s="1021"/>
      <c r="L308" s="441" t="s">
        <v>168</v>
      </c>
      <c r="O308" s="27" t="s">
        <v>138</v>
      </c>
      <c r="P308" s="668">
        <f>P307/(R307*T307)</f>
        <v>0.44875935000000006</v>
      </c>
      <c r="Q308" s="668"/>
      <c r="R308" s="204" t="s">
        <v>344</v>
      </c>
      <c r="V308" s="10"/>
    </row>
    <row r="309" spans="1:22" ht="18" hidden="1" customHeight="1">
      <c r="A309" s="9"/>
      <c r="V309" s="10"/>
    </row>
    <row r="310" spans="1:22" ht="18" hidden="1" customHeight="1">
      <c r="A310" s="116" t="s">
        <v>425</v>
      </c>
      <c r="V310" s="10"/>
    </row>
    <row r="311" spans="1:22" ht="18" hidden="1" customHeight="1">
      <c r="A311" s="1018" t="s">
        <v>510</v>
      </c>
      <c r="B311" s="1019"/>
      <c r="C311" s="1019"/>
      <c r="D311" s="1019"/>
      <c r="E311" s="1019"/>
      <c r="F311" s="1019"/>
      <c r="G311" s="1019"/>
      <c r="H311" s="1019"/>
      <c r="I311" s="1019"/>
      <c r="J311" s="1019"/>
      <c r="K311" s="1019"/>
      <c r="L311" s="1019"/>
      <c r="M311" s="1019"/>
      <c r="N311" s="1019"/>
      <c r="O311" s="1019"/>
      <c r="P311" s="1019"/>
      <c r="Q311" s="1019"/>
      <c r="R311" s="1019"/>
      <c r="S311" s="1019"/>
      <c r="T311" s="1019"/>
      <c r="U311" s="1019"/>
      <c r="V311" s="1020"/>
    </row>
    <row r="312" spans="1:22" ht="18" hidden="1" customHeight="1">
      <c r="A312" s="1018"/>
      <c r="B312" s="1019"/>
      <c r="C312" s="1019"/>
      <c r="D312" s="1019"/>
      <c r="E312" s="1019"/>
      <c r="F312" s="1019"/>
      <c r="G312" s="1019"/>
      <c r="H312" s="1019"/>
      <c r="I312" s="1019"/>
      <c r="J312" s="1019"/>
      <c r="K312" s="1019"/>
      <c r="L312" s="1019"/>
      <c r="M312" s="1019"/>
      <c r="N312" s="1019"/>
      <c r="O312" s="1019"/>
      <c r="P312" s="1019"/>
      <c r="Q312" s="1019"/>
      <c r="R312" s="1019"/>
      <c r="S312" s="1019"/>
      <c r="T312" s="1019"/>
      <c r="U312" s="1019"/>
      <c r="V312" s="1020"/>
    </row>
    <row r="313" spans="1:22" ht="18" hidden="1" customHeight="1">
      <c r="A313" s="205" t="s">
        <v>427</v>
      </c>
      <c r="V313" s="10"/>
    </row>
    <row r="314" spans="1:22" ht="18" hidden="1" customHeight="1">
      <c r="A314" s="1005" t="s">
        <v>428</v>
      </c>
      <c r="B314" s="947"/>
      <c r="C314" s="947"/>
      <c r="D314" s="14"/>
      <c r="E314" s="7"/>
      <c r="F314" s="1015" t="s">
        <v>429</v>
      </c>
      <c r="G314" s="903"/>
      <c r="H314" s="664" t="s">
        <v>326</v>
      </c>
      <c r="I314" s="696" t="s">
        <v>422</v>
      </c>
      <c r="J314" s="939"/>
      <c r="K314" s="664" t="s">
        <v>326</v>
      </c>
      <c r="L314" s="1015" t="s">
        <v>430</v>
      </c>
      <c r="M314" s="664" t="s">
        <v>431</v>
      </c>
      <c r="N314" s="942" t="s">
        <v>358</v>
      </c>
      <c r="O314" s="664" t="s">
        <v>419</v>
      </c>
      <c r="P314" s="664" t="s">
        <v>358</v>
      </c>
      <c r="Q314" s="943" t="s">
        <v>432</v>
      </c>
      <c r="R314" s="1016"/>
      <c r="S314" s="1016"/>
      <c r="T314" s="944" t="s">
        <v>361</v>
      </c>
      <c r="U314" s="242" t="s">
        <v>433</v>
      </c>
      <c r="V314" s="112"/>
    </row>
    <row r="315" spans="1:22" ht="18" hidden="1" customHeight="1">
      <c r="A315" s="1006"/>
      <c r="B315" s="947"/>
      <c r="C315" s="947"/>
      <c r="D315" s="14"/>
      <c r="E315" s="7"/>
      <c r="F315" s="903"/>
      <c r="G315" s="903"/>
      <c r="H315" s="664"/>
      <c r="I315" s="664" t="s">
        <v>434</v>
      </c>
      <c r="J315" s="903"/>
      <c r="K315" s="664"/>
      <c r="L315" s="1015"/>
      <c r="M315" s="664"/>
      <c r="N315" s="942"/>
      <c r="O315" s="664"/>
      <c r="P315" s="664"/>
      <c r="Q315" s="28" t="s">
        <v>157</v>
      </c>
      <c r="R315" s="28" t="s">
        <v>326</v>
      </c>
      <c r="S315" s="28" t="s">
        <v>157</v>
      </c>
      <c r="T315" s="944"/>
      <c r="U315" s="7"/>
      <c r="V315" s="112"/>
    </row>
    <row r="316" spans="1:22" ht="18" hidden="1" customHeight="1">
      <c r="A316" s="205" t="s">
        <v>435</v>
      </c>
      <c r="L316" s="442"/>
      <c r="M316" s="438"/>
      <c r="N316" s="438"/>
      <c r="O316" s="438"/>
      <c r="V316" s="10"/>
    </row>
    <row r="317" spans="1:22" ht="18" hidden="1" customHeight="1">
      <c r="A317" s="1005" t="s">
        <v>428</v>
      </c>
      <c r="B317" s="947"/>
      <c r="C317" s="947"/>
      <c r="D317" s="664">
        <v>2</v>
      </c>
      <c r="E317" s="664" t="s">
        <v>326</v>
      </c>
      <c r="F317" s="1015" t="s">
        <v>436</v>
      </c>
      <c r="G317" s="903"/>
      <c r="H317" s="664" t="s">
        <v>326</v>
      </c>
      <c r="I317" s="696" t="s">
        <v>422</v>
      </c>
      <c r="J317" s="939"/>
      <c r="K317" s="664" t="s">
        <v>326</v>
      </c>
      <c r="L317" s="1015" t="s">
        <v>430</v>
      </c>
      <c r="M317" s="664" t="s">
        <v>431</v>
      </c>
      <c r="N317" s="942" t="s">
        <v>358</v>
      </c>
      <c r="O317" s="664" t="s">
        <v>419</v>
      </c>
      <c r="P317" s="664" t="s">
        <v>358</v>
      </c>
      <c r="Q317" s="943" t="s">
        <v>432</v>
      </c>
      <c r="R317" s="1016"/>
      <c r="S317" s="1016"/>
      <c r="T317" s="944" t="s">
        <v>361</v>
      </c>
      <c r="U317" s="242" t="s">
        <v>437</v>
      </c>
      <c r="V317" s="112"/>
    </row>
    <row r="318" spans="1:22" ht="18" hidden="1" customHeight="1">
      <c r="A318" s="1006"/>
      <c r="B318" s="947"/>
      <c r="C318" s="947"/>
      <c r="D318" s="664"/>
      <c r="E318" s="664"/>
      <c r="F318" s="903"/>
      <c r="G318" s="903"/>
      <c r="H318" s="664"/>
      <c r="I318" s="664" t="s">
        <v>434</v>
      </c>
      <c r="J318" s="903"/>
      <c r="K318" s="664"/>
      <c r="L318" s="1015"/>
      <c r="M318" s="664"/>
      <c r="N318" s="942"/>
      <c r="O318" s="664"/>
      <c r="P318" s="664"/>
      <c r="Q318" s="28" t="s">
        <v>157</v>
      </c>
      <c r="R318" s="28" t="s">
        <v>326</v>
      </c>
      <c r="S318" s="28" t="s">
        <v>157</v>
      </c>
      <c r="T318" s="944"/>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65" t="str">
        <f>L296</f>
        <v>-</v>
      </c>
      <c r="S321" s="665"/>
      <c r="T321" s="14" t="s">
        <v>9</v>
      </c>
      <c r="V321" s="10"/>
    </row>
    <row r="322" spans="1:22" ht="18" hidden="1" customHeight="1">
      <c r="A322" s="9"/>
      <c r="B322" s="14" t="s">
        <v>442</v>
      </c>
      <c r="C322" s="14"/>
      <c r="D322" s="14"/>
      <c r="E322" s="14"/>
      <c r="F322" s="14"/>
      <c r="G322" s="14"/>
      <c r="H322" s="14"/>
      <c r="I322" s="14"/>
      <c r="J322" s="14"/>
      <c r="P322" s="120" t="s">
        <v>429</v>
      </c>
      <c r="Q322" s="246" t="s">
        <v>138</v>
      </c>
      <c r="R322" s="665">
        <f>R202</f>
        <v>50000</v>
      </c>
      <c r="S322" s="665"/>
      <c r="T322" s="14" t="s">
        <v>9</v>
      </c>
      <c r="V322" s="10"/>
    </row>
    <row r="323" spans="1:22" ht="18" hidden="1" customHeight="1">
      <c r="A323" s="9"/>
      <c r="B323" s="14" t="s">
        <v>443</v>
      </c>
      <c r="C323" s="14"/>
      <c r="D323" s="14"/>
      <c r="E323" s="14"/>
      <c r="F323" s="14"/>
      <c r="G323" s="14"/>
      <c r="H323" s="14"/>
      <c r="I323" s="14"/>
      <c r="J323" s="14"/>
      <c r="P323" s="120" t="s">
        <v>436</v>
      </c>
      <c r="Q323" s="246" t="s">
        <v>138</v>
      </c>
      <c r="R323" s="816">
        <f>R203</f>
        <v>28681.090829928391</v>
      </c>
      <c r="S323" s="665"/>
      <c r="T323" s="14" t="s">
        <v>9</v>
      </c>
      <c r="U323" s="30" t="s">
        <v>444</v>
      </c>
      <c r="V323" s="10"/>
    </row>
    <row r="324" spans="1:22" ht="18" hidden="1" customHeight="1">
      <c r="A324" s="9"/>
      <c r="B324" s="14"/>
      <c r="C324" s="14"/>
      <c r="D324" s="14"/>
      <c r="E324" s="14"/>
      <c r="F324" s="14"/>
      <c r="G324" s="14"/>
      <c r="H324" s="14"/>
      <c r="I324" s="14"/>
      <c r="J324" s="14"/>
      <c r="P324" s="120"/>
      <c r="Q324" s="246" t="s">
        <v>138</v>
      </c>
      <c r="R324" s="816">
        <f>R204</f>
        <v>30950.978286194932</v>
      </c>
      <c r="S324" s="665"/>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65">
        <f>R205</f>
        <v>1</v>
      </c>
      <c r="S325" s="665"/>
      <c r="T325" s="14" t="s">
        <v>9</v>
      </c>
      <c r="V325" s="10"/>
    </row>
    <row r="326" spans="1:22" ht="18" hidden="1" customHeight="1">
      <c r="A326" s="9"/>
      <c r="B326" s="14" t="s">
        <v>448</v>
      </c>
      <c r="C326" s="14"/>
      <c r="D326" s="103"/>
      <c r="E326" s="103"/>
      <c r="F326" s="14"/>
      <c r="G326" s="14"/>
      <c r="H326" s="5"/>
      <c r="I326" s="5"/>
      <c r="J326" s="5"/>
      <c r="P326" s="120" t="s">
        <v>449</v>
      </c>
      <c r="Q326" s="246" t="s">
        <v>138</v>
      </c>
      <c r="R326" s="665">
        <f>R206</f>
        <v>1</v>
      </c>
      <c r="S326" s="665"/>
      <c r="T326" s="14" t="s">
        <v>9</v>
      </c>
      <c r="V326" s="10"/>
    </row>
    <row r="327" spans="1:22" ht="18" hidden="1" customHeight="1">
      <c r="A327" s="9"/>
      <c r="B327" s="14" t="s">
        <v>450</v>
      </c>
      <c r="C327" s="14"/>
      <c r="D327" s="103"/>
      <c r="E327" s="103"/>
      <c r="F327" s="14"/>
      <c r="G327" s="14"/>
      <c r="H327" s="5"/>
      <c r="I327" s="5"/>
      <c r="J327" s="5"/>
      <c r="P327" s="120" t="s">
        <v>451</v>
      </c>
      <c r="Q327" s="246" t="s">
        <v>138</v>
      </c>
      <c r="R327" s="665" t="str">
        <f>L298</f>
        <v>-</v>
      </c>
      <c r="S327" s="665"/>
      <c r="T327" s="204" t="s">
        <v>344</v>
      </c>
      <c r="V327" s="10"/>
    </row>
    <row r="328" spans="1:22" ht="18" hidden="1" customHeight="1">
      <c r="A328" s="9"/>
      <c r="B328" s="14" t="s">
        <v>164</v>
      </c>
      <c r="C328" s="14"/>
      <c r="D328" s="14"/>
      <c r="E328" s="14"/>
      <c r="F328" s="14"/>
      <c r="G328" s="14"/>
      <c r="H328" s="14"/>
      <c r="I328" s="14"/>
      <c r="J328" s="14"/>
      <c r="P328" s="249" t="s">
        <v>452</v>
      </c>
      <c r="Q328" s="246" t="s">
        <v>138</v>
      </c>
      <c r="R328" s="668">
        <f>R208</f>
        <v>0.46875935000000007</v>
      </c>
      <c r="S328" s="665"/>
      <c r="T328" s="204" t="s">
        <v>344</v>
      </c>
      <c r="V328" s="10"/>
    </row>
    <row r="329" spans="1:22" ht="18" hidden="1" customHeight="1">
      <c r="A329" s="9"/>
      <c r="B329" s="40" t="s">
        <v>453</v>
      </c>
      <c r="C329" s="14"/>
      <c r="D329" s="14"/>
      <c r="E329" s="14"/>
      <c r="F329" s="14"/>
      <c r="G329" s="14"/>
      <c r="H329" s="5"/>
      <c r="I329" s="5"/>
      <c r="J329" s="5"/>
      <c r="P329" s="249" t="s">
        <v>454</v>
      </c>
      <c r="Q329" s="246" t="s">
        <v>138</v>
      </c>
      <c r="R329" s="668">
        <f>R209</f>
        <v>0.02</v>
      </c>
      <c r="S329" s="665"/>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5" t="s">
        <v>428</v>
      </c>
      <c r="B337" s="947"/>
      <c r="C337" s="947"/>
      <c r="D337" s="14"/>
      <c r="E337" s="7"/>
      <c r="F337" s="1002">
        <f>R322</f>
        <v>50000</v>
      </c>
      <c r="G337" s="1008"/>
      <c r="H337" s="788" t="s">
        <v>326</v>
      </c>
      <c r="I337" s="1009">
        <f>R325</f>
        <v>1</v>
      </c>
      <c r="J337" s="1010"/>
      <c r="K337" s="788" t="s">
        <v>326</v>
      </c>
      <c r="L337" s="1002" t="s">
        <v>430</v>
      </c>
      <c r="M337" s="975" t="str">
        <f>R327</f>
        <v>-</v>
      </c>
      <c r="N337" s="1003" t="s">
        <v>358</v>
      </c>
      <c r="O337" s="1004">
        <f>R328</f>
        <v>0.46875935000000007</v>
      </c>
      <c r="P337" s="788" t="s">
        <v>358</v>
      </c>
      <c r="Q337" s="1012">
        <f>R329</f>
        <v>0.02</v>
      </c>
      <c r="R337" s="1012"/>
      <c r="S337" s="1012"/>
      <c r="T337" s="944" t="s">
        <v>361</v>
      </c>
      <c r="U337" s="242" t="s">
        <v>433</v>
      </c>
      <c r="V337" s="112"/>
    </row>
    <row r="338" spans="1:22" ht="18" hidden="1" customHeight="1">
      <c r="A338" s="1006"/>
      <c r="B338" s="947"/>
      <c r="C338" s="947"/>
      <c r="D338" s="14"/>
      <c r="E338" s="7"/>
      <c r="F338" s="1008"/>
      <c r="G338" s="1008"/>
      <c r="H338" s="788"/>
      <c r="I338" s="788" t="str">
        <f>R321</f>
        <v>-</v>
      </c>
      <c r="J338" s="1008"/>
      <c r="K338" s="788"/>
      <c r="L338" s="1002"/>
      <c r="M338" s="975"/>
      <c r="N338" s="1003"/>
      <c r="O338" s="975"/>
      <c r="P338" s="788"/>
      <c r="Q338" s="233">
        <f>R326</f>
        <v>1</v>
      </c>
      <c r="R338" s="233" t="s">
        <v>326</v>
      </c>
      <c r="S338" s="233">
        <f>R326</f>
        <v>1</v>
      </c>
      <c r="T338" s="944"/>
      <c r="U338" s="7"/>
      <c r="V338" s="112"/>
    </row>
    <row r="339" spans="1:22" ht="18" hidden="1" customHeight="1">
      <c r="A339" s="9"/>
      <c r="L339" s="442"/>
      <c r="V339" s="10"/>
    </row>
    <row r="340" spans="1:22" ht="18" hidden="1" customHeight="1">
      <c r="A340" s="9"/>
      <c r="C340" s="27" t="s">
        <v>138</v>
      </c>
      <c r="D340" s="875" t="e">
        <f>F337*(I337/I338)*(M337+O337+(Q337/(Q338*S338)))</f>
        <v>#VALUE!</v>
      </c>
      <c r="E340" s="876"/>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5" t="s">
        <v>428</v>
      </c>
      <c r="B343" s="947"/>
      <c r="C343" s="947"/>
      <c r="D343" s="788">
        <v>2</v>
      </c>
      <c r="E343" s="788" t="s">
        <v>326</v>
      </c>
      <c r="F343" s="1007">
        <f>R323</f>
        <v>28681.090829928391</v>
      </c>
      <c r="G343" s="1008"/>
      <c r="H343" s="788" t="s">
        <v>326</v>
      </c>
      <c r="I343" s="1009">
        <f>R325</f>
        <v>1</v>
      </c>
      <c r="J343" s="1010"/>
      <c r="K343" s="788" t="s">
        <v>326</v>
      </c>
      <c r="L343" s="1002" t="s">
        <v>430</v>
      </c>
      <c r="M343" s="975" t="str">
        <f>R327</f>
        <v>-</v>
      </c>
      <c r="N343" s="1003" t="s">
        <v>358</v>
      </c>
      <c r="O343" s="1004">
        <f>R328</f>
        <v>0.46875935000000007</v>
      </c>
      <c r="P343" s="788" t="s">
        <v>358</v>
      </c>
      <c r="Q343" s="1012">
        <f>Q337</f>
        <v>0.02</v>
      </c>
      <c r="R343" s="1012"/>
      <c r="S343" s="1012"/>
      <c r="T343" s="944" t="s">
        <v>361</v>
      </c>
      <c r="U343" s="242" t="s">
        <v>437</v>
      </c>
      <c r="V343" s="112"/>
    </row>
    <row r="344" spans="1:22" ht="18" hidden="1" customHeight="1">
      <c r="A344" s="1006"/>
      <c r="B344" s="947"/>
      <c r="C344" s="947"/>
      <c r="D344" s="788"/>
      <c r="E344" s="788"/>
      <c r="F344" s="1008"/>
      <c r="G344" s="1008"/>
      <c r="H344" s="788"/>
      <c r="I344" s="788" t="str">
        <f>R321</f>
        <v>-</v>
      </c>
      <c r="J344" s="1008"/>
      <c r="K344" s="788"/>
      <c r="L344" s="1002"/>
      <c r="M344" s="975"/>
      <c r="N344" s="1003"/>
      <c r="O344" s="975"/>
      <c r="P344" s="788"/>
      <c r="Q344" s="233">
        <f>R326</f>
        <v>1</v>
      </c>
      <c r="R344" s="233" t="s">
        <v>326</v>
      </c>
      <c r="S344" s="233">
        <f>R326</f>
        <v>1</v>
      </c>
      <c r="T344" s="944"/>
      <c r="U344" s="7"/>
      <c r="V344" s="112"/>
    </row>
    <row r="345" spans="1:22" ht="18" hidden="1" customHeight="1">
      <c r="A345" s="9"/>
      <c r="L345" s="442"/>
      <c r="V345" s="10"/>
    </row>
    <row r="346" spans="1:22" ht="18" hidden="1" customHeight="1">
      <c r="A346" s="9"/>
      <c r="C346" s="27" t="s">
        <v>138</v>
      </c>
      <c r="D346" s="875" t="e">
        <f>D343*F343*(I343/I344)*(M343+O343+(Q343/(Q344*S344)))</f>
        <v>#VALUE!</v>
      </c>
      <c r="E346" s="876"/>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5" t="s">
        <v>428</v>
      </c>
      <c r="B349" s="947"/>
      <c r="C349" s="947"/>
      <c r="D349" s="788">
        <v>2</v>
      </c>
      <c r="E349" s="788" t="s">
        <v>326</v>
      </c>
      <c r="F349" s="1007">
        <f>R324</f>
        <v>30950.978286194932</v>
      </c>
      <c r="G349" s="1008"/>
      <c r="H349" s="788" t="s">
        <v>326</v>
      </c>
      <c r="I349" s="1009">
        <f>R325</f>
        <v>1</v>
      </c>
      <c r="J349" s="1010"/>
      <c r="K349" s="788" t="s">
        <v>326</v>
      </c>
      <c r="L349" s="1002" t="s">
        <v>430</v>
      </c>
      <c r="M349" s="975" t="str">
        <f>R327</f>
        <v>-</v>
      </c>
      <c r="N349" s="1003" t="s">
        <v>358</v>
      </c>
      <c r="O349" s="1004">
        <f>R328</f>
        <v>0.46875935000000007</v>
      </c>
      <c r="P349" s="788" t="s">
        <v>358</v>
      </c>
      <c r="Q349" s="1012">
        <f>R329</f>
        <v>0.02</v>
      </c>
      <c r="R349" s="1012"/>
      <c r="S349" s="1012"/>
      <c r="T349" s="944" t="s">
        <v>361</v>
      </c>
      <c r="U349" s="242" t="s">
        <v>437</v>
      </c>
      <c r="V349" s="112"/>
    </row>
    <row r="350" spans="1:22" ht="18" hidden="1" customHeight="1">
      <c r="A350" s="1006"/>
      <c r="B350" s="947"/>
      <c r="C350" s="947"/>
      <c r="D350" s="788"/>
      <c r="E350" s="788"/>
      <c r="F350" s="1008"/>
      <c r="G350" s="1008"/>
      <c r="H350" s="788"/>
      <c r="I350" s="788" t="str">
        <f>R321</f>
        <v>-</v>
      </c>
      <c r="J350" s="1008"/>
      <c r="K350" s="788"/>
      <c r="L350" s="1002"/>
      <c r="M350" s="975"/>
      <c r="N350" s="1003"/>
      <c r="O350" s="975"/>
      <c r="P350" s="788"/>
      <c r="Q350" s="233">
        <f>R326</f>
        <v>1</v>
      </c>
      <c r="R350" s="233" t="s">
        <v>326</v>
      </c>
      <c r="S350" s="233">
        <f>R326</f>
        <v>1</v>
      </c>
      <c r="T350" s="944"/>
      <c r="U350" s="7"/>
      <c r="V350" s="112"/>
    </row>
    <row r="351" spans="1:22" ht="18" hidden="1" customHeight="1">
      <c r="A351" s="9"/>
      <c r="V351" s="10"/>
    </row>
    <row r="352" spans="1:22" ht="18" hidden="1" customHeight="1">
      <c r="A352" s="9"/>
      <c r="C352" s="27" t="s">
        <v>138</v>
      </c>
      <c r="D352" s="875" t="e">
        <f>D349*F349*(I349/I350)*(M349+O349+(Q349/(Q350*S350)))</f>
        <v>#VALUE!</v>
      </c>
      <c r="E352" s="876"/>
      <c r="F352" s="27" t="s">
        <v>316</v>
      </c>
      <c r="V352" s="10"/>
    </row>
    <row r="353" spans="1:22" ht="18" hidden="1" customHeight="1">
      <c r="A353" s="9"/>
      <c r="V353" s="10"/>
    </row>
    <row r="354" spans="1:22" ht="18" hidden="1" customHeight="1">
      <c r="A354" s="116" t="s">
        <v>457</v>
      </c>
      <c r="V354" s="10"/>
    </row>
    <row r="355" spans="1:22" ht="18" hidden="1" customHeight="1">
      <c r="A355" s="1018" t="s">
        <v>510</v>
      </c>
      <c r="B355" s="1019"/>
      <c r="C355" s="1019"/>
      <c r="D355" s="1019"/>
      <c r="E355" s="1019"/>
      <c r="F355" s="1019"/>
      <c r="G355" s="1019"/>
      <c r="H355" s="1019"/>
      <c r="I355" s="1019"/>
      <c r="J355" s="1019"/>
      <c r="K355" s="1019"/>
      <c r="L355" s="1019"/>
      <c r="M355" s="1019"/>
      <c r="N355" s="1019"/>
      <c r="O355" s="1019"/>
      <c r="P355" s="1019"/>
      <c r="Q355" s="1019"/>
      <c r="R355" s="1019"/>
      <c r="S355" s="1019"/>
      <c r="T355" s="1019"/>
      <c r="U355" s="1019"/>
      <c r="V355" s="1020"/>
    </row>
    <row r="356" spans="1:22" ht="18" hidden="1" customHeight="1">
      <c r="A356" s="1018"/>
      <c r="B356" s="1019"/>
      <c r="C356" s="1019"/>
      <c r="D356" s="1019"/>
      <c r="E356" s="1019"/>
      <c r="F356" s="1019"/>
      <c r="G356" s="1019"/>
      <c r="H356" s="1019"/>
      <c r="I356" s="1019"/>
      <c r="J356" s="1019"/>
      <c r="K356" s="1019"/>
      <c r="L356" s="1019"/>
      <c r="M356" s="1019"/>
      <c r="N356" s="1019"/>
      <c r="O356" s="1019"/>
      <c r="P356" s="1019"/>
      <c r="Q356" s="1019"/>
      <c r="R356" s="1019"/>
      <c r="S356" s="1019"/>
      <c r="T356" s="1019"/>
      <c r="U356" s="1019"/>
      <c r="V356" s="1020"/>
    </row>
    <row r="357" spans="1:22" ht="18" hidden="1" customHeight="1">
      <c r="A357" s="205" t="s">
        <v>427</v>
      </c>
      <c r="V357" s="10"/>
    </row>
    <row r="358" spans="1:22" ht="18" hidden="1" customHeight="1">
      <c r="A358" s="1005" t="s">
        <v>428</v>
      </c>
      <c r="B358" s="947"/>
      <c r="C358" s="947"/>
      <c r="D358" s="1015" t="s">
        <v>429</v>
      </c>
      <c r="E358" s="903"/>
      <c r="F358" s="664" t="s">
        <v>326</v>
      </c>
      <c r="G358" s="696" t="s">
        <v>447</v>
      </c>
      <c r="H358" s="939"/>
      <c r="I358" s="664" t="s">
        <v>326</v>
      </c>
      <c r="J358" s="1017" t="s">
        <v>146</v>
      </c>
      <c r="K358" s="664" t="s">
        <v>326</v>
      </c>
      <c r="L358" s="1015" t="s">
        <v>430</v>
      </c>
      <c r="M358" s="664" t="s">
        <v>451</v>
      </c>
      <c r="N358" s="942" t="s">
        <v>358</v>
      </c>
      <c r="O358" s="664" t="s">
        <v>458</v>
      </c>
      <c r="P358" s="664" t="s">
        <v>358</v>
      </c>
      <c r="Q358" s="943" t="s">
        <v>459</v>
      </c>
      <c r="R358" s="1016"/>
      <c r="S358" s="1016"/>
      <c r="T358" s="944" t="s">
        <v>361</v>
      </c>
      <c r="U358" s="242" t="s">
        <v>433</v>
      </c>
      <c r="V358" s="112"/>
    </row>
    <row r="359" spans="1:22" ht="18" hidden="1" customHeight="1">
      <c r="A359" s="1006"/>
      <c r="B359" s="947"/>
      <c r="C359" s="947"/>
      <c r="D359" s="903"/>
      <c r="E359" s="903"/>
      <c r="F359" s="664"/>
      <c r="G359" s="664" t="s">
        <v>441</v>
      </c>
      <c r="H359" s="903"/>
      <c r="I359" s="664"/>
      <c r="J359" s="664"/>
      <c r="K359" s="664"/>
      <c r="L359" s="1015"/>
      <c r="M359" s="664"/>
      <c r="N359" s="942"/>
      <c r="O359" s="664"/>
      <c r="P359" s="664"/>
      <c r="Q359" s="28" t="s">
        <v>449</v>
      </c>
      <c r="R359" s="28" t="s">
        <v>326</v>
      </c>
      <c r="S359" s="28" t="s">
        <v>449</v>
      </c>
      <c r="T359" s="944"/>
      <c r="U359" s="7"/>
      <c r="V359" s="112"/>
    </row>
    <row r="360" spans="1:22" ht="18" hidden="1" customHeight="1">
      <c r="A360" s="205" t="s">
        <v>460</v>
      </c>
      <c r="L360" s="442"/>
      <c r="M360" s="438"/>
      <c r="N360" s="438"/>
      <c r="O360" s="438"/>
      <c r="V360" s="10"/>
    </row>
    <row r="361" spans="1:22" ht="18" hidden="1" customHeight="1">
      <c r="A361" s="1005" t="s">
        <v>428</v>
      </c>
      <c r="B361" s="947"/>
      <c r="C361" s="947"/>
      <c r="D361" s="1015" t="s">
        <v>461</v>
      </c>
      <c r="E361" s="903"/>
      <c r="F361" s="664" t="s">
        <v>326</v>
      </c>
      <c r="G361" s="696" t="s">
        <v>447</v>
      </c>
      <c r="H361" s="939"/>
      <c r="I361" s="664" t="s">
        <v>326</v>
      </c>
      <c r="J361" s="1017" t="s">
        <v>462</v>
      </c>
      <c r="K361" s="664" t="s">
        <v>326</v>
      </c>
      <c r="L361" s="1015" t="s">
        <v>430</v>
      </c>
      <c r="M361" s="664" t="s">
        <v>451</v>
      </c>
      <c r="N361" s="942" t="s">
        <v>358</v>
      </c>
      <c r="O361" s="664" t="s">
        <v>458</v>
      </c>
      <c r="P361" s="664" t="s">
        <v>358</v>
      </c>
      <c r="Q361" s="943" t="s">
        <v>459</v>
      </c>
      <c r="R361" s="1016"/>
      <c r="S361" s="1016"/>
      <c r="T361" s="944" t="s">
        <v>361</v>
      </c>
      <c r="U361" s="242" t="s">
        <v>437</v>
      </c>
      <c r="V361" s="112"/>
    </row>
    <row r="362" spans="1:22" ht="18" hidden="1" customHeight="1">
      <c r="A362" s="1006"/>
      <c r="B362" s="947"/>
      <c r="C362" s="947"/>
      <c r="D362" s="903"/>
      <c r="E362" s="903"/>
      <c r="F362" s="664"/>
      <c r="G362" s="664" t="s">
        <v>441</v>
      </c>
      <c r="H362" s="903"/>
      <c r="I362" s="664"/>
      <c r="J362" s="664"/>
      <c r="K362" s="664"/>
      <c r="L362" s="1015"/>
      <c r="M362" s="664"/>
      <c r="N362" s="942"/>
      <c r="O362" s="664"/>
      <c r="P362" s="664"/>
      <c r="Q362" s="28" t="s">
        <v>449</v>
      </c>
      <c r="R362" s="28" t="s">
        <v>326</v>
      </c>
      <c r="S362" s="28" t="s">
        <v>449</v>
      </c>
      <c r="T362" s="944"/>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65" t="str">
        <f>R321</f>
        <v>-</v>
      </c>
      <c r="S365" s="665"/>
      <c r="T365" s="14" t="s">
        <v>9</v>
      </c>
      <c r="V365" s="10"/>
    </row>
    <row r="366" spans="1:22" ht="18" hidden="1" customHeight="1">
      <c r="A366" s="9"/>
      <c r="B366" s="14" t="s">
        <v>442</v>
      </c>
      <c r="P366" s="120" t="s">
        <v>429</v>
      </c>
      <c r="Q366" s="246" t="s">
        <v>138</v>
      </c>
      <c r="R366" s="665">
        <f>R322</f>
        <v>50000</v>
      </c>
      <c r="S366" s="665"/>
      <c r="T366" s="14" t="s">
        <v>9</v>
      </c>
      <c r="V366" s="10"/>
    </row>
    <row r="367" spans="1:22" ht="18" hidden="1" customHeight="1">
      <c r="A367" s="9"/>
      <c r="B367" s="14" t="s">
        <v>463</v>
      </c>
      <c r="P367" s="120" t="s">
        <v>461</v>
      </c>
      <c r="Q367" s="246" t="s">
        <v>138</v>
      </c>
      <c r="R367" s="816">
        <f>R243</f>
        <v>31616.578766904022</v>
      </c>
      <c r="S367" s="665"/>
      <c r="T367" s="14" t="s">
        <v>9</v>
      </c>
      <c r="U367" s="30" t="s">
        <v>444</v>
      </c>
      <c r="V367" s="10"/>
    </row>
    <row r="368" spans="1:22" ht="18" hidden="1" customHeight="1">
      <c r="A368" s="9"/>
      <c r="B368" s="14"/>
      <c r="P368" s="120"/>
      <c r="Q368" s="246" t="s">
        <v>138</v>
      </c>
      <c r="R368" s="816">
        <f>R244</f>
        <v>33779.140438861883</v>
      </c>
      <c r="S368" s="665"/>
      <c r="T368" s="14" t="s">
        <v>9</v>
      </c>
      <c r="U368" s="30" t="s">
        <v>445</v>
      </c>
      <c r="V368" s="10"/>
    </row>
    <row r="369" spans="1:22" ht="18" hidden="1" customHeight="1">
      <c r="A369" s="9"/>
      <c r="B369" s="14" t="s">
        <v>464</v>
      </c>
      <c r="P369" s="120" t="s">
        <v>447</v>
      </c>
      <c r="Q369" s="246" t="s">
        <v>138</v>
      </c>
      <c r="R369" s="665">
        <f>R325</f>
        <v>1</v>
      </c>
      <c r="S369" s="665"/>
      <c r="T369" s="14" t="s">
        <v>9</v>
      </c>
      <c r="V369" s="10"/>
    </row>
    <row r="370" spans="1:22" ht="18" hidden="1" customHeight="1">
      <c r="A370" s="9"/>
      <c r="B370" s="14" t="s">
        <v>448</v>
      </c>
      <c r="P370" s="120" t="s">
        <v>449</v>
      </c>
      <c r="Q370" s="246" t="s">
        <v>138</v>
      </c>
      <c r="R370" s="665">
        <f>R326</f>
        <v>1</v>
      </c>
      <c r="S370" s="665"/>
      <c r="T370" s="14" t="s">
        <v>9</v>
      </c>
      <c r="V370" s="10"/>
    </row>
    <row r="371" spans="1:22" ht="18" hidden="1" customHeight="1">
      <c r="A371" s="9"/>
      <c r="B371" s="14" t="s">
        <v>450</v>
      </c>
      <c r="P371" s="120" t="s">
        <v>451</v>
      </c>
      <c r="Q371" s="246" t="s">
        <v>138</v>
      </c>
      <c r="R371" s="665" t="str">
        <f>L298</f>
        <v>-</v>
      </c>
      <c r="S371" s="665"/>
      <c r="T371" s="204" t="s">
        <v>344</v>
      </c>
      <c r="V371" s="10"/>
    </row>
    <row r="372" spans="1:22" ht="18" hidden="1" customHeight="1">
      <c r="A372" s="9"/>
      <c r="B372" s="14" t="s">
        <v>465</v>
      </c>
      <c r="P372" s="249" t="s">
        <v>452</v>
      </c>
      <c r="Q372" s="246" t="s">
        <v>138</v>
      </c>
      <c r="R372" s="668">
        <f>R328</f>
        <v>0.46875935000000007</v>
      </c>
      <c r="S372" s="665"/>
      <c r="T372" s="204" t="s">
        <v>344</v>
      </c>
      <c r="V372" s="10"/>
    </row>
    <row r="373" spans="1:22" ht="18" hidden="1" customHeight="1">
      <c r="A373" s="9"/>
      <c r="B373" s="40" t="s">
        <v>453</v>
      </c>
      <c r="P373" s="249" t="s">
        <v>454</v>
      </c>
      <c r="Q373" s="246" t="s">
        <v>138</v>
      </c>
      <c r="R373" s="668">
        <f>R329</f>
        <v>0.02</v>
      </c>
      <c r="S373" s="665"/>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69">
        <f>L261</f>
        <v>47.727272727272727</v>
      </c>
      <c r="M390" s="664"/>
      <c r="N390" s="28" t="s">
        <v>475</v>
      </c>
      <c r="O390" s="28" t="s">
        <v>146</v>
      </c>
      <c r="P390" s="28" t="s">
        <v>138</v>
      </c>
      <c r="Q390" s="28">
        <f>IF(L390&lt;=400,Q382,Q383)</f>
        <v>1</v>
      </c>
      <c r="R390" s="7"/>
      <c r="S390" s="7"/>
      <c r="T390" s="7"/>
      <c r="V390" s="10"/>
    </row>
    <row r="391" spans="1:22" ht="18" hidden="1" customHeight="1">
      <c r="A391" s="1005" t="s">
        <v>428</v>
      </c>
      <c r="B391" s="947"/>
      <c r="C391" s="947"/>
      <c r="D391" s="1002">
        <f>R366</f>
        <v>50000</v>
      </c>
      <c r="E391" s="1013"/>
      <c r="F391" s="788" t="s">
        <v>326</v>
      </c>
      <c r="G391" s="1009">
        <f>R369</f>
        <v>1</v>
      </c>
      <c r="H391" s="1014"/>
      <c r="I391" s="788" t="s">
        <v>326</v>
      </c>
      <c r="J391" s="790">
        <f>Q390</f>
        <v>1</v>
      </c>
      <c r="K391" s="788" t="s">
        <v>326</v>
      </c>
      <c r="L391" s="1002" t="s">
        <v>430</v>
      </c>
      <c r="M391" s="975" t="str">
        <f>R371</f>
        <v>-</v>
      </c>
      <c r="N391" s="1003" t="s">
        <v>358</v>
      </c>
      <c r="O391" s="1004">
        <f>R372</f>
        <v>0.46875935000000007</v>
      </c>
      <c r="P391" s="788" t="s">
        <v>358</v>
      </c>
      <c r="Q391" s="1012">
        <f>R373</f>
        <v>0.02</v>
      </c>
      <c r="R391" s="1012"/>
      <c r="S391" s="1012"/>
      <c r="T391" s="944" t="s">
        <v>361</v>
      </c>
      <c r="U391" s="242" t="s">
        <v>433</v>
      </c>
      <c r="V391" s="112"/>
    </row>
    <row r="392" spans="1:22" ht="18" hidden="1" customHeight="1">
      <c r="A392" s="1006"/>
      <c r="B392" s="947"/>
      <c r="C392" s="947"/>
      <c r="D392" s="1013"/>
      <c r="E392" s="1013"/>
      <c r="F392" s="788"/>
      <c r="G392" s="788" t="str">
        <f>R365</f>
        <v>-</v>
      </c>
      <c r="H392" s="1013"/>
      <c r="I392" s="788"/>
      <c r="J392" s="788"/>
      <c r="K392" s="788"/>
      <c r="L392" s="1002"/>
      <c r="M392" s="975"/>
      <c r="N392" s="1003"/>
      <c r="O392" s="975"/>
      <c r="P392" s="788"/>
      <c r="Q392" s="233">
        <f>R370</f>
        <v>1</v>
      </c>
      <c r="R392" s="233" t="s">
        <v>326</v>
      </c>
      <c r="S392" s="233">
        <f>R370</f>
        <v>1</v>
      </c>
      <c r="T392" s="944"/>
      <c r="U392" s="7"/>
      <c r="V392" s="112"/>
    </row>
    <row r="393" spans="1:22" ht="18" hidden="1" customHeight="1">
      <c r="A393" s="9"/>
      <c r="V393" s="10"/>
    </row>
    <row r="394" spans="1:22" ht="18" hidden="1" customHeight="1">
      <c r="A394" s="9"/>
      <c r="C394" s="27" t="s">
        <v>138</v>
      </c>
      <c r="D394" s="860" t="e">
        <f>D391*(G391/G392)*J391*(M391+O391+(Q391/(Q392*S392)))</f>
        <v>#VALUE!</v>
      </c>
      <c r="E394" s="700"/>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68">
        <f>L268</f>
        <v>7.3490763833311119</v>
      </c>
      <c r="M397" s="665"/>
      <c r="N397" s="27" t="s">
        <v>475</v>
      </c>
      <c r="O397" s="28" t="s">
        <v>462</v>
      </c>
      <c r="P397" s="27" t="s">
        <v>138</v>
      </c>
      <c r="Q397" s="27">
        <f>IF(L397&lt;=200,Q386,Q387)</f>
        <v>3</v>
      </c>
      <c r="V397" s="10"/>
    </row>
    <row r="398" spans="1:22" ht="18" hidden="1" customHeight="1">
      <c r="A398" s="1005" t="s">
        <v>428</v>
      </c>
      <c r="B398" s="947"/>
      <c r="C398" s="947"/>
      <c r="D398" s="1007">
        <f>R367</f>
        <v>31616.578766904022</v>
      </c>
      <c r="E398" s="1008"/>
      <c r="F398" s="788" t="s">
        <v>326</v>
      </c>
      <c r="G398" s="1009">
        <f>R369</f>
        <v>1</v>
      </c>
      <c r="H398" s="1010"/>
      <c r="I398" s="788" t="s">
        <v>326</v>
      </c>
      <c r="J398" s="1011">
        <f>Q397</f>
        <v>3</v>
      </c>
      <c r="K398" s="788" t="s">
        <v>326</v>
      </c>
      <c r="L398" s="1002" t="s">
        <v>430</v>
      </c>
      <c r="M398" s="975" t="str">
        <f>R371</f>
        <v>-</v>
      </c>
      <c r="N398" s="1003" t="s">
        <v>358</v>
      </c>
      <c r="O398" s="1004">
        <f>R372</f>
        <v>0.46875935000000007</v>
      </c>
      <c r="P398" s="788" t="s">
        <v>358</v>
      </c>
      <c r="Q398" s="1012">
        <f>R373</f>
        <v>0.02</v>
      </c>
      <c r="R398" s="1012"/>
      <c r="S398" s="1012"/>
      <c r="T398" s="944" t="s">
        <v>361</v>
      </c>
      <c r="U398" s="242" t="s">
        <v>437</v>
      </c>
      <c r="V398" s="112"/>
    </row>
    <row r="399" spans="1:22" ht="18" hidden="1" customHeight="1">
      <c r="A399" s="1006"/>
      <c r="B399" s="947"/>
      <c r="C399" s="947"/>
      <c r="D399" s="1008"/>
      <c r="E399" s="1008"/>
      <c r="F399" s="788"/>
      <c r="G399" s="788" t="str">
        <f>R365</f>
        <v>-</v>
      </c>
      <c r="H399" s="1008"/>
      <c r="I399" s="788"/>
      <c r="J399" s="788"/>
      <c r="K399" s="788"/>
      <c r="L399" s="1002"/>
      <c r="M399" s="975"/>
      <c r="N399" s="1003"/>
      <c r="O399" s="975"/>
      <c r="P399" s="788"/>
      <c r="Q399" s="233">
        <f>R370</f>
        <v>1</v>
      </c>
      <c r="R399" s="233" t="s">
        <v>326</v>
      </c>
      <c r="S399" s="233">
        <f>R370</f>
        <v>1</v>
      </c>
      <c r="T399" s="944"/>
      <c r="U399" s="7"/>
      <c r="V399" s="112"/>
    </row>
    <row r="400" spans="1:22" ht="18" hidden="1" customHeight="1">
      <c r="A400" s="9"/>
      <c r="V400" s="10"/>
    </row>
    <row r="401" spans="1:22" ht="18" hidden="1" customHeight="1">
      <c r="A401" s="9"/>
      <c r="C401" s="27" t="s">
        <v>138</v>
      </c>
      <c r="D401" s="860" t="e">
        <f>D398*(G398/G399)*J398*(M398+O398+(Q398/(Q399*S399)))</f>
        <v>#VALUE!</v>
      </c>
      <c r="E401" s="700"/>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68">
        <f>L275</f>
        <v>7.6723844075738938</v>
      </c>
      <c r="M404" s="665"/>
      <c r="N404" s="27" t="s">
        <v>475</v>
      </c>
      <c r="O404" s="28" t="s">
        <v>462</v>
      </c>
      <c r="P404" s="27" t="s">
        <v>138</v>
      </c>
      <c r="Q404" s="27">
        <f>IF(L404&lt;=30,Q386,Q387)</f>
        <v>3</v>
      </c>
      <c r="V404" s="10"/>
    </row>
    <row r="405" spans="1:22" ht="18" hidden="1" customHeight="1">
      <c r="A405" s="1005" t="s">
        <v>428</v>
      </c>
      <c r="B405" s="947"/>
      <c r="C405" s="947"/>
      <c r="D405" s="1007">
        <f>R368</f>
        <v>33779.140438861883</v>
      </c>
      <c r="E405" s="1008"/>
      <c r="F405" s="788" t="s">
        <v>326</v>
      </c>
      <c r="G405" s="1009">
        <f>R369</f>
        <v>1</v>
      </c>
      <c r="H405" s="1010"/>
      <c r="I405" s="788" t="s">
        <v>326</v>
      </c>
      <c r="J405" s="1011">
        <f>Q404</f>
        <v>3</v>
      </c>
      <c r="K405" s="788" t="s">
        <v>326</v>
      </c>
      <c r="L405" s="1002" t="s">
        <v>430</v>
      </c>
      <c r="M405" s="975" t="str">
        <f>R371</f>
        <v>-</v>
      </c>
      <c r="N405" s="1003" t="s">
        <v>358</v>
      </c>
      <c r="O405" s="1004">
        <f>R372</f>
        <v>0.46875935000000007</v>
      </c>
      <c r="P405" s="788" t="s">
        <v>358</v>
      </c>
      <c r="Q405" s="1012">
        <f>R373</f>
        <v>0.02</v>
      </c>
      <c r="R405" s="1012"/>
      <c r="S405" s="1012"/>
      <c r="T405" s="944" t="s">
        <v>361</v>
      </c>
      <c r="U405" s="242" t="s">
        <v>437</v>
      </c>
      <c r="V405" s="112"/>
    </row>
    <row r="406" spans="1:22" ht="18" hidden="1" customHeight="1">
      <c r="A406" s="1006"/>
      <c r="B406" s="947"/>
      <c r="C406" s="947"/>
      <c r="D406" s="1008"/>
      <c r="E406" s="1008"/>
      <c r="F406" s="788"/>
      <c r="G406" s="788" t="str">
        <f>R365</f>
        <v>-</v>
      </c>
      <c r="H406" s="1008"/>
      <c r="I406" s="788"/>
      <c r="J406" s="788"/>
      <c r="K406" s="788"/>
      <c r="L406" s="1002"/>
      <c r="M406" s="975"/>
      <c r="N406" s="1003"/>
      <c r="O406" s="975"/>
      <c r="P406" s="788"/>
      <c r="Q406" s="233">
        <f>R370</f>
        <v>1</v>
      </c>
      <c r="R406" s="233" t="s">
        <v>326</v>
      </c>
      <c r="S406" s="233">
        <f>R370</f>
        <v>1</v>
      </c>
      <c r="T406" s="944"/>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60" t="e">
        <f>D405*(G405/G406)*J405*(M405+O405+(Q405/(Q406*S406)))</f>
        <v>#VALUE!</v>
      </c>
      <c r="E408" s="700"/>
      <c r="F408" s="27" t="s">
        <v>316</v>
      </c>
      <c r="V408" s="10"/>
    </row>
    <row r="409" spans="1:22" ht="18" hidden="1" customHeight="1">
      <c r="A409" s="9"/>
      <c r="V409" s="10"/>
    </row>
    <row r="410" spans="1:22" ht="18" hidden="1" customHeight="1">
      <c r="A410" s="196" t="s">
        <v>480</v>
      </c>
      <c r="M410" s="998" t="str">
        <f>L296</f>
        <v>-</v>
      </c>
      <c r="N410" s="999"/>
      <c r="O410" s="30" t="s">
        <v>481</v>
      </c>
      <c r="P410" s="30"/>
      <c r="Q410" s="1000" t="e">
        <f>MAX(D340,D346,D352,D394,D401,D408)</f>
        <v>#VALUE!</v>
      </c>
      <c r="R410" s="1001"/>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23" t="s">
        <v>485</v>
      </c>
      <c r="R413" s="923"/>
      <c r="S413" s="28" t="s">
        <v>326</v>
      </c>
      <c r="T413" s="28">
        <v>0.8</v>
      </c>
      <c r="V413" s="10"/>
    </row>
    <row r="414" spans="1:22" ht="18" hidden="1" customHeight="1">
      <c r="A414" s="9"/>
      <c r="N414" s="264"/>
      <c r="O414" s="28"/>
      <c r="P414" s="102" t="s">
        <v>138</v>
      </c>
      <c r="Q414" s="996" t="e">
        <f>+Q410</f>
        <v>#VALUE!</v>
      </c>
      <c r="R414" s="696"/>
      <c r="S414" s="234" t="s">
        <v>326</v>
      </c>
      <c r="T414" s="265">
        <f>+T413</f>
        <v>0.8</v>
      </c>
      <c r="V414" s="10"/>
    </row>
    <row r="415" spans="1:22" ht="18" hidden="1" customHeight="1">
      <c r="A415" s="9"/>
      <c r="O415" s="28"/>
      <c r="P415" s="28" t="s">
        <v>138</v>
      </c>
      <c r="Q415" s="997" t="e">
        <f>Q414*T414</f>
        <v>#VALUE!</v>
      </c>
      <c r="R415" s="61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65" t="str">
        <f>L299</f>
        <v>-</v>
      </c>
      <c r="F417" s="665"/>
      <c r="G417" s="27" t="e">
        <f>G416</f>
        <v>#VALUE!</v>
      </c>
      <c r="H417" s="668" t="e">
        <f>Q415</f>
        <v>#VALUE!</v>
      </c>
      <c r="I417" s="665"/>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800" t="s">
        <v>97</v>
      </c>
      <c r="B427" s="800"/>
      <c r="C427" s="728"/>
      <c r="D427" s="800" t="s">
        <v>98</v>
      </c>
      <c r="E427" s="800"/>
      <c r="F427" s="800"/>
      <c r="G427" s="800" t="s">
        <v>99</v>
      </c>
      <c r="H427" s="800"/>
      <c r="I427" s="800" t="s">
        <v>100</v>
      </c>
      <c r="J427" s="800"/>
      <c r="K427" s="800" t="s">
        <v>513</v>
      </c>
      <c r="L427" s="800"/>
      <c r="M427" s="800" t="s">
        <v>514</v>
      </c>
      <c r="N427" s="800"/>
      <c r="O427" s="800" t="s">
        <v>515</v>
      </c>
      <c r="P427" s="800"/>
      <c r="Q427" s="800" t="s">
        <v>516</v>
      </c>
      <c r="R427" s="800"/>
      <c r="S427" s="800" t="s">
        <v>105</v>
      </c>
      <c r="T427" s="800"/>
      <c r="U427" s="800"/>
      <c r="V427" s="800"/>
    </row>
    <row r="428" spans="1:22" ht="18" customHeight="1">
      <c r="A428" s="800"/>
      <c r="B428" s="800"/>
      <c r="C428" s="728"/>
      <c r="D428" s="800"/>
      <c r="E428" s="800"/>
      <c r="F428" s="800"/>
      <c r="G428" s="800"/>
      <c r="H428" s="800"/>
      <c r="I428" s="800"/>
      <c r="J428" s="800"/>
      <c r="K428" s="800"/>
      <c r="L428" s="800"/>
      <c r="M428" s="800"/>
      <c r="N428" s="800"/>
      <c r="O428" s="800"/>
      <c r="P428" s="800"/>
      <c r="Q428" s="800"/>
      <c r="R428" s="800"/>
      <c r="S428" s="800"/>
      <c r="T428" s="800"/>
      <c r="U428" s="800"/>
      <c r="V428" s="800"/>
    </row>
    <row r="429" spans="1:22" ht="18" customHeight="1">
      <c r="A429" s="800"/>
      <c r="B429" s="800"/>
      <c r="C429" s="728"/>
      <c r="D429" s="800"/>
      <c r="E429" s="800"/>
      <c r="F429" s="800"/>
      <c r="G429" s="800"/>
      <c r="H429" s="800"/>
      <c r="I429" s="800"/>
      <c r="J429" s="800"/>
      <c r="K429" s="800"/>
      <c r="L429" s="800"/>
      <c r="M429" s="800"/>
      <c r="N429" s="800"/>
      <c r="O429" s="800"/>
      <c r="P429" s="800"/>
      <c r="Q429" s="800"/>
      <c r="R429" s="800"/>
      <c r="S429" s="800"/>
      <c r="T429" s="800"/>
      <c r="U429" s="800"/>
      <c r="V429" s="800"/>
    </row>
    <row r="430" spans="1:22" ht="18" customHeight="1">
      <c r="A430" s="800"/>
      <c r="B430" s="800"/>
      <c r="C430" s="728"/>
      <c r="D430" s="800"/>
      <c r="E430" s="800"/>
      <c r="F430" s="800"/>
      <c r="G430" s="800"/>
      <c r="H430" s="800"/>
      <c r="I430" s="800"/>
      <c r="J430" s="800"/>
      <c r="K430" s="800"/>
      <c r="L430" s="800"/>
      <c r="M430" s="800"/>
      <c r="N430" s="800"/>
      <c r="O430" s="800"/>
      <c r="P430" s="800"/>
      <c r="Q430" s="800"/>
      <c r="R430" s="800"/>
      <c r="S430" s="800"/>
      <c r="T430" s="800"/>
      <c r="U430" s="800"/>
      <c r="V430" s="800"/>
    </row>
    <row r="431" spans="1:22" ht="18" customHeight="1">
      <c r="A431" s="733" t="str">
        <f>B7</f>
        <v>T1</v>
      </c>
      <c r="B431" s="733" t="str">
        <f>D7</f>
        <v>Core1</v>
      </c>
      <c r="C431" s="733"/>
      <c r="D431" s="732">
        <f>H10</f>
        <v>600</v>
      </c>
      <c r="E431" s="732"/>
      <c r="F431" s="734">
        <f>O10</f>
        <v>1</v>
      </c>
      <c r="G431" s="732">
        <f>'CT-VT Burdens'!S19</f>
        <v>50</v>
      </c>
      <c r="H431" s="794">
        <f>'CT-VT Burdens'!S10</f>
        <v>6</v>
      </c>
      <c r="I431" s="794" t="str">
        <f>H11</f>
        <v>PX</v>
      </c>
      <c r="J431" s="794"/>
      <c r="K431" s="728">
        <f>H12</f>
        <v>4</v>
      </c>
      <c r="L431" s="728"/>
      <c r="M431" s="728">
        <f>H13</f>
        <v>800</v>
      </c>
      <c r="N431" s="728"/>
      <c r="O431" s="732">
        <f>H14</f>
        <v>50</v>
      </c>
      <c r="P431" s="732"/>
      <c r="Q431" s="739" t="str">
        <f>IF(T8="",T7,IF(T9="",T7&amp;"+"&amp;T8,T7&amp;"+"&amp;T8&amp;"+"&amp;T9))</f>
        <v>RED670</v>
      </c>
      <c r="R431" s="739"/>
      <c r="S431" s="738" t="str">
        <f>H123</f>
        <v>Suitably Dimensioned</v>
      </c>
      <c r="T431" s="738"/>
      <c r="U431" s="738"/>
      <c r="V431" s="738"/>
    </row>
    <row r="432" spans="1:22" ht="18" customHeight="1">
      <c r="A432" s="733"/>
      <c r="B432" s="733"/>
      <c r="C432" s="733"/>
      <c r="D432" s="732" t="str">
        <f>J10</f>
        <v>-</v>
      </c>
      <c r="E432" s="732"/>
      <c r="F432" s="735"/>
      <c r="G432" s="732"/>
      <c r="H432" s="732"/>
      <c r="I432" s="794"/>
      <c r="J432" s="794"/>
      <c r="K432" s="801" t="s">
        <v>7</v>
      </c>
      <c r="L432" s="728"/>
      <c r="M432" s="801" t="s">
        <v>7</v>
      </c>
      <c r="N432" s="728"/>
      <c r="O432" s="799" t="s">
        <v>7</v>
      </c>
      <c r="P432" s="732"/>
      <c r="Q432" s="739"/>
      <c r="R432" s="739"/>
      <c r="S432" s="978" t="s">
        <v>7</v>
      </c>
      <c r="T432" s="738"/>
      <c r="U432" s="738"/>
      <c r="V432" s="738"/>
    </row>
    <row r="433" spans="1:22" ht="18" customHeight="1">
      <c r="A433" s="733"/>
      <c r="B433" s="733"/>
      <c r="C433" s="733"/>
      <c r="D433" s="732" t="str">
        <f>L10</f>
        <v>-</v>
      </c>
      <c r="E433" s="732"/>
      <c r="F433" s="736"/>
      <c r="G433" s="732"/>
      <c r="H433" s="732"/>
      <c r="I433" s="794"/>
      <c r="J433" s="794"/>
      <c r="K433" s="728" t="str">
        <f>L298</f>
        <v>-</v>
      </c>
      <c r="L433" s="728"/>
      <c r="M433" s="728" t="str">
        <f>L299</f>
        <v>-</v>
      </c>
      <c r="N433" s="728"/>
      <c r="O433" s="732" t="str">
        <f>L300</f>
        <v>-</v>
      </c>
      <c r="P433" s="732"/>
      <c r="Q433" s="739"/>
      <c r="R433" s="739"/>
      <c r="S433" s="738" t="s">
        <v>7</v>
      </c>
      <c r="T433" s="738"/>
      <c r="U433" s="738"/>
      <c r="V433" s="73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9" ht="22.2"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9"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9" ht="18" customHeight="1">
      <c r="A6" s="196"/>
      <c r="V6" s="197"/>
    </row>
    <row r="7" spans="1:29" ht="18" customHeight="1">
      <c r="A7" s="196"/>
      <c r="B7" s="659" t="s">
        <v>120</v>
      </c>
      <c r="C7" s="660"/>
      <c r="D7" s="659" t="s">
        <v>396</v>
      </c>
      <c r="E7" s="660"/>
      <c r="F7" s="198"/>
      <c r="H7" s="665" t="s">
        <v>605</v>
      </c>
      <c r="I7" s="664"/>
      <c r="J7" s="664"/>
      <c r="K7" s="664"/>
      <c r="L7" s="664"/>
      <c r="M7" s="664"/>
      <c r="N7" s="664"/>
      <c r="P7" s="198"/>
      <c r="S7" s="199" t="s">
        <v>398</v>
      </c>
      <c r="T7" s="653" t="s">
        <v>606</v>
      </c>
      <c r="U7" s="654"/>
      <c r="V7" s="197"/>
      <c r="W7" s="30" t="s">
        <v>607</v>
      </c>
    </row>
    <row r="8" spans="1:29" ht="18" customHeight="1">
      <c r="A8" s="196"/>
      <c r="B8" s="657"/>
      <c r="C8" s="658"/>
      <c r="D8" s="653"/>
      <c r="E8" s="654"/>
      <c r="F8" s="198"/>
      <c r="T8" s="653"/>
      <c r="U8" s="654"/>
      <c r="V8" s="197"/>
      <c r="W8" s="30" t="s">
        <v>608</v>
      </c>
    </row>
    <row r="9" spans="1:29" ht="18" customHeight="1">
      <c r="A9" s="196"/>
      <c r="H9" s="666" t="s">
        <v>401</v>
      </c>
      <c r="I9" s="666"/>
      <c r="J9" s="667" t="s">
        <v>402</v>
      </c>
      <c r="K9" s="667"/>
      <c r="L9" s="667" t="s">
        <v>403</v>
      </c>
      <c r="M9" s="667"/>
      <c r="T9" s="653"/>
      <c r="U9" s="654"/>
      <c r="V9" s="197"/>
      <c r="W9" s="30" t="s">
        <v>609</v>
      </c>
    </row>
    <row r="10" spans="1:29" ht="18" customHeight="1">
      <c r="A10" s="196"/>
      <c r="B10" s="47" t="s">
        <v>404</v>
      </c>
      <c r="H10" s="651">
        <v>2500</v>
      </c>
      <c r="I10" s="652"/>
      <c r="J10" s="653" t="s">
        <v>7</v>
      </c>
      <c r="K10" s="654"/>
      <c r="L10" s="653" t="s">
        <v>7</v>
      </c>
      <c r="M10" s="654"/>
      <c r="N10" s="203" t="s">
        <v>353</v>
      </c>
      <c r="O10" s="125">
        <v>1</v>
      </c>
      <c r="P10" s="27" t="s">
        <v>9</v>
      </c>
      <c r="V10" s="197"/>
    </row>
    <row r="11" spans="1:29" ht="18" customHeight="1">
      <c r="A11" s="196"/>
      <c r="B11" s="47" t="s">
        <v>405</v>
      </c>
      <c r="H11" s="653" t="s">
        <v>406</v>
      </c>
      <c r="I11" s="654"/>
      <c r="V11" s="197"/>
    </row>
    <row r="12" spans="1:29" ht="18" customHeight="1">
      <c r="A12" s="196"/>
      <c r="B12" s="47" t="s">
        <v>407</v>
      </c>
      <c r="G12" s="120" t="s">
        <v>408</v>
      </c>
      <c r="H12" s="653">
        <v>10</v>
      </c>
      <c r="I12" s="654"/>
      <c r="J12" s="204" t="s">
        <v>344</v>
      </c>
      <c r="M12" s="14"/>
      <c r="V12" s="197"/>
    </row>
    <row r="13" spans="1:29" ht="18" customHeight="1">
      <c r="A13" s="196"/>
      <c r="B13" s="47" t="s">
        <v>409</v>
      </c>
      <c r="G13" s="120" t="s">
        <v>509</v>
      </c>
      <c r="H13" s="653">
        <v>400</v>
      </c>
      <c r="I13" s="654"/>
      <c r="J13" s="14" t="s">
        <v>316</v>
      </c>
      <c r="V13" s="197"/>
      <c r="W13" s="30" t="s">
        <v>411</v>
      </c>
      <c r="AB13" s="1022">
        <f>Q107</f>
        <v>176.16547008546053</v>
      </c>
      <c r="AC13" s="1023"/>
    </row>
    <row r="14" spans="1:29" ht="18" customHeight="1">
      <c r="A14" s="196"/>
      <c r="B14" s="14" t="s">
        <v>412</v>
      </c>
      <c r="G14" s="120" t="s">
        <v>413</v>
      </c>
      <c r="H14" s="653">
        <v>50</v>
      </c>
      <c r="I14" s="654"/>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069">
        <f>'CT-VT Burdens'!Q48</f>
        <v>0.02</v>
      </c>
      <c r="K18" s="671"/>
      <c r="L18" s="3" t="s">
        <v>168</v>
      </c>
      <c r="N18" s="209" t="s">
        <v>418</v>
      </c>
      <c r="V18" s="197"/>
    </row>
    <row r="19" spans="1:22" ht="18" customHeight="1">
      <c r="A19" s="196"/>
      <c r="B19" s="96" t="s">
        <v>416</v>
      </c>
      <c r="D19" s="30">
        <f>T8</f>
        <v>0</v>
      </c>
      <c r="H19" s="27"/>
      <c r="I19" s="189" t="s">
        <v>138</v>
      </c>
      <c r="J19" s="1072"/>
      <c r="K19" s="673"/>
      <c r="L19" s="210" t="s">
        <v>168</v>
      </c>
      <c r="V19" s="197"/>
    </row>
    <row r="20" spans="1:22" ht="18" customHeight="1">
      <c r="A20" s="196"/>
      <c r="B20" s="96" t="s">
        <v>416</v>
      </c>
      <c r="D20" s="30">
        <f>T9</f>
        <v>0</v>
      </c>
      <c r="E20" s="14"/>
      <c r="G20" s="211"/>
      <c r="H20" s="27"/>
      <c r="I20" s="189" t="s">
        <v>138</v>
      </c>
      <c r="J20" s="674"/>
      <c r="K20" s="675"/>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1045">
        <f>'CT-VT Burdens'!S22</f>
        <v>0.44875935000000006</v>
      </c>
      <c r="K21" s="1073"/>
      <c r="L21" s="215" t="s">
        <v>168</v>
      </c>
      <c r="O21" s="27" t="s">
        <v>138</v>
      </c>
      <c r="P21" s="216">
        <f>J22</f>
        <v>0.46875935000000007</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896">
        <f>J18+J21</f>
        <v>0.46875935000000007</v>
      </c>
      <c r="K22" s="679"/>
      <c r="L22" s="222" t="s">
        <v>168</v>
      </c>
      <c r="O22" s="27" t="s">
        <v>138</v>
      </c>
      <c r="P22" s="668">
        <f>P21/(R21*T21)</f>
        <v>0.46875935000000007</v>
      </c>
      <c r="Q22" s="668"/>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890">
        <v>100</v>
      </c>
      <c r="Q25" s="1070"/>
      <c r="R25" s="14" t="s">
        <v>613</v>
      </c>
      <c r="S25" s="226"/>
      <c r="T25" s="18"/>
      <c r="U25" s="18"/>
      <c r="V25" s="97"/>
    </row>
    <row r="26" spans="1:22" s="14" customFormat="1" ht="18" customHeight="1">
      <c r="A26" s="96"/>
      <c r="B26" s="47" t="s">
        <v>614</v>
      </c>
      <c r="C26" s="5"/>
      <c r="D26" s="5"/>
      <c r="E26" s="5"/>
      <c r="I26" s="227"/>
      <c r="M26" s="5"/>
      <c r="O26" s="103" t="s">
        <v>138</v>
      </c>
      <c r="P26" s="890">
        <v>25</v>
      </c>
      <c r="Q26" s="1070"/>
      <c r="R26" s="14" t="s">
        <v>615</v>
      </c>
      <c r="S26" s="226"/>
      <c r="T26" s="18"/>
      <c r="V26" s="97"/>
    </row>
    <row r="27" spans="1:22" s="14" customFormat="1" ht="18" customHeight="1">
      <c r="A27" s="96"/>
      <c r="B27" s="47" t="s">
        <v>616</v>
      </c>
      <c r="C27" s="5"/>
      <c r="D27" s="5"/>
      <c r="E27" s="5"/>
      <c r="N27" s="120" t="s">
        <v>617</v>
      </c>
      <c r="O27" s="103" t="s">
        <v>618</v>
      </c>
      <c r="P27" s="708">
        <v>33</v>
      </c>
      <c r="Q27" s="1071"/>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664" t="s">
        <v>621</v>
      </c>
      <c r="K29" s="664"/>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664">
        <f>P25</f>
        <v>100</v>
      </c>
      <c r="K30" s="664"/>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669">
        <f>(P25*1000)/(SQRT(3)*P27)</f>
        <v>1749.5462702715934</v>
      </c>
      <c r="K31" s="669"/>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664" t="s">
        <v>620</v>
      </c>
      <c r="P35" s="664"/>
      <c r="Q35" s="257" t="s">
        <v>353</v>
      </c>
      <c r="R35" s="788" t="str">
        <f>B26</f>
        <v>Percentage Impedance</v>
      </c>
      <c r="S35" s="788"/>
      <c r="T35" s="788"/>
      <c r="U35" s="788"/>
      <c r="V35" s="804"/>
    </row>
    <row r="36" spans="1:25" ht="18" customHeight="1">
      <c r="A36" s="96"/>
      <c r="B36" s="5"/>
      <c r="C36" s="5"/>
      <c r="D36" s="5"/>
      <c r="E36" s="5"/>
      <c r="M36" s="102"/>
      <c r="N36" s="28" t="s">
        <v>138</v>
      </c>
      <c r="O36" s="669">
        <f>+J31</f>
        <v>1749.5462702715934</v>
      </c>
      <c r="P36" s="669"/>
      <c r="Q36" s="257" t="s">
        <v>353</v>
      </c>
      <c r="R36" s="233">
        <f>P26%</f>
        <v>0.25</v>
      </c>
      <c r="S36" s="226"/>
      <c r="V36" s="197"/>
    </row>
    <row r="37" spans="1:25" ht="18" customHeight="1">
      <c r="A37" s="96"/>
      <c r="B37" s="5"/>
      <c r="C37" s="5"/>
      <c r="D37" s="5"/>
      <c r="E37" s="5"/>
      <c r="M37" s="28" t="s">
        <v>624</v>
      </c>
      <c r="N37" s="28" t="s">
        <v>138</v>
      </c>
      <c r="O37" s="669">
        <f>O36/R36</f>
        <v>6998.1850810863734</v>
      </c>
      <c r="P37" s="669"/>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71" t="s">
        <v>625</v>
      </c>
      <c r="B39" s="1074"/>
      <c r="C39" s="1074"/>
      <c r="D39" s="1074"/>
      <c r="E39" s="1074"/>
      <c r="F39" s="1074"/>
      <c r="G39" s="1074"/>
      <c r="H39" s="1074"/>
      <c r="I39" s="1074"/>
      <c r="J39" s="1074"/>
      <c r="K39" s="1074"/>
      <c r="L39" s="1074"/>
      <c r="M39" s="1074"/>
      <c r="N39" s="1074"/>
      <c r="O39" s="1074"/>
      <c r="P39" s="1074"/>
      <c r="Q39" s="1074"/>
      <c r="R39" s="1074"/>
      <c r="S39" s="1074"/>
      <c r="T39" s="1074"/>
      <c r="U39" s="1074"/>
      <c r="V39" s="1075"/>
    </row>
    <row r="40" spans="1:25" ht="18" customHeight="1">
      <c r="A40" s="971"/>
      <c r="B40" s="1074"/>
      <c r="C40" s="1074"/>
      <c r="D40" s="1074"/>
      <c r="E40" s="1074"/>
      <c r="F40" s="1074"/>
      <c r="G40" s="1074"/>
      <c r="H40" s="1074"/>
      <c r="I40" s="1074"/>
      <c r="J40" s="1074"/>
      <c r="K40" s="1074"/>
      <c r="L40" s="1074"/>
      <c r="M40" s="1074"/>
      <c r="N40" s="1074"/>
      <c r="O40" s="1074"/>
      <c r="P40" s="1074"/>
      <c r="Q40" s="1074"/>
      <c r="R40" s="1074"/>
      <c r="S40" s="1074"/>
      <c r="T40" s="1074"/>
      <c r="U40" s="1074"/>
      <c r="V40" s="1075"/>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005" t="s">
        <v>428</v>
      </c>
      <c r="B47" s="1015"/>
      <c r="C47" s="1015"/>
      <c r="D47" s="664">
        <v>30</v>
      </c>
      <c r="E47" s="664" t="s">
        <v>326</v>
      </c>
      <c r="F47" s="664" t="s">
        <v>620</v>
      </c>
      <c r="G47" s="665"/>
      <c r="H47" s="664" t="s">
        <v>326</v>
      </c>
      <c r="I47" s="696" t="s">
        <v>422</v>
      </c>
      <c r="J47" s="1066"/>
      <c r="K47" s="664" t="s">
        <v>326</v>
      </c>
      <c r="L47" s="1015" t="s">
        <v>430</v>
      </c>
      <c r="M47" s="936" t="s">
        <v>431</v>
      </c>
      <c r="N47" s="942" t="s">
        <v>358</v>
      </c>
      <c r="O47" s="936" t="s">
        <v>419</v>
      </c>
      <c r="P47" s="664" t="s">
        <v>358</v>
      </c>
      <c r="Q47" s="943" t="s">
        <v>432</v>
      </c>
      <c r="R47" s="1016"/>
      <c r="S47" s="1016"/>
      <c r="T47" s="944" t="s">
        <v>361</v>
      </c>
      <c r="U47" s="242" t="s">
        <v>433</v>
      </c>
      <c r="V47" s="97"/>
    </row>
    <row r="48" spans="1:25" ht="18" customHeight="1">
      <c r="A48" s="1065"/>
      <c r="B48" s="1015"/>
      <c r="C48" s="1015"/>
      <c r="D48" s="664"/>
      <c r="E48" s="664"/>
      <c r="F48" s="665"/>
      <c r="G48" s="665"/>
      <c r="H48" s="664"/>
      <c r="I48" s="664" t="s">
        <v>434</v>
      </c>
      <c r="J48" s="987"/>
      <c r="K48" s="664"/>
      <c r="L48" s="1015"/>
      <c r="M48" s="936"/>
      <c r="N48" s="942"/>
      <c r="O48" s="936"/>
      <c r="P48" s="664"/>
      <c r="Q48" s="28" t="s">
        <v>157</v>
      </c>
      <c r="R48" s="28" t="s">
        <v>326</v>
      </c>
      <c r="S48" s="28" t="s">
        <v>157</v>
      </c>
      <c r="T48" s="944"/>
      <c r="U48" s="14"/>
      <c r="V48" s="97"/>
    </row>
    <row r="49" spans="1:22" ht="18" customHeight="1">
      <c r="A49" s="196"/>
      <c r="V49" s="197"/>
    </row>
    <row r="50" spans="1:22" ht="18" customHeight="1">
      <c r="A50" s="1005" t="s">
        <v>428</v>
      </c>
      <c r="B50" s="1015"/>
      <c r="C50" s="1015"/>
      <c r="D50" s="664">
        <v>2</v>
      </c>
      <c r="E50" s="664" t="s">
        <v>326</v>
      </c>
      <c r="F50" s="664" t="s">
        <v>624</v>
      </c>
      <c r="G50" s="665"/>
      <c r="H50" s="664" t="s">
        <v>326</v>
      </c>
      <c r="I50" s="696" t="s">
        <v>422</v>
      </c>
      <c r="J50" s="1066"/>
      <c r="K50" s="664" t="s">
        <v>326</v>
      </c>
      <c r="L50" s="1015" t="s">
        <v>430</v>
      </c>
      <c r="M50" s="936" t="s">
        <v>431</v>
      </c>
      <c r="N50" s="942" t="s">
        <v>358</v>
      </c>
      <c r="O50" s="936" t="s">
        <v>419</v>
      </c>
      <c r="P50" s="664" t="s">
        <v>358</v>
      </c>
      <c r="Q50" s="943" t="s">
        <v>432</v>
      </c>
      <c r="R50" s="1016"/>
      <c r="S50" s="1016"/>
      <c r="T50" s="944" t="s">
        <v>361</v>
      </c>
      <c r="U50" s="242" t="s">
        <v>437</v>
      </c>
      <c r="V50" s="97"/>
    </row>
    <row r="51" spans="1:22" ht="18" customHeight="1">
      <c r="A51" s="1065"/>
      <c r="B51" s="1015"/>
      <c r="C51" s="1015"/>
      <c r="D51" s="664"/>
      <c r="E51" s="664"/>
      <c r="F51" s="665"/>
      <c r="G51" s="665"/>
      <c r="H51" s="664"/>
      <c r="I51" s="664" t="s">
        <v>434</v>
      </c>
      <c r="J51" s="987"/>
      <c r="K51" s="664"/>
      <c r="L51" s="1015"/>
      <c r="M51" s="936"/>
      <c r="N51" s="942"/>
      <c r="O51" s="936"/>
      <c r="P51" s="664"/>
      <c r="Q51" s="28" t="s">
        <v>157</v>
      </c>
      <c r="R51" s="28" t="s">
        <v>326</v>
      </c>
      <c r="S51" s="28" t="s">
        <v>157</v>
      </c>
      <c r="T51" s="944"/>
      <c r="U51" s="14"/>
      <c r="V51" s="97"/>
    </row>
    <row r="52" spans="1:22" ht="18" customHeight="1">
      <c r="A52" s="196"/>
      <c r="V52" s="197"/>
    </row>
    <row r="53" spans="1:22" ht="18" hidden="1" customHeight="1">
      <c r="A53" s="971" t="s">
        <v>627</v>
      </c>
      <c r="B53" s="889"/>
      <c r="C53" s="889"/>
      <c r="D53" s="889"/>
      <c r="E53" s="889"/>
      <c r="F53" s="889"/>
      <c r="G53" s="889"/>
      <c r="H53" s="889"/>
      <c r="I53" s="889"/>
      <c r="J53" s="889"/>
      <c r="K53" s="889"/>
      <c r="L53" s="889"/>
      <c r="M53" s="889"/>
      <c r="N53" s="889"/>
      <c r="O53" s="889"/>
      <c r="P53" s="889"/>
      <c r="Q53" s="889"/>
      <c r="R53" s="889"/>
      <c r="S53" s="889"/>
      <c r="T53" s="889"/>
      <c r="U53" s="889"/>
      <c r="V53" s="1076"/>
    </row>
    <row r="54" spans="1:22" ht="25.95" hidden="1" customHeight="1">
      <c r="A54" s="1077"/>
      <c r="B54" s="889"/>
      <c r="C54" s="889"/>
      <c r="D54" s="889"/>
      <c r="E54" s="889"/>
      <c r="F54" s="889"/>
      <c r="G54" s="889"/>
      <c r="H54" s="889"/>
      <c r="I54" s="889"/>
      <c r="J54" s="889"/>
      <c r="K54" s="889"/>
      <c r="L54" s="889"/>
      <c r="M54" s="889"/>
      <c r="N54" s="889"/>
      <c r="O54" s="889"/>
      <c r="P54" s="889"/>
      <c r="Q54" s="889"/>
      <c r="R54" s="889"/>
      <c r="S54" s="889"/>
      <c r="T54" s="889"/>
      <c r="U54" s="889"/>
      <c r="V54" s="1076"/>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078" t="s">
        <v>428</v>
      </c>
      <c r="B56" s="936"/>
      <c r="C56" s="936"/>
      <c r="D56" s="664"/>
      <c r="E56" s="664"/>
      <c r="F56" s="664" t="s">
        <v>628</v>
      </c>
      <c r="G56" s="665"/>
      <c r="H56" s="664" t="s">
        <v>326</v>
      </c>
      <c r="I56" s="696" t="s">
        <v>422</v>
      </c>
      <c r="J56" s="1066"/>
      <c r="K56" s="664" t="s">
        <v>326</v>
      </c>
      <c r="L56" s="1015" t="s">
        <v>430</v>
      </c>
      <c r="M56" s="936" t="s">
        <v>431</v>
      </c>
      <c r="N56" s="942" t="s">
        <v>358</v>
      </c>
      <c r="O56" s="936" t="s">
        <v>419</v>
      </c>
      <c r="P56" s="664" t="s">
        <v>358</v>
      </c>
      <c r="Q56" s="943" t="s">
        <v>432</v>
      </c>
      <c r="R56" s="1016"/>
      <c r="S56" s="1016"/>
      <c r="T56" s="944" t="s">
        <v>361</v>
      </c>
      <c r="U56" s="242" t="s">
        <v>629</v>
      </c>
      <c r="V56" s="97"/>
    </row>
    <row r="57" spans="1:22" ht="18" hidden="1" customHeight="1">
      <c r="A57" s="1079"/>
      <c r="B57" s="936"/>
      <c r="C57" s="936"/>
      <c r="D57" s="664"/>
      <c r="E57" s="664"/>
      <c r="F57" s="665"/>
      <c r="G57" s="665"/>
      <c r="H57" s="664"/>
      <c r="I57" s="664" t="s">
        <v>434</v>
      </c>
      <c r="J57" s="987"/>
      <c r="K57" s="664"/>
      <c r="L57" s="1015"/>
      <c r="M57" s="936"/>
      <c r="N57" s="942"/>
      <c r="O57" s="936"/>
      <c r="P57" s="664"/>
      <c r="Q57" s="28" t="s">
        <v>157</v>
      </c>
      <c r="R57" s="28" t="s">
        <v>326</v>
      </c>
      <c r="S57" s="28" t="s">
        <v>157</v>
      </c>
      <c r="T57" s="944"/>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653" t="s">
        <v>631</v>
      </c>
      <c r="N59" s="654"/>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664">
        <f>H10</f>
        <v>2500</v>
      </c>
      <c r="S62" s="664"/>
      <c r="T62" s="14" t="s">
        <v>9</v>
      </c>
      <c r="V62" s="197"/>
    </row>
    <row r="63" spans="1:22" ht="18" customHeight="1">
      <c r="A63" s="196"/>
      <c r="B63" s="14" t="s">
        <v>632</v>
      </c>
      <c r="C63" s="14"/>
      <c r="D63" s="14"/>
      <c r="E63" s="14"/>
      <c r="F63" s="14"/>
      <c r="G63" s="14"/>
      <c r="H63" s="14"/>
      <c r="I63" s="14"/>
      <c r="J63" s="14"/>
      <c r="P63" s="120" t="s">
        <v>620</v>
      </c>
      <c r="Q63" s="246" t="s">
        <v>138</v>
      </c>
      <c r="R63" s="668">
        <f>J31</f>
        <v>1749.5462702715934</v>
      </c>
      <c r="S63" s="665"/>
      <c r="T63" s="14" t="s">
        <v>9</v>
      </c>
      <c r="V63" s="197"/>
    </row>
    <row r="64" spans="1:22" ht="18" customHeight="1">
      <c r="A64" s="196"/>
      <c r="B64" s="14" t="s">
        <v>633</v>
      </c>
      <c r="C64" s="14"/>
      <c r="D64" s="14"/>
      <c r="E64" s="14"/>
      <c r="F64" s="14"/>
      <c r="G64" s="14"/>
      <c r="H64" s="14"/>
      <c r="I64" s="14"/>
      <c r="J64" s="14"/>
      <c r="P64" s="120" t="s">
        <v>624</v>
      </c>
      <c r="Q64" s="246" t="s">
        <v>138</v>
      </c>
      <c r="R64" s="668">
        <f>O37</f>
        <v>6998.1850810863734</v>
      </c>
      <c r="S64" s="665"/>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665" t="str">
        <f>IF(M59="Y",'[2]Parameters &amp; Fault Cal.'!Q31,"-")</f>
        <v>-</v>
      </c>
      <c r="S66" s="665"/>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665">
        <f>O10</f>
        <v>1</v>
      </c>
      <c r="S68" s="665"/>
      <c r="T68" s="14" t="s">
        <v>9</v>
      </c>
      <c r="V68" s="197"/>
    </row>
    <row r="69" spans="1:22" ht="18" customHeight="1">
      <c r="A69" s="196"/>
      <c r="B69" s="14" t="s">
        <v>448</v>
      </c>
      <c r="C69" s="14"/>
      <c r="D69" s="103"/>
      <c r="E69" s="103"/>
      <c r="F69" s="14"/>
      <c r="G69" s="14"/>
      <c r="H69" s="5"/>
      <c r="I69" s="5"/>
      <c r="J69" s="5"/>
      <c r="P69" s="120" t="s">
        <v>449</v>
      </c>
      <c r="Q69" s="246" t="s">
        <v>138</v>
      </c>
      <c r="R69" s="665">
        <f>'CT-VT Burdens'!S18</f>
        <v>1</v>
      </c>
      <c r="S69" s="665"/>
      <c r="T69" s="14" t="s">
        <v>9</v>
      </c>
      <c r="V69" s="197"/>
    </row>
    <row r="70" spans="1:22" ht="18" customHeight="1">
      <c r="A70" s="196"/>
      <c r="B70" s="14" t="s">
        <v>450</v>
      </c>
      <c r="C70" s="14"/>
      <c r="D70" s="103"/>
      <c r="E70" s="103"/>
      <c r="F70" s="14"/>
      <c r="G70" s="14"/>
      <c r="H70" s="5"/>
      <c r="I70" s="5"/>
      <c r="J70" s="5"/>
      <c r="P70" s="120" t="s">
        <v>451</v>
      </c>
      <c r="Q70" s="246" t="s">
        <v>138</v>
      </c>
      <c r="R70" s="665">
        <f>H12</f>
        <v>10</v>
      </c>
      <c r="S70" s="665"/>
      <c r="T70" s="204" t="s">
        <v>344</v>
      </c>
      <c r="V70" s="197"/>
    </row>
    <row r="71" spans="1:22" ht="18" customHeight="1">
      <c r="A71" s="196"/>
      <c r="B71" s="14" t="s">
        <v>636</v>
      </c>
      <c r="C71" s="14"/>
      <c r="D71" s="14"/>
      <c r="E71" s="14"/>
      <c r="F71" s="14"/>
      <c r="G71" s="14"/>
      <c r="H71" s="14"/>
      <c r="I71" s="14"/>
      <c r="J71" s="14"/>
      <c r="P71" s="249" t="s">
        <v>452</v>
      </c>
      <c r="Q71" s="246" t="s">
        <v>138</v>
      </c>
      <c r="R71" s="668">
        <f>P22</f>
        <v>0.46875935000000007</v>
      </c>
      <c r="S71" s="665"/>
      <c r="T71" s="204" t="s">
        <v>344</v>
      </c>
      <c r="V71" s="197"/>
    </row>
    <row r="72" spans="1:22" ht="18" customHeight="1">
      <c r="A72" s="196"/>
      <c r="B72" s="40" t="s">
        <v>637</v>
      </c>
      <c r="C72" s="14"/>
      <c r="D72" s="14"/>
      <c r="E72" s="14"/>
      <c r="F72" s="14"/>
      <c r="G72" s="14"/>
      <c r="H72" s="5"/>
      <c r="I72" s="5"/>
      <c r="J72" s="5"/>
      <c r="P72" s="249" t="s">
        <v>454</v>
      </c>
      <c r="Q72" s="246" t="s">
        <v>138</v>
      </c>
      <c r="R72" s="668">
        <f>J18</f>
        <v>0.02</v>
      </c>
      <c r="S72" s="665"/>
      <c r="T72" s="14" t="s">
        <v>168</v>
      </c>
      <c r="V72" s="197"/>
    </row>
    <row r="73" spans="1:22" ht="18" customHeight="1">
      <c r="A73" s="196"/>
      <c r="V73" s="197"/>
    </row>
    <row r="74" spans="1:22" ht="18" customHeight="1">
      <c r="A74" s="1005" t="s">
        <v>428</v>
      </c>
      <c r="B74" s="1015"/>
      <c r="C74" s="1015"/>
      <c r="D74" s="788">
        <v>30</v>
      </c>
      <c r="E74" s="788" t="s">
        <v>326</v>
      </c>
      <c r="F74" s="1080">
        <f>R63</f>
        <v>1749.5462702715934</v>
      </c>
      <c r="G74" s="680"/>
      <c r="H74" s="788" t="s">
        <v>326</v>
      </c>
      <c r="I74" s="790">
        <f>R68</f>
        <v>1</v>
      </c>
      <c r="J74" s="1082"/>
      <c r="K74" s="788" t="s">
        <v>326</v>
      </c>
      <c r="L74" s="975" t="s">
        <v>430</v>
      </c>
      <c r="M74" s="975">
        <f>R70</f>
        <v>10</v>
      </c>
      <c r="N74" s="1003" t="s">
        <v>358</v>
      </c>
      <c r="O74" s="1004">
        <f>R71</f>
        <v>0.46875935000000007</v>
      </c>
      <c r="P74" s="788" t="s">
        <v>358</v>
      </c>
      <c r="Q74" s="1081">
        <f>R72</f>
        <v>0.02</v>
      </c>
      <c r="R74" s="1012"/>
      <c r="S74" s="1012"/>
      <c r="T74" s="944" t="s">
        <v>361</v>
      </c>
      <c r="U74" s="242" t="s">
        <v>433</v>
      </c>
      <c r="V74" s="97"/>
    </row>
    <row r="75" spans="1:22" ht="18" customHeight="1">
      <c r="A75" s="1065"/>
      <c r="B75" s="1015"/>
      <c r="C75" s="1015"/>
      <c r="D75" s="788"/>
      <c r="E75" s="788"/>
      <c r="F75" s="680"/>
      <c r="G75" s="680"/>
      <c r="H75" s="788"/>
      <c r="I75" s="788">
        <f>R62</f>
        <v>2500</v>
      </c>
      <c r="J75" s="977"/>
      <c r="K75" s="788"/>
      <c r="L75" s="975"/>
      <c r="M75" s="975"/>
      <c r="N75" s="1003"/>
      <c r="O75" s="975"/>
      <c r="P75" s="788"/>
      <c r="Q75" s="233">
        <f>R69</f>
        <v>1</v>
      </c>
      <c r="R75" s="233" t="s">
        <v>326</v>
      </c>
      <c r="S75" s="233">
        <f>R69</f>
        <v>1</v>
      </c>
      <c r="T75" s="944"/>
      <c r="U75" s="14"/>
      <c r="V75" s="97"/>
    </row>
    <row r="76" spans="1:22" ht="18" customHeight="1">
      <c r="A76" s="196"/>
      <c r="V76" s="197"/>
    </row>
    <row r="77" spans="1:22" ht="18" customHeight="1">
      <c r="A77" s="196"/>
      <c r="C77" s="30" t="s">
        <v>138</v>
      </c>
      <c r="D77" s="875">
        <f>D74*F74*(I74/I75)*(M74+O74+(Q74/(Q75*S75)))</f>
        <v>220.20683760682564</v>
      </c>
      <c r="E77" s="876"/>
      <c r="F77" s="30" t="s">
        <v>316</v>
      </c>
      <c r="V77" s="197"/>
    </row>
    <row r="78" spans="1:22" ht="18" customHeight="1">
      <c r="A78" s="196"/>
      <c r="V78" s="197"/>
    </row>
    <row r="79" spans="1:22" ht="18" customHeight="1">
      <c r="A79" s="1005" t="s">
        <v>428</v>
      </c>
      <c r="B79" s="1015"/>
      <c r="C79" s="1015"/>
      <c r="D79" s="788">
        <v>2</v>
      </c>
      <c r="E79" s="788" t="s">
        <v>326</v>
      </c>
      <c r="F79" s="1080">
        <f>R64</f>
        <v>6998.1850810863734</v>
      </c>
      <c r="G79" s="680"/>
      <c r="H79" s="788" t="s">
        <v>326</v>
      </c>
      <c r="I79" s="790">
        <f>R68</f>
        <v>1</v>
      </c>
      <c r="J79" s="1082"/>
      <c r="K79" s="788" t="s">
        <v>326</v>
      </c>
      <c r="L79" s="1002" t="s">
        <v>430</v>
      </c>
      <c r="M79" s="975">
        <f>R70</f>
        <v>10</v>
      </c>
      <c r="N79" s="1003" t="s">
        <v>358</v>
      </c>
      <c r="O79" s="1004">
        <f>R71</f>
        <v>0.46875935000000007</v>
      </c>
      <c r="P79" s="788" t="s">
        <v>358</v>
      </c>
      <c r="Q79" s="1081">
        <f>R72</f>
        <v>0.02</v>
      </c>
      <c r="R79" s="1012"/>
      <c r="S79" s="1012"/>
      <c r="T79" s="944" t="s">
        <v>361</v>
      </c>
      <c r="U79" s="242" t="s">
        <v>437</v>
      </c>
      <c r="V79" s="97"/>
    </row>
    <row r="80" spans="1:22" ht="18" customHeight="1">
      <c r="A80" s="1065"/>
      <c r="B80" s="1015"/>
      <c r="C80" s="1015"/>
      <c r="D80" s="788"/>
      <c r="E80" s="788"/>
      <c r="F80" s="680"/>
      <c r="G80" s="680"/>
      <c r="H80" s="788"/>
      <c r="I80" s="788">
        <f>R62</f>
        <v>2500</v>
      </c>
      <c r="J80" s="977"/>
      <c r="K80" s="788"/>
      <c r="L80" s="1002"/>
      <c r="M80" s="975"/>
      <c r="N80" s="1003"/>
      <c r="O80" s="975"/>
      <c r="P80" s="788"/>
      <c r="Q80" s="233">
        <f>R69</f>
        <v>1</v>
      </c>
      <c r="R80" s="233" t="s">
        <v>326</v>
      </c>
      <c r="S80" s="233">
        <f>R69</f>
        <v>1</v>
      </c>
      <c r="T80" s="944"/>
      <c r="U80" s="14"/>
      <c r="V80" s="97"/>
    </row>
    <row r="81" spans="1:22" ht="18" customHeight="1">
      <c r="A81" s="196"/>
      <c r="L81" s="256"/>
      <c r="V81" s="197"/>
    </row>
    <row r="82" spans="1:22" ht="18" customHeight="1">
      <c r="A82" s="196"/>
      <c r="C82" s="30" t="s">
        <v>138</v>
      </c>
      <c r="D82" s="875">
        <f>D79*F79*(I79/I80)*(M79+O79+(Q79/(Q80*S80)))</f>
        <v>58.721823361820171</v>
      </c>
      <c r="E82" s="876"/>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1005" t="s">
        <v>428</v>
      </c>
      <c r="B95" s="1015"/>
      <c r="C95" s="1015"/>
      <c r="D95" s="664"/>
      <c r="E95" s="664"/>
      <c r="F95" s="788" t="str">
        <f>R66</f>
        <v>-</v>
      </c>
      <c r="G95" s="976"/>
      <c r="H95" s="788" t="s">
        <v>326</v>
      </c>
      <c r="I95" s="790">
        <f>R68</f>
        <v>1</v>
      </c>
      <c r="J95" s="1082"/>
      <c r="K95" s="788" t="s">
        <v>326</v>
      </c>
      <c r="L95" s="1002" t="s">
        <v>430</v>
      </c>
      <c r="M95" s="975">
        <f>R70</f>
        <v>10</v>
      </c>
      <c r="N95" s="1003" t="s">
        <v>358</v>
      </c>
      <c r="O95" s="1004">
        <f>R71</f>
        <v>0.46875935000000007</v>
      </c>
      <c r="P95" s="788" t="s">
        <v>358</v>
      </c>
      <c r="Q95" s="1081">
        <f>R72</f>
        <v>0.02</v>
      </c>
      <c r="R95" s="1012"/>
      <c r="S95" s="1012"/>
      <c r="T95" s="944" t="s">
        <v>361</v>
      </c>
      <c r="U95" s="242" t="s">
        <v>629</v>
      </c>
      <c r="V95" s="97"/>
    </row>
    <row r="96" spans="1:22" ht="18" hidden="1" customHeight="1">
      <c r="A96" s="1065"/>
      <c r="B96" s="1015"/>
      <c r="C96" s="1015"/>
      <c r="D96" s="664"/>
      <c r="E96" s="664"/>
      <c r="F96" s="976"/>
      <c r="G96" s="976"/>
      <c r="H96" s="788"/>
      <c r="I96" s="788">
        <f>R62</f>
        <v>2500</v>
      </c>
      <c r="J96" s="977"/>
      <c r="K96" s="788"/>
      <c r="L96" s="1002"/>
      <c r="M96" s="975"/>
      <c r="N96" s="1003"/>
      <c r="O96" s="975"/>
      <c r="P96" s="788"/>
      <c r="Q96" s="233">
        <f>R69</f>
        <v>1</v>
      </c>
      <c r="R96" s="233" t="s">
        <v>326</v>
      </c>
      <c r="S96" s="233">
        <f>R69</f>
        <v>1</v>
      </c>
      <c r="T96" s="944"/>
      <c r="U96" s="14"/>
      <c r="V96" s="97"/>
    </row>
    <row r="97" spans="1:22" ht="18" hidden="1" customHeight="1">
      <c r="A97" s="196"/>
      <c r="V97" s="197"/>
    </row>
    <row r="98" spans="1:22" ht="18" hidden="1" customHeight="1">
      <c r="A98" s="196"/>
      <c r="C98" s="30" t="s">
        <v>138</v>
      </c>
      <c r="D98" s="875" t="e">
        <f>F95*(I95/I96)*(M95+O95+(Q95/(Q96*S96)))</f>
        <v>#VALUE!</v>
      </c>
      <c r="E98" s="876"/>
      <c r="F98" s="30" t="s">
        <v>316</v>
      </c>
      <c r="G98" s="199" t="s">
        <v>389</v>
      </c>
      <c r="H98" s="198" t="str">
        <f>IF(M59="y","Applicable","Not applicable")</f>
        <v>Not applicable</v>
      </c>
      <c r="V98" s="197"/>
    </row>
    <row r="99" spans="1:22" ht="18" customHeight="1">
      <c r="A99" s="196"/>
      <c r="V99" s="197"/>
    </row>
    <row r="100" spans="1:22" ht="18" customHeight="1">
      <c r="A100" s="96" t="s">
        <v>638</v>
      </c>
      <c r="M100" s="615">
        <f>R62</f>
        <v>2500</v>
      </c>
      <c r="N100" s="617"/>
      <c r="O100" s="30" t="s">
        <v>481</v>
      </c>
      <c r="Q100" s="875">
        <f>IF(M59="Y",MAX(D77,D98),MAX(D77,D82))</f>
        <v>220.20683760682564</v>
      </c>
      <c r="R100" s="700"/>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923" t="s">
        <v>485</v>
      </c>
      <c r="R105" s="923"/>
      <c r="S105" s="28" t="s">
        <v>326</v>
      </c>
      <c r="T105" s="28">
        <v>0.8</v>
      </c>
      <c r="V105" s="197"/>
    </row>
    <row r="106" spans="1:22" ht="18" customHeight="1">
      <c r="A106" s="196"/>
      <c r="N106" s="264"/>
      <c r="O106" s="14"/>
      <c r="P106" s="102" t="s">
        <v>138</v>
      </c>
      <c r="Q106" s="996">
        <f>+Q100</f>
        <v>220.20683760682564</v>
      </c>
      <c r="R106" s="696"/>
      <c r="S106" s="234" t="s">
        <v>326</v>
      </c>
      <c r="T106" s="265">
        <f>+T105</f>
        <v>0.8</v>
      </c>
      <c r="V106" s="197"/>
    </row>
    <row r="107" spans="1:22" ht="18" customHeight="1">
      <c r="A107" s="196"/>
      <c r="O107" s="14"/>
      <c r="P107" s="28" t="s">
        <v>138</v>
      </c>
      <c r="Q107" s="997">
        <f>Q106*T106</f>
        <v>176.16547008546053</v>
      </c>
      <c r="R107" s="617"/>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665">
        <f>H13</f>
        <v>400</v>
      </c>
      <c r="F110" s="665"/>
      <c r="G110" s="28" t="s">
        <v>487</v>
      </c>
      <c r="H110" s="668">
        <f>Q107</f>
        <v>176.16547008546053</v>
      </c>
      <c r="I110" s="665"/>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653" t="str">
        <f>B7</f>
        <v>T1</v>
      </c>
      <c r="C143" s="654"/>
      <c r="D143" s="659" t="str">
        <f>D7</f>
        <v>Core1</v>
      </c>
      <c r="E143" s="660"/>
      <c r="F143" s="198"/>
      <c r="H143" s="665" t="str">
        <f>H7</f>
        <v>(Transformer Differential)</v>
      </c>
      <c r="I143" s="665"/>
      <c r="J143" s="665"/>
      <c r="K143" s="665"/>
      <c r="L143" s="665"/>
      <c r="M143" s="665"/>
      <c r="N143" s="665"/>
      <c r="P143" s="198"/>
      <c r="S143" s="199" t="s">
        <v>398</v>
      </c>
      <c r="T143" s="681" t="str">
        <f>T7</f>
        <v>RET670</v>
      </c>
      <c r="U143" s="682"/>
      <c r="V143" s="197"/>
    </row>
    <row r="144" spans="1:22" ht="18" hidden="1" customHeight="1">
      <c r="A144" s="196"/>
      <c r="B144" s="1083">
        <f>B8</f>
        <v>0</v>
      </c>
      <c r="C144" s="1083"/>
      <c r="D144" s="657"/>
      <c r="E144" s="658"/>
      <c r="F144" s="267"/>
      <c r="T144" s="994">
        <f>T8</f>
        <v>0</v>
      </c>
      <c r="U144" s="995"/>
      <c r="V144" s="197"/>
    </row>
    <row r="145" spans="1:29" ht="18" hidden="1" customHeight="1">
      <c r="A145" s="196"/>
      <c r="H145" s="696" t="s">
        <v>401</v>
      </c>
      <c r="I145" s="696"/>
      <c r="J145" s="666" t="s">
        <v>402</v>
      </c>
      <c r="K145" s="666"/>
      <c r="L145" s="696" t="s">
        <v>403</v>
      </c>
      <c r="M145" s="696"/>
      <c r="T145" s="994">
        <f>T9</f>
        <v>0</v>
      </c>
      <c r="U145" s="995"/>
      <c r="V145" s="197"/>
    </row>
    <row r="146" spans="1:29" ht="18" hidden="1" customHeight="1">
      <c r="A146" s="196"/>
      <c r="B146" s="47" t="s">
        <v>404</v>
      </c>
      <c r="H146" s="653">
        <f>H10</f>
        <v>2500</v>
      </c>
      <c r="I146" s="654"/>
      <c r="J146" s="651" t="str">
        <f>J10</f>
        <v>-</v>
      </c>
      <c r="K146" s="652"/>
      <c r="L146" s="994" t="str">
        <f>L10</f>
        <v>-</v>
      </c>
      <c r="M146" s="995"/>
      <c r="N146" s="102" t="s">
        <v>353</v>
      </c>
      <c r="O146" s="266">
        <f>O10</f>
        <v>1</v>
      </c>
      <c r="P146" s="27" t="s">
        <v>9</v>
      </c>
      <c r="V146" s="197"/>
    </row>
    <row r="147" spans="1:29" ht="18" hidden="1" customHeight="1">
      <c r="A147" s="196"/>
      <c r="B147" s="47" t="s">
        <v>405</v>
      </c>
      <c r="H147" s="14"/>
      <c r="I147" s="14"/>
      <c r="J147" s="653" t="s">
        <v>406</v>
      </c>
      <c r="K147" s="654"/>
      <c r="L147" s="14"/>
      <c r="M147" s="14"/>
      <c r="V147" s="197"/>
    </row>
    <row r="148" spans="1:29" ht="18" hidden="1" customHeight="1">
      <c r="A148" s="196"/>
      <c r="B148" s="47" t="s">
        <v>407</v>
      </c>
      <c r="I148" s="120" t="s">
        <v>508</v>
      </c>
      <c r="J148" s="653">
        <v>6</v>
      </c>
      <c r="K148" s="654"/>
      <c r="L148" s="204" t="s">
        <v>344</v>
      </c>
      <c r="N148" s="14"/>
      <c r="V148" s="197"/>
    </row>
    <row r="149" spans="1:29" ht="18" hidden="1" customHeight="1">
      <c r="A149" s="196"/>
      <c r="B149" s="47" t="s">
        <v>409</v>
      </c>
      <c r="I149" s="120" t="s">
        <v>509</v>
      </c>
      <c r="J149" s="653">
        <v>500</v>
      </c>
      <c r="K149" s="654"/>
      <c r="L149" s="14" t="s">
        <v>316</v>
      </c>
      <c r="N149" s="14"/>
      <c r="V149" s="197"/>
      <c r="W149" s="30" t="s">
        <v>411</v>
      </c>
      <c r="AB149" s="1022" t="e">
        <f>Q247</f>
        <v>#VALUE!</v>
      </c>
      <c r="AC149" s="1023"/>
    </row>
    <row r="150" spans="1:29" ht="18" hidden="1" customHeight="1">
      <c r="A150" s="196"/>
      <c r="B150" s="14" t="s">
        <v>412</v>
      </c>
      <c r="I150" s="120" t="s">
        <v>413</v>
      </c>
      <c r="J150" s="653">
        <v>60</v>
      </c>
      <c r="K150" s="654"/>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896">
        <f>J18</f>
        <v>0.02</v>
      </c>
      <c r="K154" s="679"/>
      <c r="L154" s="3" t="s">
        <v>168</v>
      </c>
      <c r="N154" s="209" t="s">
        <v>418</v>
      </c>
      <c r="V154" s="197"/>
    </row>
    <row r="155" spans="1:29" ht="18" hidden="1" customHeight="1">
      <c r="A155" s="196"/>
      <c r="B155" s="96" t="s">
        <v>416</v>
      </c>
      <c r="D155" s="30">
        <f>T144</f>
        <v>0</v>
      </c>
      <c r="H155" s="27"/>
      <c r="I155" s="189" t="s">
        <v>138</v>
      </c>
      <c r="J155" s="1026">
        <f>J19</f>
        <v>0</v>
      </c>
      <c r="K155" s="698"/>
      <c r="L155" s="210" t="s">
        <v>168</v>
      </c>
      <c r="V155" s="197"/>
    </row>
    <row r="156" spans="1:29" ht="18" hidden="1" customHeight="1">
      <c r="A156" s="196"/>
      <c r="B156" s="96" t="s">
        <v>416</v>
      </c>
      <c r="D156" s="30">
        <f>T145</f>
        <v>0</v>
      </c>
      <c r="E156" s="14"/>
      <c r="G156" s="211"/>
      <c r="H156" s="27"/>
      <c r="I156" s="189" t="s">
        <v>138</v>
      </c>
      <c r="J156" s="699">
        <f>J20</f>
        <v>0</v>
      </c>
      <c r="K156" s="700"/>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26">
        <f>J21</f>
        <v>0.44875935000000006</v>
      </c>
      <c r="K157" s="698"/>
      <c r="L157" s="215" t="s">
        <v>168</v>
      </c>
      <c r="O157" s="27" t="s">
        <v>138</v>
      </c>
      <c r="P157" s="216">
        <f>J158</f>
        <v>0.46875935000000007</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896">
        <f>J154+J157</f>
        <v>0.46875935000000007</v>
      </c>
      <c r="K158" s="679"/>
      <c r="L158" s="222" t="s">
        <v>168</v>
      </c>
      <c r="O158" s="27" t="s">
        <v>138</v>
      </c>
      <c r="P158" s="668">
        <f>P157/(R157*T157)</f>
        <v>0.46875935000000007</v>
      </c>
      <c r="Q158" s="668"/>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07">
        <f>P25</f>
        <v>100</v>
      </c>
      <c r="Q161" s="1084"/>
      <c r="R161" s="14" t="s">
        <v>613</v>
      </c>
      <c r="S161" s="226"/>
      <c r="T161" s="18"/>
      <c r="U161" s="18"/>
      <c r="V161" s="97"/>
    </row>
    <row r="162" spans="1:27" s="14" customFormat="1" ht="18" hidden="1" customHeight="1">
      <c r="A162" s="96"/>
      <c r="B162" s="47" t="s">
        <v>614</v>
      </c>
      <c r="C162" s="5"/>
      <c r="D162" s="5"/>
      <c r="E162" s="5"/>
      <c r="I162" s="227"/>
      <c r="M162" s="5"/>
      <c r="O162" s="103" t="s">
        <v>138</v>
      </c>
      <c r="P162" s="707">
        <f>P26</f>
        <v>25</v>
      </c>
      <c r="Q162" s="1084"/>
      <c r="R162" s="14" t="s">
        <v>615</v>
      </c>
      <c r="S162" s="226"/>
      <c r="T162" s="18"/>
      <c r="U162" s="18"/>
      <c r="V162" s="97"/>
    </row>
    <row r="163" spans="1:27" s="14" customFormat="1" ht="18" hidden="1" customHeight="1">
      <c r="A163" s="96"/>
      <c r="B163" s="47" t="s">
        <v>616</v>
      </c>
      <c r="C163" s="5"/>
      <c r="D163" s="5"/>
      <c r="E163" s="5"/>
      <c r="N163" s="120" t="s">
        <v>617</v>
      </c>
      <c r="O163" s="103" t="s">
        <v>618</v>
      </c>
      <c r="P163" s="708">
        <f>P27</f>
        <v>33</v>
      </c>
      <c r="Q163" s="1071"/>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664" t="s">
        <v>621</v>
      </c>
      <c r="K165" s="664"/>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664">
        <f>P161</f>
        <v>100</v>
      </c>
      <c r="K166" s="664"/>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669">
        <f>(P161*1000)/(SQRT(3)*P163)</f>
        <v>1749.5462702715934</v>
      </c>
      <c r="K167" s="669"/>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664" t="s">
        <v>620</v>
      </c>
      <c r="P171" s="936"/>
      <c r="Q171" s="233" t="s">
        <v>641</v>
      </c>
      <c r="R171" s="233">
        <v>16</v>
      </c>
      <c r="S171" s="226"/>
      <c r="V171" s="197"/>
    </row>
    <row r="172" spans="1:27" ht="18" hidden="1" customHeight="1">
      <c r="A172" s="96"/>
      <c r="B172" s="5"/>
      <c r="C172" s="5"/>
      <c r="D172" s="5"/>
      <c r="E172" s="5"/>
      <c r="M172" s="262"/>
      <c r="N172" s="28" t="s">
        <v>138</v>
      </c>
      <c r="O172" s="669">
        <f>+J167</f>
        <v>1749.5462702715934</v>
      </c>
      <c r="P172" s="1067"/>
      <c r="Q172" s="233" t="s">
        <v>641</v>
      </c>
      <c r="R172" s="233">
        <v>16</v>
      </c>
      <c r="S172" s="226"/>
      <c r="V172" s="197"/>
    </row>
    <row r="173" spans="1:27" ht="18" hidden="1" customHeight="1">
      <c r="A173" s="96"/>
      <c r="B173" s="5"/>
      <c r="C173" s="5"/>
      <c r="D173" s="5"/>
      <c r="E173" s="5"/>
      <c r="M173" s="120" t="s">
        <v>624</v>
      </c>
      <c r="N173" s="28" t="s">
        <v>138</v>
      </c>
      <c r="O173" s="664">
        <f>O172*R172</f>
        <v>27992.740324345494</v>
      </c>
      <c r="P173" s="936"/>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1018" t="s">
        <v>625</v>
      </c>
      <c r="B175" s="972"/>
      <c r="C175" s="972"/>
      <c r="D175" s="972"/>
      <c r="E175" s="972"/>
      <c r="F175" s="972"/>
      <c r="G175" s="972"/>
      <c r="H175" s="972"/>
      <c r="I175" s="972"/>
      <c r="J175" s="972"/>
      <c r="K175" s="972"/>
      <c r="L175" s="972"/>
      <c r="M175" s="972"/>
      <c r="N175" s="972"/>
      <c r="O175" s="972"/>
      <c r="P175" s="972"/>
      <c r="Q175" s="972"/>
      <c r="R175" s="972"/>
      <c r="S175" s="972"/>
      <c r="T175" s="972"/>
      <c r="U175" s="972"/>
      <c r="V175" s="973"/>
      <c r="X175" s="14" t="s">
        <v>626</v>
      </c>
    </row>
    <row r="176" spans="1:27" ht="18" hidden="1" customHeight="1">
      <c r="A176" s="974"/>
      <c r="B176" s="972"/>
      <c r="C176" s="972"/>
      <c r="D176" s="972"/>
      <c r="E176" s="972"/>
      <c r="F176" s="972"/>
      <c r="G176" s="972"/>
      <c r="H176" s="972"/>
      <c r="I176" s="972"/>
      <c r="J176" s="972"/>
      <c r="K176" s="972"/>
      <c r="L176" s="972"/>
      <c r="M176" s="972"/>
      <c r="N176" s="972"/>
      <c r="O176" s="972"/>
      <c r="P176" s="972"/>
      <c r="Q176" s="972"/>
      <c r="R176" s="972"/>
      <c r="S176" s="972"/>
      <c r="T176" s="972"/>
      <c r="U176" s="972"/>
      <c r="V176" s="973"/>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1005" t="s">
        <v>428</v>
      </c>
      <c r="B185" s="1015"/>
      <c r="C185" s="1015"/>
      <c r="D185" s="664">
        <v>30</v>
      </c>
      <c r="E185" s="664" t="s">
        <v>326</v>
      </c>
      <c r="F185" s="664" t="s">
        <v>620</v>
      </c>
      <c r="G185" s="665"/>
      <c r="H185" s="664" t="s">
        <v>326</v>
      </c>
      <c r="I185" s="696" t="s">
        <v>422</v>
      </c>
      <c r="J185" s="1066"/>
      <c r="K185" s="664" t="s">
        <v>326</v>
      </c>
      <c r="L185" s="1015" t="s">
        <v>430</v>
      </c>
      <c r="M185" s="936" t="s">
        <v>431</v>
      </c>
      <c r="N185" s="942" t="s">
        <v>358</v>
      </c>
      <c r="O185" s="936" t="s">
        <v>419</v>
      </c>
      <c r="P185" s="664" t="s">
        <v>358</v>
      </c>
      <c r="Q185" s="943" t="s">
        <v>432</v>
      </c>
      <c r="R185" s="1016"/>
      <c r="S185" s="1016"/>
      <c r="T185" s="944" t="s">
        <v>361</v>
      </c>
      <c r="U185" s="242" t="s">
        <v>433</v>
      </c>
      <c r="V185" s="97"/>
    </row>
    <row r="186" spans="1:22" ht="18" hidden="1" customHeight="1">
      <c r="A186" s="1065"/>
      <c r="B186" s="1015"/>
      <c r="C186" s="1015"/>
      <c r="D186" s="664"/>
      <c r="E186" s="664"/>
      <c r="F186" s="665"/>
      <c r="G186" s="665"/>
      <c r="H186" s="664"/>
      <c r="I186" s="664" t="s">
        <v>434</v>
      </c>
      <c r="J186" s="987"/>
      <c r="K186" s="664"/>
      <c r="L186" s="1015"/>
      <c r="M186" s="936"/>
      <c r="N186" s="942"/>
      <c r="O186" s="936"/>
      <c r="P186" s="664"/>
      <c r="Q186" s="28" t="s">
        <v>157</v>
      </c>
      <c r="R186" s="28" t="s">
        <v>326</v>
      </c>
      <c r="S186" s="28" t="s">
        <v>157</v>
      </c>
      <c r="T186" s="944"/>
      <c r="U186" s="14"/>
      <c r="V186" s="97"/>
    </row>
    <row r="187" spans="1:22" ht="18" hidden="1" customHeight="1">
      <c r="A187" s="196"/>
      <c r="V187" s="197"/>
    </row>
    <row r="188" spans="1:22" ht="18" hidden="1" customHeight="1">
      <c r="A188" s="1005" t="s">
        <v>428</v>
      </c>
      <c r="B188" s="1015"/>
      <c r="C188" s="1015"/>
      <c r="D188" s="664">
        <v>2</v>
      </c>
      <c r="E188" s="664" t="s">
        <v>326</v>
      </c>
      <c r="F188" s="664" t="s">
        <v>624</v>
      </c>
      <c r="G188" s="665"/>
      <c r="H188" s="664" t="s">
        <v>326</v>
      </c>
      <c r="I188" s="696" t="s">
        <v>422</v>
      </c>
      <c r="J188" s="1066"/>
      <c r="K188" s="664" t="s">
        <v>326</v>
      </c>
      <c r="L188" s="1015" t="s">
        <v>430</v>
      </c>
      <c r="M188" s="936" t="s">
        <v>431</v>
      </c>
      <c r="N188" s="942" t="s">
        <v>358</v>
      </c>
      <c r="O188" s="936" t="s">
        <v>419</v>
      </c>
      <c r="P188" s="664" t="s">
        <v>358</v>
      </c>
      <c r="Q188" s="943" t="s">
        <v>432</v>
      </c>
      <c r="R188" s="1016"/>
      <c r="S188" s="1016"/>
      <c r="T188" s="944" t="s">
        <v>361</v>
      </c>
      <c r="U188" s="242" t="s">
        <v>437</v>
      </c>
      <c r="V188" s="97"/>
    </row>
    <row r="189" spans="1:22" ht="18" hidden="1" customHeight="1">
      <c r="A189" s="1065"/>
      <c r="B189" s="1015"/>
      <c r="C189" s="1015"/>
      <c r="D189" s="664"/>
      <c r="E189" s="664"/>
      <c r="F189" s="665"/>
      <c r="G189" s="665"/>
      <c r="H189" s="664"/>
      <c r="I189" s="664" t="s">
        <v>434</v>
      </c>
      <c r="J189" s="987"/>
      <c r="K189" s="664"/>
      <c r="L189" s="1015"/>
      <c r="M189" s="936"/>
      <c r="N189" s="942"/>
      <c r="O189" s="936"/>
      <c r="P189" s="664"/>
      <c r="Q189" s="28" t="s">
        <v>157</v>
      </c>
      <c r="R189" s="28" t="s">
        <v>326</v>
      </c>
      <c r="S189" s="28" t="s">
        <v>157</v>
      </c>
      <c r="T189" s="944"/>
      <c r="U189" s="14"/>
      <c r="V189" s="97"/>
    </row>
    <row r="190" spans="1:22" ht="18" hidden="1" customHeight="1">
      <c r="A190" s="196"/>
      <c r="V190" s="197"/>
    </row>
    <row r="191" spans="1:22" ht="18" hidden="1" customHeight="1">
      <c r="A191" s="1018" t="s">
        <v>627</v>
      </c>
      <c r="B191" s="972"/>
      <c r="C191" s="972"/>
      <c r="D191" s="972"/>
      <c r="E191" s="972"/>
      <c r="F191" s="972"/>
      <c r="G191" s="972"/>
      <c r="H191" s="972"/>
      <c r="I191" s="972"/>
      <c r="J191" s="972"/>
      <c r="K191" s="972"/>
      <c r="L191" s="972"/>
      <c r="M191" s="972"/>
      <c r="N191" s="972"/>
      <c r="O191" s="972"/>
      <c r="P191" s="972"/>
      <c r="Q191" s="972"/>
      <c r="R191" s="972"/>
      <c r="S191" s="972"/>
      <c r="T191" s="972"/>
      <c r="U191" s="972"/>
      <c r="V191" s="973"/>
    </row>
    <row r="192" spans="1:22" ht="18" hidden="1" customHeight="1">
      <c r="A192" s="974"/>
      <c r="B192" s="972"/>
      <c r="C192" s="972"/>
      <c r="D192" s="972"/>
      <c r="E192" s="972"/>
      <c r="F192" s="972"/>
      <c r="G192" s="972"/>
      <c r="H192" s="972"/>
      <c r="I192" s="972"/>
      <c r="J192" s="972"/>
      <c r="K192" s="972"/>
      <c r="L192" s="972"/>
      <c r="M192" s="972"/>
      <c r="N192" s="972"/>
      <c r="O192" s="972"/>
      <c r="P192" s="972"/>
      <c r="Q192" s="972"/>
      <c r="R192" s="972"/>
      <c r="S192" s="972"/>
      <c r="T192" s="972"/>
      <c r="U192" s="972"/>
      <c r="V192" s="973"/>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1005" t="s">
        <v>428</v>
      </c>
      <c r="B194" s="1015"/>
      <c r="C194" s="1015"/>
      <c r="D194" s="664"/>
      <c r="E194" s="664"/>
      <c r="F194" s="664" t="s">
        <v>628</v>
      </c>
      <c r="G194" s="665"/>
      <c r="H194" s="664" t="s">
        <v>326</v>
      </c>
      <c r="I194" s="696" t="s">
        <v>422</v>
      </c>
      <c r="J194" s="1066"/>
      <c r="K194" s="664" t="s">
        <v>326</v>
      </c>
      <c r="L194" s="1015" t="s">
        <v>430</v>
      </c>
      <c r="M194" s="936" t="s">
        <v>431</v>
      </c>
      <c r="N194" s="942" t="s">
        <v>358</v>
      </c>
      <c r="O194" s="936" t="s">
        <v>419</v>
      </c>
      <c r="P194" s="664" t="s">
        <v>358</v>
      </c>
      <c r="Q194" s="943" t="s">
        <v>432</v>
      </c>
      <c r="R194" s="1016"/>
      <c r="S194" s="1016"/>
      <c r="T194" s="944" t="s">
        <v>361</v>
      </c>
      <c r="U194" s="242" t="s">
        <v>629</v>
      </c>
      <c r="V194" s="97"/>
    </row>
    <row r="195" spans="1:22" ht="18" hidden="1" customHeight="1">
      <c r="A195" s="1065"/>
      <c r="B195" s="1015"/>
      <c r="C195" s="1015"/>
      <c r="D195" s="664"/>
      <c r="E195" s="664"/>
      <c r="F195" s="665"/>
      <c r="G195" s="665"/>
      <c r="H195" s="664"/>
      <c r="I195" s="664" t="s">
        <v>434</v>
      </c>
      <c r="J195" s="987"/>
      <c r="K195" s="664"/>
      <c r="L195" s="1015"/>
      <c r="M195" s="936"/>
      <c r="N195" s="942"/>
      <c r="O195" s="936"/>
      <c r="P195" s="664"/>
      <c r="Q195" s="28" t="s">
        <v>157</v>
      </c>
      <c r="R195" s="28" t="s">
        <v>326</v>
      </c>
      <c r="S195" s="28" t="s">
        <v>157</v>
      </c>
      <c r="T195" s="944"/>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08" t="str">
        <f>M59</f>
        <v>N</v>
      </c>
      <c r="N197" s="709"/>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665" t="str">
        <f>J146</f>
        <v>-</v>
      </c>
      <c r="S200" s="665"/>
      <c r="T200" s="14" t="s">
        <v>9</v>
      </c>
      <c r="V200" s="197"/>
    </row>
    <row r="201" spans="1:22" ht="18" hidden="1" customHeight="1">
      <c r="A201" s="196"/>
      <c r="B201" s="14" t="s">
        <v>632</v>
      </c>
      <c r="C201" s="14"/>
      <c r="D201" s="14"/>
      <c r="E201" s="14"/>
      <c r="F201" s="14"/>
      <c r="G201" s="14"/>
      <c r="H201" s="14"/>
      <c r="I201" s="14"/>
      <c r="J201" s="14"/>
      <c r="P201" s="120" t="s">
        <v>620</v>
      </c>
      <c r="Q201" s="246" t="s">
        <v>138</v>
      </c>
      <c r="R201" s="665">
        <f>J167</f>
        <v>1749.5462702715934</v>
      </c>
      <c r="S201" s="665"/>
      <c r="T201" s="14" t="s">
        <v>9</v>
      </c>
      <c r="V201" s="197"/>
    </row>
    <row r="202" spans="1:22" ht="18" hidden="1" customHeight="1">
      <c r="A202" s="196"/>
      <c r="B202" s="14" t="s">
        <v>633</v>
      </c>
      <c r="C202" s="14"/>
      <c r="D202" s="14"/>
      <c r="E202" s="14"/>
      <c r="F202" s="14"/>
      <c r="G202" s="14"/>
      <c r="H202" s="14"/>
      <c r="I202" s="14"/>
      <c r="J202" s="14"/>
      <c r="P202" s="120" t="s">
        <v>624</v>
      </c>
      <c r="Q202" s="246" t="s">
        <v>138</v>
      </c>
      <c r="R202" s="665">
        <f>O173</f>
        <v>27992.740324345494</v>
      </c>
      <c r="S202" s="665"/>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665" t="str">
        <f>R66</f>
        <v>-</v>
      </c>
      <c r="S204" s="665"/>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665">
        <f>O146</f>
        <v>1</v>
      </c>
      <c r="S206" s="665"/>
      <c r="T206" s="14" t="s">
        <v>9</v>
      </c>
      <c r="V206" s="197"/>
    </row>
    <row r="207" spans="1:22" ht="18" hidden="1" customHeight="1">
      <c r="A207" s="196"/>
      <c r="B207" s="14" t="s">
        <v>448</v>
      </c>
      <c r="C207" s="14"/>
      <c r="D207" s="103"/>
      <c r="E207" s="103"/>
      <c r="F207" s="14"/>
      <c r="G207" s="14"/>
      <c r="H207" s="5"/>
      <c r="I207" s="5"/>
      <c r="J207" s="5"/>
      <c r="P207" s="120" t="s">
        <v>449</v>
      </c>
      <c r="Q207" s="246" t="s">
        <v>138</v>
      </c>
      <c r="R207" s="665">
        <f>R69</f>
        <v>1</v>
      </c>
      <c r="S207" s="665"/>
      <c r="T207" s="14" t="s">
        <v>9</v>
      </c>
      <c r="V207" s="197"/>
    </row>
    <row r="208" spans="1:22" ht="18" hidden="1" customHeight="1">
      <c r="A208" s="196"/>
      <c r="B208" s="14" t="s">
        <v>450</v>
      </c>
      <c r="C208" s="14"/>
      <c r="D208" s="103"/>
      <c r="E208" s="103"/>
      <c r="F208" s="14"/>
      <c r="G208" s="14"/>
      <c r="H208" s="5"/>
      <c r="I208" s="5"/>
      <c r="J208" s="5"/>
      <c r="P208" s="120" t="s">
        <v>451</v>
      </c>
      <c r="Q208" s="246" t="s">
        <v>138</v>
      </c>
      <c r="R208" s="665">
        <f>J148</f>
        <v>6</v>
      </c>
      <c r="S208" s="665"/>
      <c r="T208" s="204" t="s">
        <v>344</v>
      </c>
      <c r="V208" s="197"/>
    </row>
    <row r="209" spans="1:22" ht="18" hidden="1" customHeight="1">
      <c r="A209" s="196"/>
      <c r="B209" s="14" t="s">
        <v>636</v>
      </c>
      <c r="C209" s="14"/>
      <c r="D209" s="14"/>
      <c r="E209" s="14"/>
      <c r="F209" s="14"/>
      <c r="G209" s="14"/>
      <c r="H209" s="14"/>
      <c r="I209" s="14"/>
      <c r="J209" s="14"/>
      <c r="P209" s="249" t="s">
        <v>452</v>
      </c>
      <c r="Q209" s="246" t="s">
        <v>138</v>
      </c>
      <c r="R209" s="668">
        <f>P158</f>
        <v>0.46875935000000007</v>
      </c>
      <c r="S209" s="665"/>
      <c r="T209" s="204" t="s">
        <v>344</v>
      </c>
      <c r="V209" s="197"/>
    </row>
    <row r="210" spans="1:22" ht="18" hidden="1" customHeight="1">
      <c r="A210" s="196"/>
      <c r="B210" s="40" t="s">
        <v>637</v>
      </c>
      <c r="C210" s="14"/>
      <c r="D210" s="14"/>
      <c r="E210" s="14"/>
      <c r="F210" s="14"/>
      <c r="G210" s="14"/>
      <c r="H210" s="5"/>
      <c r="I210" s="5"/>
      <c r="J210" s="5"/>
      <c r="P210" s="249" t="s">
        <v>454</v>
      </c>
      <c r="Q210" s="246" t="s">
        <v>138</v>
      </c>
      <c r="R210" s="668">
        <f>J154</f>
        <v>0.02</v>
      </c>
      <c r="S210" s="665"/>
      <c r="T210" s="14" t="s">
        <v>168</v>
      </c>
      <c r="V210" s="197"/>
    </row>
    <row r="211" spans="1:22" ht="18" hidden="1" customHeight="1">
      <c r="A211" s="196"/>
      <c r="V211" s="197"/>
    </row>
    <row r="212" spans="1:22" ht="18" hidden="1" customHeight="1">
      <c r="A212" s="1005" t="s">
        <v>428</v>
      </c>
      <c r="B212" s="1015"/>
      <c r="C212" s="1015"/>
      <c r="D212" s="788">
        <v>30</v>
      </c>
      <c r="E212" s="788" t="s">
        <v>326</v>
      </c>
      <c r="F212" s="1080">
        <f>R201</f>
        <v>1749.5462702715934</v>
      </c>
      <c r="G212" s="680"/>
      <c r="H212" s="788" t="s">
        <v>326</v>
      </c>
      <c r="I212" s="790">
        <f>R206</f>
        <v>1</v>
      </c>
      <c r="J212" s="1082"/>
      <c r="K212" s="788" t="s">
        <v>326</v>
      </c>
      <c r="L212" s="975" t="s">
        <v>430</v>
      </c>
      <c r="M212" s="975">
        <f>R208</f>
        <v>6</v>
      </c>
      <c r="N212" s="1003" t="s">
        <v>358</v>
      </c>
      <c r="O212" s="1004">
        <f>R209</f>
        <v>0.46875935000000007</v>
      </c>
      <c r="P212" s="788" t="s">
        <v>358</v>
      </c>
      <c r="Q212" s="1081">
        <f>R210</f>
        <v>0.02</v>
      </c>
      <c r="R212" s="1012"/>
      <c r="S212" s="1012"/>
      <c r="T212" s="944" t="s">
        <v>361</v>
      </c>
      <c r="U212" s="242" t="s">
        <v>433</v>
      </c>
      <c r="V212" s="97"/>
    </row>
    <row r="213" spans="1:22" ht="18" hidden="1" customHeight="1">
      <c r="A213" s="1065"/>
      <c r="B213" s="1015"/>
      <c r="C213" s="1015"/>
      <c r="D213" s="788"/>
      <c r="E213" s="788"/>
      <c r="F213" s="680"/>
      <c r="G213" s="680"/>
      <c r="H213" s="788"/>
      <c r="I213" s="788" t="str">
        <f>R200</f>
        <v>-</v>
      </c>
      <c r="J213" s="977"/>
      <c r="K213" s="788"/>
      <c r="L213" s="975"/>
      <c r="M213" s="975"/>
      <c r="N213" s="1003"/>
      <c r="O213" s="975"/>
      <c r="P213" s="788"/>
      <c r="Q213" s="233">
        <f>R207</f>
        <v>1</v>
      </c>
      <c r="R213" s="233" t="s">
        <v>326</v>
      </c>
      <c r="S213" s="233">
        <f>R207</f>
        <v>1</v>
      </c>
      <c r="T213" s="944"/>
      <c r="U213" s="14"/>
      <c r="V213" s="97"/>
    </row>
    <row r="214" spans="1:22" ht="18" hidden="1" customHeight="1">
      <c r="A214" s="196"/>
      <c r="V214" s="197"/>
    </row>
    <row r="215" spans="1:22" ht="18" hidden="1" customHeight="1">
      <c r="A215" s="196"/>
      <c r="C215" s="30" t="s">
        <v>138</v>
      </c>
      <c r="D215" s="875" t="e">
        <f>D212*F212*(I212/I213)*(M212+O212+(Q212/(Q213*S213)))</f>
        <v>#VALUE!</v>
      </c>
      <c r="E215" s="876"/>
      <c r="F215" s="30" t="s">
        <v>316</v>
      </c>
      <c r="V215" s="197"/>
    </row>
    <row r="216" spans="1:22" ht="18" hidden="1" customHeight="1">
      <c r="A216" s="196"/>
      <c r="V216" s="197"/>
    </row>
    <row r="217" spans="1:22" ht="18" hidden="1" customHeight="1">
      <c r="A217" s="1005" t="s">
        <v>428</v>
      </c>
      <c r="B217" s="1015"/>
      <c r="C217" s="1015"/>
      <c r="D217" s="788">
        <v>2</v>
      </c>
      <c r="E217" s="788" t="s">
        <v>326</v>
      </c>
      <c r="F217" s="1080">
        <f>R202</f>
        <v>27992.740324345494</v>
      </c>
      <c r="G217" s="680"/>
      <c r="H217" s="788" t="s">
        <v>326</v>
      </c>
      <c r="I217" s="790">
        <f>R206</f>
        <v>1</v>
      </c>
      <c r="J217" s="1082"/>
      <c r="K217" s="788" t="s">
        <v>326</v>
      </c>
      <c r="L217" s="1002" t="s">
        <v>430</v>
      </c>
      <c r="M217" s="975">
        <f>R208</f>
        <v>6</v>
      </c>
      <c r="N217" s="1003" t="s">
        <v>358</v>
      </c>
      <c r="O217" s="1004">
        <f>R209</f>
        <v>0.46875935000000007</v>
      </c>
      <c r="P217" s="788" t="s">
        <v>358</v>
      </c>
      <c r="Q217" s="1081">
        <f>R210</f>
        <v>0.02</v>
      </c>
      <c r="R217" s="1012"/>
      <c r="S217" s="1012"/>
      <c r="T217" s="944" t="s">
        <v>361</v>
      </c>
      <c r="U217" s="242" t="s">
        <v>437</v>
      </c>
      <c r="V217" s="97"/>
    </row>
    <row r="218" spans="1:22" ht="18" hidden="1" customHeight="1">
      <c r="A218" s="1065"/>
      <c r="B218" s="1015"/>
      <c r="C218" s="1015"/>
      <c r="D218" s="788"/>
      <c r="E218" s="788"/>
      <c r="F218" s="680"/>
      <c r="G218" s="680"/>
      <c r="H218" s="788"/>
      <c r="I218" s="788" t="str">
        <f>R200</f>
        <v>-</v>
      </c>
      <c r="J218" s="977"/>
      <c r="K218" s="788"/>
      <c r="L218" s="1002"/>
      <c r="M218" s="975"/>
      <c r="N218" s="1003"/>
      <c r="O218" s="975"/>
      <c r="P218" s="788"/>
      <c r="Q218" s="233">
        <f>R207</f>
        <v>1</v>
      </c>
      <c r="R218" s="233" t="s">
        <v>326</v>
      </c>
      <c r="S218" s="233">
        <f>R207</f>
        <v>1</v>
      </c>
      <c r="T218" s="944"/>
      <c r="U218" s="14"/>
      <c r="V218" s="97"/>
    </row>
    <row r="219" spans="1:22" ht="18" hidden="1" customHeight="1">
      <c r="A219" s="196"/>
      <c r="L219" s="256"/>
      <c r="V219" s="197"/>
    </row>
    <row r="220" spans="1:22" ht="18" hidden="1" customHeight="1">
      <c r="A220" s="196"/>
      <c r="C220" s="30" t="s">
        <v>138</v>
      </c>
      <c r="D220" s="875" t="e">
        <f>D217*F217*(I217/I218)*(M217+O217+(Q217/(Q218*S218)))</f>
        <v>#VALUE!</v>
      </c>
      <c r="E220" s="876"/>
      <c r="F220" s="30" t="s">
        <v>316</v>
      </c>
      <c r="L220" s="256"/>
      <c r="V220" s="197"/>
    </row>
    <row r="221" spans="1:22" ht="18" hidden="1" customHeight="1">
      <c r="A221" s="196"/>
      <c r="L221" s="256"/>
      <c r="V221" s="197"/>
    </row>
    <row r="222" spans="1:22" ht="18" hidden="1" customHeight="1">
      <c r="A222" s="1005" t="s">
        <v>428</v>
      </c>
      <c r="B222" s="1015"/>
      <c r="C222" s="1015"/>
      <c r="D222" s="664"/>
      <c r="E222" s="664"/>
      <c r="F222" s="788" t="str">
        <f>R204</f>
        <v>-</v>
      </c>
      <c r="G222" s="976"/>
      <c r="H222" s="788" t="s">
        <v>326</v>
      </c>
      <c r="I222" s="790">
        <f>R206</f>
        <v>1</v>
      </c>
      <c r="J222" s="1082"/>
      <c r="K222" s="788" t="s">
        <v>326</v>
      </c>
      <c r="L222" s="1002" t="s">
        <v>430</v>
      </c>
      <c r="M222" s="975">
        <f>R208</f>
        <v>6</v>
      </c>
      <c r="N222" s="1003" t="s">
        <v>358</v>
      </c>
      <c r="O222" s="1004">
        <f>R209</f>
        <v>0.46875935000000007</v>
      </c>
      <c r="P222" s="788" t="s">
        <v>358</v>
      </c>
      <c r="Q222" s="1081">
        <f>R210</f>
        <v>0.02</v>
      </c>
      <c r="R222" s="1012"/>
      <c r="S222" s="1012"/>
      <c r="T222" s="944" t="s">
        <v>361</v>
      </c>
      <c r="U222" s="242" t="s">
        <v>629</v>
      </c>
      <c r="V222" s="97"/>
    </row>
    <row r="223" spans="1:22" ht="18" hidden="1" customHeight="1">
      <c r="A223" s="1065"/>
      <c r="B223" s="1015"/>
      <c r="C223" s="1015"/>
      <c r="D223" s="664"/>
      <c r="E223" s="664"/>
      <c r="F223" s="976"/>
      <c r="G223" s="976"/>
      <c r="H223" s="788"/>
      <c r="I223" s="788" t="str">
        <f>R200</f>
        <v>-</v>
      </c>
      <c r="J223" s="977"/>
      <c r="K223" s="788"/>
      <c r="L223" s="1002"/>
      <c r="M223" s="975"/>
      <c r="N223" s="1003"/>
      <c r="O223" s="975"/>
      <c r="P223" s="788"/>
      <c r="Q223" s="233">
        <f>R207</f>
        <v>1</v>
      </c>
      <c r="R223" s="233" t="s">
        <v>326</v>
      </c>
      <c r="S223" s="233">
        <f>R207</f>
        <v>1</v>
      </c>
      <c r="T223" s="944"/>
      <c r="U223" s="14"/>
      <c r="V223" s="97"/>
    </row>
    <row r="224" spans="1:22" ht="18" hidden="1" customHeight="1">
      <c r="A224" s="196"/>
      <c r="V224" s="197"/>
    </row>
    <row r="225" spans="1:22" ht="18" hidden="1" customHeight="1">
      <c r="A225" s="196"/>
      <c r="C225" s="30" t="s">
        <v>138</v>
      </c>
      <c r="D225" s="875" t="e">
        <f>F222*(I222/I223)*(M222+O222+(Q222/(Q223*S223)))</f>
        <v>#VALUE!</v>
      </c>
      <c r="E225" s="876"/>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1028" t="str">
        <f>R200</f>
        <v>-</v>
      </c>
      <c r="N240" s="1029"/>
      <c r="O240" s="30" t="s">
        <v>481</v>
      </c>
      <c r="Q240" s="875" t="e">
        <f>IF(M197="Y",MAX(D215,D225),MAX(D215,D220))</f>
        <v>#VALUE!</v>
      </c>
      <c r="R240" s="700"/>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923" t="s">
        <v>485</v>
      </c>
      <c r="R245" s="923"/>
      <c r="S245" s="28" t="s">
        <v>326</v>
      </c>
      <c r="T245" s="28">
        <v>0.8</v>
      </c>
      <c r="V245" s="197"/>
    </row>
    <row r="246" spans="1:22" ht="18" hidden="1" customHeight="1">
      <c r="A246" s="196"/>
      <c r="N246" s="264"/>
      <c r="O246" s="14"/>
      <c r="P246" s="102" t="s">
        <v>138</v>
      </c>
      <c r="Q246" s="996" t="e">
        <f>+Q240</f>
        <v>#VALUE!</v>
      </c>
      <c r="R246" s="1085"/>
      <c r="S246" s="234" t="s">
        <v>326</v>
      </c>
      <c r="T246" s="265">
        <f>+T245</f>
        <v>0.8</v>
      </c>
      <c r="V246" s="197"/>
    </row>
    <row r="247" spans="1:22" ht="18" hidden="1" customHeight="1">
      <c r="A247" s="196"/>
      <c r="O247" s="14"/>
      <c r="P247" s="28" t="s">
        <v>138</v>
      </c>
      <c r="Q247" s="997" t="e">
        <f>Q246*T246</f>
        <v>#VALUE!</v>
      </c>
      <c r="R247" s="1071"/>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665">
        <f>J149</f>
        <v>500</v>
      </c>
      <c r="F250" s="665"/>
      <c r="G250" s="28" t="s">
        <v>487</v>
      </c>
      <c r="H250" s="668" t="e">
        <f>Q247</f>
        <v>#VALUE!</v>
      </c>
      <c r="I250" s="665"/>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08" t="str">
        <f>B143</f>
        <v>T1</v>
      </c>
      <c r="C281" s="709"/>
      <c r="D281" s="710" t="str">
        <f>D143</f>
        <v>Core1</v>
      </c>
      <c r="E281" s="711"/>
      <c r="F281" s="198" t="s">
        <v>642</v>
      </c>
      <c r="H281" s="665" t="str">
        <f>H143</f>
        <v>(Transformer Differential)</v>
      </c>
      <c r="I281" s="665"/>
      <c r="J281" s="665"/>
      <c r="K281" s="665"/>
      <c r="L281" s="665"/>
      <c r="M281" s="665"/>
      <c r="P281" s="198"/>
      <c r="S281" s="199" t="s">
        <v>398</v>
      </c>
      <c r="T281" s="708" t="str">
        <f>T143</f>
        <v>RET670</v>
      </c>
      <c r="U281" s="709"/>
      <c r="V281" s="197"/>
    </row>
    <row r="282" spans="1:29" ht="18" hidden="1" customHeight="1">
      <c r="A282" s="196"/>
      <c r="B282" s="707">
        <f>B144</f>
        <v>0</v>
      </c>
      <c r="C282" s="707"/>
      <c r="D282" s="712"/>
      <c r="E282" s="713"/>
      <c r="F282" s="267"/>
      <c r="T282" s="708">
        <f>T144</f>
        <v>0</v>
      </c>
      <c r="U282" s="709"/>
      <c r="V282" s="197"/>
    </row>
    <row r="283" spans="1:29" ht="18" hidden="1" customHeight="1">
      <c r="A283" s="196"/>
      <c r="H283" s="696" t="s">
        <v>401</v>
      </c>
      <c r="I283" s="696"/>
      <c r="J283" s="696" t="s">
        <v>402</v>
      </c>
      <c r="K283" s="696"/>
      <c r="L283" s="666" t="s">
        <v>403</v>
      </c>
      <c r="M283" s="666"/>
      <c r="T283" s="708">
        <f>T145</f>
        <v>0</v>
      </c>
      <c r="U283" s="709"/>
      <c r="V283" s="197"/>
    </row>
    <row r="284" spans="1:29" ht="18" hidden="1" customHeight="1">
      <c r="A284" s="196"/>
      <c r="B284" s="47" t="s">
        <v>404</v>
      </c>
      <c r="H284" s="708">
        <f>H146</f>
        <v>2500</v>
      </c>
      <c r="I284" s="709"/>
      <c r="J284" s="708" t="str">
        <f>J146</f>
        <v>-</v>
      </c>
      <c r="K284" s="709"/>
      <c r="L284" s="714" t="str">
        <f>L146</f>
        <v>-</v>
      </c>
      <c r="M284" s="715"/>
      <c r="N284" s="102" t="s">
        <v>353</v>
      </c>
      <c r="O284" s="268">
        <f>O146</f>
        <v>1</v>
      </c>
      <c r="P284" s="27" t="s">
        <v>9</v>
      </c>
      <c r="V284" s="197"/>
    </row>
    <row r="285" spans="1:29" ht="18" hidden="1" customHeight="1">
      <c r="A285" s="196"/>
      <c r="B285" s="47" t="s">
        <v>405</v>
      </c>
      <c r="H285" s="14"/>
      <c r="I285" s="14"/>
      <c r="L285" s="708" t="str">
        <f>J147</f>
        <v>PX</v>
      </c>
      <c r="M285" s="709"/>
      <c r="V285" s="197"/>
    </row>
    <row r="286" spans="1:29" ht="18" hidden="1" customHeight="1">
      <c r="A286" s="196"/>
      <c r="B286" s="47" t="s">
        <v>407</v>
      </c>
      <c r="K286" s="120" t="s">
        <v>508</v>
      </c>
      <c r="L286" s="653" t="s">
        <v>7</v>
      </c>
      <c r="M286" s="654"/>
      <c r="N286" s="204" t="s">
        <v>344</v>
      </c>
      <c r="V286" s="197"/>
    </row>
    <row r="287" spans="1:29" ht="18" hidden="1" customHeight="1">
      <c r="A287" s="196"/>
      <c r="B287" s="47" t="s">
        <v>409</v>
      </c>
      <c r="K287" s="120" t="s">
        <v>509</v>
      </c>
      <c r="L287" s="653" t="s">
        <v>7</v>
      </c>
      <c r="M287" s="654"/>
      <c r="N287" s="14" t="s">
        <v>316</v>
      </c>
      <c r="V287" s="197"/>
      <c r="W287" s="30" t="s">
        <v>411</v>
      </c>
      <c r="AB287" s="1022" t="e">
        <f>Q376</f>
        <v>#VALUE!</v>
      </c>
      <c r="AC287" s="1023"/>
    </row>
    <row r="288" spans="1:29" ht="18" hidden="1" customHeight="1">
      <c r="A288" s="196"/>
      <c r="B288" s="14" t="s">
        <v>412</v>
      </c>
      <c r="K288" s="120" t="s">
        <v>413</v>
      </c>
      <c r="L288" s="653" t="s">
        <v>7</v>
      </c>
      <c r="M288" s="654"/>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896">
        <f>J154</f>
        <v>0.02</v>
      </c>
      <c r="K292" s="679"/>
      <c r="L292" s="3" t="s">
        <v>168</v>
      </c>
      <c r="N292" s="209" t="s">
        <v>418</v>
      </c>
      <c r="V292" s="197"/>
    </row>
    <row r="293" spans="1:22" ht="18" hidden="1" customHeight="1">
      <c r="A293" s="196"/>
      <c r="B293" s="96" t="s">
        <v>416</v>
      </c>
      <c r="D293" s="30">
        <f>T282</f>
        <v>0</v>
      </c>
      <c r="H293" s="27"/>
      <c r="I293" s="189" t="s">
        <v>138</v>
      </c>
      <c r="J293" s="1026">
        <f>J155</f>
        <v>0</v>
      </c>
      <c r="K293" s="698"/>
      <c r="L293" s="210" t="s">
        <v>168</v>
      </c>
      <c r="V293" s="197"/>
    </row>
    <row r="294" spans="1:22" ht="18" hidden="1" customHeight="1">
      <c r="A294" s="196"/>
      <c r="B294" s="96" t="s">
        <v>416</v>
      </c>
      <c r="D294" s="30">
        <f>T283</f>
        <v>0</v>
      </c>
      <c r="E294" s="14"/>
      <c r="G294" s="211"/>
      <c r="H294" s="27"/>
      <c r="I294" s="189" t="s">
        <v>138</v>
      </c>
      <c r="J294" s="699">
        <f>J156</f>
        <v>0</v>
      </c>
      <c r="K294" s="700"/>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26">
        <f>J157</f>
        <v>0.44875935000000006</v>
      </c>
      <c r="K295" s="698"/>
      <c r="L295" s="215" t="s">
        <v>168</v>
      </c>
      <c r="O295" s="27" t="s">
        <v>138</v>
      </c>
      <c r="P295" s="216">
        <f>J296</f>
        <v>0.44875935000000006</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896">
        <f>J293+J295</f>
        <v>0.44875935000000006</v>
      </c>
      <c r="K296" s="679"/>
      <c r="L296" s="222" t="s">
        <v>168</v>
      </c>
      <c r="O296" s="27" t="s">
        <v>138</v>
      </c>
      <c r="P296" s="668">
        <f>P295/(R295*T295)</f>
        <v>0.44875935000000006</v>
      </c>
      <c r="Q296" s="668"/>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07">
        <f>P161</f>
        <v>100</v>
      </c>
      <c r="Q299" s="1084"/>
      <c r="R299" s="14" t="s">
        <v>613</v>
      </c>
      <c r="S299" s="226"/>
      <c r="T299" s="18"/>
      <c r="U299" s="18"/>
      <c r="V299" s="97"/>
    </row>
    <row r="300" spans="1:22" s="14" customFormat="1" ht="18" hidden="1" customHeight="1">
      <c r="A300" s="96"/>
      <c r="B300" s="47" t="s">
        <v>614</v>
      </c>
      <c r="C300" s="5"/>
      <c r="D300" s="5"/>
      <c r="E300" s="5"/>
      <c r="I300" s="227"/>
      <c r="M300" s="5"/>
      <c r="O300" s="103" t="s">
        <v>138</v>
      </c>
      <c r="P300" s="707">
        <f>P162</f>
        <v>25</v>
      </c>
      <c r="Q300" s="1084"/>
      <c r="R300" s="14" t="s">
        <v>615</v>
      </c>
      <c r="S300" s="226"/>
      <c r="T300" s="18"/>
      <c r="U300" s="18"/>
      <c r="V300" s="97"/>
    </row>
    <row r="301" spans="1:22" s="14" customFormat="1" ht="18" hidden="1" customHeight="1">
      <c r="A301" s="96"/>
      <c r="B301" s="47" t="s">
        <v>616</v>
      </c>
      <c r="C301" s="5"/>
      <c r="D301" s="5"/>
      <c r="E301" s="5"/>
      <c r="N301" s="120" t="s">
        <v>617</v>
      </c>
      <c r="O301" s="103" t="s">
        <v>618</v>
      </c>
      <c r="P301" s="708">
        <f>P163</f>
        <v>33</v>
      </c>
      <c r="Q301" s="1071"/>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664" t="s">
        <v>621</v>
      </c>
      <c r="K303" s="664"/>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664">
        <f>P299</f>
        <v>100</v>
      </c>
      <c r="K304" s="664"/>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669">
        <f>(P299*1000)/(SQRT(3)*P301)</f>
        <v>1749.5462702715934</v>
      </c>
      <c r="K305" s="669"/>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664" t="s">
        <v>620</v>
      </c>
      <c r="P309" s="936"/>
      <c r="Q309" s="233" t="s">
        <v>641</v>
      </c>
      <c r="R309" s="233">
        <v>16</v>
      </c>
      <c r="S309" s="198"/>
      <c r="V309" s="197"/>
    </row>
    <row r="310" spans="1:22" ht="18" hidden="1" customHeight="1">
      <c r="A310" s="96"/>
      <c r="B310" s="5"/>
      <c r="C310" s="5"/>
      <c r="D310" s="5"/>
      <c r="E310" s="5"/>
      <c r="M310" s="262"/>
      <c r="N310" s="28" t="s">
        <v>138</v>
      </c>
      <c r="O310" s="669">
        <f>+J305</f>
        <v>1749.5462702715934</v>
      </c>
      <c r="P310" s="1067"/>
      <c r="Q310" s="233" t="s">
        <v>641</v>
      </c>
      <c r="R310" s="233">
        <v>16</v>
      </c>
      <c r="S310" s="198"/>
      <c r="V310" s="197"/>
    </row>
    <row r="311" spans="1:22" ht="18" hidden="1" customHeight="1">
      <c r="A311" s="96"/>
      <c r="B311" s="5"/>
      <c r="C311" s="5"/>
      <c r="D311" s="5"/>
      <c r="E311" s="5"/>
      <c r="M311" s="120" t="s">
        <v>624</v>
      </c>
      <c r="N311" s="28" t="s">
        <v>138</v>
      </c>
      <c r="O311" s="664">
        <f>O310*R310</f>
        <v>27992.740324345494</v>
      </c>
      <c r="P311" s="936"/>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1018" t="s">
        <v>644</v>
      </c>
      <c r="B313" s="972"/>
      <c r="C313" s="972"/>
      <c r="D313" s="972"/>
      <c r="E313" s="972"/>
      <c r="F313" s="972"/>
      <c r="G313" s="972"/>
      <c r="H313" s="972"/>
      <c r="I313" s="972"/>
      <c r="J313" s="972"/>
      <c r="K313" s="972"/>
      <c r="L313" s="972"/>
      <c r="M313" s="972"/>
      <c r="N313" s="972"/>
      <c r="O313" s="972"/>
      <c r="P313" s="972"/>
      <c r="Q313" s="972"/>
      <c r="R313" s="972"/>
      <c r="S313" s="972"/>
      <c r="T313" s="972"/>
      <c r="U313" s="972"/>
      <c r="V313" s="973"/>
    </row>
    <row r="314" spans="1:22" ht="18" hidden="1" customHeight="1">
      <c r="A314" s="974"/>
      <c r="B314" s="972"/>
      <c r="C314" s="972"/>
      <c r="D314" s="972"/>
      <c r="E314" s="972"/>
      <c r="F314" s="972"/>
      <c r="G314" s="972"/>
      <c r="H314" s="972"/>
      <c r="I314" s="972"/>
      <c r="J314" s="972"/>
      <c r="K314" s="972"/>
      <c r="L314" s="972"/>
      <c r="M314" s="972"/>
      <c r="N314" s="972"/>
      <c r="O314" s="972"/>
      <c r="P314" s="972"/>
      <c r="Q314" s="972"/>
      <c r="R314" s="972"/>
      <c r="S314" s="972"/>
      <c r="T314" s="972"/>
      <c r="U314" s="972"/>
      <c r="V314" s="973"/>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1005" t="s">
        <v>428</v>
      </c>
      <c r="B325" s="1015"/>
      <c r="C325" s="1015"/>
      <c r="D325" s="664">
        <v>30</v>
      </c>
      <c r="E325" s="664" t="s">
        <v>326</v>
      </c>
      <c r="F325" s="664" t="s">
        <v>620</v>
      </c>
      <c r="G325" s="665"/>
      <c r="H325" s="664" t="s">
        <v>326</v>
      </c>
      <c r="I325" s="696" t="s">
        <v>422</v>
      </c>
      <c r="J325" s="1066"/>
      <c r="K325" s="664" t="s">
        <v>326</v>
      </c>
      <c r="L325" s="1015" t="s">
        <v>430</v>
      </c>
      <c r="M325" s="936" t="s">
        <v>431</v>
      </c>
      <c r="N325" s="942" t="s">
        <v>358</v>
      </c>
      <c r="O325" s="936" t="s">
        <v>419</v>
      </c>
      <c r="P325" s="664" t="s">
        <v>358</v>
      </c>
      <c r="Q325" s="943" t="s">
        <v>432</v>
      </c>
      <c r="R325" s="1016"/>
      <c r="S325" s="1016"/>
      <c r="T325" s="944" t="s">
        <v>361</v>
      </c>
      <c r="U325" s="242" t="s">
        <v>433</v>
      </c>
      <c r="V325" s="97"/>
    </row>
    <row r="326" spans="1:22" ht="18" hidden="1" customHeight="1">
      <c r="A326" s="1065"/>
      <c r="B326" s="1015"/>
      <c r="C326" s="1015"/>
      <c r="D326" s="664"/>
      <c r="E326" s="664"/>
      <c r="F326" s="665"/>
      <c r="G326" s="665"/>
      <c r="H326" s="664"/>
      <c r="I326" s="664" t="s">
        <v>434</v>
      </c>
      <c r="J326" s="987"/>
      <c r="K326" s="664"/>
      <c r="L326" s="1015"/>
      <c r="M326" s="936"/>
      <c r="N326" s="942"/>
      <c r="O326" s="936"/>
      <c r="P326" s="664"/>
      <c r="Q326" s="28" t="s">
        <v>157</v>
      </c>
      <c r="R326" s="28" t="s">
        <v>326</v>
      </c>
      <c r="S326" s="28" t="s">
        <v>157</v>
      </c>
      <c r="T326" s="944"/>
      <c r="U326" s="14"/>
      <c r="V326" s="97"/>
    </row>
    <row r="327" spans="1:22" ht="18" hidden="1" customHeight="1">
      <c r="A327" s="196"/>
      <c r="V327" s="197"/>
    </row>
    <row r="328" spans="1:22" ht="18" hidden="1" customHeight="1">
      <c r="A328" s="1005" t="s">
        <v>428</v>
      </c>
      <c r="B328" s="1015"/>
      <c r="C328" s="1015"/>
      <c r="D328" s="664">
        <v>2</v>
      </c>
      <c r="E328" s="664" t="s">
        <v>326</v>
      </c>
      <c r="F328" s="664" t="s">
        <v>624</v>
      </c>
      <c r="G328" s="665"/>
      <c r="H328" s="664" t="s">
        <v>326</v>
      </c>
      <c r="I328" s="696" t="s">
        <v>422</v>
      </c>
      <c r="J328" s="1066"/>
      <c r="K328" s="664" t="s">
        <v>326</v>
      </c>
      <c r="L328" s="1015" t="s">
        <v>430</v>
      </c>
      <c r="M328" s="936" t="s">
        <v>431</v>
      </c>
      <c r="N328" s="942" t="s">
        <v>358</v>
      </c>
      <c r="O328" s="936" t="s">
        <v>419</v>
      </c>
      <c r="P328" s="664" t="s">
        <v>358</v>
      </c>
      <c r="Q328" s="943" t="s">
        <v>432</v>
      </c>
      <c r="R328" s="1016"/>
      <c r="S328" s="1016"/>
      <c r="T328" s="944" t="s">
        <v>361</v>
      </c>
      <c r="U328" s="242" t="s">
        <v>437</v>
      </c>
      <c r="V328" s="97"/>
    </row>
    <row r="329" spans="1:22" ht="18" hidden="1" customHeight="1">
      <c r="A329" s="1065"/>
      <c r="B329" s="1015"/>
      <c r="C329" s="1015"/>
      <c r="D329" s="664"/>
      <c r="E329" s="664"/>
      <c r="F329" s="665"/>
      <c r="G329" s="665"/>
      <c r="H329" s="664"/>
      <c r="I329" s="664" t="s">
        <v>434</v>
      </c>
      <c r="J329" s="987"/>
      <c r="K329" s="664"/>
      <c r="L329" s="1015"/>
      <c r="M329" s="936"/>
      <c r="N329" s="942"/>
      <c r="O329" s="936"/>
      <c r="P329" s="664"/>
      <c r="Q329" s="28" t="s">
        <v>157</v>
      </c>
      <c r="R329" s="28" t="s">
        <v>326</v>
      </c>
      <c r="S329" s="28" t="s">
        <v>157</v>
      </c>
      <c r="T329" s="944"/>
      <c r="U329" s="14"/>
      <c r="V329" s="97"/>
    </row>
    <row r="330" spans="1:22" ht="18" hidden="1" customHeight="1">
      <c r="A330" s="196"/>
      <c r="V330" s="197"/>
    </row>
    <row r="331" spans="1:22" ht="18" hidden="1" customHeight="1">
      <c r="A331" s="1018" t="s">
        <v>627</v>
      </c>
      <c r="B331" s="972"/>
      <c r="C331" s="972"/>
      <c r="D331" s="972"/>
      <c r="E331" s="972"/>
      <c r="F331" s="972"/>
      <c r="G331" s="972"/>
      <c r="H331" s="972"/>
      <c r="I331" s="972"/>
      <c r="J331" s="972"/>
      <c r="K331" s="972"/>
      <c r="L331" s="972"/>
      <c r="M331" s="972"/>
      <c r="N331" s="972"/>
      <c r="O331" s="972"/>
      <c r="P331" s="972"/>
      <c r="Q331" s="972"/>
      <c r="R331" s="972"/>
      <c r="S331" s="972"/>
      <c r="T331" s="972"/>
      <c r="U331" s="972"/>
      <c r="V331" s="973"/>
    </row>
    <row r="332" spans="1:22" ht="18" hidden="1" customHeight="1">
      <c r="A332" s="974"/>
      <c r="B332" s="972"/>
      <c r="C332" s="972"/>
      <c r="D332" s="972"/>
      <c r="E332" s="972"/>
      <c r="F332" s="972"/>
      <c r="G332" s="972"/>
      <c r="H332" s="972"/>
      <c r="I332" s="972"/>
      <c r="J332" s="972"/>
      <c r="K332" s="972"/>
      <c r="L332" s="972"/>
      <c r="M332" s="972"/>
      <c r="N332" s="972"/>
      <c r="O332" s="972"/>
      <c r="P332" s="972"/>
      <c r="Q332" s="972"/>
      <c r="R332" s="972"/>
      <c r="S332" s="972"/>
      <c r="T332" s="972"/>
      <c r="U332" s="972"/>
      <c r="V332" s="973"/>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1005" t="s">
        <v>428</v>
      </c>
      <c r="B334" s="1015"/>
      <c r="C334" s="1015"/>
      <c r="D334" s="664"/>
      <c r="E334" s="664"/>
      <c r="F334" s="664" t="s">
        <v>628</v>
      </c>
      <c r="G334" s="665"/>
      <c r="H334" s="664" t="s">
        <v>326</v>
      </c>
      <c r="I334" s="696" t="s">
        <v>422</v>
      </c>
      <c r="J334" s="1066"/>
      <c r="K334" s="664" t="s">
        <v>326</v>
      </c>
      <c r="L334" s="1015" t="s">
        <v>430</v>
      </c>
      <c r="M334" s="936" t="s">
        <v>431</v>
      </c>
      <c r="N334" s="942" t="s">
        <v>358</v>
      </c>
      <c r="O334" s="936" t="s">
        <v>419</v>
      </c>
      <c r="P334" s="664" t="s">
        <v>358</v>
      </c>
      <c r="Q334" s="943" t="s">
        <v>432</v>
      </c>
      <c r="R334" s="1016"/>
      <c r="S334" s="1016"/>
      <c r="T334" s="944" t="s">
        <v>361</v>
      </c>
      <c r="U334" s="242" t="s">
        <v>629</v>
      </c>
      <c r="V334" s="97"/>
    </row>
    <row r="335" spans="1:22" ht="18" hidden="1" customHeight="1">
      <c r="A335" s="1065"/>
      <c r="B335" s="1015"/>
      <c r="C335" s="1015"/>
      <c r="D335" s="664"/>
      <c r="E335" s="664"/>
      <c r="F335" s="665"/>
      <c r="G335" s="665"/>
      <c r="H335" s="664"/>
      <c r="I335" s="664" t="s">
        <v>434</v>
      </c>
      <c r="J335" s="987"/>
      <c r="K335" s="664"/>
      <c r="L335" s="1015"/>
      <c r="M335" s="936"/>
      <c r="N335" s="942"/>
      <c r="O335" s="936"/>
      <c r="P335" s="664"/>
      <c r="Q335" s="28" t="s">
        <v>157</v>
      </c>
      <c r="R335" s="28" t="s">
        <v>326</v>
      </c>
      <c r="S335" s="28" t="s">
        <v>157</v>
      </c>
      <c r="T335" s="944"/>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08" t="str">
        <f>M197</f>
        <v>N</v>
      </c>
      <c r="N337" s="709"/>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665" t="str">
        <f>L284</f>
        <v>-</v>
      </c>
      <c r="S340" s="665"/>
      <c r="T340" s="14" t="s">
        <v>9</v>
      </c>
      <c r="V340" s="197"/>
    </row>
    <row r="341" spans="1:22" ht="18" hidden="1" customHeight="1">
      <c r="A341" s="196"/>
      <c r="B341" s="14" t="s">
        <v>632</v>
      </c>
      <c r="C341" s="14"/>
      <c r="D341" s="14"/>
      <c r="E341" s="14"/>
      <c r="F341" s="14"/>
      <c r="G341" s="14"/>
      <c r="H341" s="14"/>
      <c r="I341" s="14"/>
      <c r="J341" s="14"/>
      <c r="P341" s="120" t="s">
        <v>620</v>
      </c>
      <c r="Q341" s="246" t="s">
        <v>138</v>
      </c>
      <c r="R341" s="665">
        <f>J305</f>
        <v>1749.5462702715934</v>
      </c>
      <c r="S341" s="665"/>
      <c r="T341" s="14" t="s">
        <v>9</v>
      </c>
      <c r="V341" s="197"/>
    </row>
    <row r="342" spans="1:22" ht="18" hidden="1" customHeight="1">
      <c r="A342" s="196"/>
      <c r="B342" s="14" t="s">
        <v>633</v>
      </c>
      <c r="C342" s="14"/>
      <c r="D342" s="14"/>
      <c r="E342" s="14"/>
      <c r="F342" s="14"/>
      <c r="G342" s="14"/>
      <c r="H342" s="14"/>
      <c r="I342" s="14"/>
      <c r="J342" s="14"/>
      <c r="P342" s="120" t="s">
        <v>624</v>
      </c>
      <c r="Q342" s="246" t="s">
        <v>138</v>
      </c>
      <c r="R342" s="665">
        <f>O311</f>
        <v>27992.740324345494</v>
      </c>
      <c r="S342" s="665"/>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665" t="str">
        <f>R204</f>
        <v>-</v>
      </c>
      <c r="S344" s="665"/>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665">
        <f>O284</f>
        <v>1</v>
      </c>
      <c r="S346" s="665"/>
      <c r="T346" s="14" t="s">
        <v>9</v>
      </c>
      <c r="V346" s="197"/>
    </row>
    <row r="347" spans="1:22" ht="18" hidden="1" customHeight="1">
      <c r="A347" s="196"/>
      <c r="B347" s="14" t="s">
        <v>448</v>
      </c>
      <c r="C347" s="14"/>
      <c r="D347" s="103"/>
      <c r="E347" s="103"/>
      <c r="F347" s="14"/>
      <c r="G347" s="14"/>
      <c r="H347" s="5"/>
      <c r="I347" s="5"/>
      <c r="J347" s="5"/>
      <c r="P347" s="120" t="s">
        <v>449</v>
      </c>
      <c r="Q347" s="246" t="s">
        <v>138</v>
      </c>
      <c r="R347" s="665">
        <f>R207</f>
        <v>1</v>
      </c>
      <c r="S347" s="665"/>
      <c r="T347" s="14" t="s">
        <v>9</v>
      </c>
      <c r="V347" s="197"/>
    </row>
    <row r="348" spans="1:22" ht="18" hidden="1" customHeight="1">
      <c r="A348" s="196"/>
      <c r="B348" s="14" t="s">
        <v>450</v>
      </c>
      <c r="C348" s="14"/>
      <c r="D348" s="103"/>
      <c r="E348" s="103"/>
      <c r="F348" s="14"/>
      <c r="G348" s="14"/>
      <c r="H348" s="5"/>
      <c r="I348" s="5"/>
      <c r="J348" s="5"/>
      <c r="P348" s="120" t="s">
        <v>451</v>
      </c>
      <c r="Q348" s="246" t="s">
        <v>138</v>
      </c>
      <c r="R348" s="665" t="str">
        <f>L286</f>
        <v>-</v>
      </c>
      <c r="S348" s="665"/>
      <c r="T348" s="204" t="s">
        <v>344</v>
      </c>
      <c r="V348" s="197"/>
    </row>
    <row r="349" spans="1:22" ht="18" hidden="1" customHeight="1">
      <c r="A349" s="196"/>
      <c r="B349" s="14" t="s">
        <v>636</v>
      </c>
      <c r="C349" s="14"/>
      <c r="D349" s="14"/>
      <c r="E349" s="14"/>
      <c r="F349" s="14"/>
      <c r="G349" s="14"/>
      <c r="H349" s="14"/>
      <c r="I349" s="14"/>
      <c r="J349" s="14"/>
      <c r="P349" s="249" t="s">
        <v>452</v>
      </c>
      <c r="Q349" s="246" t="s">
        <v>138</v>
      </c>
      <c r="R349" s="668">
        <f>P296</f>
        <v>0.44875935000000006</v>
      </c>
      <c r="S349" s="665"/>
      <c r="T349" s="204" t="s">
        <v>344</v>
      </c>
      <c r="V349" s="197"/>
    </row>
    <row r="350" spans="1:22" ht="18" hidden="1" customHeight="1">
      <c r="A350" s="196"/>
      <c r="B350" s="40" t="s">
        <v>453</v>
      </c>
      <c r="C350" s="14"/>
      <c r="D350" s="14"/>
      <c r="E350" s="14"/>
      <c r="F350" s="14"/>
      <c r="G350" s="14"/>
      <c r="H350" s="5"/>
      <c r="I350" s="5"/>
      <c r="J350" s="5"/>
      <c r="P350" s="249" t="s">
        <v>454</v>
      </c>
      <c r="Q350" s="246" t="s">
        <v>138</v>
      </c>
      <c r="R350" s="668">
        <f>J292</f>
        <v>0.02</v>
      </c>
      <c r="S350" s="665"/>
      <c r="T350" s="14" t="s">
        <v>168</v>
      </c>
      <c r="V350" s="197"/>
    </row>
    <row r="351" spans="1:22" ht="18" hidden="1" customHeight="1">
      <c r="A351" s="196"/>
      <c r="V351" s="197"/>
    </row>
    <row r="352" spans="1:22" ht="18" hidden="1" customHeight="1">
      <c r="A352" s="1005" t="s">
        <v>428</v>
      </c>
      <c r="B352" s="1015"/>
      <c r="C352" s="1015"/>
      <c r="D352" s="788">
        <v>30</v>
      </c>
      <c r="E352" s="788" t="s">
        <v>326</v>
      </c>
      <c r="F352" s="1080">
        <f>R341</f>
        <v>1749.5462702715934</v>
      </c>
      <c r="G352" s="680"/>
      <c r="H352" s="788" t="s">
        <v>326</v>
      </c>
      <c r="I352" s="790">
        <f>R346</f>
        <v>1</v>
      </c>
      <c r="J352" s="1082"/>
      <c r="K352" s="788" t="s">
        <v>326</v>
      </c>
      <c r="L352" s="975" t="s">
        <v>430</v>
      </c>
      <c r="M352" s="975" t="str">
        <f>R348</f>
        <v>-</v>
      </c>
      <c r="N352" s="1003" t="s">
        <v>358</v>
      </c>
      <c r="O352" s="1004">
        <f>R349</f>
        <v>0.44875935000000006</v>
      </c>
      <c r="P352" s="788" t="s">
        <v>358</v>
      </c>
      <c r="Q352" s="1081">
        <f>R350</f>
        <v>0.02</v>
      </c>
      <c r="R352" s="1012"/>
      <c r="S352" s="1012"/>
      <c r="T352" s="944" t="s">
        <v>361</v>
      </c>
      <c r="U352" s="242" t="s">
        <v>433</v>
      </c>
      <c r="V352" s="97"/>
    </row>
    <row r="353" spans="1:22" ht="18" hidden="1" customHeight="1">
      <c r="A353" s="1065"/>
      <c r="B353" s="1015"/>
      <c r="C353" s="1015"/>
      <c r="D353" s="788"/>
      <c r="E353" s="788"/>
      <c r="F353" s="680"/>
      <c r="G353" s="680"/>
      <c r="H353" s="788"/>
      <c r="I353" s="788" t="str">
        <f>R340</f>
        <v>-</v>
      </c>
      <c r="J353" s="977"/>
      <c r="K353" s="788"/>
      <c r="L353" s="975"/>
      <c r="M353" s="975"/>
      <c r="N353" s="1003"/>
      <c r="O353" s="975"/>
      <c r="P353" s="788"/>
      <c r="Q353" s="233">
        <f>R347</f>
        <v>1</v>
      </c>
      <c r="R353" s="233" t="s">
        <v>326</v>
      </c>
      <c r="S353" s="233">
        <f>R347</f>
        <v>1</v>
      </c>
      <c r="T353" s="944"/>
      <c r="U353" s="14"/>
      <c r="V353" s="97"/>
    </row>
    <row r="354" spans="1:22" ht="18" hidden="1" customHeight="1">
      <c r="A354" s="196"/>
      <c r="V354" s="197"/>
    </row>
    <row r="355" spans="1:22" ht="18" hidden="1" customHeight="1">
      <c r="A355" s="196"/>
      <c r="C355" s="30" t="s">
        <v>138</v>
      </c>
      <c r="D355" s="875" t="e">
        <f>D352*F352*(I352/I353)*(M352+O352+(Q352/(Q353*S353)))</f>
        <v>#VALUE!</v>
      </c>
      <c r="E355" s="876"/>
      <c r="F355" s="30" t="s">
        <v>316</v>
      </c>
      <c r="V355" s="197"/>
    </row>
    <row r="356" spans="1:22" ht="18" hidden="1" customHeight="1">
      <c r="A356" s="196"/>
      <c r="V356" s="197"/>
    </row>
    <row r="357" spans="1:22" ht="18" hidden="1" customHeight="1">
      <c r="A357" s="1005" t="s">
        <v>428</v>
      </c>
      <c r="B357" s="1015"/>
      <c r="C357" s="1015"/>
      <c r="D357" s="788">
        <v>2</v>
      </c>
      <c r="E357" s="788" t="s">
        <v>326</v>
      </c>
      <c r="F357" s="1080">
        <f>R342</f>
        <v>27992.740324345494</v>
      </c>
      <c r="G357" s="680"/>
      <c r="H357" s="788" t="s">
        <v>326</v>
      </c>
      <c r="I357" s="790">
        <f>R346</f>
        <v>1</v>
      </c>
      <c r="J357" s="1082"/>
      <c r="K357" s="788" t="s">
        <v>326</v>
      </c>
      <c r="L357" s="1002" t="s">
        <v>430</v>
      </c>
      <c r="M357" s="975" t="str">
        <f>R348</f>
        <v>-</v>
      </c>
      <c r="N357" s="1003" t="s">
        <v>358</v>
      </c>
      <c r="O357" s="1004">
        <f>R349</f>
        <v>0.44875935000000006</v>
      </c>
      <c r="P357" s="788" t="s">
        <v>358</v>
      </c>
      <c r="Q357" s="1081">
        <f>R350</f>
        <v>0.02</v>
      </c>
      <c r="R357" s="1012"/>
      <c r="S357" s="1012"/>
      <c r="T357" s="944" t="s">
        <v>361</v>
      </c>
      <c r="U357" s="242" t="s">
        <v>437</v>
      </c>
      <c r="V357" s="97"/>
    </row>
    <row r="358" spans="1:22" ht="18" hidden="1" customHeight="1">
      <c r="A358" s="1065"/>
      <c r="B358" s="1015"/>
      <c r="C358" s="1015"/>
      <c r="D358" s="788"/>
      <c r="E358" s="788"/>
      <c r="F358" s="680"/>
      <c r="G358" s="680"/>
      <c r="H358" s="788"/>
      <c r="I358" s="788" t="str">
        <f>R340</f>
        <v>-</v>
      </c>
      <c r="J358" s="977"/>
      <c r="K358" s="788"/>
      <c r="L358" s="1002"/>
      <c r="M358" s="975"/>
      <c r="N358" s="1003"/>
      <c r="O358" s="975"/>
      <c r="P358" s="788"/>
      <c r="Q358" s="233">
        <f>R347</f>
        <v>1</v>
      </c>
      <c r="R358" s="233" t="s">
        <v>326</v>
      </c>
      <c r="S358" s="233">
        <f>R347</f>
        <v>1</v>
      </c>
      <c r="T358" s="944"/>
      <c r="U358" s="14"/>
      <c r="V358" s="97"/>
    </row>
    <row r="359" spans="1:22" ht="18" hidden="1" customHeight="1">
      <c r="A359" s="196"/>
      <c r="L359" s="256"/>
      <c r="V359" s="197"/>
    </row>
    <row r="360" spans="1:22" ht="18" hidden="1" customHeight="1">
      <c r="A360" s="196"/>
      <c r="C360" s="30" t="s">
        <v>138</v>
      </c>
      <c r="D360" s="875" t="e">
        <f>D357*F357*(I357/I358)*(M357+O357+(Q357/(Q358*S358)))</f>
        <v>#VALUE!</v>
      </c>
      <c r="E360" s="876"/>
      <c r="F360" s="30" t="s">
        <v>316</v>
      </c>
      <c r="L360" s="256"/>
      <c r="V360" s="197"/>
    </row>
    <row r="361" spans="1:22" ht="18" hidden="1" customHeight="1">
      <c r="A361" s="196"/>
      <c r="L361" s="256"/>
      <c r="V361" s="197"/>
    </row>
    <row r="362" spans="1:22" ht="18" hidden="1" customHeight="1">
      <c r="A362" s="1005" t="s">
        <v>428</v>
      </c>
      <c r="B362" s="1015"/>
      <c r="C362" s="1015"/>
      <c r="D362" s="664"/>
      <c r="E362" s="664"/>
      <c r="F362" s="788" t="str">
        <f>R344</f>
        <v>-</v>
      </c>
      <c r="G362" s="976"/>
      <c r="H362" s="788" t="s">
        <v>326</v>
      </c>
      <c r="I362" s="790">
        <f>R346</f>
        <v>1</v>
      </c>
      <c r="J362" s="1082"/>
      <c r="K362" s="788" t="s">
        <v>326</v>
      </c>
      <c r="L362" s="1002" t="s">
        <v>430</v>
      </c>
      <c r="M362" s="975" t="str">
        <f>R348</f>
        <v>-</v>
      </c>
      <c r="N362" s="1003" t="s">
        <v>358</v>
      </c>
      <c r="O362" s="1004">
        <f>R349</f>
        <v>0.44875935000000006</v>
      </c>
      <c r="P362" s="788" t="s">
        <v>358</v>
      </c>
      <c r="Q362" s="1081">
        <f>R350</f>
        <v>0.02</v>
      </c>
      <c r="R362" s="1012"/>
      <c r="S362" s="1012"/>
      <c r="T362" s="944" t="s">
        <v>361</v>
      </c>
      <c r="U362" s="242" t="s">
        <v>629</v>
      </c>
      <c r="V362" s="97"/>
    </row>
    <row r="363" spans="1:22" ht="18" hidden="1" customHeight="1">
      <c r="A363" s="1065"/>
      <c r="B363" s="1015"/>
      <c r="C363" s="1015"/>
      <c r="D363" s="664"/>
      <c r="E363" s="664"/>
      <c r="F363" s="976"/>
      <c r="G363" s="976"/>
      <c r="H363" s="788"/>
      <c r="I363" s="788" t="str">
        <f>R340</f>
        <v>-</v>
      </c>
      <c r="J363" s="977"/>
      <c r="K363" s="788"/>
      <c r="L363" s="1002"/>
      <c r="M363" s="975"/>
      <c r="N363" s="1003"/>
      <c r="O363" s="975"/>
      <c r="P363" s="788"/>
      <c r="Q363" s="233">
        <f>R347</f>
        <v>1</v>
      </c>
      <c r="R363" s="233" t="s">
        <v>326</v>
      </c>
      <c r="S363" s="233">
        <f>R347</f>
        <v>1</v>
      </c>
      <c r="T363" s="944"/>
      <c r="U363" s="14"/>
      <c r="V363" s="97"/>
    </row>
    <row r="364" spans="1:22" ht="18" hidden="1" customHeight="1">
      <c r="A364" s="196"/>
      <c r="V364" s="197"/>
    </row>
    <row r="365" spans="1:22" ht="18" hidden="1" customHeight="1">
      <c r="A365" s="196"/>
      <c r="C365" s="30" t="s">
        <v>138</v>
      </c>
      <c r="D365" s="875" t="e">
        <f>F362*(I362/I363)*(M362+O362+(Q362/(Q363*S363)))</f>
        <v>#VALUE!</v>
      </c>
      <c r="E365" s="876"/>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1028" t="str">
        <f>R340</f>
        <v>-</v>
      </c>
      <c r="N369" s="1029"/>
      <c r="O369" s="30" t="s">
        <v>481</v>
      </c>
      <c r="Q369" s="875" t="e">
        <f>IF(M337="Y",MAX(D355,D365),MAX(D355,D360))</f>
        <v>#VALUE!</v>
      </c>
      <c r="R369" s="700"/>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923" t="s">
        <v>485</v>
      </c>
      <c r="R374" s="923"/>
      <c r="S374" s="28" t="s">
        <v>326</v>
      </c>
      <c r="T374" s="28">
        <v>0.8</v>
      </c>
      <c r="V374" s="197"/>
    </row>
    <row r="375" spans="1:22" ht="18" hidden="1" customHeight="1">
      <c r="A375" s="196"/>
      <c r="N375" s="264"/>
      <c r="O375" s="14"/>
      <c r="P375" s="102" t="s">
        <v>138</v>
      </c>
      <c r="Q375" s="996" t="e">
        <f>+Q369</f>
        <v>#VALUE!</v>
      </c>
      <c r="R375" s="1085"/>
      <c r="S375" s="234" t="s">
        <v>326</v>
      </c>
      <c r="T375" s="265">
        <f>+T374</f>
        <v>0.8</v>
      </c>
      <c r="V375" s="197"/>
    </row>
    <row r="376" spans="1:22" ht="18" hidden="1" customHeight="1">
      <c r="A376" s="196"/>
      <c r="O376" s="14"/>
      <c r="P376" s="28" t="s">
        <v>138</v>
      </c>
      <c r="Q376" s="997" t="e">
        <f>Q375*T375</f>
        <v>#VALUE!</v>
      </c>
      <c r="R376" s="1071"/>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665" t="str">
        <f>L287</f>
        <v>-</v>
      </c>
      <c r="F379" s="665"/>
      <c r="G379" s="27" t="e">
        <f>G378</f>
        <v>#VALUE!</v>
      </c>
      <c r="H379" s="668" t="e">
        <f>Q376</f>
        <v>#VALUE!</v>
      </c>
      <c r="I379" s="665"/>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16" t="s">
        <v>97</v>
      </c>
      <c r="B414" s="729"/>
      <c r="C414" s="717"/>
      <c r="D414" s="716" t="s">
        <v>98</v>
      </c>
      <c r="E414" s="729"/>
      <c r="F414" s="717"/>
      <c r="G414" s="716" t="s">
        <v>99</v>
      </c>
      <c r="H414" s="717"/>
      <c r="I414" s="716" t="s">
        <v>100</v>
      </c>
      <c r="J414" s="717"/>
      <c r="K414" s="716" t="s">
        <v>513</v>
      </c>
      <c r="L414" s="717"/>
      <c r="M414" s="716" t="s">
        <v>514</v>
      </c>
      <c r="N414" s="717"/>
      <c r="O414" s="716" t="s">
        <v>515</v>
      </c>
      <c r="P414" s="717"/>
      <c r="Q414" s="716" t="s">
        <v>516</v>
      </c>
      <c r="R414" s="717"/>
      <c r="S414" s="716" t="s">
        <v>105</v>
      </c>
      <c r="T414" s="729"/>
      <c r="U414" s="729"/>
      <c r="V414" s="717"/>
    </row>
    <row r="415" spans="1:22" ht="18" customHeight="1">
      <c r="A415" s="718"/>
      <c r="B415" s="730"/>
      <c r="C415" s="719"/>
      <c r="D415" s="718"/>
      <c r="E415" s="730"/>
      <c r="F415" s="719"/>
      <c r="G415" s="718"/>
      <c r="H415" s="719"/>
      <c r="I415" s="718"/>
      <c r="J415" s="719"/>
      <c r="K415" s="718"/>
      <c r="L415" s="719"/>
      <c r="M415" s="718"/>
      <c r="N415" s="719"/>
      <c r="O415" s="718"/>
      <c r="P415" s="719"/>
      <c r="Q415" s="718"/>
      <c r="R415" s="719"/>
      <c r="S415" s="718"/>
      <c r="T415" s="730"/>
      <c r="U415" s="730"/>
      <c r="V415" s="719"/>
    </row>
    <row r="416" spans="1:22" ht="18" customHeight="1">
      <c r="A416" s="718"/>
      <c r="B416" s="730"/>
      <c r="C416" s="719"/>
      <c r="D416" s="718"/>
      <c r="E416" s="730"/>
      <c r="F416" s="719"/>
      <c r="G416" s="718"/>
      <c r="H416" s="719"/>
      <c r="I416" s="718"/>
      <c r="J416" s="719"/>
      <c r="K416" s="718"/>
      <c r="L416" s="719"/>
      <c r="M416" s="718"/>
      <c r="N416" s="719"/>
      <c r="O416" s="718"/>
      <c r="P416" s="719"/>
      <c r="Q416" s="718"/>
      <c r="R416" s="719"/>
      <c r="S416" s="718"/>
      <c r="T416" s="730"/>
      <c r="U416" s="730"/>
      <c r="V416" s="719"/>
    </row>
    <row r="417" spans="1:22" ht="18" customHeight="1">
      <c r="A417" s="720"/>
      <c r="B417" s="731"/>
      <c r="C417" s="721"/>
      <c r="D417" s="720"/>
      <c r="E417" s="731"/>
      <c r="F417" s="721"/>
      <c r="G417" s="720"/>
      <c r="H417" s="721"/>
      <c r="I417" s="720"/>
      <c r="J417" s="721"/>
      <c r="K417" s="720"/>
      <c r="L417" s="721"/>
      <c r="M417" s="720"/>
      <c r="N417" s="721"/>
      <c r="O417" s="720"/>
      <c r="P417" s="721"/>
      <c r="Q417" s="720"/>
      <c r="R417" s="721"/>
      <c r="S417" s="720"/>
      <c r="T417" s="731"/>
      <c r="U417" s="731"/>
      <c r="V417" s="721"/>
    </row>
    <row r="418" spans="1:22" ht="18" customHeight="1">
      <c r="A418" s="733" t="str">
        <f>B7</f>
        <v>T1</v>
      </c>
      <c r="B418" s="733" t="str">
        <f>D7</f>
        <v>Core1</v>
      </c>
      <c r="C418" s="733"/>
      <c r="D418" s="732">
        <f>H10</f>
        <v>2500</v>
      </c>
      <c r="E418" s="732"/>
      <c r="F418" s="734">
        <f>O10</f>
        <v>1</v>
      </c>
      <c r="G418" s="732">
        <f>'CT-VT Burdens'!S19</f>
        <v>50</v>
      </c>
      <c r="H418" s="794">
        <f>'CT-VT Burdens'!S10</f>
        <v>6</v>
      </c>
      <c r="I418" s="794" t="str">
        <f>H11</f>
        <v>PX</v>
      </c>
      <c r="J418" s="794"/>
      <c r="K418" s="728">
        <f>H12</f>
        <v>10</v>
      </c>
      <c r="L418" s="728"/>
      <c r="M418" s="728">
        <f>H13</f>
        <v>400</v>
      </c>
      <c r="N418" s="728"/>
      <c r="O418" s="732">
        <f>H14</f>
        <v>50</v>
      </c>
      <c r="P418" s="732"/>
      <c r="Q418" s="739" t="str">
        <f>D154</f>
        <v>RET670</v>
      </c>
      <c r="R418" s="739"/>
      <c r="S418" s="738" t="str">
        <f>H111</f>
        <v>Suitable Dimensions</v>
      </c>
      <c r="T418" s="738"/>
      <c r="U418" s="738"/>
      <c r="V418" s="738"/>
    </row>
    <row r="419" spans="1:22" ht="18" customHeight="1">
      <c r="A419" s="733"/>
      <c r="B419" s="733"/>
      <c r="C419" s="733"/>
      <c r="D419" s="732" t="str">
        <f>J10</f>
        <v>-</v>
      </c>
      <c r="E419" s="732"/>
      <c r="F419" s="735"/>
      <c r="G419" s="732"/>
      <c r="H419" s="732"/>
      <c r="I419" s="794"/>
      <c r="J419" s="794"/>
      <c r="K419" s="801" t="s">
        <v>7</v>
      </c>
      <c r="L419" s="728"/>
      <c r="M419" s="801" t="s">
        <v>7</v>
      </c>
      <c r="N419" s="728"/>
      <c r="O419" s="799" t="s">
        <v>7</v>
      </c>
      <c r="P419" s="732"/>
      <c r="Q419" s="739"/>
      <c r="R419" s="739"/>
      <c r="S419" s="978" t="s">
        <v>7</v>
      </c>
      <c r="T419" s="738"/>
      <c r="U419" s="738"/>
      <c r="V419" s="738"/>
    </row>
    <row r="420" spans="1:22" ht="18" customHeight="1">
      <c r="A420" s="733"/>
      <c r="B420" s="733"/>
      <c r="C420" s="733"/>
      <c r="D420" s="732" t="str">
        <f>L10</f>
        <v>-</v>
      </c>
      <c r="E420" s="732"/>
      <c r="F420" s="736"/>
      <c r="G420" s="732"/>
      <c r="H420" s="732"/>
      <c r="I420" s="794"/>
      <c r="J420" s="794"/>
      <c r="K420" s="728" t="str">
        <f>L286</f>
        <v>-</v>
      </c>
      <c r="L420" s="728"/>
      <c r="M420" s="728" t="str">
        <f>L287</f>
        <v>-</v>
      </c>
      <c r="N420" s="728"/>
      <c r="O420" s="732" t="str">
        <f>L288</f>
        <v>-</v>
      </c>
      <c r="P420" s="732"/>
      <c r="Q420" s="739"/>
      <c r="R420" s="739"/>
      <c r="S420" s="738" t="s">
        <v>7</v>
      </c>
      <c r="T420" s="738"/>
      <c r="U420" s="738"/>
      <c r="V420" s="738"/>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086" t="str">
        <f>A1</f>
        <v>HITACHI</v>
      </c>
      <c r="B452" s="1087"/>
      <c r="C452" s="1087"/>
      <c r="D452" s="1087"/>
      <c r="E452" s="1087"/>
      <c r="F452" s="1087"/>
      <c r="G452" s="1088"/>
      <c r="H452" s="636" t="str">
        <f>H1</f>
        <v>CT / VT</v>
      </c>
      <c r="I452" s="637"/>
      <c r="J452" s="637"/>
      <c r="K452" s="637"/>
      <c r="L452" s="637"/>
      <c r="M452" s="637"/>
      <c r="N452" s="638"/>
      <c r="O452" s="612" t="str">
        <f>O1</f>
        <v>Contract No.</v>
      </c>
      <c r="P452" s="613"/>
      <c r="Q452" s="614"/>
      <c r="R452" s="615" t="str">
        <f>R1</f>
        <v>N-19957.1-DF5W</v>
      </c>
      <c r="S452" s="616"/>
      <c r="T452" s="616"/>
      <c r="U452" s="616"/>
      <c r="V452" s="617"/>
    </row>
    <row r="453" spans="1:29" ht="18" hidden="1" customHeight="1">
      <c r="A453" s="1089"/>
      <c r="B453" s="1090"/>
      <c r="C453" s="1090"/>
      <c r="D453" s="1090"/>
      <c r="E453" s="1090"/>
      <c r="F453" s="1090"/>
      <c r="G453" s="1091"/>
      <c r="H453" s="639" t="str">
        <f>H2</f>
        <v>ADEQUACY CHECK</v>
      </c>
      <c r="I453" s="640"/>
      <c r="J453" s="640"/>
      <c r="K453" s="640"/>
      <c r="L453" s="640"/>
      <c r="M453" s="640"/>
      <c r="N453" s="641"/>
      <c r="O453" s="612" t="str">
        <f>O2</f>
        <v>Date</v>
      </c>
      <c r="P453" s="613"/>
      <c r="Q453" s="614"/>
      <c r="R453" s="615">
        <f>R2</f>
        <v>46106</v>
      </c>
      <c r="S453" s="616"/>
      <c r="T453" s="616"/>
      <c r="U453" s="616"/>
      <c r="V453" s="617"/>
    </row>
    <row r="454" spans="1:29" ht="18" hidden="1" customHeight="1">
      <c r="A454" s="716">
        <f>A3</f>
        <v>0</v>
      </c>
      <c r="B454" s="729"/>
      <c r="C454" s="729"/>
      <c r="D454" s="729"/>
      <c r="E454" s="729"/>
      <c r="F454" s="729"/>
      <c r="G454" s="717"/>
      <c r="H454" s="645" t="str">
        <f>H3</f>
        <v>LT14 - LEWIS
400/132kV SUBSTATION</v>
      </c>
      <c r="I454" s="646"/>
      <c r="J454" s="646"/>
      <c r="K454" s="646"/>
      <c r="L454" s="646"/>
      <c r="M454" s="646"/>
      <c r="N454" s="647"/>
      <c r="O454" s="612" t="str">
        <f>O3</f>
        <v>Document No.</v>
      </c>
      <c r="P454" s="613"/>
      <c r="Q454" s="614"/>
      <c r="R454" s="615" t="str">
        <f>R3</f>
        <v>-</v>
      </c>
      <c r="S454" s="616"/>
      <c r="T454" s="616"/>
      <c r="U454" s="616"/>
      <c r="V454" s="617"/>
    </row>
    <row r="455" spans="1:29" ht="18" hidden="1" customHeight="1">
      <c r="A455" s="720"/>
      <c r="B455" s="731"/>
      <c r="C455" s="731"/>
      <c r="D455" s="731"/>
      <c r="E455" s="731"/>
      <c r="F455" s="731"/>
      <c r="G455" s="721"/>
      <c r="H455" s="648"/>
      <c r="I455" s="649"/>
      <c r="J455" s="649"/>
      <c r="K455" s="649"/>
      <c r="L455" s="649"/>
      <c r="M455" s="649"/>
      <c r="N455" s="650"/>
      <c r="O455" s="612" t="str">
        <f>O4</f>
        <v>Revision No.</v>
      </c>
      <c r="P455" s="613"/>
      <c r="Q455" s="614"/>
      <c r="R455" s="615" t="str">
        <f>R4</f>
        <v>A</v>
      </c>
      <c r="S455" s="616"/>
      <c r="T455" s="616"/>
      <c r="U455" s="616"/>
      <c r="V455" s="617"/>
    </row>
    <row r="456" spans="1:29" ht="18" hidden="1" customHeight="1">
      <c r="A456" s="618" t="str">
        <f>A5</f>
        <v>Prep. By</v>
      </c>
      <c r="B456" s="619"/>
      <c r="C456" s="25" t="str">
        <f>C5</f>
        <v>AP</v>
      </c>
      <c r="D456" s="618" t="str">
        <f>D5</f>
        <v>Checked By</v>
      </c>
      <c r="E456" s="620"/>
      <c r="F456" s="619"/>
      <c r="G456" s="25" t="str">
        <f>G5</f>
        <v>RB</v>
      </c>
      <c r="H456" s="1092" t="str">
        <f>H5</f>
        <v xml:space="preserve">33kV Incomer Transformer Feeder </v>
      </c>
      <c r="I456" s="1093"/>
      <c r="J456" s="1093"/>
      <c r="K456" s="1093"/>
      <c r="L456" s="1093"/>
      <c r="M456" s="1093"/>
      <c r="N456" s="1094"/>
      <c r="O456" s="624" t="str">
        <f>O5</f>
        <v>Contractor</v>
      </c>
      <c r="P456" s="625"/>
      <c r="Q456" s="626"/>
      <c r="R456" s="615" t="str">
        <f>R5</f>
        <v>HITACHI</v>
      </c>
      <c r="S456" s="616"/>
      <c r="T456" s="616"/>
      <c r="U456" s="616"/>
      <c r="V456" s="617"/>
    </row>
    <row r="457" spans="1:29" ht="18" hidden="1" customHeight="1">
      <c r="A457" s="196"/>
      <c r="V457" s="197"/>
    </row>
    <row r="458" spans="1:29" ht="18" hidden="1" customHeight="1">
      <c r="A458" s="196"/>
      <c r="B458" s="1095" t="s">
        <v>646</v>
      </c>
      <c r="C458" s="1096"/>
      <c r="D458" s="659" t="s">
        <v>517</v>
      </c>
      <c r="E458" s="661"/>
      <c r="F458" s="198" t="s">
        <v>647</v>
      </c>
      <c r="H458" s="665" t="str">
        <f>H281</f>
        <v>(Transformer Differential)</v>
      </c>
      <c r="I458" s="665"/>
      <c r="J458" s="665"/>
      <c r="K458" s="665"/>
      <c r="L458" s="665"/>
      <c r="M458" s="665"/>
      <c r="P458" s="198"/>
      <c r="S458" s="199" t="s">
        <v>398</v>
      </c>
      <c r="T458" s="653" t="str">
        <f>T143</f>
        <v>RET670</v>
      </c>
      <c r="U458" s="654"/>
      <c r="V458" s="197"/>
    </row>
    <row r="459" spans="1:29" ht="18" hidden="1" customHeight="1">
      <c r="A459" s="196"/>
      <c r="B459" s="890"/>
      <c r="C459" s="890"/>
      <c r="D459" s="662"/>
      <c r="E459" s="663"/>
      <c r="F459" s="267"/>
      <c r="T459" s="653"/>
      <c r="U459" s="654"/>
      <c r="V459" s="197"/>
    </row>
    <row r="460" spans="1:29" ht="18" hidden="1" customHeight="1">
      <c r="A460" s="196"/>
      <c r="H460" s="666" t="s">
        <v>401</v>
      </c>
      <c r="I460" s="666"/>
      <c r="J460" s="667" t="s">
        <v>402</v>
      </c>
      <c r="K460" s="667"/>
      <c r="L460" s="667" t="s">
        <v>403</v>
      </c>
      <c r="M460" s="667"/>
      <c r="T460" s="653"/>
      <c r="U460" s="654"/>
      <c r="V460" s="197"/>
    </row>
    <row r="461" spans="1:29" ht="18" hidden="1" customHeight="1">
      <c r="A461" s="196"/>
      <c r="B461" s="47" t="s">
        <v>404</v>
      </c>
      <c r="H461" s="651">
        <v>1200</v>
      </c>
      <c r="I461" s="652"/>
      <c r="J461" s="653" t="s">
        <v>7</v>
      </c>
      <c r="K461" s="654"/>
      <c r="L461" s="653" t="s">
        <v>7</v>
      </c>
      <c r="M461" s="654"/>
      <c r="N461" s="203" t="s">
        <v>353</v>
      </c>
      <c r="O461" s="279">
        <v>1</v>
      </c>
      <c r="P461" s="27" t="s">
        <v>9</v>
      </c>
      <c r="V461" s="197"/>
    </row>
    <row r="462" spans="1:29" ht="18" hidden="1" customHeight="1">
      <c r="A462" s="196"/>
      <c r="B462" s="47" t="s">
        <v>405</v>
      </c>
      <c r="H462" s="653" t="s">
        <v>648</v>
      </c>
      <c r="I462" s="654"/>
      <c r="V462" s="197"/>
    </row>
    <row r="463" spans="1:29" ht="18" hidden="1" customHeight="1">
      <c r="A463" s="196"/>
      <c r="B463" s="47" t="s">
        <v>407</v>
      </c>
      <c r="G463" s="120" t="s">
        <v>408</v>
      </c>
      <c r="H463" s="653">
        <v>5</v>
      </c>
      <c r="I463" s="654"/>
      <c r="J463" s="204" t="s">
        <v>344</v>
      </c>
      <c r="V463" s="197"/>
    </row>
    <row r="464" spans="1:29" ht="18" hidden="1" customHeight="1">
      <c r="A464" s="196"/>
      <c r="B464" s="47" t="s">
        <v>409</v>
      </c>
      <c r="G464" s="120" t="s">
        <v>649</v>
      </c>
      <c r="H464" s="653">
        <v>430</v>
      </c>
      <c r="I464" s="654"/>
      <c r="J464" s="14" t="s">
        <v>316</v>
      </c>
      <c r="V464" s="197"/>
      <c r="W464" s="30" t="s">
        <v>411</v>
      </c>
      <c r="AB464" s="1022">
        <f>Q548</f>
        <v>51.028520126962157</v>
      </c>
      <c r="AC464" s="1023"/>
    </row>
    <row r="465" spans="1:22" ht="18" hidden="1" customHeight="1">
      <c r="A465" s="196"/>
      <c r="B465" s="14" t="s">
        <v>412</v>
      </c>
      <c r="G465" s="120" t="s">
        <v>413</v>
      </c>
      <c r="H465" s="653">
        <v>20</v>
      </c>
      <c r="I465" s="654"/>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7">
        <f>J292</f>
        <v>0.02</v>
      </c>
      <c r="K469" s="1098"/>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9"/>
      <c r="K470" s="1100"/>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699"/>
      <c r="K471" s="700"/>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9">
        <f>J295</f>
        <v>0.44875935000000006</v>
      </c>
      <c r="K472" s="1100"/>
      <c r="L472" s="215" t="s">
        <v>168</v>
      </c>
      <c r="M472" s="30"/>
      <c r="N472" s="30"/>
      <c r="O472" s="27" t="s">
        <v>138</v>
      </c>
      <c r="P472" s="216">
        <f>J473</f>
        <v>0.44875935000000006</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7">
        <f>J470+J472</f>
        <v>0.44875935000000006</v>
      </c>
      <c r="K473" s="1098"/>
      <c r="L473" s="222" t="s">
        <v>168</v>
      </c>
      <c r="M473" s="30"/>
      <c r="N473" s="30"/>
      <c r="O473" s="27" t="s">
        <v>138</v>
      </c>
      <c r="P473" s="668">
        <f>P472/(R472*T472)</f>
        <v>0.44875935000000006</v>
      </c>
      <c r="Q473" s="668"/>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07">
        <f>P161</f>
        <v>100</v>
      </c>
      <c r="Q476" s="1084"/>
      <c r="R476" s="14" t="s">
        <v>613</v>
      </c>
      <c r="S476" s="226"/>
      <c r="T476" s="18"/>
      <c r="U476" s="18"/>
      <c r="V476" s="97"/>
    </row>
    <row r="477" spans="1:22" s="14" customFormat="1" ht="18" hidden="1" customHeight="1">
      <c r="A477" s="96"/>
      <c r="B477" s="47" t="s">
        <v>614</v>
      </c>
      <c r="C477" s="5"/>
      <c r="D477" s="5"/>
      <c r="E477" s="5"/>
      <c r="I477" s="227"/>
      <c r="M477" s="5"/>
      <c r="O477" s="103" t="s">
        <v>138</v>
      </c>
      <c r="P477" s="707">
        <f>P162</f>
        <v>25</v>
      </c>
      <c r="Q477" s="1084"/>
      <c r="R477" s="14" t="s">
        <v>615</v>
      </c>
      <c r="S477" s="226"/>
      <c r="T477" s="18" t="s">
        <v>140</v>
      </c>
      <c r="U477" s="18"/>
      <c r="V477" s="97"/>
    </row>
    <row r="478" spans="1:22" s="14" customFormat="1" ht="18" hidden="1" customHeight="1">
      <c r="A478" s="96"/>
      <c r="B478" s="47" t="s">
        <v>616</v>
      </c>
      <c r="C478" s="5"/>
      <c r="D478" s="5"/>
      <c r="E478" s="5"/>
      <c r="N478" s="120" t="s">
        <v>617</v>
      </c>
      <c r="O478" s="103" t="s">
        <v>618</v>
      </c>
      <c r="P478" s="708">
        <f>'[2]Parameters &amp; Fault Cal.'!Q12</f>
        <v>132</v>
      </c>
      <c r="Q478" s="1071"/>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664" t="s">
        <v>621</v>
      </c>
      <c r="K480" s="664"/>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664">
        <f>P476</f>
        <v>100</v>
      </c>
      <c r="K481" s="664"/>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669">
        <f>(P476*1000)/(SQRT(3)*P478)</f>
        <v>437.38656756789834</v>
      </c>
      <c r="K482" s="669"/>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664" t="s">
        <v>620</v>
      </c>
      <c r="P486" s="936"/>
      <c r="Q486" s="233" t="s">
        <v>641</v>
      </c>
      <c r="R486" s="233">
        <v>16</v>
      </c>
      <c r="S486" s="226"/>
      <c r="V486" s="197"/>
    </row>
    <row r="487" spans="1:22" ht="18" hidden="1" customHeight="1">
      <c r="A487" s="96"/>
      <c r="B487" s="5"/>
      <c r="C487" s="5"/>
      <c r="D487" s="5"/>
      <c r="E487" s="5"/>
      <c r="M487" s="262"/>
      <c r="N487" s="28" t="s">
        <v>138</v>
      </c>
      <c r="O487" s="664">
        <f>+J482</f>
        <v>437.38656756789834</v>
      </c>
      <c r="P487" s="936"/>
      <c r="Q487" s="233" t="s">
        <v>641</v>
      </c>
      <c r="R487" s="233">
        <v>16</v>
      </c>
      <c r="S487" s="226"/>
      <c r="V487" s="197"/>
    </row>
    <row r="488" spans="1:22" ht="18" hidden="1" customHeight="1">
      <c r="A488" s="96"/>
      <c r="B488" s="5"/>
      <c r="C488" s="5"/>
      <c r="D488" s="5"/>
      <c r="E488" s="5"/>
      <c r="M488" s="120" t="s">
        <v>624</v>
      </c>
      <c r="N488" s="28" t="s">
        <v>138</v>
      </c>
      <c r="O488" s="664">
        <f>O487*R487</f>
        <v>6998.1850810863734</v>
      </c>
      <c r="P488" s="936"/>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1018" t="s">
        <v>650</v>
      </c>
      <c r="B490" s="972"/>
      <c r="C490" s="972"/>
      <c r="D490" s="972"/>
      <c r="E490" s="972"/>
      <c r="F490" s="972"/>
      <c r="G490" s="972"/>
      <c r="H490" s="972"/>
      <c r="I490" s="972"/>
      <c r="J490" s="972"/>
      <c r="K490" s="972"/>
      <c r="L490" s="972"/>
      <c r="M490" s="972"/>
      <c r="N490" s="972"/>
      <c r="O490" s="972"/>
      <c r="P490" s="972"/>
      <c r="Q490" s="972"/>
      <c r="R490" s="972"/>
      <c r="S490" s="972"/>
      <c r="T490" s="972"/>
      <c r="U490" s="972"/>
      <c r="V490" s="973"/>
    </row>
    <row r="491" spans="1:22" ht="18" hidden="1" customHeight="1">
      <c r="A491" s="974"/>
      <c r="B491" s="972"/>
      <c r="C491" s="972"/>
      <c r="D491" s="972"/>
      <c r="E491" s="972"/>
      <c r="F491" s="972"/>
      <c r="G491" s="972"/>
      <c r="H491" s="972"/>
      <c r="I491" s="972"/>
      <c r="J491" s="972"/>
      <c r="K491" s="972"/>
      <c r="L491" s="972"/>
      <c r="M491" s="972"/>
      <c r="N491" s="972"/>
      <c r="O491" s="972"/>
      <c r="P491" s="972"/>
      <c r="Q491" s="972"/>
      <c r="R491" s="972"/>
      <c r="S491" s="972"/>
      <c r="T491" s="972"/>
      <c r="U491" s="972"/>
      <c r="V491" s="973"/>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1005" t="s">
        <v>428</v>
      </c>
      <c r="B497" s="1015"/>
      <c r="C497" s="1015"/>
      <c r="D497" s="664">
        <v>30</v>
      </c>
      <c r="E497" s="664" t="s">
        <v>326</v>
      </c>
      <c r="F497" s="664" t="s">
        <v>620</v>
      </c>
      <c r="G497" s="665"/>
      <c r="H497" s="664" t="s">
        <v>326</v>
      </c>
      <c r="I497" s="696" t="s">
        <v>422</v>
      </c>
      <c r="J497" s="1066"/>
      <c r="K497" s="664" t="s">
        <v>326</v>
      </c>
      <c r="L497" s="1015" t="s">
        <v>430</v>
      </c>
      <c r="M497" s="936" t="s">
        <v>431</v>
      </c>
      <c r="N497" s="942" t="s">
        <v>358</v>
      </c>
      <c r="O497" s="936" t="s">
        <v>419</v>
      </c>
      <c r="P497" s="664" t="s">
        <v>358</v>
      </c>
      <c r="Q497" s="943" t="s">
        <v>432</v>
      </c>
      <c r="R497" s="1016"/>
      <c r="S497" s="1016"/>
      <c r="T497" s="944" t="s">
        <v>361</v>
      </c>
      <c r="U497" s="242" t="s">
        <v>433</v>
      </c>
      <c r="V497" s="97"/>
    </row>
    <row r="498" spans="1:22" ht="18" hidden="1" customHeight="1">
      <c r="A498" s="1065"/>
      <c r="B498" s="1015"/>
      <c r="C498" s="1015"/>
      <c r="D498" s="664"/>
      <c r="E498" s="664"/>
      <c r="F498" s="665"/>
      <c r="G498" s="665"/>
      <c r="H498" s="664"/>
      <c r="I498" s="664" t="s">
        <v>434</v>
      </c>
      <c r="J498" s="987"/>
      <c r="K498" s="664"/>
      <c r="L498" s="1015"/>
      <c r="M498" s="936"/>
      <c r="N498" s="942"/>
      <c r="O498" s="936"/>
      <c r="P498" s="664"/>
      <c r="Q498" s="28" t="s">
        <v>157</v>
      </c>
      <c r="R498" s="28" t="s">
        <v>326</v>
      </c>
      <c r="S498" s="28" t="s">
        <v>157</v>
      </c>
      <c r="T498" s="944"/>
      <c r="U498" s="14"/>
      <c r="V498" s="97"/>
    </row>
    <row r="499" spans="1:22" ht="18" hidden="1" customHeight="1">
      <c r="A499" s="196"/>
      <c r="V499" s="197"/>
    </row>
    <row r="500" spans="1:22" ht="18" hidden="1" customHeight="1">
      <c r="A500" s="1005" t="s">
        <v>428</v>
      </c>
      <c r="B500" s="1015"/>
      <c r="C500" s="1015"/>
      <c r="D500" s="664">
        <v>2</v>
      </c>
      <c r="E500" s="664" t="s">
        <v>326</v>
      </c>
      <c r="F500" s="664" t="s">
        <v>624</v>
      </c>
      <c r="G500" s="665"/>
      <c r="H500" s="664" t="s">
        <v>326</v>
      </c>
      <c r="I500" s="696" t="s">
        <v>422</v>
      </c>
      <c r="J500" s="1066"/>
      <c r="K500" s="664" t="s">
        <v>326</v>
      </c>
      <c r="L500" s="1015" t="s">
        <v>430</v>
      </c>
      <c r="M500" s="936" t="s">
        <v>431</v>
      </c>
      <c r="N500" s="942" t="s">
        <v>358</v>
      </c>
      <c r="O500" s="936" t="s">
        <v>419</v>
      </c>
      <c r="P500" s="664" t="s">
        <v>358</v>
      </c>
      <c r="Q500" s="943" t="s">
        <v>432</v>
      </c>
      <c r="R500" s="1016"/>
      <c r="S500" s="1016"/>
      <c r="T500" s="944" t="s">
        <v>361</v>
      </c>
      <c r="U500" s="242" t="s">
        <v>437</v>
      </c>
      <c r="V500" s="97"/>
    </row>
    <row r="501" spans="1:22" ht="18" hidden="1" customHeight="1">
      <c r="A501" s="1065"/>
      <c r="B501" s="1015"/>
      <c r="C501" s="1015"/>
      <c r="D501" s="664"/>
      <c r="E501" s="664"/>
      <c r="F501" s="665"/>
      <c r="G501" s="665"/>
      <c r="H501" s="664"/>
      <c r="I501" s="664" t="s">
        <v>434</v>
      </c>
      <c r="J501" s="987"/>
      <c r="K501" s="664"/>
      <c r="L501" s="1015"/>
      <c r="M501" s="936"/>
      <c r="N501" s="942"/>
      <c r="O501" s="936"/>
      <c r="P501" s="664"/>
      <c r="Q501" s="28" t="s">
        <v>157</v>
      </c>
      <c r="R501" s="28" t="s">
        <v>326</v>
      </c>
      <c r="S501" s="28" t="s">
        <v>157</v>
      </c>
      <c r="T501" s="944"/>
      <c r="U501" s="14"/>
      <c r="V501" s="97"/>
    </row>
    <row r="502" spans="1:22" ht="18" hidden="1" customHeight="1">
      <c r="A502" s="196"/>
      <c r="V502" s="197"/>
    </row>
    <row r="503" spans="1:22" ht="18" hidden="1" customHeight="1">
      <c r="A503" s="1018" t="s">
        <v>627</v>
      </c>
      <c r="B503" s="972"/>
      <c r="C503" s="972"/>
      <c r="D503" s="972"/>
      <c r="E503" s="972"/>
      <c r="F503" s="972"/>
      <c r="G503" s="972"/>
      <c r="H503" s="972"/>
      <c r="I503" s="972"/>
      <c r="J503" s="972"/>
      <c r="K503" s="972"/>
      <c r="L503" s="972"/>
      <c r="M503" s="972"/>
      <c r="N503" s="972"/>
      <c r="O503" s="972"/>
      <c r="P503" s="972"/>
      <c r="Q503" s="972"/>
      <c r="R503" s="972"/>
      <c r="S503" s="972"/>
      <c r="T503" s="972"/>
      <c r="U503" s="972"/>
      <c r="V503" s="973"/>
    </row>
    <row r="504" spans="1:22" ht="18" hidden="1" customHeight="1">
      <c r="A504" s="974"/>
      <c r="B504" s="972"/>
      <c r="C504" s="972"/>
      <c r="D504" s="972"/>
      <c r="E504" s="972"/>
      <c r="F504" s="972"/>
      <c r="G504" s="972"/>
      <c r="H504" s="972"/>
      <c r="I504" s="972"/>
      <c r="J504" s="972"/>
      <c r="K504" s="972"/>
      <c r="L504" s="972"/>
      <c r="M504" s="972"/>
      <c r="N504" s="972"/>
      <c r="O504" s="972"/>
      <c r="P504" s="972"/>
      <c r="Q504" s="972"/>
      <c r="R504" s="972"/>
      <c r="S504" s="972"/>
      <c r="T504" s="972"/>
      <c r="U504" s="972"/>
      <c r="V504" s="973"/>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1005" t="s">
        <v>428</v>
      </c>
      <c r="B506" s="1015"/>
      <c r="C506" s="1015"/>
      <c r="D506" s="664"/>
      <c r="E506" s="664"/>
      <c r="F506" s="664" t="s">
        <v>628</v>
      </c>
      <c r="G506" s="665"/>
      <c r="H506" s="664" t="s">
        <v>326</v>
      </c>
      <c r="I506" s="696" t="s">
        <v>422</v>
      </c>
      <c r="J506" s="1066"/>
      <c r="K506" s="664" t="s">
        <v>326</v>
      </c>
      <c r="L506" s="1015" t="s">
        <v>430</v>
      </c>
      <c r="M506" s="936" t="s">
        <v>431</v>
      </c>
      <c r="N506" s="942" t="s">
        <v>358</v>
      </c>
      <c r="O506" s="936" t="s">
        <v>419</v>
      </c>
      <c r="P506" s="664" t="s">
        <v>358</v>
      </c>
      <c r="Q506" s="943" t="s">
        <v>432</v>
      </c>
      <c r="R506" s="1016"/>
      <c r="S506" s="1016"/>
      <c r="T506" s="944" t="s">
        <v>361</v>
      </c>
      <c r="U506" s="242" t="s">
        <v>629</v>
      </c>
      <c r="V506" s="97"/>
    </row>
    <row r="507" spans="1:22" ht="18" hidden="1" customHeight="1">
      <c r="A507" s="1065"/>
      <c r="B507" s="1015"/>
      <c r="C507" s="1015"/>
      <c r="D507" s="664"/>
      <c r="E507" s="664"/>
      <c r="F507" s="665"/>
      <c r="G507" s="665"/>
      <c r="H507" s="664"/>
      <c r="I507" s="664" t="s">
        <v>434</v>
      </c>
      <c r="J507" s="987"/>
      <c r="K507" s="664"/>
      <c r="L507" s="1015"/>
      <c r="M507" s="936"/>
      <c r="N507" s="942"/>
      <c r="O507" s="936"/>
      <c r="P507" s="664"/>
      <c r="Q507" s="28" t="s">
        <v>157</v>
      </c>
      <c r="R507" s="28" t="s">
        <v>326</v>
      </c>
      <c r="S507" s="28" t="s">
        <v>157</v>
      </c>
      <c r="T507" s="944"/>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653" t="s">
        <v>631</v>
      </c>
      <c r="N509" s="654"/>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665">
        <f>H461</f>
        <v>1200</v>
      </c>
      <c r="S512" s="665"/>
      <c r="T512" s="14" t="s">
        <v>9</v>
      </c>
      <c r="V512" s="197"/>
    </row>
    <row r="513" spans="1:22" ht="18" hidden="1" customHeight="1">
      <c r="A513" s="196"/>
      <c r="B513" s="14" t="s">
        <v>632</v>
      </c>
      <c r="C513" s="14"/>
      <c r="D513" s="14"/>
      <c r="E513" s="14"/>
      <c r="F513" s="14"/>
      <c r="G513" s="14"/>
      <c r="H513" s="14"/>
      <c r="I513" s="14"/>
      <c r="J513" s="14"/>
      <c r="P513" s="120" t="s">
        <v>620</v>
      </c>
      <c r="Q513" s="246" t="s">
        <v>138</v>
      </c>
      <c r="R513" s="668">
        <f>J482</f>
        <v>437.38656756789834</v>
      </c>
      <c r="S513" s="665"/>
      <c r="T513" s="14" t="s">
        <v>9</v>
      </c>
      <c r="V513" s="197"/>
    </row>
    <row r="514" spans="1:22" ht="18" hidden="1" customHeight="1">
      <c r="A514" s="196"/>
      <c r="B514" s="14" t="s">
        <v>633</v>
      </c>
      <c r="C514" s="14"/>
      <c r="D514" s="14"/>
      <c r="E514" s="14"/>
      <c r="F514" s="14"/>
      <c r="G514" s="14"/>
      <c r="H514" s="14"/>
      <c r="I514" s="14"/>
      <c r="J514" s="14"/>
      <c r="P514" s="120" t="s">
        <v>624</v>
      </c>
      <c r="Q514" s="246" t="s">
        <v>138</v>
      </c>
      <c r="R514" s="665">
        <f>O488</f>
        <v>6998.1850810863734</v>
      </c>
      <c r="S514" s="665"/>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665" t="str">
        <f>IF(M509="Y",'[2]Parameters &amp; Fault Cal.'!Q33,"-")</f>
        <v>-</v>
      </c>
      <c r="S516" s="665"/>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665">
        <f>O461</f>
        <v>1</v>
      </c>
      <c r="S518" s="665"/>
      <c r="T518" s="14" t="s">
        <v>9</v>
      </c>
      <c r="V518" s="197"/>
    </row>
    <row r="519" spans="1:22" ht="18" hidden="1" customHeight="1">
      <c r="A519" s="196"/>
      <c r="B519" s="14" t="s">
        <v>448</v>
      </c>
      <c r="C519" s="14"/>
      <c r="D519" s="103"/>
      <c r="E519" s="103"/>
      <c r="F519" s="14"/>
      <c r="G519" s="14"/>
      <c r="H519" s="5"/>
      <c r="I519" s="5"/>
      <c r="J519" s="5"/>
      <c r="P519" s="120" t="s">
        <v>449</v>
      </c>
      <c r="Q519" s="246" t="s">
        <v>138</v>
      </c>
      <c r="R519" s="665">
        <f>'CT-VT Burdens'!S18</f>
        <v>1</v>
      </c>
      <c r="S519" s="665"/>
      <c r="T519" s="14" t="s">
        <v>9</v>
      </c>
      <c r="V519" s="197"/>
    </row>
    <row r="520" spans="1:22" ht="18" hidden="1" customHeight="1">
      <c r="A520" s="196"/>
      <c r="B520" s="14" t="s">
        <v>450</v>
      </c>
      <c r="C520" s="14"/>
      <c r="D520" s="103"/>
      <c r="E520" s="103"/>
      <c r="F520" s="14"/>
      <c r="G520" s="14"/>
      <c r="H520" s="5"/>
      <c r="I520" s="5"/>
      <c r="J520" s="5"/>
      <c r="P520" s="120" t="s">
        <v>451</v>
      </c>
      <c r="Q520" s="246" t="s">
        <v>138</v>
      </c>
      <c r="R520" s="665">
        <f>H463</f>
        <v>5</v>
      </c>
      <c r="S520" s="665"/>
      <c r="T520" s="204" t="s">
        <v>344</v>
      </c>
      <c r="V520" s="197"/>
    </row>
    <row r="521" spans="1:22" ht="18" hidden="1" customHeight="1">
      <c r="A521" s="196"/>
      <c r="B521" s="14" t="s">
        <v>636</v>
      </c>
      <c r="C521" s="14"/>
      <c r="D521" s="14"/>
      <c r="E521" s="14"/>
      <c r="F521" s="14"/>
      <c r="G521" s="14"/>
      <c r="H521" s="14"/>
      <c r="I521" s="14"/>
      <c r="J521" s="14"/>
      <c r="P521" s="249" t="s">
        <v>452</v>
      </c>
      <c r="Q521" s="246" t="s">
        <v>138</v>
      </c>
      <c r="R521" s="668">
        <f>P473</f>
        <v>0.44875935000000006</v>
      </c>
      <c r="S521" s="665"/>
      <c r="T521" s="204" t="s">
        <v>344</v>
      </c>
      <c r="V521" s="197"/>
    </row>
    <row r="522" spans="1:22" ht="18" hidden="1" customHeight="1">
      <c r="A522" s="196"/>
      <c r="B522" s="40" t="s">
        <v>453</v>
      </c>
      <c r="C522" s="14"/>
      <c r="D522" s="14"/>
      <c r="E522" s="14"/>
      <c r="F522" s="14"/>
      <c r="G522" s="14"/>
      <c r="H522" s="5"/>
      <c r="I522" s="5"/>
      <c r="J522" s="5"/>
      <c r="P522" s="249" t="s">
        <v>454</v>
      </c>
      <c r="Q522" s="246" t="s">
        <v>138</v>
      </c>
      <c r="R522" s="668">
        <f>J469</f>
        <v>0.02</v>
      </c>
      <c r="S522" s="665"/>
      <c r="T522" s="14" t="s">
        <v>168</v>
      </c>
      <c r="V522" s="197"/>
    </row>
    <row r="523" spans="1:22" ht="18" hidden="1" customHeight="1">
      <c r="A523" s="196"/>
      <c r="V523" s="197"/>
    </row>
    <row r="524" spans="1:22" ht="18" hidden="1" customHeight="1">
      <c r="A524" s="1005" t="s">
        <v>428</v>
      </c>
      <c r="B524" s="1015"/>
      <c r="C524" s="1015"/>
      <c r="D524" s="664">
        <v>30</v>
      </c>
      <c r="E524" s="664" t="s">
        <v>326</v>
      </c>
      <c r="F524" s="664">
        <f>R513</f>
        <v>437.38656756789834</v>
      </c>
      <c r="G524" s="665"/>
      <c r="H524" s="664" t="s">
        <v>326</v>
      </c>
      <c r="I524" s="696">
        <f>R518</f>
        <v>1</v>
      </c>
      <c r="J524" s="1066"/>
      <c r="K524" s="664" t="s">
        <v>326</v>
      </c>
      <c r="L524" s="936" t="s">
        <v>430</v>
      </c>
      <c r="M524" s="936">
        <f>R520</f>
        <v>5</v>
      </c>
      <c r="N524" s="942" t="s">
        <v>358</v>
      </c>
      <c r="O524" s="1067">
        <f>R521</f>
        <v>0.44875935000000006</v>
      </c>
      <c r="P524" s="664" t="s">
        <v>358</v>
      </c>
      <c r="Q524" s="1068">
        <f>R522</f>
        <v>0.02</v>
      </c>
      <c r="R524" s="1016"/>
      <c r="S524" s="1016"/>
      <c r="T524" s="944" t="s">
        <v>361</v>
      </c>
      <c r="U524" s="242" t="s">
        <v>433</v>
      </c>
      <c r="V524" s="97"/>
    </row>
    <row r="525" spans="1:22" ht="18" hidden="1" customHeight="1">
      <c r="A525" s="1065"/>
      <c r="B525" s="1015"/>
      <c r="C525" s="1015"/>
      <c r="D525" s="664"/>
      <c r="E525" s="664"/>
      <c r="F525" s="665"/>
      <c r="G525" s="665"/>
      <c r="H525" s="664"/>
      <c r="I525" s="664">
        <f>R512</f>
        <v>1200</v>
      </c>
      <c r="J525" s="987"/>
      <c r="K525" s="664"/>
      <c r="L525" s="936"/>
      <c r="M525" s="936"/>
      <c r="N525" s="942"/>
      <c r="O525" s="936"/>
      <c r="P525" s="664"/>
      <c r="Q525" s="28">
        <f>R519</f>
        <v>1</v>
      </c>
      <c r="R525" s="28" t="s">
        <v>326</v>
      </c>
      <c r="S525" s="28">
        <f>R519</f>
        <v>1</v>
      </c>
      <c r="T525" s="944"/>
      <c r="U525" s="14"/>
      <c r="V525" s="97"/>
    </row>
    <row r="526" spans="1:22" ht="18" hidden="1" customHeight="1">
      <c r="A526" s="196"/>
      <c r="V526" s="197"/>
    </row>
    <row r="527" spans="1:22" ht="18" hidden="1" customHeight="1">
      <c r="A527" s="196"/>
      <c r="C527" s="30" t="s">
        <v>138</v>
      </c>
      <c r="D527" s="875">
        <f>D524*F524*(I524/I525)*(M524+O524+(Q524/(Q525*S525)))</f>
        <v>59.799047023783771</v>
      </c>
      <c r="E527" s="876"/>
      <c r="F527" s="30" t="s">
        <v>316</v>
      </c>
      <c r="V527" s="197"/>
    </row>
    <row r="528" spans="1:22" ht="18" hidden="1" customHeight="1">
      <c r="A528" s="196"/>
      <c r="V528" s="197"/>
    </row>
    <row r="529" spans="1:22" ht="18" hidden="1" customHeight="1">
      <c r="A529" s="1005" t="s">
        <v>428</v>
      </c>
      <c r="B529" s="1015"/>
      <c r="C529" s="1015"/>
      <c r="D529" s="664">
        <v>2</v>
      </c>
      <c r="E529" s="664" t="s">
        <v>326</v>
      </c>
      <c r="F529" s="664">
        <f>R514</f>
        <v>6998.1850810863734</v>
      </c>
      <c r="G529" s="665"/>
      <c r="H529" s="664" t="s">
        <v>326</v>
      </c>
      <c r="I529" s="696">
        <f>R518</f>
        <v>1</v>
      </c>
      <c r="J529" s="1066"/>
      <c r="K529" s="664" t="s">
        <v>326</v>
      </c>
      <c r="L529" s="1015" t="s">
        <v>430</v>
      </c>
      <c r="M529" s="936">
        <f>R520</f>
        <v>5</v>
      </c>
      <c r="N529" s="942" t="s">
        <v>358</v>
      </c>
      <c r="O529" s="1067">
        <f>R521</f>
        <v>0.44875935000000006</v>
      </c>
      <c r="P529" s="664" t="s">
        <v>358</v>
      </c>
      <c r="Q529" s="1068">
        <f>R522</f>
        <v>0.02</v>
      </c>
      <c r="R529" s="1016"/>
      <c r="S529" s="1016"/>
      <c r="T529" s="944" t="s">
        <v>361</v>
      </c>
      <c r="U529" s="242" t="s">
        <v>437</v>
      </c>
      <c r="V529" s="97"/>
    </row>
    <row r="530" spans="1:22" ht="18" hidden="1" customHeight="1">
      <c r="A530" s="1065"/>
      <c r="B530" s="1015"/>
      <c r="C530" s="1015"/>
      <c r="D530" s="664"/>
      <c r="E530" s="664"/>
      <c r="F530" s="665"/>
      <c r="G530" s="665"/>
      <c r="H530" s="664"/>
      <c r="I530" s="664">
        <f>R512</f>
        <v>1200</v>
      </c>
      <c r="J530" s="987"/>
      <c r="K530" s="664"/>
      <c r="L530" s="1015"/>
      <c r="M530" s="936"/>
      <c r="N530" s="942"/>
      <c r="O530" s="936"/>
      <c r="P530" s="664"/>
      <c r="Q530" s="28">
        <f>R519</f>
        <v>1</v>
      </c>
      <c r="R530" s="28" t="s">
        <v>326</v>
      </c>
      <c r="S530" s="28">
        <f>R519</f>
        <v>1</v>
      </c>
      <c r="T530" s="944"/>
      <c r="U530" s="14"/>
      <c r="V530" s="97"/>
    </row>
    <row r="531" spans="1:22" ht="18" hidden="1" customHeight="1">
      <c r="A531" s="196"/>
      <c r="L531" s="256"/>
      <c r="V531" s="197"/>
    </row>
    <row r="532" spans="1:22" ht="18" hidden="1" customHeight="1">
      <c r="A532" s="196"/>
      <c r="C532" s="30" t="s">
        <v>138</v>
      </c>
      <c r="D532" s="875">
        <f>D529*F529*(I529/I530)*(M529+O529+(Q529/(Q530*S530)))</f>
        <v>63.785650158702694</v>
      </c>
      <c r="E532" s="876"/>
      <c r="F532" s="30" t="s">
        <v>316</v>
      </c>
      <c r="L532" s="256"/>
      <c r="V532" s="197"/>
    </row>
    <row r="533" spans="1:22" ht="18" hidden="1" customHeight="1">
      <c r="A533" s="196"/>
      <c r="L533" s="256"/>
      <c r="V533" s="197"/>
    </row>
    <row r="534" spans="1:22" s="14" customFormat="1" ht="18" hidden="1" customHeight="1">
      <c r="A534" s="1005" t="s">
        <v>428</v>
      </c>
      <c r="B534" s="1015"/>
      <c r="C534" s="1015"/>
      <c r="D534" s="664"/>
      <c r="E534" s="664"/>
      <c r="F534" s="664" t="str">
        <f>R516</f>
        <v>-</v>
      </c>
      <c r="G534" s="665"/>
      <c r="H534" s="664" t="s">
        <v>326</v>
      </c>
      <c r="I534" s="696">
        <f>R518</f>
        <v>1</v>
      </c>
      <c r="J534" s="1066"/>
      <c r="K534" s="664" t="s">
        <v>326</v>
      </c>
      <c r="L534" s="1015" t="s">
        <v>430</v>
      </c>
      <c r="M534" s="936">
        <f>R520</f>
        <v>5</v>
      </c>
      <c r="N534" s="942" t="s">
        <v>358</v>
      </c>
      <c r="O534" s="1067">
        <f>R521</f>
        <v>0.44875935000000006</v>
      </c>
      <c r="P534" s="664" t="s">
        <v>358</v>
      </c>
      <c r="Q534" s="1068">
        <f>R522</f>
        <v>0.02</v>
      </c>
      <c r="R534" s="1016"/>
      <c r="S534" s="1016"/>
      <c r="T534" s="944" t="s">
        <v>361</v>
      </c>
      <c r="U534" s="242" t="s">
        <v>629</v>
      </c>
      <c r="V534" s="97"/>
    </row>
    <row r="535" spans="1:22" ht="18" hidden="1" customHeight="1">
      <c r="A535" s="1065"/>
      <c r="B535" s="1015"/>
      <c r="C535" s="1015"/>
      <c r="D535" s="664"/>
      <c r="E535" s="664"/>
      <c r="F535" s="665"/>
      <c r="G535" s="665"/>
      <c r="H535" s="664"/>
      <c r="I535" s="664">
        <f>R512</f>
        <v>1200</v>
      </c>
      <c r="J535" s="987"/>
      <c r="K535" s="664"/>
      <c r="L535" s="1015"/>
      <c r="M535" s="936"/>
      <c r="N535" s="942"/>
      <c r="O535" s="936"/>
      <c r="P535" s="664"/>
      <c r="Q535" s="28">
        <f>R519</f>
        <v>1</v>
      </c>
      <c r="R535" s="28" t="s">
        <v>326</v>
      </c>
      <c r="S535" s="28">
        <f>R519</f>
        <v>1</v>
      </c>
      <c r="T535" s="944"/>
      <c r="U535" s="14"/>
      <c r="V535" s="97"/>
    </row>
    <row r="536" spans="1:22" ht="18" hidden="1" customHeight="1">
      <c r="A536" s="196"/>
      <c r="V536" s="197"/>
    </row>
    <row r="537" spans="1:22" ht="18" hidden="1" customHeight="1">
      <c r="A537" s="196"/>
      <c r="C537" s="30" t="s">
        <v>138</v>
      </c>
      <c r="D537" s="875" t="e">
        <f>F534*(I534/I535)*(M534+O534+(Q534/(Q535*S535)))</f>
        <v>#VALUE!</v>
      </c>
      <c r="E537" s="876"/>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1028">
        <f>R512</f>
        <v>1200</v>
      </c>
      <c r="N541" s="1029"/>
      <c r="O541" s="30" t="s">
        <v>481</v>
      </c>
      <c r="Q541" s="875">
        <f>IF(M509="Y",MAX(D527,D537),MAX(D527,D532))</f>
        <v>63.785650158702694</v>
      </c>
      <c r="R541" s="700"/>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996">
        <f>+Q541</f>
        <v>63.785650158702694</v>
      </c>
      <c r="R547" s="1085"/>
      <c r="S547" s="234" t="s">
        <v>326</v>
      </c>
      <c r="T547" s="265">
        <f>+T546</f>
        <v>0.8</v>
      </c>
      <c r="V547" s="197"/>
    </row>
    <row r="548" spans="1:22" ht="18" hidden="1" customHeight="1">
      <c r="A548" s="196"/>
      <c r="O548" s="14"/>
      <c r="P548" s="14" t="s">
        <v>138</v>
      </c>
      <c r="Q548" s="997">
        <f>Q547*T547</f>
        <v>51.028520126962157</v>
      </c>
      <c r="R548" s="1071"/>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665">
        <f>H464</f>
        <v>430</v>
      </c>
      <c r="F551" s="665"/>
      <c r="G551" s="27" t="str">
        <f>G550</f>
        <v>&gt;</v>
      </c>
      <c r="H551" s="668">
        <f>Q548</f>
        <v>51.028520126962157</v>
      </c>
      <c r="I551" s="665"/>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08" t="str">
        <f>B458</f>
        <v>BCT13,14,15</v>
      </c>
      <c r="C585" s="709"/>
      <c r="D585" s="710" t="str">
        <f>D458</f>
        <v>Core2</v>
      </c>
      <c r="E585" s="711"/>
      <c r="F585" s="198" t="s">
        <v>647</v>
      </c>
      <c r="H585" s="665" t="str">
        <f>H458</f>
        <v>(Transformer Differential)</v>
      </c>
      <c r="I585" s="665"/>
      <c r="J585" s="665"/>
      <c r="K585" s="665"/>
      <c r="L585" s="665"/>
      <c r="M585" s="665"/>
      <c r="P585" s="198"/>
      <c r="S585" s="199" t="s">
        <v>398</v>
      </c>
      <c r="T585" s="708" t="str">
        <f>T458</f>
        <v>RET670</v>
      </c>
      <c r="U585" s="709"/>
      <c r="V585" s="197"/>
    </row>
    <row r="586" spans="1:29" ht="18" hidden="1" customHeight="1">
      <c r="A586" s="196"/>
      <c r="B586" s="707">
        <f>B459</f>
        <v>0</v>
      </c>
      <c r="C586" s="707"/>
      <c r="D586" s="712"/>
      <c r="E586" s="713"/>
      <c r="F586" s="267"/>
      <c r="T586" s="708">
        <f>T459</f>
        <v>0</v>
      </c>
      <c r="U586" s="709"/>
      <c r="V586" s="197"/>
    </row>
    <row r="587" spans="1:29" ht="18" hidden="1" customHeight="1">
      <c r="A587" s="196"/>
      <c r="H587" s="696" t="s">
        <v>401</v>
      </c>
      <c r="I587" s="696"/>
      <c r="J587" s="666" t="s">
        <v>402</v>
      </c>
      <c r="K587" s="666"/>
      <c r="L587" s="696" t="s">
        <v>403</v>
      </c>
      <c r="M587" s="696"/>
      <c r="T587" s="708">
        <f>T460</f>
        <v>0</v>
      </c>
      <c r="U587" s="709"/>
      <c r="V587" s="197"/>
    </row>
    <row r="588" spans="1:29" ht="18" hidden="1" customHeight="1">
      <c r="A588" s="196"/>
      <c r="B588" s="47" t="s">
        <v>404</v>
      </c>
      <c r="H588" s="708">
        <f>H461</f>
        <v>1200</v>
      </c>
      <c r="I588" s="709"/>
      <c r="J588" s="714" t="str">
        <f>J461</f>
        <v>-</v>
      </c>
      <c r="K588" s="715"/>
      <c r="L588" s="708" t="str">
        <f>L461</f>
        <v>-</v>
      </c>
      <c r="M588" s="709"/>
      <c r="N588" s="102" t="s">
        <v>353</v>
      </c>
      <c r="O588" s="268">
        <f>O461</f>
        <v>1</v>
      </c>
      <c r="P588" s="27" t="s">
        <v>9</v>
      </c>
      <c r="V588" s="197"/>
    </row>
    <row r="589" spans="1:29" ht="18" hidden="1" customHeight="1">
      <c r="A589" s="196"/>
      <c r="B589" s="47" t="s">
        <v>405</v>
      </c>
      <c r="H589" s="14"/>
      <c r="I589" s="14"/>
      <c r="J589" s="708" t="str">
        <f>H462</f>
        <v>TPS</v>
      </c>
      <c r="K589" s="709"/>
      <c r="L589" s="14"/>
      <c r="M589" s="14"/>
      <c r="V589" s="197"/>
    </row>
    <row r="590" spans="1:29" ht="18" hidden="1" customHeight="1">
      <c r="A590" s="196"/>
      <c r="B590" s="47" t="s">
        <v>407</v>
      </c>
      <c r="I590" s="120" t="s">
        <v>508</v>
      </c>
      <c r="J590" s="653" t="s">
        <v>7</v>
      </c>
      <c r="K590" s="654"/>
      <c r="L590" s="204" t="s">
        <v>344</v>
      </c>
      <c r="V590" s="197"/>
    </row>
    <row r="591" spans="1:29" ht="18" hidden="1" customHeight="1">
      <c r="A591" s="196"/>
      <c r="B591" s="47" t="s">
        <v>409</v>
      </c>
      <c r="I591" s="120" t="s">
        <v>509</v>
      </c>
      <c r="J591" s="653" t="s">
        <v>7</v>
      </c>
      <c r="K591" s="654"/>
      <c r="L591" s="14" t="s">
        <v>316</v>
      </c>
      <c r="V591" s="197"/>
      <c r="W591" s="30" t="s">
        <v>411</v>
      </c>
      <c r="AB591" s="1022" t="e">
        <f>Q680</f>
        <v>#VALUE!</v>
      </c>
      <c r="AC591" s="1023"/>
    </row>
    <row r="592" spans="1:29" ht="18" hidden="1" customHeight="1">
      <c r="A592" s="196"/>
      <c r="B592" s="14" t="s">
        <v>412</v>
      </c>
      <c r="I592" s="120" t="s">
        <v>413</v>
      </c>
      <c r="J592" s="653" t="s">
        <v>7</v>
      </c>
      <c r="K592" s="654"/>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7">
        <f>J469</f>
        <v>0.02</v>
      </c>
      <c r="K596" s="1098"/>
      <c r="L596" s="3" t="s">
        <v>168</v>
      </c>
      <c r="N596" s="209" t="s">
        <v>418</v>
      </c>
      <c r="V596" s="197"/>
    </row>
    <row r="597" spans="1:22" s="14" customFormat="1" ht="18" hidden="1" customHeight="1">
      <c r="A597" s="196"/>
      <c r="B597" s="96" t="s">
        <v>416</v>
      </c>
      <c r="C597" s="30"/>
      <c r="D597" s="30">
        <f>T586</f>
        <v>0</v>
      </c>
      <c r="E597" s="30"/>
      <c r="F597" s="30"/>
      <c r="G597" s="30"/>
      <c r="H597" s="27"/>
      <c r="I597" s="189"/>
      <c r="J597" s="1099">
        <f>J470</f>
        <v>0</v>
      </c>
      <c r="K597" s="1100"/>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699">
        <f>J471</f>
        <v>0</v>
      </c>
      <c r="K598" s="700"/>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9">
        <f>J472</f>
        <v>0.44875935000000006</v>
      </c>
      <c r="K599" s="1100"/>
      <c r="L599" s="215" t="s">
        <v>168</v>
      </c>
      <c r="M599" s="30"/>
      <c r="N599" s="30"/>
      <c r="O599" s="27" t="s">
        <v>138</v>
      </c>
      <c r="P599" s="216">
        <f>J600</f>
        <v>0.44875935000000006</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7">
        <f>J597+J599</f>
        <v>0.44875935000000006</v>
      </c>
      <c r="K600" s="1098"/>
      <c r="L600" s="222" t="s">
        <v>168</v>
      </c>
      <c r="M600" s="30"/>
      <c r="N600" s="30"/>
      <c r="O600" s="27" t="s">
        <v>138</v>
      </c>
      <c r="P600" s="668">
        <f>P599/(R599*T599)</f>
        <v>0.44875935000000006</v>
      </c>
      <c r="Q600" s="668"/>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07">
        <f>P476</f>
        <v>100</v>
      </c>
      <c r="Q603" s="1084"/>
      <c r="R603" s="14" t="s">
        <v>613</v>
      </c>
      <c r="S603" s="226"/>
      <c r="T603" s="18"/>
      <c r="U603" s="18"/>
      <c r="V603" s="97"/>
    </row>
    <row r="604" spans="1:22" s="14" customFormat="1" ht="18" hidden="1" customHeight="1">
      <c r="A604" s="96"/>
      <c r="B604" s="47" t="s">
        <v>614</v>
      </c>
      <c r="C604" s="5"/>
      <c r="D604" s="5"/>
      <c r="E604" s="5"/>
      <c r="I604" s="227"/>
      <c r="M604" s="5"/>
      <c r="O604" s="103" t="s">
        <v>138</v>
      </c>
      <c r="P604" s="707">
        <f>P477</f>
        <v>25</v>
      </c>
      <c r="Q604" s="1084"/>
      <c r="R604" s="14" t="s">
        <v>615</v>
      </c>
      <c r="S604" s="226"/>
      <c r="T604" s="18"/>
      <c r="U604" s="18"/>
      <c r="V604" s="97"/>
    </row>
    <row r="605" spans="1:22" s="14" customFormat="1" ht="18" hidden="1" customHeight="1">
      <c r="A605" s="96"/>
      <c r="B605" s="47" t="s">
        <v>616</v>
      </c>
      <c r="C605" s="5"/>
      <c r="D605" s="5"/>
      <c r="E605" s="5"/>
      <c r="N605" s="120" t="s">
        <v>655</v>
      </c>
      <c r="O605" s="103" t="s">
        <v>618</v>
      </c>
      <c r="P605" s="708">
        <f>P478</f>
        <v>132</v>
      </c>
      <c r="Q605" s="1071"/>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664" t="s">
        <v>621</v>
      </c>
      <c r="K607" s="664"/>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664">
        <f>P603</f>
        <v>100</v>
      </c>
      <c r="K608" s="664"/>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669">
        <f>(P603*1000)/(SQRT(3)*P605)</f>
        <v>437.38656756789834</v>
      </c>
      <c r="K609" s="669"/>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664" t="s">
        <v>620</v>
      </c>
      <c r="P613" s="936"/>
      <c r="Q613" s="233" t="s">
        <v>641</v>
      </c>
      <c r="R613" s="233">
        <v>16</v>
      </c>
      <c r="S613" s="226"/>
      <c r="V613" s="197"/>
    </row>
    <row r="614" spans="1:22" ht="18" hidden="1" customHeight="1">
      <c r="A614" s="96"/>
      <c r="B614" s="5"/>
      <c r="C614" s="5"/>
      <c r="D614" s="5"/>
      <c r="E614" s="5"/>
      <c r="M614" s="262"/>
      <c r="N614" s="28" t="s">
        <v>138</v>
      </c>
      <c r="O614" s="664">
        <f>+J609</f>
        <v>437.38656756789834</v>
      </c>
      <c r="P614" s="936"/>
      <c r="Q614" s="233" t="s">
        <v>641</v>
      </c>
      <c r="R614" s="233">
        <v>16</v>
      </c>
      <c r="S614" s="226"/>
      <c r="V614" s="197"/>
    </row>
    <row r="615" spans="1:22" ht="18" hidden="1" customHeight="1">
      <c r="A615" s="96"/>
      <c r="B615" s="5"/>
      <c r="C615" s="5"/>
      <c r="D615" s="5"/>
      <c r="E615" s="5"/>
      <c r="M615" s="120" t="s">
        <v>624</v>
      </c>
      <c r="N615" s="28" t="s">
        <v>138</v>
      </c>
      <c r="O615" s="664">
        <f>O614*R614</f>
        <v>6998.1850810863734</v>
      </c>
      <c r="P615" s="936"/>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1018" t="s">
        <v>644</v>
      </c>
      <c r="B617" s="972"/>
      <c r="C617" s="972"/>
      <c r="D617" s="972"/>
      <c r="E617" s="972"/>
      <c r="F617" s="972"/>
      <c r="G617" s="972"/>
      <c r="H617" s="972"/>
      <c r="I617" s="972"/>
      <c r="J617" s="972"/>
      <c r="K617" s="972"/>
      <c r="L617" s="972"/>
      <c r="M617" s="972"/>
      <c r="N617" s="972"/>
      <c r="O617" s="972"/>
      <c r="P617" s="972"/>
      <c r="Q617" s="972"/>
      <c r="R617" s="972"/>
      <c r="S617" s="972"/>
      <c r="T617" s="972"/>
      <c r="U617" s="972"/>
      <c r="V617" s="973"/>
    </row>
    <row r="618" spans="1:22" ht="18" hidden="1" customHeight="1">
      <c r="A618" s="974"/>
      <c r="B618" s="972"/>
      <c r="C618" s="972"/>
      <c r="D618" s="972"/>
      <c r="E618" s="972"/>
      <c r="F618" s="972"/>
      <c r="G618" s="972"/>
      <c r="H618" s="972"/>
      <c r="I618" s="972"/>
      <c r="J618" s="972"/>
      <c r="K618" s="972"/>
      <c r="L618" s="972"/>
      <c r="M618" s="972"/>
      <c r="N618" s="972"/>
      <c r="O618" s="972"/>
      <c r="P618" s="972"/>
      <c r="Q618" s="972"/>
      <c r="R618" s="972"/>
      <c r="S618" s="972"/>
      <c r="T618" s="972"/>
      <c r="U618" s="972"/>
      <c r="V618" s="973"/>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1005" t="s">
        <v>428</v>
      </c>
      <c r="B629" s="1015"/>
      <c r="C629" s="1015"/>
      <c r="D629" s="664">
        <v>30</v>
      </c>
      <c r="E629" s="664" t="s">
        <v>326</v>
      </c>
      <c r="F629" s="664" t="s">
        <v>620</v>
      </c>
      <c r="G629" s="665"/>
      <c r="H629" s="664" t="s">
        <v>326</v>
      </c>
      <c r="I629" s="696" t="s">
        <v>422</v>
      </c>
      <c r="J629" s="1066"/>
      <c r="K629" s="664" t="s">
        <v>326</v>
      </c>
      <c r="L629" s="1015" t="s">
        <v>430</v>
      </c>
      <c r="M629" s="936" t="s">
        <v>431</v>
      </c>
      <c r="N629" s="942" t="s">
        <v>358</v>
      </c>
      <c r="O629" s="936" t="s">
        <v>419</v>
      </c>
      <c r="P629" s="664" t="s">
        <v>358</v>
      </c>
      <c r="Q629" s="943" t="s">
        <v>432</v>
      </c>
      <c r="R629" s="1016"/>
      <c r="S629" s="1016"/>
      <c r="T629" s="944" t="s">
        <v>361</v>
      </c>
      <c r="U629" s="242" t="s">
        <v>433</v>
      </c>
      <c r="V629" s="97"/>
    </row>
    <row r="630" spans="1:22" ht="18" hidden="1" customHeight="1">
      <c r="A630" s="1065"/>
      <c r="B630" s="1015"/>
      <c r="C630" s="1015"/>
      <c r="D630" s="664"/>
      <c r="E630" s="664"/>
      <c r="F630" s="665"/>
      <c r="G630" s="665"/>
      <c r="H630" s="664"/>
      <c r="I630" s="664" t="s">
        <v>434</v>
      </c>
      <c r="J630" s="987"/>
      <c r="K630" s="664"/>
      <c r="L630" s="1015"/>
      <c r="M630" s="936"/>
      <c r="N630" s="942"/>
      <c r="O630" s="936"/>
      <c r="P630" s="664"/>
      <c r="Q630" s="28" t="s">
        <v>157</v>
      </c>
      <c r="R630" s="28" t="s">
        <v>326</v>
      </c>
      <c r="S630" s="28" t="s">
        <v>157</v>
      </c>
      <c r="T630" s="944"/>
      <c r="U630" s="14"/>
      <c r="V630" s="97"/>
    </row>
    <row r="631" spans="1:22" ht="18" hidden="1" customHeight="1">
      <c r="A631" s="196"/>
      <c r="V631" s="197"/>
    </row>
    <row r="632" spans="1:22" ht="18" hidden="1" customHeight="1">
      <c r="A632" s="1005" t="s">
        <v>428</v>
      </c>
      <c r="B632" s="1015"/>
      <c r="C632" s="1015"/>
      <c r="D632" s="664">
        <v>2</v>
      </c>
      <c r="E632" s="664" t="s">
        <v>326</v>
      </c>
      <c r="F632" s="664" t="s">
        <v>624</v>
      </c>
      <c r="G632" s="665"/>
      <c r="H632" s="664" t="s">
        <v>326</v>
      </c>
      <c r="I632" s="696" t="s">
        <v>422</v>
      </c>
      <c r="J632" s="1066"/>
      <c r="K632" s="664" t="s">
        <v>326</v>
      </c>
      <c r="L632" s="1015" t="s">
        <v>430</v>
      </c>
      <c r="M632" s="936" t="s">
        <v>431</v>
      </c>
      <c r="N632" s="942" t="s">
        <v>358</v>
      </c>
      <c r="O632" s="936" t="s">
        <v>419</v>
      </c>
      <c r="P632" s="664" t="s">
        <v>358</v>
      </c>
      <c r="Q632" s="943" t="s">
        <v>432</v>
      </c>
      <c r="R632" s="1016"/>
      <c r="S632" s="1016"/>
      <c r="T632" s="944" t="s">
        <v>361</v>
      </c>
      <c r="U632" s="242" t="s">
        <v>437</v>
      </c>
      <c r="V632" s="97"/>
    </row>
    <row r="633" spans="1:22" ht="18" hidden="1" customHeight="1">
      <c r="A633" s="1065"/>
      <c r="B633" s="1015"/>
      <c r="C633" s="1015"/>
      <c r="D633" s="664"/>
      <c r="E633" s="664"/>
      <c r="F633" s="665"/>
      <c r="G633" s="665"/>
      <c r="H633" s="664"/>
      <c r="I633" s="664" t="s">
        <v>434</v>
      </c>
      <c r="J633" s="987"/>
      <c r="K633" s="664"/>
      <c r="L633" s="1015"/>
      <c r="M633" s="936"/>
      <c r="N633" s="942"/>
      <c r="O633" s="936"/>
      <c r="P633" s="664"/>
      <c r="Q633" s="28" t="s">
        <v>157</v>
      </c>
      <c r="R633" s="28" t="s">
        <v>326</v>
      </c>
      <c r="S633" s="28" t="s">
        <v>157</v>
      </c>
      <c r="T633" s="944"/>
      <c r="U633" s="14"/>
      <c r="V633" s="97"/>
    </row>
    <row r="634" spans="1:22" ht="18" hidden="1" customHeight="1">
      <c r="A634" s="196"/>
      <c r="V634" s="197"/>
    </row>
    <row r="635" spans="1:22" ht="18" hidden="1" customHeight="1">
      <c r="A635" s="1018" t="s">
        <v>627</v>
      </c>
      <c r="B635" s="972"/>
      <c r="C635" s="972"/>
      <c r="D635" s="972"/>
      <c r="E635" s="972"/>
      <c r="F635" s="972"/>
      <c r="G635" s="972"/>
      <c r="H635" s="972"/>
      <c r="I635" s="972"/>
      <c r="J635" s="972"/>
      <c r="K635" s="972"/>
      <c r="L635" s="972"/>
      <c r="M635" s="972"/>
      <c r="N635" s="972"/>
      <c r="O635" s="972"/>
      <c r="P635" s="972"/>
      <c r="Q635" s="972"/>
      <c r="R635" s="972"/>
      <c r="S635" s="972"/>
      <c r="T635" s="972"/>
      <c r="U635" s="972"/>
      <c r="V635" s="973"/>
    </row>
    <row r="636" spans="1:22" ht="18" hidden="1" customHeight="1">
      <c r="A636" s="974"/>
      <c r="B636" s="972"/>
      <c r="C636" s="972"/>
      <c r="D636" s="972"/>
      <c r="E636" s="972"/>
      <c r="F636" s="972"/>
      <c r="G636" s="972"/>
      <c r="H636" s="972"/>
      <c r="I636" s="972"/>
      <c r="J636" s="972"/>
      <c r="K636" s="972"/>
      <c r="L636" s="972"/>
      <c r="M636" s="972"/>
      <c r="N636" s="972"/>
      <c r="O636" s="972"/>
      <c r="P636" s="972"/>
      <c r="Q636" s="972"/>
      <c r="R636" s="972"/>
      <c r="S636" s="972"/>
      <c r="T636" s="972"/>
      <c r="U636" s="972"/>
      <c r="V636" s="973"/>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1005" t="s">
        <v>428</v>
      </c>
      <c r="B638" s="1015"/>
      <c r="C638" s="1015"/>
      <c r="D638" s="664"/>
      <c r="E638" s="664"/>
      <c r="F638" s="664" t="s">
        <v>628</v>
      </c>
      <c r="G638" s="665"/>
      <c r="H638" s="664" t="s">
        <v>326</v>
      </c>
      <c r="I638" s="696" t="s">
        <v>422</v>
      </c>
      <c r="J638" s="1066"/>
      <c r="K638" s="664" t="s">
        <v>326</v>
      </c>
      <c r="L638" s="1015" t="s">
        <v>430</v>
      </c>
      <c r="M638" s="936" t="s">
        <v>431</v>
      </c>
      <c r="N638" s="942" t="s">
        <v>358</v>
      </c>
      <c r="O638" s="936" t="s">
        <v>419</v>
      </c>
      <c r="P638" s="664" t="s">
        <v>358</v>
      </c>
      <c r="Q638" s="943" t="s">
        <v>432</v>
      </c>
      <c r="R638" s="1016"/>
      <c r="S638" s="1016"/>
      <c r="T638" s="944" t="s">
        <v>361</v>
      </c>
      <c r="U638" s="242" t="s">
        <v>629</v>
      </c>
      <c r="V638" s="97"/>
    </row>
    <row r="639" spans="1:22" ht="18" hidden="1" customHeight="1">
      <c r="A639" s="1065"/>
      <c r="B639" s="1015"/>
      <c r="C639" s="1015"/>
      <c r="D639" s="664"/>
      <c r="E639" s="664"/>
      <c r="F639" s="665"/>
      <c r="G639" s="665"/>
      <c r="H639" s="664"/>
      <c r="I639" s="664" t="s">
        <v>434</v>
      </c>
      <c r="J639" s="987"/>
      <c r="K639" s="664"/>
      <c r="L639" s="1015"/>
      <c r="M639" s="936"/>
      <c r="N639" s="942"/>
      <c r="O639" s="936"/>
      <c r="P639" s="664"/>
      <c r="Q639" s="28" t="s">
        <v>157</v>
      </c>
      <c r="R639" s="28" t="s">
        <v>326</v>
      </c>
      <c r="S639" s="28" t="s">
        <v>157</v>
      </c>
      <c r="T639" s="944"/>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08" t="str">
        <f>M509</f>
        <v>N</v>
      </c>
      <c r="N641" s="709"/>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665" t="str">
        <f>J588</f>
        <v>-</v>
      </c>
      <c r="S644" s="665"/>
      <c r="T644" s="14" t="s">
        <v>9</v>
      </c>
      <c r="V644" s="197"/>
    </row>
    <row r="645" spans="1:22" ht="18" hidden="1" customHeight="1">
      <c r="A645" s="196"/>
      <c r="B645" s="14" t="s">
        <v>632</v>
      </c>
      <c r="C645" s="14"/>
      <c r="D645" s="14"/>
      <c r="E645" s="14"/>
      <c r="F645" s="14"/>
      <c r="G645" s="14"/>
      <c r="H645" s="14"/>
      <c r="I645" s="14"/>
      <c r="J645" s="14"/>
      <c r="P645" s="120" t="s">
        <v>620</v>
      </c>
      <c r="Q645" s="246" t="s">
        <v>138</v>
      </c>
      <c r="R645" s="665">
        <f>J609</f>
        <v>437.38656756789834</v>
      </c>
      <c r="S645" s="665"/>
      <c r="T645" s="14" t="s">
        <v>9</v>
      </c>
      <c r="V645" s="197"/>
    </row>
    <row r="646" spans="1:22" ht="18" hidden="1" customHeight="1">
      <c r="A646" s="196"/>
      <c r="B646" s="14" t="s">
        <v>633</v>
      </c>
      <c r="C646" s="14"/>
      <c r="D646" s="14"/>
      <c r="E646" s="14"/>
      <c r="F646" s="14"/>
      <c r="G646" s="14"/>
      <c r="H646" s="14"/>
      <c r="I646" s="14"/>
      <c r="J646" s="14"/>
      <c r="P646" s="120" t="s">
        <v>624</v>
      </c>
      <c r="Q646" s="246" t="s">
        <v>138</v>
      </c>
      <c r="R646" s="665">
        <f>O615</f>
        <v>6998.1850810863734</v>
      </c>
      <c r="S646" s="665"/>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665" t="str">
        <f>R516</f>
        <v>-</v>
      </c>
      <c r="S648" s="665"/>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665">
        <f>O588</f>
        <v>1</v>
      </c>
      <c r="S650" s="665"/>
      <c r="T650" s="14" t="s">
        <v>9</v>
      </c>
      <c r="V650" s="197"/>
    </row>
    <row r="651" spans="1:22" ht="18" hidden="1" customHeight="1">
      <c r="A651" s="196"/>
      <c r="B651" s="14" t="s">
        <v>448</v>
      </c>
      <c r="C651" s="14"/>
      <c r="D651" s="103"/>
      <c r="E651" s="103"/>
      <c r="F651" s="14"/>
      <c r="G651" s="14"/>
      <c r="H651" s="5"/>
      <c r="I651" s="5"/>
      <c r="J651" s="5"/>
      <c r="P651" s="120" t="s">
        <v>449</v>
      </c>
      <c r="Q651" s="246" t="s">
        <v>138</v>
      </c>
      <c r="R651" s="665">
        <f>R519</f>
        <v>1</v>
      </c>
      <c r="S651" s="665"/>
      <c r="T651" s="14" t="s">
        <v>9</v>
      </c>
      <c r="V651" s="197"/>
    </row>
    <row r="652" spans="1:22" ht="18" hidden="1" customHeight="1">
      <c r="A652" s="196"/>
      <c r="B652" s="14" t="s">
        <v>450</v>
      </c>
      <c r="C652" s="14"/>
      <c r="D652" s="103"/>
      <c r="E652" s="103"/>
      <c r="F652" s="14"/>
      <c r="G652" s="14"/>
      <c r="H652" s="5"/>
      <c r="I652" s="5"/>
      <c r="J652" s="5"/>
      <c r="P652" s="120" t="s">
        <v>451</v>
      </c>
      <c r="Q652" s="246" t="s">
        <v>138</v>
      </c>
      <c r="R652" s="665" t="str">
        <f>J590</f>
        <v>-</v>
      </c>
      <c r="S652" s="665"/>
      <c r="T652" s="204" t="s">
        <v>344</v>
      </c>
      <c r="V652" s="197"/>
    </row>
    <row r="653" spans="1:22" ht="18" hidden="1" customHeight="1">
      <c r="A653" s="196"/>
      <c r="B653" s="14" t="s">
        <v>636</v>
      </c>
      <c r="C653" s="14"/>
      <c r="D653" s="14"/>
      <c r="E653" s="14"/>
      <c r="F653" s="14"/>
      <c r="G653" s="14"/>
      <c r="H653" s="14"/>
      <c r="I653" s="14"/>
      <c r="J653" s="14"/>
      <c r="P653" s="249" t="s">
        <v>452</v>
      </c>
      <c r="Q653" s="246" t="s">
        <v>138</v>
      </c>
      <c r="R653" s="668">
        <f>P600</f>
        <v>0.44875935000000006</v>
      </c>
      <c r="S653" s="665"/>
      <c r="T653" s="204" t="s">
        <v>344</v>
      </c>
      <c r="V653" s="197"/>
    </row>
    <row r="654" spans="1:22" ht="18" hidden="1" customHeight="1">
      <c r="A654" s="196"/>
      <c r="B654" s="40" t="s">
        <v>453</v>
      </c>
      <c r="C654" s="14"/>
      <c r="D654" s="14"/>
      <c r="E654" s="14"/>
      <c r="F654" s="14"/>
      <c r="G654" s="14"/>
      <c r="H654" s="5"/>
      <c r="I654" s="5"/>
      <c r="J654" s="5"/>
      <c r="P654" s="249" t="s">
        <v>454</v>
      </c>
      <c r="Q654" s="246" t="s">
        <v>138</v>
      </c>
      <c r="R654" s="668">
        <f>J596</f>
        <v>0.02</v>
      </c>
      <c r="S654" s="665"/>
      <c r="T654" s="14" t="s">
        <v>168</v>
      </c>
      <c r="V654" s="197"/>
    </row>
    <row r="655" spans="1:22" ht="18" hidden="1" customHeight="1">
      <c r="A655" s="196"/>
      <c r="V655" s="197"/>
    </row>
    <row r="656" spans="1:22" ht="18" hidden="1" customHeight="1">
      <c r="A656" s="1005" t="s">
        <v>428</v>
      </c>
      <c r="B656" s="1015"/>
      <c r="C656" s="1015"/>
      <c r="D656" s="664">
        <v>30</v>
      </c>
      <c r="E656" s="664" t="s">
        <v>326</v>
      </c>
      <c r="F656" s="664">
        <f>R645</f>
        <v>437.38656756789834</v>
      </c>
      <c r="G656" s="665"/>
      <c r="H656" s="664" t="s">
        <v>326</v>
      </c>
      <c r="I656" s="696">
        <f>R650</f>
        <v>1</v>
      </c>
      <c r="J656" s="1066"/>
      <c r="K656" s="664" t="s">
        <v>326</v>
      </c>
      <c r="L656" s="936" t="s">
        <v>430</v>
      </c>
      <c r="M656" s="936" t="str">
        <f>R652</f>
        <v>-</v>
      </c>
      <c r="N656" s="942" t="s">
        <v>358</v>
      </c>
      <c r="O656" s="1067">
        <f>R653</f>
        <v>0.44875935000000006</v>
      </c>
      <c r="P656" s="664" t="s">
        <v>358</v>
      </c>
      <c r="Q656" s="1068">
        <f>R654</f>
        <v>0.02</v>
      </c>
      <c r="R656" s="1016"/>
      <c r="S656" s="1016"/>
      <c r="T656" s="944" t="s">
        <v>361</v>
      </c>
      <c r="U656" s="242" t="s">
        <v>433</v>
      </c>
      <c r="V656" s="97"/>
    </row>
    <row r="657" spans="1:22" ht="18" hidden="1" customHeight="1">
      <c r="A657" s="1065"/>
      <c r="B657" s="1015"/>
      <c r="C657" s="1015"/>
      <c r="D657" s="664"/>
      <c r="E657" s="664"/>
      <c r="F657" s="665"/>
      <c r="G657" s="665"/>
      <c r="H657" s="664"/>
      <c r="I657" s="664" t="str">
        <f>R644</f>
        <v>-</v>
      </c>
      <c r="J657" s="987"/>
      <c r="K657" s="664"/>
      <c r="L657" s="936"/>
      <c r="M657" s="936"/>
      <c r="N657" s="942"/>
      <c r="O657" s="936"/>
      <c r="P657" s="664"/>
      <c r="Q657" s="28">
        <f>R651</f>
        <v>1</v>
      </c>
      <c r="R657" s="28" t="s">
        <v>326</v>
      </c>
      <c r="S657" s="28">
        <f>R651</f>
        <v>1</v>
      </c>
      <c r="T657" s="944"/>
      <c r="U657" s="14"/>
      <c r="V657" s="97"/>
    </row>
    <row r="658" spans="1:22" ht="18" hidden="1" customHeight="1">
      <c r="A658" s="196"/>
      <c r="V658" s="197"/>
    </row>
    <row r="659" spans="1:22" ht="18" hidden="1" customHeight="1">
      <c r="A659" s="196"/>
      <c r="C659" s="30" t="s">
        <v>138</v>
      </c>
      <c r="D659" s="875" t="e">
        <f>D656*F656*(I656/I657)*(M656+O656+(Q656/(Q657*S657)))</f>
        <v>#VALUE!</v>
      </c>
      <c r="E659" s="876"/>
      <c r="F659" s="30" t="s">
        <v>316</v>
      </c>
      <c r="V659" s="197"/>
    </row>
    <row r="660" spans="1:22" ht="18" hidden="1" customHeight="1">
      <c r="A660" s="196"/>
      <c r="V660" s="197"/>
    </row>
    <row r="661" spans="1:22" ht="18" hidden="1" customHeight="1">
      <c r="A661" s="1005" t="s">
        <v>428</v>
      </c>
      <c r="B661" s="1015"/>
      <c r="C661" s="1015"/>
      <c r="D661" s="664">
        <v>2</v>
      </c>
      <c r="E661" s="664" t="s">
        <v>326</v>
      </c>
      <c r="F661" s="664">
        <f>R646</f>
        <v>6998.1850810863734</v>
      </c>
      <c r="G661" s="665"/>
      <c r="H661" s="664" t="s">
        <v>326</v>
      </c>
      <c r="I661" s="696">
        <f>R650</f>
        <v>1</v>
      </c>
      <c r="J661" s="1066"/>
      <c r="K661" s="664" t="s">
        <v>326</v>
      </c>
      <c r="L661" s="1015" t="s">
        <v>430</v>
      </c>
      <c r="M661" s="936" t="str">
        <f>R652</f>
        <v>-</v>
      </c>
      <c r="N661" s="942" t="s">
        <v>358</v>
      </c>
      <c r="O661" s="1067">
        <f>R653</f>
        <v>0.44875935000000006</v>
      </c>
      <c r="P661" s="664" t="s">
        <v>358</v>
      </c>
      <c r="Q661" s="1068">
        <f>R654</f>
        <v>0.02</v>
      </c>
      <c r="R661" s="1016"/>
      <c r="S661" s="1016"/>
      <c r="T661" s="944" t="s">
        <v>361</v>
      </c>
      <c r="U661" s="242" t="s">
        <v>437</v>
      </c>
      <c r="V661" s="97"/>
    </row>
    <row r="662" spans="1:22" ht="18" hidden="1" customHeight="1">
      <c r="A662" s="1065"/>
      <c r="B662" s="1015"/>
      <c r="C662" s="1015"/>
      <c r="D662" s="664"/>
      <c r="E662" s="664"/>
      <c r="F662" s="665"/>
      <c r="G662" s="665"/>
      <c r="H662" s="664"/>
      <c r="I662" s="664" t="str">
        <f>R644</f>
        <v>-</v>
      </c>
      <c r="J662" s="987"/>
      <c r="K662" s="664"/>
      <c r="L662" s="1015"/>
      <c r="M662" s="936"/>
      <c r="N662" s="942"/>
      <c r="O662" s="936"/>
      <c r="P662" s="664"/>
      <c r="Q662" s="28">
        <f>R651</f>
        <v>1</v>
      </c>
      <c r="R662" s="28" t="s">
        <v>326</v>
      </c>
      <c r="S662" s="28">
        <f>R651</f>
        <v>1</v>
      </c>
      <c r="T662" s="944"/>
      <c r="U662" s="14"/>
      <c r="V662" s="97"/>
    </row>
    <row r="663" spans="1:22" ht="18" hidden="1" customHeight="1">
      <c r="A663" s="196"/>
      <c r="L663" s="256"/>
      <c r="V663" s="197"/>
    </row>
    <row r="664" spans="1:22" ht="18" hidden="1" customHeight="1">
      <c r="A664" s="196"/>
      <c r="C664" s="30" t="s">
        <v>138</v>
      </c>
      <c r="D664" s="875" t="e">
        <f>D661*F661*(I661/I662)*(M661+O661+(Q661/(Q662*S662)))</f>
        <v>#VALUE!</v>
      </c>
      <c r="E664" s="876"/>
      <c r="F664" s="30" t="s">
        <v>316</v>
      </c>
      <c r="L664" s="256"/>
      <c r="V664" s="197"/>
    </row>
    <row r="665" spans="1:22" ht="18" hidden="1" customHeight="1">
      <c r="A665" s="196"/>
      <c r="L665" s="256"/>
      <c r="V665" s="197"/>
    </row>
    <row r="666" spans="1:22" s="14" customFormat="1" ht="18" hidden="1" customHeight="1">
      <c r="A666" s="1005" t="s">
        <v>428</v>
      </c>
      <c r="B666" s="1015"/>
      <c r="C666" s="1015"/>
      <c r="D666" s="664"/>
      <c r="E666" s="664"/>
      <c r="F666" s="664" t="str">
        <f>R648</f>
        <v>-</v>
      </c>
      <c r="G666" s="665"/>
      <c r="H666" s="664" t="s">
        <v>326</v>
      </c>
      <c r="I666" s="696">
        <f>R650</f>
        <v>1</v>
      </c>
      <c r="J666" s="1066"/>
      <c r="K666" s="664" t="s">
        <v>326</v>
      </c>
      <c r="L666" s="1015" t="s">
        <v>430</v>
      </c>
      <c r="M666" s="936" t="str">
        <f>R652</f>
        <v>-</v>
      </c>
      <c r="N666" s="942" t="s">
        <v>358</v>
      </c>
      <c r="O666" s="1067">
        <f>R653</f>
        <v>0.44875935000000006</v>
      </c>
      <c r="P666" s="664" t="s">
        <v>358</v>
      </c>
      <c r="Q666" s="1068">
        <f>R654</f>
        <v>0.02</v>
      </c>
      <c r="R666" s="1016"/>
      <c r="S666" s="1016"/>
      <c r="T666" s="944" t="s">
        <v>361</v>
      </c>
      <c r="U666" s="242" t="s">
        <v>629</v>
      </c>
      <c r="V666" s="97"/>
    </row>
    <row r="667" spans="1:22" ht="18" hidden="1" customHeight="1">
      <c r="A667" s="1065"/>
      <c r="B667" s="1015"/>
      <c r="C667" s="1015"/>
      <c r="D667" s="664"/>
      <c r="E667" s="664"/>
      <c r="F667" s="665"/>
      <c r="G667" s="665"/>
      <c r="H667" s="664"/>
      <c r="I667" s="664" t="str">
        <f>R644</f>
        <v>-</v>
      </c>
      <c r="J667" s="987"/>
      <c r="K667" s="664"/>
      <c r="L667" s="1015"/>
      <c r="M667" s="936"/>
      <c r="N667" s="942"/>
      <c r="O667" s="936"/>
      <c r="P667" s="664"/>
      <c r="Q667" s="28">
        <f>R651</f>
        <v>1</v>
      </c>
      <c r="R667" s="28" t="s">
        <v>326</v>
      </c>
      <c r="S667" s="28">
        <f>R651</f>
        <v>1</v>
      </c>
      <c r="T667" s="944"/>
      <c r="U667" s="14"/>
      <c r="V667" s="97"/>
    </row>
    <row r="668" spans="1:22" ht="18" hidden="1" customHeight="1">
      <c r="A668" s="196"/>
      <c r="V668" s="197"/>
    </row>
    <row r="669" spans="1:22" ht="18" hidden="1" customHeight="1">
      <c r="A669" s="196"/>
      <c r="C669" s="30" t="s">
        <v>138</v>
      </c>
      <c r="D669" s="875" t="e">
        <f>F666*(I666/I667)*(M666+O666+(Q666/(Q667*S667)))</f>
        <v>#VALUE!</v>
      </c>
      <c r="E669" s="876"/>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1028" t="str">
        <f>R644</f>
        <v>-</v>
      </c>
      <c r="N673" s="1029"/>
      <c r="O673" s="30" t="s">
        <v>481</v>
      </c>
      <c r="Q673" s="875" t="e">
        <f>IF(M641="Y",MAX(D659,D669),MAX(D659,D664))</f>
        <v>#VALUE!</v>
      </c>
      <c r="R673" s="700"/>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996" t="e">
        <f>+Q673</f>
        <v>#VALUE!</v>
      </c>
      <c r="R679" s="1085"/>
      <c r="S679" s="234" t="s">
        <v>326</v>
      </c>
      <c r="T679" s="265">
        <f>+T678</f>
        <v>0.8</v>
      </c>
      <c r="V679" s="197"/>
    </row>
    <row r="680" spans="1:22" ht="18" hidden="1" customHeight="1">
      <c r="A680" s="196"/>
      <c r="O680" s="14"/>
      <c r="P680" s="28" t="s">
        <v>138</v>
      </c>
      <c r="Q680" s="997" t="e">
        <f>Q679*T679</f>
        <v>#VALUE!</v>
      </c>
      <c r="R680" s="1071"/>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665" t="str">
        <f>J591</f>
        <v>-</v>
      </c>
      <c r="F683" s="665"/>
      <c r="G683" s="27" t="e">
        <f>G682</f>
        <v>#VALUE!</v>
      </c>
      <c r="H683" s="668" t="e">
        <f>Q680</f>
        <v>#VALUE!</v>
      </c>
      <c r="I683" s="665"/>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08" t="str">
        <f>B585</f>
        <v>BCT13,14,15</v>
      </c>
      <c r="C717" s="709"/>
      <c r="D717" s="710" t="str">
        <f>D585</f>
        <v>Core2</v>
      </c>
      <c r="E717" s="711"/>
      <c r="F717" s="198" t="s">
        <v>647</v>
      </c>
      <c r="H717" s="665" t="str">
        <f>H585</f>
        <v>(Transformer Differential)</v>
      </c>
      <c r="I717" s="665"/>
      <c r="J717" s="665"/>
      <c r="K717" s="665"/>
      <c r="L717" s="665"/>
      <c r="M717" s="665"/>
      <c r="P717" s="198"/>
      <c r="S717" s="199" t="s">
        <v>398</v>
      </c>
      <c r="T717" s="708" t="str">
        <f>T585</f>
        <v>RET670</v>
      </c>
      <c r="U717" s="709"/>
      <c r="V717" s="197"/>
    </row>
    <row r="718" spans="1:22" ht="18" hidden="1" customHeight="1">
      <c r="A718" s="196"/>
      <c r="B718" s="707">
        <f>B586</f>
        <v>0</v>
      </c>
      <c r="C718" s="707"/>
      <c r="D718" s="712"/>
      <c r="E718" s="713"/>
      <c r="F718" s="267"/>
      <c r="T718" s="708">
        <f>T586</f>
        <v>0</v>
      </c>
      <c r="U718" s="709"/>
      <c r="V718" s="197"/>
    </row>
    <row r="719" spans="1:22" ht="18" hidden="1" customHeight="1">
      <c r="A719" s="196"/>
      <c r="H719" s="696" t="s">
        <v>401</v>
      </c>
      <c r="I719" s="696"/>
      <c r="J719" s="696" t="s">
        <v>402</v>
      </c>
      <c r="K719" s="696"/>
      <c r="L719" s="666" t="s">
        <v>403</v>
      </c>
      <c r="M719" s="666"/>
      <c r="T719" s="708">
        <f>T587</f>
        <v>0</v>
      </c>
      <c r="U719" s="709"/>
      <c r="V719" s="197"/>
    </row>
    <row r="720" spans="1:22" ht="18" hidden="1" customHeight="1">
      <c r="A720" s="196"/>
      <c r="B720" s="47" t="s">
        <v>404</v>
      </c>
      <c r="H720" s="708">
        <f>H588</f>
        <v>1200</v>
      </c>
      <c r="I720" s="709"/>
      <c r="J720" s="708" t="str">
        <f>J588</f>
        <v>-</v>
      </c>
      <c r="K720" s="709"/>
      <c r="L720" s="714" t="str">
        <f>L588</f>
        <v>-</v>
      </c>
      <c r="M720" s="715"/>
      <c r="N720" s="102" t="s">
        <v>353</v>
      </c>
      <c r="O720" s="268">
        <f>O588</f>
        <v>1</v>
      </c>
      <c r="P720" s="27" t="s">
        <v>9</v>
      </c>
      <c r="V720" s="197"/>
    </row>
    <row r="721" spans="1:29" ht="18" hidden="1" customHeight="1">
      <c r="A721" s="196"/>
      <c r="B721" s="47" t="s">
        <v>405</v>
      </c>
      <c r="H721" s="14"/>
      <c r="K721" s="14"/>
      <c r="L721" s="708" t="str">
        <f>J589</f>
        <v>TPS</v>
      </c>
      <c r="M721" s="709"/>
      <c r="N721" s="14"/>
      <c r="V721" s="197"/>
    </row>
    <row r="722" spans="1:29" ht="18" hidden="1" customHeight="1">
      <c r="A722" s="196"/>
      <c r="B722" s="47" t="s">
        <v>407</v>
      </c>
      <c r="K722" s="120" t="s">
        <v>508</v>
      </c>
      <c r="L722" s="653" t="s">
        <v>7</v>
      </c>
      <c r="M722" s="654"/>
      <c r="N722" s="204" t="s">
        <v>344</v>
      </c>
      <c r="V722" s="197"/>
    </row>
    <row r="723" spans="1:29" ht="18" hidden="1" customHeight="1">
      <c r="A723" s="196"/>
      <c r="B723" s="47" t="s">
        <v>409</v>
      </c>
      <c r="K723" s="120" t="s">
        <v>509</v>
      </c>
      <c r="L723" s="653" t="s">
        <v>7</v>
      </c>
      <c r="M723" s="654"/>
      <c r="N723" s="14" t="s">
        <v>316</v>
      </c>
      <c r="V723" s="197"/>
      <c r="W723" s="30" t="s">
        <v>411</v>
      </c>
      <c r="AB723" s="1022" t="e">
        <f>Q812</f>
        <v>#VALUE!</v>
      </c>
      <c r="AC723" s="1023"/>
    </row>
    <row r="724" spans="1:29" ht="18" hidden="1" customHeight="1">
      <c r="A724" s="196"/>
      <c r="B724" s="14" t="s">
        <v>412</v>
      </c>
      <c r="K724" s="120" t="s">
        <v>413</v>
      </c>
      <c r="L724" s="653" t="s">
        <v>7</v>
      </c>
      <c r="M724" s="654"/>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7">
        <f>J596</f>
        <v>0.02</v>
      </c>
      <c r="K728" s="1098"/>
      <c r="L728" s="3" t="s">
        <v>168</v>
      </c>
      <c r="N728" s="209" t="s">
        <v>418</v>
      </c>
      <c r="V728" s="197"/>
    </row>
    <row r="729" spans="1:29" s="14" customFormat="1" ht="18" hidden="1" customHeight="1">
      <c r="A729" s="196"/>
      <c r="B729" s="96" t="s">
        <v>416</v>
      </c>
      <c r="C729" s="30"/>
      <c r="D729" s="30">
        <f>T718</f>
        <v>0</v>
      </c>
      <c r="E729" s="30"/>
      <c r="F729" s="30"/>
      <c r="G729" s="30"/>
      <c r="H729" s="27"/>
      <c r="I729" s="189"/>
      <c r="J729" s="1099">
        <f>J597</f>
        <v>0</v>
      </c>
      <c r="K729" s="1100"/>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699">
        <f>J598</f>
        <v>0</v>
      </c>
      <c r="K730" s="700"/>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9">
        <f>J599</f>
        <v>0.44875935000000006</v>
      </c>
      <c r="K731" s="1100"/>
      <c r="L731" s="215" t="s">
        <v>168</v>
      </c>
      <c r="M731" s="30"/>
      <c r="N731" s="30"/>
      <c r="O731" s="27" t="s">
        <v>138</v>
      </c>
      <c r="P731" s="216">
        <f>J732</f>
        <v>0.44875935000000006</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7">
        <f>J729+J731</f>
        <v>0.44875935000000006</v>
      </c>
      <c r="K732" s="1098"/>
      <c r="L732" s="222" t="s">
        <v>168</v>
      </c>
      <c r="M732" s="30"/>
      <c r="N732" s="30"/>
      <c r="O732" s="27" t="s">
        <v>138</v>
      </c>
      <c r="P732" s="668">
        <f>P731/(R731*T731)</f>
        <v>0.44875935000000006</v>
      </c>
      <c r="Q732" s="668"/>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07">
        <f>P603</f>
        <v>100</v>
      </c>
      <c r="Q735" s="1084"/>
      <c r="R735" s="14" t="s">
        <v>613</v>
      </c>
      <c r="S735" s="226"/>
      <c r="T735" s="18"/>
      <c r="U735" s="18"/>
      <c r="V735" s="97"/>
    </row>
    <row r="736" spans="1:29" s="14" customFormat="1" ht="18" hidden="1" customHeight="1">
      <c r="A736" s="96"/>
      <c r="B736" s="47" t="s">
        <v>614</v>
      </c>
      <c r="C736" s="5"/>
      <c r="D736" s="5"/>
      <c r="E736" s="5"/>
      <c r="I736" s="227"/>
      <c r="M736" s="5"/>
      <c r="O736" s="103" t="s">
        <v>138</v>
      </c>
      <c r="P736" s="707">
        <f>P604</f>
        <v>25</v>
      </c>
      <c r="Q736" s="1084"/>
      <c r="R736" s="14" t="s">
        <v>615</v>
      </c>
      <c r="S736" s="226"/>
      <c r="T736" s="18"/>
      <c r="U736" s="18"/>
      <c r="V736" s="97"/>
    </row>
    <row r="737" spans="1:22" s="14" customFormat="1" ht="18" hidden="1" customHeight="1">
      <c r="A737" s="96"/>
      <c r="B737" s="47" t="s">
        <v>616</v>
      </c>
      <c r="C737" s="5"/>
      <c r="D737" s="5"/>
      <c r="E737" s="5"/>
      <c r="N737" s="120" t="s">
        <v>617</v>
      </c>
      <c r="O737" s="103" t="s">
        <v>618</v>
      </c>
      <c r="P737" s="708">
        <f>P605</f>
        <v>132</v>
      </c>
      <c r="Q737" s="1071"/>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664" t="s">
        <v>621</v>
      </c>
      <c r="K739" s="664"/>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664">
        <f>P735</f>
        <v>100</v>
      </c>
      <c r="K740" s="664"/>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669">
        <f>(P735*1000)/(SQRT(3)*P737)</f>
        <v>437.38656756789834</v>
      </c>
      <c r="K741" s="669"/>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664" t="s">
        <v>620</v>
      </c>
      <c r="P745" s="936"/>
      <c r="Q745" s="233" t="s">
        <v>641</v>
      </c>
      <c r="R745" s="233">
        <v>16</v>
      </c>
      <c r="S745" s="226"/>
      <c r="V745" s="197"/>
    </row>
    <row r="746" spans="1:22" ht="18" hidden="1" customHeight="1">
      <c r="A746" s="96"/>
      <c r="B746" s="5"/>
      <c r="C746" s="5"/>
      <c r="D746" s="5"/>
      <c r="E746" s="5"/>
      <c r="M746" s="262"/>
      <c r="N746" s="28" t="s">
        <v>138</v>
      </c>
      <c r="O746" s="664">
        <f>+J741</f>
        <v>437.38656756789834</v>
      </c>
      <c r="P746" s="936"/>
      <c r="Q746" s="233" t="s">
        <v>641</v>
      </c>
      <c r="R746" s="233">
        <v>16</v>
      </c>
      <c r="S746" s="226"/>
      <c r="V746" s="197"/>
    </row>
    <row r="747" spans="1:22" ht="18" hidden="1" customHeight="1">
      <c r="A747" s="96"/>
      <c r="B747" s="5"/>
      <c r="C747" s="5"/>
      <c r="D747" s="5"/>
      <c r="E747" s="5"/>
      <c r="M747" s="120" t="s">
        <v>624</v>
      </c>
      <c r="N747" s="28" t="s">
        <v>138</v>
      </c>
      <c r="O747" s="664">
        <f>O746*R746</f>
        <v>6998.1850810863734</v>
      </c>
      <c r="P747" s="936"/>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1018" t="s">
        <v>644</v>
      </c>
      <c r="B749" s="972"/>
      <c r="C749" s="972"/>
      <c r="D749" s="972"/>
      <c r="E749" s="972"/>
      <c r="F749" s="972"/>
      <c r="G749" s="972"/>
      <c r="H749" s="972"/>
      <c r="I749" s="972"/>
      <c r="J749" s="972"/>
      <c r="K749" s="972"/>
      <c r="L749" s="972"/>
      <c r="M749" s="972"/>
      <c r="N749" s="972"/>
      <c r="O749" s="972"/>
      <c r="P749" s="972"/>
      <c r="Q749" s="972"/>
      <c r="R749" s="972"/>
      <c r="S749" s="972"/>
      <c r="T749" s="972"/>
      <c r="U749" s="972"/>
      <c r="V749" s="973"/>
    </row>
    <row r="750" spans="1:22" ht="18" hidden="1" customHeight="1">
      <c r="A750" s="974"/>
      <c r="B750" s="972"/>
      <c r="C750" s="972"/>
      <c r="D750" s="972"/>
      <c r="E750" s="972"/>
      <c r="F750" s="972"/>
      <c r="G750" s="972"/>
      <c r="H750" s="972"/>
      <c r="I750" s="972"/>
      <c r="J750" s="972"/>
      <c r="K750" s="972"/>
      <c r="L750" s="972"/>
      <c r="M750" s="972"/>
      <c r="N750" s="972"/>
      <c r="O750" s="972"/>
      <c r="P750" s="972"/>
      <c r="Q750" s="972"/>
      <c r="R750" s="972"/>
      <c r="S750" s="972"/>
      <c r="T750" s="972"/>
      <c r="U750" s="972"/>
      <c r="V750" s="973"/>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1005" t="s">
        <v>428</v>
      </c>
      <c r="B761" s="1015"/>
      <c r="C761" s="1015"/>
      <c r="D761" s="664">
        <v>30</v>
      </c>
      <c r="E761" s="664" t="s">
        <v>326</v>
      </c>
      <c r="F761" s="664" t="s">
        <v>620</v>
      </c>
      <c r="G761" s="665"/>
      <c r="H761" s="664" t="s">
        <v>326</v>
      </c>
      <c r="I761" s="696" t="s">
        <v>422</v>
      </c>
      <c r="J761" s="1066"/>
      <c r="K761" s="664" t="s">
        <v>326</v>
      </c>
      <c r="L761" s="1015" t="s">
        <v>430</v>
      </c>
      <c r="M761" s="936" t="s">
        <v>431</v>
      </c>
      <c r="N761" s="942" t="s">
        <v>358</v>
      </c>
      <c r="O761" s="936" t="s">
        <v>419</v>
      </c>
      <c r="P761" s="664" t="s">
        <v>358</v>
      </c>
      <c r="Q761" s="943" t="s">
        <v>432</v>
      </c>
      <c r="R761" s="1016"/>
      <c r="S761" s="1016"/>
      <c r="T761" s="944" t="s">
        <v>361</v>
      </c>
      <c r="U761" s="242" t="s">
        <v>433</v>
      </c>
      <c r="V761" s="97"/>
    </row>
    <row r="762" spans="1:22" ht="18" hidden="1" customHeight="1">
      <c r="A762" s="1065"/>
      <c r="B762" s="1015"/>
      <c r="C762" s="1015"/>
      <c r="D762" s="664"/>
      <c r="E762" s="664"/>
      <c r="F762" s="665"/>
      <c r="G762" s="665"/>
      <c r="H762" s="664"/>
      <c r="I762" s="664" t="s">
        <v>434</v>
      </c>
      <c r="J762" s="987"/>
      <c r="K762" s="664"/>
      <c r="L762" s="1015"/>
      <c r="M762" s="936"/>
      <c r="N762" s="942"/>
      <c r="O762" s="936"/>
      <c r="P762" s="664"/>
      <c r="Q762" s="28" t="s">
        <v>157</v>
      </c>
      <c r="R762" s="28" t="s">
        <v>326</v>
      </c>
      <c r="S762" s="28" t="s">
        <v>157</v>
      </c>
      <c r="T762" s="944"/>
      <c r="U762" s="14"/>
      <c r="V762" s="97"/>
    </row>
    <row r="763" spans="1:22" ht="18" hidden="1" customHeight="1">
      <c r="A763" s="196"/>
      <c r="V763" s="197"/>
    </row>
    <row r="764" spans="1:22" ht="18" hidden="1" customHeight="1">
      <c r="A764" s="1005" t="s">
        <v>428</v>
      </c>
      <c r="B764" s="1015"/>
      <c r="C764" s="1015"/>
      <c r="D764" s="664">
        <v>2</v>
      </c>
      <c r="E764" s="664" t="s">
        <v>326</v>
      </c>
      <c r="F764" s="664" t="s">
        <v>624</v>
      </c>
      <c r="G764" s="665"/>
      <c r="H764" s="664" t="s">
        <v>326</v>
      </c>
      <c r="I764" s="696" t="s">
        <v>422</v>
      </c>
      <c r="J764" s="1066"/>
      <c r="K764" s="664" t="s">
        <v>326</v>
      </c>
      <c r="L764" s="1015" t="s">
        <v>430</v>
      </c>
      <c r="M764" s="936" t="s">
        <v>431</v>
      </c>
      <c r="N764" s="942" t="s">
        <v>358</v>
      </c>
      <c r="O764" s="936" t="s">
        <v>419</v>
      </c>
      <c r="P764" s="664" t="s">
        <v>358</v>
      </c>
      <c r="Q764" s="943" t="s">
        <v>432</v>
      </c>
      <c r="R764" s="1016"/>
      <c r="S764" s="1016"/>
      <c r="T764" s="944" t="s">
        <v>361</v>
      </c>
      <c r="U764" s="242" t="s">
        <v>437</v>
      </c>
      <c r="V764" s="97"/>
    </row>
    <row r="765" spans="1:22" ht="18" hidden="1" customHeight="1">
      <c r="A765" s="1065"/>
      <c r="B765" s="1015"/>
      <c r="C765" s="1015"/>
      <c r="D765" s="664"/>
      <c r="E765" s="664"/>
      <c r="F765" s="665"/>
      <c r="G765" s="665"/>
      <c r="H765" s="664"/>
      <c r="I765" s="664" t="s">
        <v>434</v>
      </c>
      <c r="J765" s="987"/>
      <c r="K765" s="664"/>
      <c r="L765" s="1015"/>
      <c r="M765" s="936"/>
      <c r="N765" s="942"/>
      <c r="O765" s="936"/>
      <c r="P765" s="664"/>
      <c r="Q765" s="28" t="s">
        <v>157</v>
      </c>
      <c r="R765" s="28" t="s">
        <v>326</v>
      </c>
      <c r="S765" s="28" t="s">
        <v>157</v>
      </c>
      <c r="T765" s="944"/>
      <c r="U765" s="14"/>
      <c r="V765" s="97"/>
    </row>
    <row r="766" spans="1:22" ht="18" hidden="1" customHeight="1">
      <c r="A766" s="196"/>
      <c r="V766" s="197"/>
    </row>
    <row r="767" spans="1:22" ht="18" hidden="1" customHeight="1">
      <c r="A767" s="1018" t="s">
        <v>627</v>
      </c>
      <c r="B767" s="972"/>
      <c r="C767" s="972"/>
      <c r="D767" s="972"/>
      <c r="E767" s="972"/>
      <c r="F767" s="972"/>
      <c r="G767" s="972"/>
      <c r="H767" s="972"/>
      <c r="I767" s="972"/>
      <c r="J767" s="972"/>
      <c r="K767" s="972"/>
      <c r="L767" s="972"/>
      <c r="M767" s="972"/>
      <c r="N767" s="972"/>
      <c r="O767" s="972"/>
      <c r="P767" s="972"/>
      <c r="Q767" s="972"/>
      <c r="R767" s="972"/>
      <c r="S767" s="972"/>
      <c r="T767" s="972"/>
      <c r="U767" s="972"/>
      <c r="V767" s="973"/>
    </row>
    <row r="768" spans="1:22" ht="18" hidden="1" customHeight="1">
      <c r="A768" s="974"/>
      <c r="B768" s="972"/>
      <c r="C768" s="972"/>
      <c r="D768" s="972"/>
      <c r="E768" s="972"/>
      <c r="F768" s="972"/>
      <c r="G768" s="972"/>
      <c r="H768" s="972"/>
      <c r="I768" s="972"/>
      <c r="J768" s="972"/>
      <c r="K768" s="972"/>
      <c r="L768" s="972"/>
      <c r="M768" s="972"/>
      <c r="N768" s="972"/>
      <c r="O768" s="972"/>
      <c r="P768" s="972"/>
      <c r="Q768" s="972"/>
      <c r="R768" s="972"/>
      <c r="S768" s="972"/>
      <c r="T768" s="972"/>
      <c r="U768" s="972"/>
      <c r="V768" s="973"/>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1005" t="s">
        <v>428</v>
      </c>
      <c r="B770" s="1015"/>
      <c r="C770" s="1015"/>
      <c r="D770" s="664"/>
      <c r="E770" s="664"/>
      <c r="F770" s="664" t="s">
        <v>628</v>
      </c>
      <c r="G770" s="665"/>
      <c r="H770" s="664" t="s">
        <v>326</v>
      </c>
      <c r="I770" s="696" t="s">
        <v>422</v>
      </c>
      <c r="J770" s="1066"/>
      <c r="K770" s="664" t="s">
        <v>326</v>
      </c>
      <c r="L770" s="1015" t="s">
        <v>430</v>
      </c>
      <c r="M770" s="936" t="s">
        <v>431</v>
      </c>
      <c r="N770" s="942" t="s">
        <v>358</v>
      </c>
      <c r="O770" s="936" t="s">
        <v>419</v>
      </c>
      <c r="P770" s="664" t="s">
        <v>358</v>
      </c>
      <c r="Q770" s="943" t="s">
        <v>432</v>
      </c>
      <c r="R770" s="1016"/>
      <c r="S770" s="1016"/>
      <c r="T770" s="944" t="s">
        <v>361</v>
      </c>
      <c r="U770" s="242" t="s">
        <v>629</v>
      </c>
      <c r="V770" s="97"/>
    </row>
    <row r="771" spans="1:22" ht="18" hidden="1" customHeight="1">
      <c r="A771" s="1065"/>
      <c r="B771" s="1015"/>
      <c r="C771" s="1015"/>
      <c r="D771" s="664"/>
      <c r="E771" s="664"/>
      <c r="F771" s="665"/>
      <c r="G771" s="665"/>
      <c r="H771" s="664"/>
      <c r="I771" s="664" t="s">
        <v>434</v>
      </c>
      <c r="J771" s="987"/>
      <c r="K771" s="664"/>
      <c r="L771" s="1015"/>
      <c r="M771" s="936"/>
      <c r="N771" s="942"/>
      <c r="O771" s="936"/>
      <c r="P771" s="664"/>
      <c r="Q771" s="28" t="s">
        <v>157</v>
      </c>
      <c r="R771" s="28" t="s">
        <v>326</v>
      </c>
      <c r="S771" s="28" t="s">
        <v>157</v>
      </c>
      <c r="T771" s="944"/>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08" t="str">
        <f>M641</f>
        <v>N</v>
      </c>
      <c r="N773" s="709"/>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665" t="str">
        <f>L720</f>
        <v>-</v>
      </c>
      <c r="S776" s="665"/>
      <c r="T776" s="14" t="s">
        <v>9</v>
      </c>
      <c r="V776" s="197"/>
    </row>
    <row r="777" spans="1:22" ht="18" hidden="1" customHeight="1">
      <c r="A777" s="196"/>
      <c r="B777" s="14" t="s">
        <v>632</v>
      </c>
      <c r="C777" s="14"/>
      <c r="D777" s="14"/>
      <c r="E777" s="14"/>
      <c r="F777" s="14"/>
      <c r="G777" s="14"/>
      <c r="H777" s="14"/>
      <c r="I777" s="14"/>
      <c r="J777" s="14"/>
      <c r="P777" s="120" t="s">
        <v>620</v>
      </c>
      <c r="Q777" s="246" t="s">
        <v>138</v>
      </c>
      <c r="R777" s="665">
        <f>J741</f>
        <v>437.38656756789834</v>
      </c>
      <c r="S777" s="665"/>
      <c r="T777" s="14" t="s">
        <v>9</v>
      </c>
      <c r="V777" s="197"/>
    </row>
    <row r="778" spans="1:22" ht="18" hidden="1" customHeight="1">
      <c r="A778" s="196"/>
      <c r="B778" s="14" t="s">
        <v>633</v>
      </c>
      <c r="C778" s="14"/>
      <c r="D778" s="14"/>
      <c r="E778" s="14"/>
      <c r="F778" s="14"/>
      <c r="G778" s="14"/>
      <c r="H778" s="14"/>
      <c r="I778" s="14"/>
      <c r="J778" s="14"/>
      <c r="P778" s="120" t="s">
        <v>624</v>
      </c>
      <c r="Q778" s="246" t="s">
        <v>138</v>
      </c>
      <c r="R778" s="665">
        <f>O747</f>
        <v>6998.1850810863734</v>
      </c>
      <c r="S778" s="665"/>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665" t="str">
        <f>R648</f>
        <v>-</v>
      </c>
      <c r="S780" s="665"/>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665">
        <f>O720</f>
        <v>1</v>
      </c>
      <c r="S782" s="665"/>
      <c r="T782" s="14" t="s">
        <v>9</v>
      </c>
      <c r="V782" s="197"/>
    </row>
    <row r="783" spans="1:22" ht="18" hidden="1" customHeight="1">
      <c r="A783" s="196"/>
      <c r="B783" s="14" t="s">
        <v>448</v>
      </c>
      <c r="C783" s="14"/>
      <c r="D783" s="103"/>
      <c r="E783" s="103"/>
      <c r="F783" s="14"/>
      <c r="G783" s="14"/>
      <c r="H783" s="5"/>
      <c r="I783" s="5"/>
      <c r="J783" s="5"/>
      <c r="P783" s="120" t="s">
        <v>449</v>
      </c>
      <c r="Q783" s="246" t="s">
        <v>138</v>
      </c>
      <c r="R783" s="665">
        <f>R651</f>
        <v>1</v>
      </c>
      <c r="S783" s="665"/>
      <c r="T783" s="14" t="s">
        <v>9</v>
      </c>
      <c r="V783" s="197"/>
    </row>
    <row r="784" spans="1:22" ht="18" hidden="1" customHeight="1">
      <c r="A784" s="196"/>
      <c r="B784" s="14" t="s">
        <v>450</v>
      </c>
      <c r="C784" s="14"/>
      <c r="D784" s="103"/>
      <c r="E784" s="103"/>
      <c r="F784" s="14"/>
      <c r="G784" s="14"/>
      <c r="H784" s="5"/>
      <c r="I784" s="5"/>
      <c r="J784" s="5"/>
      <c r="P784" s="120" t="s">
        <v>451</v>
      </c>
      <c r="Q784" s="246" t="s">
        <v>138</v>
      </c>
      <c r="R784" s="665" t="str">
        <f>L722</f>
        <v>-</v>
      </c>
      <c r="S784" s="665"/>
      <c r="T784" s="204" t="s">
        <v>344</v>
      </c>
      <c r="V784" s="197"/>
    </row>
    <row r="785" spans="1:22" ht="18" hidden="1" customHeight="1">
      <c r="A785" s="196"/>
      <c r="B785" s="14" t="s">
        <v>636</v>
      </c>
      <c r="C785" s="14"/>
      <c r="D785" s="14"/>
      <c r="E785" s="14"/>
      <c r="F785" s="14"/>
      <c r="G785" s="14"/>
      <c r="H785" s="14"/>
      <c r="I785" s="14"/>
      <c r="J785" s="14"/>
      <c r="P785" s="249" t="s">
        <v>452</v>
      </c>
      <c r="Q785" s="246" t="s">
        <v>138</v>
      </c>
      <c r="R785" s="668">
        <f>P732</f>
        <v>0.44875935000000006</v>
      </c>
      <c r="S785" s="665"/>
      <c r="T785" s="204" t="s">
        <v>344</v>
      </c>
      <c r="V785" s="197"/>
    </row>
    <row r="786" spans="1:22" ht="18" hidden="1" customHeight="1">
      <c r="A786" s="196"/>
      <c r="B786" s="40" t="s">
        <v>453</v>
      </c>
      <c r="C786" s="14"/>
      <c r="D786" s="14"/>
      <c r="E786" s="14"/>
      <c r="F786" s="14"/>
      <c r="G786" s="14"/>
      <c r="H786" s="5"/>
      <c r="I786" s="5"/>
      <c r="J786" s="5"/>
      <c r="P786" s="249" t="s">
        <v>454</v>
      </c>
      <c r="Q786" s="246" t="s">
        <v>138</v>
      </c>
      <c r="R786" s="668">
        <f>J728</f>
        <v>0.02</v>
      </c>
      <c r="S786" s="665"/>
      <c r="T786" s="14" t="s">
        <v>168</v>
      </c>
      <c r="V786" s="197"/>
    </row>
    <row r="787" spans="1:22" ht="18" hidden="1" customHeight="1">
      <c r="A787" s="196"/>
      <c r="V787" s="197"/>
    </row>
    <row r="788" spans="1:22" ht="18" hidden="1" customHeight="1">
      <c r="A788" s="1005" t="s">
        <v>428</v>
      </c>
      <c r="B788" s="1015"/>
      <c r="C788" s="1015"/>
      <c r="D788" s="664">
        <v>30</v>
      </c>
      <c r="E788" s="664" t="s">
        <v>326</v>
      </c>
      <c r="F788" s="664">
        <f>R777</f>
        <v>437.38656756789834</v>
      </c>
      <c r="G788" s="665"/>
      <c r="H788" s="664" t="s">
        <v>326</v>
      </c>
      <c r="I788" s="696">
        <f>R782</f>
        <v>1</v>
      </c>
      <c r="J788" s="1066"/>
      <c r="K788" s="664" t="s">
        <v>326</v>
      </c>
      <c r="L788" s="936" t="s">
        <v>430</v>
      </c>
      <c r="M788" s="936" t="str">
        <f>R784</f>
        <v>-</v>
      </c>
      <c r="N788" s="942" t="s">
        <v>358</v>
      </c>
      <c r="O788" s="1067">
        <f>R785</f>
        <v>0.44875935000000006</v>
      </c>
      <c r="P788" s="664" t="s">
        <v>358</v>
      </c>
      <c r="Q788" s="1068">
        <f>R786</f>
        <v>0.02</v>
      </c>
      <c r="R788" s="1016"/>
      <c r="S788" s="1016"/>
      <c r="T788" s="944" t="s">
        <v>361</v>
      </c>
      <c r="U788" s="242" t="s">
        <v>433</v>
      </c>
      <c r="V788" s="97"/>
    </row>
    <row r="789" spans="1:22" ht="18" hidden="1" customHeight="1">
      <c r="A789" s="1065"/>
      <c r="B789" s="1015"/>
      <c r="C789" s="1015"/>
      <c r="D789" s="664"/>
      <c r="E789" s="664"/>
      <c r="F789" s="665"/>
      <c r="G789" s="665"/>
      <c r="H789" s="664"/>
      <c r="I789" s="664" t="str">
        <f>R776</f>
        <v>-</v>
      </c>
      <c r="J789" s="987"/>
      <c r="K789" s="664"/>
      <c r="L789" s="936"/>
      <c r="M789" s="936"/>
      <c r="N789" s="942"/>
      <c r="O789" s="936"/>
      <c r="P789" s="664"/>
      <c r="Q789" s="28">
        <f>R783</f>
        <v>1</v>
      </c>
      <c r="R789" s="28" t="s">
        <v>326</v>
      </c>
      <c r="S789" s="28">
        <f>R783</f>
        <v>1</v>
      </c>
      <c r="T789" s="944"/>
      <c r="U789" s="14"/>
      <c r="V789" s="97"/>
    </row>
    <row r="790" spans="1:22" ht="18" hidden="1" customHeight="1">
      <c r="A790" s="196"/>
      <c r="V790" s="197"/>
    </row>
    <row r="791" spans="1:22" ht="18" hidden="1" customHeight="1">
      <c r="A791" s="196"/>
      <c r="C791" s="30" t="s">
        <v>138</v>
      </c>
      <c r="D791" s="875" t="e">
        <f>D788*F788*(I788/I789)*(M788+O788+(Q788/(Q789*S789)))</f>
        <v>#VALUE!</v>
      </c>
      <c r="E791" s="876"/>
      <c r="F791" s="30" t="s">
        <v>316</v>
      </c>
      <c r="V791" s="197"/>
    </row>
    <row r="792" spans="1:22" ht="18" hidden="1" customHeight="1">
      <c r="A792" s="196"/>
      <c r="V792" s="197"/>
    </row>
    <row r="793" spans="1:22" ht="18" hidden="1" customHeight="1">
      <c r="A793" s="1005" t="s">
        <v>428</v>
      </c>
      <c r="B793" s="1015"/>
      <c r="C793" s="1015"/>
      <c r="D793" s="664">
        <v>2</v>
      </c>
      <c r="E793" s="664" t="s">
        <v>326</v>
      </c>
      <c r="F793" s="664">
        <f>R778</f>
        <v>6998.1850810863734</v>
      </c>
      <c r="G793" s="665"/>
      <c r="H793" s="664" t="s">
        <v>326</v>
      </c>
      <c r="I793" s="696">
        <f>R782</f>
        <v>1</v>
      </c>
      <c r="J793" s="1066"/>
      <c r="K793" s="664" t="s">
        <v>326</v>
      </c>
      <c r="L793" s="1015" t="s">
        <v>430</v>
      </c>
      <c r="M793" s="936" t="str">
        <f>R784</f>
        <v>-</v>
      </c>
      <c r="N793" s="942" t="s">
        <v>358</v>
      </c>
      <c r="O793" s="1067">
        <f>R785</f>
        <v>0.44875935000000006</v>
      </c>
      <c r="P793" s="664" t="s">
        <v>358</v>
      </c>
      <c r="Q793" s="1068">
        <f>R786</f>
        <v>0.02</v>
      </c>
      <c r="R793" s="1016"/>
      <c r="S793" s="1016"/>
      <c r="T793" s="944" t="s">
        <v>361</v>
      </c>
      <c r="U793" s="242" t="s">
        <v>437</v>
      </c>
      <c r="V793" s="97"/>
    </row>
    <row r="794" spans="1:22" ht="18" hidden="1" customHeight="1">
      <c r="A794" s="1065"/>
      <c r="B794" s="1015"/>
      <c r="C794" s="1015"/>
      <c r="D794" s="664"/>
      <c r="E794" s="664"/>
      <c r="F794" s="665"/>
      <c r="G794" s="665"/>
      <c r="H794" s="664"/>
      <c r="I794" s="664" t="str">
        <f>R776</f>
        <v>-</v>
      </c>
      <c r="J794" s="987"/>
      <c r="K794" s="664"/>
      <c r="L794" s="1015"/>
      <c r="M794" s="936"/>
      <c r="N794" s="942"/>
      <c r="O794" s="936"/>
      <c r="P794" s="664"/>
      <c r="Q794" s="28">
        <f>R783</f>
        <v>1</v>
      </c>
      <c r="R794" s="28" t="s">
        <v>326</v>
      </c>
      <c r="S794" s="28">
        <f>R783</f>
        <v>1</v>
      </c>
      <c r="T794" s="944"/>
      <c r="U794" s="14"/>
      <c r="V794" s="97"/>
    </row>
    <row r="795" spans="1:22" ht="18" hidden="1" customHeight="1">
      <c r="A795" s="196"/>
      <c r="L795" s="256"/>
      <c r="V795" s="197"/>
    </row>
    <row r="796" spans="1:22" ht="18" hidden="1" customHeight="1">
      <c r="A796" s="196"/>
      <c r="C796" s="30" t="s">
        <v>138</v>
      </c>
      <c r="D796" s="875" t="e">
        <f>D793*F793*(I793/I794)*(M793+O793+(Q793/(Q794*S794)))</f>
        <v>#VALUE!</v>
      </c>
      <c r="E796" s="876"/>
      <c r="F796" s="30" t="s">
        <v>316</v>
      </c>
      <c r="L796" s="256"/>
      <c r="V796" s="197"/>
    </row>
    <row r="797" spans="1:22" ht="18" hidden="1" customHeight="1">
      <c r="A797" s="196"/>
      <c r="L797" s="256"/>
      <c r="V797" s="197"/>
    </row>
    <row r="798" spans="1:22" s="14" customFormat="1" ht="18" hidden="1" customHeight="1">
      <c r="A798" s="1005" t="s">
        <v>428</v>
      </c>
      <c r="B798" s="1015"/>
      <c r="C798" s="1015"/>
      <c r="D798" s="664"/>
      <c r="E798" s="664"/>
      <c r="F798" s="664" t="str">
        <f>R780</f>
        <v>-</v>
      </c>
      <c r="G798" s="665"/>
      <c r="H798" s="664" t="s">
        <v>326</v>
      </c>
      <c r="I798" s="696">
        <f>R782</f>
        <v>1</v>
      </c>
      <c r="J798" s="1066"/>
      <c r="K798" s="664" t="s">
        <v>326</v>
      </c>
      <c r="L798" s="1015" t="s">
        <v>430</v>
      </c>
      <c r="M798" s="936" t="str">
        <f>R784</f>
        <v>-</v>
      </c>
      <c r="N798" s="942" t="s">
        <v>358</v>
      </c>
      <c r="O798" s="1067">
        <f>R785</f>
        <v>0.44875935000000006</v>
      </c>
      <c r="P798" s="664" t="s">
        <v>358</v>
      </c>
      <c r="Q798" s="1068">
        <f>R786</f>
        <v>0.02</v>
      </c>
      <c r="R798" s="1016"/>
      <c r="S798" s="1016"/>
      <c r="T798" s="944" t="s">
        <v>361</v>
      </c>
      <c r="U798" s="242" t="s">
        <v>629</v>
      </c>
      <c r="V798" s="97"/>
    </row>
    <row r="799" spans="1:22" ht="18" hidden="1" customHeight="1">
      <c r="A799" s="1065"/>
      <c r="B799" s="1015"/>
      <c r="C799" s="1015"/>
      <c r="D799" s="664"/>
      <c r="E799" s="664"/>
      <c r="F799" s="665"/>
      <c r="G799" s="665"/>
      <c r="H799" s="664"/>
      <c r="I799" s="664" t="str">
        <f>R776</f>
        <v>-</v>
      </c>
      <c r="J799" s="987"/>
      <c r="K799" s="664"/>
      <c r="L799" s="1015"/>
      <c r="M799" s="936"/>
      <c r="N799" s="942"/>
      <c r="O799" s="936"/>
      <c r="P799" s="664"/>
      <c r="Q799" s="28">
        <f>R783</f>
        <v>1</v>
      </c>
      <c r="R799" s="28" t="s">
        <v>326</v>
      </c>
      <c r="S799" s="28">
        <f>R783</f>
        <v>1</v>
      </c>
      <c r="T799" s="944"/>
      <c r="U799" s="14"/>
      <c r="V799" s="97"/>
    </row>
    <row r="800" spans="1:22" ht="18" hidden="1" customHeight="1">
      <c r="A800" s="196"/>
      <c r="V800" s="197"/>
    </row>
    <row r="801" spans="1:22" ht="18" hidden="1" customHeight="1">
      <c r="A801" s="196"/>
      <c r="C801" s="30" t="s">
        <v>138</v>
      </c>
      <c r="D801" s="875" t="e">
        <f>F798*(I798/I799)*(M798+O798+(Q798/(Q799*S799)))</f>
        <v>#VALUE!</v>
      </c>
      <c r="E801" s="876"/>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1028" t="str">
        <f>R776</f>
        <v>-</v>
      </c>
      <c r="N805" s="1029"/>
      <c r="O805" s="30" t="s">
        <v>481</v>
      </c>
      <c r="Q805" s="875" t="e">
        <f>IF(M773="Y",MAX(D791,D801),MAX(D791,D796))</f>
        <v>#VALUE!</v>
      </c>
      <c r="R805" s="700"/>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996" t="e">
        <f>+Q805</f>
        <v>#VALUE!</v>
      </c>
      <c r="R811" s="996"/>
      <c r="S811" s="234" t="s">
        <v>326</v>
      </c>
      <c r="T811" s="265">
        <f>+T810</f>
        <v>0.8</v>
      </c>
      <c r="V811" s="197"/>
    </row>
    <row r="812" spans="1:22" ht="18" hidden="1" customHeight="1">
      <c r="A812" s="196"/>
      <c r="O812" s="14"/>
      <c r="P812" s="28" t="s">
        <v>138</v>
      </c>
      <c r="Q812" s="997" t="e">
        <f>Q811*T811</f>
        <v>#VALUE!</v>
      </c>
      <c r="R812" s="1071"/>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665" t="str">
        <f>L723</f>
        <v>-</v>
      </c>
      <c r="F815" s="665"/>
      <c r="G815" s="27" t="e">
        <f>G814</f>
        <v>#VALUE!</v>
      </c>
      <c r="H815" s="668" t="e">
        <f>Q812</f>
        <v>#VALUE!</v>
      </c>
      <c r="I815" s="665"/>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16" t="s">
        <v>97</v>
      </c>
      <c r="B850" s="729"/>
      <c r="C850" s="1101"/>
      <c r="D850" s="716" t="s">
        <v>98</v>
      </c>
      <c r="E850" s="1104"/>
      <c r="F850" s="1104"/>
      <c r="G850" s="1101"/>
      <c r="H850" s="716" t="s">
        <v>99</v>
      </c>
      <c r="I850" s="717"/>
      <c r="J850" s="716" t="s">
        <v>100</v>
      </c>
      <c r="K850" s="1101"/>
      <c r="L850" s="716" t="s">
        <v>513</v>
      </c>
      <c r="M850" s="729"/>
      <c r="N850" s="717" t="s">
        <v>567</v>
      </c>
      <c r="O850" s="716" t="s">
        <v>514</v>
      </c>
      <c r="P850" s="729"/>
      <c r="Q850" s="1101"/>
      <c r="R850" s="716" t="s">
        <v>657</v>
      </c>
      <c r="S850" s="1109"/>
      <c r="T850" s="1110"/>
      <c r="U850" s="716" t="s">
        <v>516</v>
      </c>
      <c r="V850" s="1115"/>
    </row>
    <row r="851" spans="1:22" ht="18" hidden="1" customHeight="1">
      <c r="A851" s="718"/>
      <c r="B851" s="730"/>
      <c r="C851" s="1102"/>
      <c r="D851" s="1105"/>
      <c r="E851" s="1106"/>
      <c r="F851" s="1106"/>
      <c r="G851" s="1102"/>
      <c r="H851" s="718"/>
      <c r="I851" s="719"/>
      <c r="J851" s="1105"/>
      <c r="K851" s="1102"/>
      <c r="L851" s="718"/>
      <c r="M851" s="730"/>
      <c r="N851" s="719"/>
      <c r="O851" s="718"/>
      <c r="P851" s="730"/>
      <c r="Q851" s="1102"/>
      <c r="R851" s="1111"/>
      <c r="S851" s="1109"/>
      <c r="T851" s="1110"/>
      <c r="U851" s="1079"/>
      <c r="V851" s="1116"/>
    </row>
    <row r="852" spans="1:22" ht="18" hidden="1" customHeight="1">
      <c r="A852" s="720"/>
      <c r="B852" s="731"/>
      <c r="C852" s="1103"/>
      <c r="D852" s="1107"/>
      <c r="E852" s="1108"/>
      <c r="F852" s="1108"/>
      <c r="G852" s="1103"/>
      <c r="H852" s="720"/>
      <c r="I852" s="721"/>
      <c r="J852" s="1107"/>
      <c r="K852" s="1103"/>
      <c r="L852" s="720"/>
      <c r="M852" s="731"/>
      <c r="N852" s="721"/>
      <c r="O852" s="720"/>
      <c r="P852" s="731"/>
      <c r="Q852" s="1103"/>
      <c r="R852" s="1112"/>
      <c r="S852" s="1113"/>
      <c r="T852" s="1114"/>
      <c r="U852" s="1117"/>
      <c r="V852" s="1118"/>
    </row>
    <row r="853" spans="1:22" ht="18" hidden="1" customHeight="1">
      <c r="A853" s="1119" t="str">
        <f>B717</f>
        <v>BCT13,14,15</v>
      </c>
      <c r="B853" s="1120">
        <f>B718</f>
        <v>0</v>
      </c>
      <c r="C853" s="734" t="str">
        <f>D717</f>
        <v>Core2</v>
      </c>
      <c r="D853" s="734">
        <f>H588</f>
        <v>1200</v>
      </c>
      <c r="E853" s="734" t="str">
        <f>J588</f>
        <v>-</v>
      </c>
      <c r="F853" s="734" t="str">
        <f>L720</f>
        <v>-</v>
      </c>
      <c r="G853" s="734">
        <f>O588</f>
        <v>1</v>
      </c>
      <c r="H853" s="734">
        <f>'CT-VT Burdens'!S19</f>
        <v>50</v>
      </c>
      <c r="I853" s="722">
        <f>'CT-VT Burdens'!S10</f>
        <v>6</v>
      </c>
      <c r="J853" s="728" t="str">
        <f>J589</f>
        <v>TPS</v>
      </c>
      <c r="K853" s="728"/>
      <c r="L853" s="734">
        <f>H463</f>
        <v>5</v>
      </c>
      <c r="M853" s="734" t="str">
        <f>J590</f>
        <v>-</v>
      </c>
      <c r="N853" s="734" t="str">
        <f>L722</f>
        <v>-</v>
      </c>
      <c r="O853" s="734">
        <f>H464</f>
        <v>430</v>
      </c>
      <c r="P853" s="734" t="str">
        <f>J591</f>
        <v>-</v>
      </c>
      <c r="Q853" s="734" t="str">
        <f>L723</f>
        <v>-</v>
      </c>
      <c r="R853" s="734">
        <f>H465</f>
        <v>20</v>
      </c>
      <c r="S853" s="734" t="str">
        <f>J592</f>
        <v>-</v>
      </c>
      <c r="T853" s="734" t="str">
        <f>L724</f>
        <v>-</v>
      </c>
      <c r="U853" s="728" t="str">
        <f>D596</f>
        <v>RET670</v>
      </c>
      <c r="V853" s="728"/>
    </row>
    <row r="854" spans="1:22" ht="18" hidden="1" customHeight="1">
      <c r="A854" s="733">
        <f>B718</f>
        <v>0</v>
      </c>
      <c r="B854" s="1098">
        <f>A719</f>
        <v>0</v>
      </c>
      <c r="C854" s="1121"/>
      <c r="D854" s="1121"/>
      <c r="E854" s="1121"/>
      <c r="F854" s="1121"/>
      <c r="G854" s="1121"/>
      <c r="H854" s="1121"/>
      <c r="I854" s="1121"/>
      <c r="J854" s="1123"/>
      <c r="K854" s="1123"/>
      <c r="L854" s="1121"/>
      <c r="M854" s="1121"/>
      <c r="N854" s="1121"/>
      <c r="O854" s="1121"/>
      <c r="P854" s="1121"/>
      <c r="Q854" s="1121"/>
      <c r="R854" s="1121"/>
      <c r="S854" s="1121"/>
      <c r="T854" s="1121"/>
      <c r="U854" s="1123"/>
      <c r="V854" s="1123"/>
    </row>
    <row r="855" spans="1:22" ht="18" hidden="1" customHeight="1">
      <c r="A855" s="733">
        <f>A719</f>
        <v>0</v>
      </c>
      <c r="B855" s="1098" t="str">
        <f>B720</f>
        <v>CT Ratio:</v>
      </c>
      <c r="C855" s="1122"/>
      <c r="D855" s="1122"/>
      <c r="E855" s="1122"/>
      <c r="F855" s="1122"/>
      <c r="G855" s="1122"/>
      <c r="H855" s="1122"/>
      <c r="I855" s="1122"/>
      <c r="J855" s="1123"/>
      <c r="K855" s="1123"/>
      <c r="L855" s="1122"/>
      <c r="M855" s="1122"/>
      <c r="N855" s="1122"/>
      <c r="O855" s="1122"/>
      <c r="P855" s="1122"/>
      <c r="Q855" s="1122"/>
      <c r="R855" s="1122"/>
      <c r="S855" s="1122"/>
      <c r="T855" s="1122"/>
      <c r="U855" s="1123"/>
      <c r="V855" s="1123"/>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 ref="Q812:R812"/>
    <mergeCell ref="E815:F815"/>
    <mergeCell ref="H815:I815"/>
    <mergeCell ref="A850:C852"/>
    <mergeCell ref="D850:G852"/>
    <mergeCell ref="H850:I852"/>
    <mergeCell ref="J850:K852"/>
    <mergeCell ref="L850:N852"/>
    <mergeCell ref="O850:Q852"/>
    <mergeCell ref="R850:T852"/>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M773:N773"/>
    <mergeCell ref="R776:S776"/>
    <mergeCell ref="R777:S777"/>
    <mergeCell ref="R778:S778"/>
    <mergeCell ref="L770:L771"/>
    <mergeCell ref="M770:M771"/>
    <mergeCell ref="N770:N771"/>
    <mergeCell ref="O770:O771"/>
    <mergeCell ref="P770:P771"/>
    <mergeCell ref="Q770:S770"/>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J740:K740"/>
    <mergeCell ref="J741:K741"/>
    <mergeCell ref="O745:P745"/>
    <mergeCell ref="O746:P746"/>
    <mergeCell ref="O747:P747"/>
    <mergeCell ref="A749:V750"/>
    <mergeCell ref="J732:K732"/>
    <mergeCell ref="P732:Q732"/>
    <mergeCell ref="P735:Q735"/>
    <mergeCell ref="P736:Q736"/>
    <mergeCell ref="P737:Q737"/>
    <mergeCell ref="J739:K739"/>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M641:N641"/>
    <mergeCell ref="R644:S644"/>
    <mergeCell ref="R645:S645"/>
    <mergeCell ref="R646:S646"/>
    <mergeCell ref="L638:L639"/>
    <mergeCell ref="M638:M639"/>
    <mergeCell ref="N638:N639"/>
    <mergeCell ref="O638:O639"/>
    <mergeCell ref="P638:P639"/>
    <mergeCell ref="Q638:S638"/>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J608:K608"/>
    <mergeCell ref="J609:K609"/>
    <mergeCell ref="O613:P613"/>
    <mergeCell ref="O614:P614"/>
    <mergeCell ref="O615:P615"/>
    <mergeCell ref="A617:V618"/>
    <mergeCell ref="J600:K600"/>
    <mergeCell ref="P600:Q600"/>
    <mergeCell ref="P603:Q603"/>
    <mergeCell ref="P604:Q604"/>
    <mergeCell ref="P605:Q605"/>
    <mergeCell ref="J607:K607"/>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D532:E532"/>
    <mergeCell ref="A534:C535"/>
    <mergeCell ref="D534:D535"/>
    <mergeCell ref="E534:E535"/>
    <mergeCell ref="F534:G535"/>
    <mergeCell ref="H534:H535"/>
    <mergeCell ref="I529:J529"/>
    <mergeCell ref="K529:K530"/>
    <mergeCell ref="L529:L530"/>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R518:S518"/>
    <mergeCell ref="R519:S519"/>
    <mergeCell ref="R520:S520"/>
    <mergeCell ref="R521:S521"/>
    <mergeCell ref="R522:S522"/>
    <mergeCell ref="A524:C525"/>
    <mergeCell ref="D524:D525"/>
    <mergeCell ref="E524:E525"/>
    <mergeCell ref="F524:G525"/>
    <mergeCell ref="H524:H525"/>
    <mergeCell ref="P524:P525"/>
    <mergeCell ref="Q524:S524"/>
    <mergeCell ref="M509:N509"/>
    <mergeCell ref="R512:S512"/>
    <mergeCell ref="R513:S513"/>
    <mergeCell ref="R514:S514"/>
    <mergeCell ref="R516:S516"/>
    <mergeCell ref="M506:M507"/>
    <mergeCell ref="N506:N507"/>
    <mergeCell ref="O506:O507"/>
    <mergeCell ref="P506:P507"/>
    <mergeCell ref="Q506:S506"/>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P477:Q477"/>
    <mergeCell ref="P478:Q478"/>
    <mergeCell ref="J480:K480"/>
    <mergeCell ref="J481:K481"/>
    <mergeCell ref="J482:K482"/>
    <mergeCell ref="O486:P486"/>
    <mergeCell ref="J470:K470"/>
    <mergeCell ref="J471:K471"/>
    <mergeCell ref="J472:K472"/>
    <mergeCell ref="J473:K473"/>
    <mergeCell ref="P473:Q473"/>
    <mergeCell ref="P476:Q476"/>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A456:B456"/>
    <mergeCell ref="D456:F456"/>
    <mergeCell ref="H456:N456"/>
    <mergeCell ref="O456:Q456"/>
    <mergeCell ref="R456:V456"/>
    <mergeCell ref="B458:C458"/>
    <mergeCell ref="D458:E459"/>
    <mergeCell ref="H458:M458"/>
    <mergeCell ref="T458:U458"/>
    <mergeCell ref="B459:C459"/>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M337:N337"/>
    <mergeCell ref="R340:S340"/>
    <mergeCell ref="R341:S341"/>
    <mergeCell ref="R342:S342"/>
    <mergeCell ref="L334:L335"/>
    <mergeCell ref="M334:M335"/>
    <mergeCell ref="N334:N335"/>
    <mergeCell ref="O334:O335"/>
    <mergeCell ref="P334:P335"/>
    <mergeCell ref="Q334:S334"/>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J304:K304"/>
    <mergeCell ref="J305:K305"/>
    <mergeCell ref="O309:P309"/>
    <mergeCell ref="O310:P310"/>
    <mergeCell ref="O311:P311"/>
    <mergeCell ref="A313:V314"/>
    <mergeCell ref="J296:K296"/>
    <mergeCell ref="P296:Q296"/>
    <mergeCell ref="P299:Q299"/>
    <mergeCell ref="P300:Q300"/>
    <mergeCell ref="P301:Q301"/>
    <mergeCell ref="J303:K303"/>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M197:N197"/>
    <mergeCell ref="R200:S200"/>
    <mergeCell ref="R201:S201"/>
    <mergeCell ref="R202:S202"/>
    <mergeCell ref="L194:L195"/>
    <mergeCell ref="M194:M195"/>
    <mergeCell ref="N194:N195"/>
    <mergeCell ref="O194:O195"/>
    <mergeCell ref="P194:P195"/>
    <mergeCell ref="Q194:S194"/>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P95:P96"/>
    <mergeCell ref="Q95:S95"/>
    <mergeCell ref="T95:T96"/>
    <mergeCell ref="I96:J96"/>
    <mergeCell ref="D98:E98"/>
    <mergeCell ref="M100:N100"/>
    <mergeCell ref="Q100:R100"/>
    <mergeCell ref="I95:J95"/>
    <mergeCell ref="K95:K96"/>
    <mergeCell ref="L95:L96"/>
    <mergeCell ref="M95:M96"/>
    <mergeCell ref="N95:N96"/>
    <mergeCell ref="O95:O96"/>
    <mergeCell ref="D82:E82"/>
    <mergeCell ref="A95:C96"/>
    <mergeCell ref="D95:D96"/>
    <mergeCell ref="E95:E96"/>
    <mergeCell ref="F95:G96"/>
    <mergeCell ref="H95:H96"/>
    <mergeCell ref="I79:J79"/>
    <mergeCell ref="K79:K80"/>
    <mergeCell ref="L79:L80"/>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R68:S68"/>
    <mergeCell ref="R69:S69"/>
    <mergeCell ref="R70:S70"/>
    <mergeCell ref="R71:S71"/>
    <mergeCell ref="R72:S72"/>
    <mergeCell ref="A74:C75"/>
    <mergeCell ref="D74:D75"/>
    <mergeCell ref="E74:E75"/>
    <mergeCell ref="F74:G75"/>
    <mergeCell ref="H74:H75"/>
    <mergeCell ref="P74:P75"/>
    <mergeCell ref="Q74:S74"/>
    <mergeCell ref="M59:N59"/>
    <mergeCell ref="R62:S62"/>
    <mergeCell ref="R63:S63"/>
    <mergeCell ref="R64:S64"/>
    <mergeCell ref="R66:S66"/>
    <mergeCell ref="M56:M57"/>
    <mergeCell ref="N56:N57"/>
    <mergeCell ref="O56:O57"/>
    <mergeCell ref="P56:P57"/>
    <mergeCell ref="Q56:S56"/>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9"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9"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9" ht="18" customHeight="1">
      <c r="A6" s="196"/>
      <c r="V6" s="197"/>
    </row>
    <row r="7" spans="1:29" ht="18" customHeight="1">
      <c r="A7" s="196"/>
      <c r="B7" s="653" t="s">
        <v>120</v>
      </c>
      <c r="C7" s="654"/>
      <c r="D7" s="659" t="s">
        <v>517</v>
      </c>
      <c r="E7" s="661"/>
      <c r="F7" s="198"/>
      <c r="H7" s="664" t="s">
        <v>605</v>
      </c>
      <c r="I7" s="665"/>
      <c r="J7" s="665"/>
      <c r="K7" s="665"/>
      <c r="L7" s="665"/>
      <c r="M7" s="665"/>
      <c r="P7" s="198"/>
      <c r="S7" s="199" t="s">
        <v>398</v>
      </c>
      <c r="T7" s="1126" t="s">
        <v>239</v>
      </c>
      <c r="U7" s="1127"/>
      <c r="V7" s="197"/>
    </row>
    <row r="8" spans="1:29" ht="18" customHeight="1">
      <c r="A8" s="196"/>
      <c r="B8" s="890"/>
      <c r="C8" s="890"/>
      <c r="D8" s="662"/>
      <c r="E8" s="663"/>
      <c r="F8" s="267"/>
      <c r="T8" s="1126"/>
      <c r="U8" s="1127"/>
      <c r="V8" s="197"/>
    </row>
    <row r="9" spans="1:29" ht="18" customHeight="1">
      <c r="A9" s="1124"/>
      <c r="B9" s="1125"/>
      <c r="C9" s="1125"/>
      <c r="D9" s="665"/>
      <c r="H9" s="666" t="s">
        <v>401</v>
      </c>
      <c r="I9" s="666"/>
      <c r="J9" s="696" t="s">
        <v>402</v>
      </c>
      <c r="K9" s="696"/>
      <c r="L9" s="696" t="s">
        <v>403</v>
      </c>
      <c r="M9" s="696"/>
      <c r="T9" s="1126"/>
      <c r="U9" s="1127"/>
      <c r="V9" s="197"/>
    </row>
    <row r="10" spans="1:29" ht="18" customHeight="1">
      <c r="A10" s="196"/>
      <c r="B10" s="47" t="s">
        <v>404</v>
      </c>
      <c r="H10" s="651">
        <v>3150</v>
      </c>
      <c r="I10" s="652"/>
      <c r="J10" s="653">
        <v>2000</v>
      </c>
      <c r="K10" s="654"/>
      <c r="L10" s="653" t="s">
        <v>7</v>
      </c>
      <c r="M10" s="654"/>
      <c r="N10" s="203" t="s">
        <v>353</v>
      </c>
      <c r="O10" s="125">
        <v>1</v>
      </c>
      <c r="P10" s="27" t="s">
        <v>9</v>
      </c>
      <c r="V10" s="197"/>
    </row>
    <row r="11" spans="1:29" ht="18" customHeight="1">
      <c r="A11" s="196"/>
      <c r="B11" s="47" t="s">
        <v>405</v>
      </c>
      <c r="H11" s="653" t="s">
        <v>406</v>
      </c>
      <c r="I11" s="1130"/>
      <c r="V11" s="197"/>
    </row>
    <row r="12" spans="1:29" ht="18" customHeight="1">
      <c r="A12" s="196"/>
      <c r="B12" s="47" t="s">
        <v>407</v>
      </c>
      <c r="G12" s="120" t="s">
        <v>508</v>
      </c>
      <c r="H12" s="653">
        <v>9</v>
      </c>
      <c r="I12" s="654"/>
      <c r="J12" s="204" t="s">
        <v>344</v>
      </c>
      <c r="V12" s="197"/>
    </row>
    <row r="13" spans="1:29" ht="18" customHeight="1">
      <c r="A13" s="196"/>
      <c r="B13" s="47" t="s">
        <v>409</v>
      </c>
      <c r="G13" s="120" t="s">
        <v>509</v>
      </c>
      <c r="H13" s="653">
        <v>800</v>
      </c>
      <c r="I13" s="654"/>
      <c r="J13" s="14" t="s">
        <v>316</v>
      </c>
      <c r="V13" s="197"/>
      <c r="W13" s="30" t="s">
        <v>411</v>
      </c>
      <c r="AB13" s="1022">
        <f>D68</f>
        <v>176.67334444818249</v>
      </c>
      <c r="AC13" s="1023"/>
    </row>
    <row r="14" spans="1:29" ht="18" customHeight="1">
      <c r="A14" s="196"/>
      <c r="B14" s="14" t="s">
        <v>412</v>
      </c>
      <c r="G14" s="120" t="s">
        <v>413</v>
      </c>
      <c r="H14" s="653">
        <v>30</v>
      </c>
      <c r="I14" s="654"/>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28">
        <f>'CT-VT Burdens'!Q75</f>
        <v>0.1</v>
      </c>
      <c r="K18" s="1129"/>
      <c r="L18" s="3" t="s">
        <v>168</v>
      </c>
      <c r="V18" s="197"/>
    </row>
    <row r="19" spans="1:22" ht="18" customHeight="1">
      <c r="A19" s="196"/>
      <c r="B19" s="196" t="s">
        <v>416</v>
      </c>
      <c r="D19" s="30">
        <f>T8</f>
        <v>0</v>
      </c>
      <c r="H19" s="27"/>
      <c r="I19" s="189" t="s">
        <v>138</v>
      </c>
      <c r="J19" s="1072"/>
      <c r="K19" s="673"/>
      <c r="L19" s="210" t="s">
        <v>168</v>
      </c>
      <c r="V19" s="197"/>
    </row>
    <row r="20" spans="1:22" ht="18" customHeight="1">
      <c r="A20" s="196"/>
      <c r="B20" s="196" t="s">
        <v>416</v>
      </c>
      <c r="D20" s="30">
        <f>T9</f>
        <v>0</v>
      </c>
      <c r="E20" s="14"/>
      <c r="G20" s="211"/>
      <c r="H20" s="27"/>
      <c r="I20" s="189" t="s">
        <v>138</v>
      </c>
      <c r="J20" s="674"/>
      <c r="K20" s="675"/>
      <c r="L20" s="214" t="s">
        <v>168</v>
      </c>
      <c r="V20" s="197"/>
    </row>
    <row r="21" spans="1:22" ht="18" customHeight="1">
      <c r="A21" s="196"/>
      <c r="B21" s="196" t="s">
        <v>423</v>
      </c>
      <c r="H21" s="27" t="s">
        <v>610</v>
      </c>
      <c r="I21" s="189" t="s">
        <v>138</v>
      </c>
      <c r="J21" s="1045">
        <f>'CT-VT Burdens'!S24</f>
        <v>0.74045292750000002</v>
      </c>
      <c r="K21" s="1073"/>
      <c r="L21" s="215" t="s">
        <v>168</v>
      </c>
      <c r="V21" s="197"/>
    </row>
    <row r="22" spans="1:22" ht="18" customHeight="1">
      <c r="A22" s="196"/>
      <c r="B22" s="217" t="s">
        <v>424</v>
      </c>
      <c r="C22" s="218"/>
      <c r="D22" s="218"/>
      <c r="E22" s="218"/>
      <c r="F22" s="219"/>
      <c r="G22" s="219"/>
      <c r="H22" s="202" t="s">
        <v>420</v>
      </c>
      <c r="I22" s="220" t="s">
        <v>138</v>
      </c>
      <c r="J22" s="896">
        <f>J18+J21</f>
        <v>0.8404529275</v>
      </c>
      <c r="K22" s="67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0.8404529275</v>
      </c>
      <c r="P26" s="203" t="s">
        <v>421</v>
      </c>
      <c r="Q26" s="27">
        <f>O10</f>
        <v>1</v>
      </c>
      <c r="R26" s="27" t="s">
        <v>326</v>
      </c>
      <c r="S26" s="27">
        <f>O10</f>
        <v>1</v>
      </c>
      <c r="T26" s="30" t="s">
        <v>361</v>
      </c>
      <c r="V26" s="197"/>
    </row>
    <row r="27" spans="1:22" ht="18" customHeight="1">
      <c r="A27" s="196"/>
      <c r="B27" s="47"/>
      <c r="C27" s="27" t="s">
        <v>138</v>
      </c>
      <c r="D27" s="668">
        <f>D26/(F26*H26)</f>
        <v>0.1</v>
      </c>
      <c r="E27" s="668"/>
      <c r="F27" s="204" t="s">
        <v>344</v>
      </c>
      <c r="J27" s="211"/>
      <c r="L27" s="47"/>
      <c r="N27" s="27" t="s">
        <v>138</v>
      </c>
      <c r="O27" s="668">
        <f>O26/(Q26*S26)</f>
        <v>0.8404529275</v>
      </c>
      <c r="P27" s="668"/>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914"/>
      <c r="Q31" s="14" t="s">
        <v>613</v>
      </c>
      <c r="S31" s="226"/>
      <c r="T31" s="18"/>
      <c r="U31" s="18"/>
      <c r="V31" s="97"/>
    </row>
    <row r="32" spans="1:22" s="14" customFormat="1" ht="18" customHeight="1">
      <c r="A32" s="96"/>
      <c r="B32" s="47" t="s">
        <v>614</v>
      </c>
      <c r="C32" s="5"/>
      <c r="D32" s="5"/>
      <c r="E32" s="5"/>
      <c r="I32" s="227"/>
      <c r="M32" s="5"/>
      <c r="N32" s="103" t="s">
        <v>138</v>
      </c>
      <c r="O32" s="1126">
        <v>25</v>
      </c>
      <c r="P32" s="914"/>
      <c r="Q32" s="14" t="s">
        <v>615</v>
      </c>
      <c r="S32" s="226"/>
      <c r="T32" s="18"/>
      <c r="U32" s="18"/>
      <c r="V32" s="97"/>
    </row>
    <row r="33" spans="1:25" s="14" customFormat="1" ht="18" customHeight="1">
      <c r="A33" s="96"/>
      <c r="B33" s="47" t="s">
        <v>616</v>
      </c>
      <c r="C33" s="5"/>
      <c r="D33" s="5"/>
      <c r="E33" s="5"/>
      <c r="M33" s="120" t="s">
        <v>617</v>
      </c>
      <c r="N33" s="103" t="s">
        <v>618</v>
      </c>
      <c r="O33" s="1131">
        <v>33</v>
      </c>
      <c r="P33" s="709"/>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664" t="s">
        <v>621</v>
      </c>
      <c r="K35" s="664"/>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664">
        <f>O31</f>
        <v>100</v>
      </c>
      <c r="K36" s="664"/>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669">
        <f>(O31*1000)/(SQRT(3)*O33)</f>
        <v>1749.5462702715934</v>
      </c>
      <c r="K37" s="669"/>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664" t="s">
        <v>620</v>
      </c>
      <c r="P41" s="936"/>
      <c r="Q41" s="233" t="s">
        <v>641</v>
      </c>
      <c r="R41" s="233">
        <v>16</v>
      </c>
      <c r="S41" s="226"/>
      <c r="V41" s="197"/>
    </row>
    <row r="42" spans="1:25" ht="18" customHeight="1">
      <c r="A42" s="96"/>
      <c r="B42" s="5"/>
      <c r="C42" s="5"/>
      <c r="D42" s="5"/>
      <c r="E42" s="5"/>
      <c r="M42" s="262"/>
      <c r="N42" s="28" t="s">
        <v>138</v>
      </c>
      <c r="O42" s="664">
        <f>+J37</f>
        <v>1749.5462702715934</v>
      </c>
      <c r="P42" s="936"/>
      <c r="Q42" s="233" t="s">
        <v>641</v>
      </c>
      <c r="R42" s="233">
        <v>16</v>
      </c>
      <c r="S42" s="226"/>
      <c r="V42" s="197"/>
    </row>
    <row r="43" spans="1:25" ht="18" customHeight="1">
      <c r="A43" s="96"/>
      <c r="B43" s="5"/>
      <c r="C43" s="5"/>
      <c r="D43" s="5"/>
      <c r="E43" s="5"/>
      <c r="M43" s="120" t="s">
        <v>624</v>
      </c>
      <c r="N43" s="28" t="s">
        <v>138</v>
      </c>
      <c r="O43" s="664">
        <f>O42*R42</f>
        <v>27992.740324345494</v>
      </c>
      <c r="P43" s="936"/>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664" t="s">
        <v>484</v>
      </c>
      <c r="C50" s="1132" t="s">
        <v>663</v>
      </c>
      <c r="D50" s="664">
        <v>2</v>
      </c>
      <c r="E50" s="664" t="s">
        <v>389</v>
      </c>
      <c r="F50" s="664" t="s">
        <v>628</v>
      </c>
      <c r="G50" s="664"/>
      <c r="H50" s="664" t="s">
        <v>389</v>
      </c>
      <c r="I50" s="664" t="s">
        <v>430</v>
      </c>
      <c r="J50" s="664" t="s">
        <v>431</v>
      </c>
      <c r="K50" s="664" t="s">
        <v>358</v>
      </c>
      <c r="L50" s="664" t="s">
        <v>419</v>
      </c>
      <c r="M50" s="664" t="s">
        <v>358</v>
      </c>
      <c r="N50" s="664" t="s">
        <v>660</v>
      </c>
      <c r="O50" s="664" t="s">
        <v>361</v>
      </c>
      <c r="P50" s="14"/>
      <c r="Q50" s="14"/>
      <c r="R50" s="14"/>
      <c r="S50" s="14"/>
      <c r="T50" s="14"/>
      <c r="U50" s="942" t="s">
        <v>664</v>
      </c>
      <c r="V50" s="197"/>
    </row>
    <row r="51" spans="1:22" s="291" customFormat="1" ht="18" customHeight="1">
      <c r="A51" s="289"/>
      <c r="B51" s="664"/>
      <c r="C51" s="664"/>
      <c r="D51" s="664"/>
      <c r="E51" s="664"/>
      <c r="F51" s="664"/>
      <c r="G51" s="664"/>
      <c r="H51" s="664"/>
      <c r="I51" s="664"/>
      <c r="J51" s="664"/>
      <c r="K51" s="664"/>
      <c r="L51" s="664"/>
      <c r="M51" s="664"/>
      <c r="N51" s="664"/>
      <c r="O51" s="664"/>
      <c r="P51" s="14"/>
      <c r="Q51" s="14"/>
      <c r="R51" s="14"/>
      <c r="S51" s="14"/>
      <c r="T51" s="14"/>
      <c r="U51" s="664"/>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665">
        <f>H10</f>
        <v>3150</v>
      </c>
      <c r="T53" s="665"/>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665">
        <f>H12</f>
        <v>9</v>
      </c>
      <c r="T54" s="665"/>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668">
        <f>O27</f>
        <v>0.8404529275</v>
      </c>
      <c r="T55" s="668"/>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668">
        <f>D27</f>
        <v>0.1</v>
      </c>
      <c r="T56" s="665"/>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668">
        <f>O43/S53</f>
        <v>8.8865842299509499</v>
      </c>
      <c r="T57" s="668"/>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665">
        <f>'CT-VT Burdens'!S18</f>
        <v>1</v>
      </c>
      <c r="T58" s="665"/>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664" t="s">
        <v>484</v>
      </c>
      <c r="C62" s="1132" t="s">
        <v>663</v>
      </c>
      <c r="D62" s="664">
        <v>2</v>
      </c>
      <c r="E62" s="664" t="s">
        <v>389</v>
      </c>
      <c r="F62" s="664" t="s">
        <v>628</v>
      </c>
      <c r="G62" s="664"/>
      <c r="H62" s="664" t="s">
        <v>389</v>
      </c>
      <c r="I62" s="664" t="s">
        <v>430</v>
      </c>
      <c r="J62" s="664" t="s">
        <v>431</v>
      </c>
      <c r="K62" s="664" t="s">
        <v>358</v>
      </c>
      <c r="L62" s="664" t="s">
        <v>419</v>
      </c>
      <c r="M62" s="664" t="s">
        <v>358</v>
      </c>
      <c r="N62" s="664" t="s">
        <v>660</v>
      </c>
      <c r="O62" s="664" t="s">
        <v>361</v>
      </c>
      <c r="P62" s="14"/>
      <c r="Q62" s="14"/>
      <c r="R62" s="14"/>
      <c r="S62" s="14"/>
      <c r="T62" s="14"/>
      <c r="U62" s="942" t="s">
        <v>664</v>
      </c>
      <c r="V62" s="197"/>
    </row>
    <row r="63" spans="1:22" s="291" customFormat="1" ht="18" customHeight="1">
      <c r="A63" s="289"/>
      <c r="B63" s="664"/>
      <c r="C63" s="664"/>
      <c r="D63" s="664"/>
      <c r="E63" s="664"/>
      <c r="F63" s="664"/>
      <c r="G63" s="664"/>
      <c r="H63" s="664"/>
      <c r="I63" s="664"/>
      <c r="J63" s="664"/>
      <c r="K63" s="664"/>
      <c r="L63" s="664"/>
      <c r="M63" s="664"/>
      <c r="N63" s="664"/>
      <c r="O63" s="664"/>
      <c r="P63" s="14"/>
      <c r="Q63" s="14"/>
      <c r="R63" s="14"/>
      <c r="S63" s="14"/>
      <c r="T63" s="14"/>
      <c r="U63" s="664"/>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32" t="s">
        <v>663</v>
      </c>
      <c r="D65" s="788">
        <v>2</v>
      </c>
      <c r="E65" s="788" t="s">
        <v>389</v>
      </c>
      <c r="F65" s="1080">
        <f>S57</f>
        <v>8.8865842299509499</v>
      </c>
      <c r="G65" s="1080"/>
      <c r="H65" s="788" t="s">
        <v>389</v>
      </c>
      <c r="I65" s="788" t="s">
        <v>430</v>
      </c>
      <c r="J65" s="788">
        <f>S54</f>
        <v>9</v>
      </c>
      <c r="K65" s="788" t="s">
        <v>358</v>
      </c>
      <c r="L65" s="1080">
        <f>S55</f>
        <v>0.8404529275</v>
      </c>
      <c r="M65" s="788" t="s">
        <v>358</v>
      </c>
      <c r="N65" s="1080">
        <f>S56</f>
        <v>0.1</v>
      </c>
      <c r="O65" s="788" t="s">
        <v>361</v>
      </c>
      <c r="P65" s="14"/>
      <c r="Q65" s="14"/>
      <c r="R65" s="14"/>
      <c r="S65" s="14"/>
      <c r="T65" s="14"/>
      <c r="U65" s="28"/>
      <c r="V65" s="197"/>
    </row>
    <row r="66" spans="1:22" s="291" customFormat="1" ht="18" customHeight="1">
      <c r="A66" s="289"/>
      <c r="B66" s="28"/>
      <c r="C66" s="664"/>
      <c r="D66" s="788"/>
      <c r="E66" s="788"/>
      <c r="F66" s="1080"/>
      <c r="G66" s="1080"/>
      <c r="H66" s="788"/>
      <c r="I66" s="788"/>
      <c r="J66" s="788"/>
      <c r="K66" s="788"/>
      <c r="L66" s="788"/>
      <c r="M66" s="788"/>
      <c r="N66" s="788"/>
      <c r="O66" s="788"/>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875">
        <f>D65*F65*(J65+L65+N65)</f>
        <v>176.67334444818249</v>
      </c>
      <c r="E68" s="876"/>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665">
        <f>H13</f>
        <v>800</v>
      </c>
      <c r="F71" s="665"/>
      <c r="G71" s="28" t="s">
        <v>487</v>
      </c>
      <c r="H71" s="668">
        <f>D68</f>
        <v>176.67334444818249</v>
      </c>
      <c r="I71" s="665"/>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681" t="str">
        <f>B7</f>
        <v>T1</v>
      </c>
      <c r="C89" s="682"/>
      <c r="D89" s="683" t="str">
        <f>D7</f>
        <v>Core2</v>
      </c>
      <c r="E89" s="684"/>
      <c r="F89" s="198"/>
      <c r="H89" s="665" t="str">
        <f>H7</f>
        <v>(Transformer Differential)</v>
      </c>
      <c r="I89" s="665"/>
      <c r="J89" s="665"/>
      <c r="K89" s="665"/>
      <c r="L89" s="665"/>
      <c r="M89" s="665"/>
      <c r="P89" s="198"/>
      <c r="S89" s="199" t="s">
        <v>398</v>
      </c>
      <c r="T89" s="1133" t="str">
        <f>T7</f>
        <v>SEL487E</v>
      </c>
      <c r="U89" s="1134"/>
      <c r="V89" s="197"/>
    </row>
    <row r="90" spans="1:29" ht="18" customHeight="1">
      <c r="A90" s="196"/>
      <c r="B90" s="695">
        <f>B8</f>
        <v>0</v>
      </c>
      <c r="C90" s="695"/>
      <c r="D90" s="685"/>
      <c r="E90" s="686"/>
      <c r="F90" s="299"/>
      <c r="T90" s="1135">
        <f>T8</f>
        <v>0</v>
      </c>
      <c r="U90" s="1136"/>
      <c r="V90" s="197"/>
    </row>
    <row r="91" spans="1:29" ht="18" customHeight="1">
      <c r="A91" s="196"/>
      <c r="H91" s="696" t="s">
        <v>401</v>
      </c>
      <c r="I91" s="696"/>
      <c r="J91" s="666" t="s">
        <v>402</v>
      </c>
      <c r="K91" s="666"/>
      <c r="L91" s="696" t="s">
        <v>403</v>
      </c>
      <c r="M91" s="696"/>
      <c r="T91" s="1135">
        <f>T9</f>
        <v>0</v>
      </c>
      <c r="U91" s="1136"/>
      <c r="V91" s="197"/>
    </row>
    <row r="92" spans="1:29" ht="18" customHeight="1">
      <c r="A92" s="196"/>
      <c r="B92" s="47" t="s">
        <v>404</v>
      </c>
      <c r="H92" s="681">
        <f>H10</f>
        <v>3150</v>
      </c>
      <c r="I92" s="682"/>
      <c r="J92" s="1038">
        <f>J10</f>
        <v>2000</v>
      </c>
      <c r="K92" s="1039"/>
      <c r="L92" s="994" t="str">
        <f>L10</f>
        <v>-</v>
      </c>
      <c r="M92" s="995"/>
      <c r="N92" s="102" t="s">
        <v>353</v>
      </c>
      <c r="O92" s="266">
        <f>O10</f>
        <v>1</v>
      </c>
      <c r="P92" s="27" t="s">
        <v>9</v>
      </c>
      <c r="V92" s="197"/>
    </row>
    <row r="93" spans="1:29" ht="18" customHeight="1">
      <c r="A93" s="196"/>
      <c r="B93" s="47" t="s">
        <v>405</v>
      </c>
      <c r="H93" s="14"/>
      <c r="I93" s="14"/>
      <c r="J93" s="681" t="str">
        <f>H11</f>
        <v>PX</v>
      </c>
      <c r="K93" s="1137"/>
      <c r="L93" s="14"/>
      <c r="M93" s="14"/>
      <c r="V93" s="197"/>
    </row>
    <row r="94" spans="1:29" ht="18" customHeight="1">
      <c r="A94" s="196"/>
      <c r="B94" s="47" t="s">
        <v>407</v>
      </c>
      <c r="I94" s="120" t="s">
        <v>508</v>
      </c>
      <c r="J94" s="653">
        <v>6</v>
      </c>
      <c r="K94" s="654"/>
      <c r="L94" s="204" t="s">
        <v>344</v>
      </c>
      <c r="V94" s="197"/>
    </row>
    <row r="95" spans="1:29" ht="18" customHeight="1">
      <c r="A95" s="196"/>
      <c r="B95" s="47" t="s">
        <v>409</v>
      </c>
      <c r="I95" s="120" t="s">
        <v>509</v>
      </c>
      <c r="J95" s="653">
        <v>500</v>
      </c>
      <c r="K95" s="654"/>
      <c r="L95" s="14" t="s">
        <v>316</v>
      </c>
      <c r="V95" s="197"/>
      <c r="W95" s="30" t="s">
        <v>411</v>
      </c>
      <c r="AB95" s="1022">
        <f>D150</f>
        <v>194.28229653285098</v>
      </c>
      <c r="AC95" s="1023"/>
    </row>
    <row r="96" spans="1:29" ht="18" customHeight="1">
      <c r="A96" s="196"/>
      <c r="B96" s="14" t="s">
        <v>412</v>
      </c>
      <c r="I96" s="120" t="s">
        <v>413</v>
      </c>
      <c r="J96" s="653">
        <v>60</v>
      </c>
      <c r="K96" s="654"/>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896">
        <f>J18</f>
        <v>0.1</v>
      </c>
      <c r="K100" s="679"/>
      <c r="L100" s="3" t="s">
        <v>168</v>
      </c>
      <c r="V100" s="197"/>
    </row>
    <row r="101" spans="1:22" ht="18" customHeight="1">
      <c r="A101" s="196"/>
      <c r="B101" s="196" t="s">
        <v>416</v>
      </c>
      <c r="D101" s="30">
        <f>T90</f>
        <v>0</v>
      </c>
      <c r="H101" s="27"/>
      <c r="I101" s="189" t="s">
        <v>138</v>
      </c>
      <c r="J101" s="1026">
        <f>J19</f>
        <v>0</v>
      </c>
      <c r="K101" s="698"/>
      <c r="L101" s="210" t="s">
        <v>168</v>
      </c>
      <c r="V101" s="197"/>
    </row>
    <row r="102" spans="1:22" ht="18" customHeight="1">
      <c r="A102" s="196"/>
      <c r="B102" s="196" t="s">
        <v>416</v>
      </c>
      <c r="D102" s="30">
        <f>T91</f>
        <v>0</v>
      </c>
      <c r="E102" s="14"/>
      <c r="G102" s="211"/>
      <c r="H102" s="27"/>
      <c r="I102" s="189" t="s">
        <v>138</v>
      </c>
      <c r="J102" s="699">
        <f>J20</f>
        <v>0</v>
      </c>
      <c r="K102" s="700"/>
      <c r="L102" s="214" t="s">
        <v>168</v>
      </c>
      <c r="V102" s="197"/>
    </row>
    <row r="103" spans="1:22" ht="18" customHeight="1">
      <c r="A103" s="196"/>
      <c r="B103" s="196" t="s">
        <v>423</v>
      </c>
      <c r="H103" s="27" t="s">
        <v>610</v>
      </c>
      <c r="I103" s="189" t="s">
        <v>138</v>
      </c>
      <c r="J103" s="1026">
        <f>J21</f>
        <v>0.74045292750000002</v>
      </c>
      <c r="K103" s="698"/>
      <c r="L103" s="215" t="s">
        <v>168</v>
      </c>
      <c r="V103" s="197"/>
    </row>
    <row r="104" spans="1:22" ht="18" customHeight="1">
      <c r="A104" s="196"/>
      <c r="B104" s="217" t="s">
        <v>424</v>
      </c>
      <c r="C104" s="218"/>
      <c r="D104" s="218"/>
      <c r="E104" s="218"/>
      <c r="F104" s="219"/>
      <c r="G104" s="219"/>
      <c r="H104" s="202" t="s">
        <v>420</v>
      </c>
      <c r="I104" s="220" t="s">
        <v>138</v>
      </c>
      <c r="J104" s="896">
        <f>J100+J103</f>
        <v>0.8404529275</v>
      </c>
      <c r="K104" s="679"/>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0.8404529275</v>
      </c>
      <c r="P108" s="203" t="s">
        <v>421</v>
      </c>
      <c r="Q108" s="27">
        <f>O92</f>
        <v>1</v>
      </c>
      <c r="R108" s="27" t="s">
        <v>326</v>
      </c>
      <c r="S108" s="27">
        <f>O92</f>
        <v>1</v>
      </c>
      <c r="T108" s="30" t="s">
        <v>361</v>
      </c>
      <c r="V108" s="197"/>
    </row>
    <row r="109" spans="1:22" ht="18" customHeight="1">
      <c r="A109" s="196"/>
      <c r="B109" s="47"/>
      <c r="C109" s="27" t="s">
        <v>138</v>
      </c>
      <c r="D109" s="668">
        <f>D108/(F108*H108)</f>
        <v>0.1</v>
      </c>
      <c r="E109" s="668"/>
      <c r="F109" s="204" t="s">
        <v>344</v>
      </c>
      <c r="J109" s="211"/>
      <c r="L109" s="47"/>
      <c r="N109" s="27" t="s">
        <v>138</v>
      </c>
      <c r="O109" s="668">
        <f>O108/(Q108*S108)</f>
        <v>0.8404529275</v>
      </c>
      <c r="P109" s="668"/>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31">
        <f>O31</f>
        <v>100</v>
      </c>
      <c r="P113" s="709"/>
      <c r="Q113" s="14" t="s">
        <v>613</v>
      </c>
      <c r="S113" s="226"/>
      <c r="T113" s="18"/>
      <c r="U113" s="18"/>
      <c r="V113" s="97"/>
    </row>
    <row r="114" spans="1:22" s="14" customFormat="1" ht="18" customHeight="1">
      <c r="A114" s="96"/>
      <c r="B114" s="47" t="s">
        <v>614</v>
      </c>
      <c r="C114" s="5"/>
      <c r="D114" s="5"/>
      <c r="E114" s="5"/>
      <c r="I114" s="227"/>
      <c r="M114" s="5"/>
      <c r="N114" s="103" t="s">
        <v>138</v>
      </c>
      <c r="O114" s="1131">
        <f>O32</f>
        <v>25</v>
      </c>
      <c r="P114" s="709"/>
      <c r="Q114" s="14" t="s">
        <v>615</v>
      </c>
      <c r="S114" s="226"/>
      <c r="T114" s="18"/>
      <c r="U114" s="18"/>
      <c r="V114" s="97"/>
    </row>
    <row r="115" spans="1:22" s="14" customFormat="1" ht="18" customHeight="1">
      <c r="A115" s="96"/>
      <c r="B115" s="47" t="s">
        <v>616</v>
      </c>
      <c r="C115" s="5"/>
      <c r="D115" s="5"/>
      <c r="E115" s="5"/>
      <c r="M115" s="120" t="s">
        <v>617</v>
      </c>
      <c r="N115" s="103" t="s">
        <v>618</v>
      </c>
      <c r="O115" s="1131">
        <f>O33</f>
        <v>33</v>
      </c>
      <c r="P115" s="709"/>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664" t="s">
        <v>621</v>
      </c>
      <c r="K117" s="664"/>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664">
        <f>O113</f>
        <v>100</v>
      </c>
      <c r="K118" s="664"/>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669">
        <f>(O113*1000)/(SQRT(3)*O115)</f>
        <v>1749.5462702715934</v>
      </c>
      <c r="K119" s="669"/>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664" t="s">
        <v>620</v>
      </c>
      <c r="P123" s="936"/>
      <c r="Q123" s="233" t="s">
        <v>641</v>
      </c>
      <c r="R123" s="233">
        <v>16</v>
      </c>
      <c r="S123" s="198"/>
      <c r="V123" s="197"/>
    </row>
    <row r="124" spans="1:22" ht="18" customHeight="1">
      <c r="A124" s="96"/>
      <c r="B124" s="5"/>
      <c r="C124" s="5"/>
      <c r="D124" s="5"/>
      <c r="E124" s="5"/>
      <c r="M124" s="262"/>
      <c r="N124" s="28" t="s">
        <v>138</v>
      </c>
      <c r="O124" s="664">
        <f>+J119</f>
        <v>1749.5462702715934</v>
      </c>
      <c r="P124" s="936"/>
      <c r="Q124" s="233" t="s">
        <v>641</v>
      </c>
      <c r="R124" s="233">
        <v>16</v>
      </c>
      <c r="S124" s="198"/>
      <c r="V124" s="197"/>
    </row>
    <row r="125" spans="1:22" ht="18" customHeight="1">
      <c r="A125" s="96"/>
      <c r="B125" s="5"/>
      <c r="C125" s="5"/>
      <c r="D125" s="5"/>
      <c r="E125" s="5"/>
      <c r="M125" s="120" t="s">
        <v>624</v>
      </c>
      <c r="N125" s="28" t="s">
        <v>138</v>
      </c>
      <c r="O125" s="664">
        <f>O124*R124</f>
        <v>27992.740324345494</v>
      </c>
      <c r="P125" s="936"/>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664" t="s">
        <v>484</v>
      </c>
      <c r="C132" s="1132" t="s">
        <v>663</v>
      </c>
      <c r="D132" s="664">
        <v>2</v>
      </c>
      <c r="E132" s="664" t="s">
        <v>389</v>
      </c>
      <c r="F132" s="664" t="s">
        <v>628</v>
      </c>
      <c r="G132" s="664"/>
      <c r="H132" s="664" t="s">
        <v>389</v>
      </c>
      <c r="I132" s="664" t="s">
        <v>430</v>
      </c>
      <c r="J132" s="664" t="s">
        <v>431</v>
      </c>
      <c r="K132" s="664" t="s">
        <v>358</v>
      </c>
      <c r="L132" s="664" t="s">
        <v>419</v>
      </c>
      <c r="M132" s="664" t="s">
        <v>358</v>
      </c>
      <c r="N132" s="664" t="s">
        <v>660</v>
      </c>
      <c r="O132" s="664" t="s">
        <v>361</v>
      </c>
      <c r="P132" s="14"/>
      <c r="Q132" s="14"/>
      <c r="R132" s="14"/>
      <c r="S132" s="14"/>
      <c r="T132" s="14"/>
      <c r="U132" s="942" t="s">
        <v>664</v>
      </c>
      <c r="V132" s="197"/>
    </row>
    <row r="133" spans="1:24" s="291" customFormat="1" ht="18" customHeight="1">
      <c r="A133" s="289"/>
      <c r="B133" s="664"/>
      <c r="C133" s="664"/>
      <c r="D133" s="664"/>
      <c r="E133" s="664"/>
      <c r="F133" s="664"/>
      <c r="G133" s="664"/>
      <c r="H133" s="664"/>
      <c r="I133" s="664"/>
      <c r="J133" s="664"/>
      <c r="K133" s="664"/>
      <c r="L133" s="664"/>
      <c r="M133" s="664"/>
      <c r="N133" s="664"/>
      <c r="O133" s="664"/>
      <c r="P133" s="14"/>
      <c r="Q133" s="14"/>
      <c r="R133" s="14"/>
      <c r="S133" s="14"/>
      <c r="T133" s="14"/>
      <c r="U133" s="664"/>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665">
        <f>J92</f>
        <v>2000</v>
      </c>
      <c r="T135" s="665"/>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665">
        <f>J94</f>
        <v>6</v>
      </c>
      <c r="T136" s="665"/>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668">
        <f>O109</f>
        <v>0.8404529275</v>
      </c>
      <c r="T137" s="668"/>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668">
        <f>D109</f>
        <v>0.1</v>
      </c>
      <c r="T138" s="665"/>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668">
        <f>O125/S135</f>
        <v>13.996370162172747</v>
      </c>
      <c r="T139" s="668"/>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665">
        <f>S58</f>
        <v>1</v>
      </c>
      <c r="T140" s="665"/>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664" t="s">
        <v>484</v>
      </c>
      <c r="C144" s="1132" t="s">
        <v>663</v>
      </c>
      <c r="D144" s="664">
        <v>2</v>
      </c>
      <c r="E144" s="664" t="s">
        <v>389</v>
      </c>
      <c r="F144" s="664" t="s">
        <v>628</v>
      </c>
      <c r="G144" s="664"/>
      <c r="H144" s="664" t="s">
        <v>389</v>
      </c>
      <c r="I144" s="664" t="s">
        <v>430</v>
      </c>
      <c r="J144" s="664" t="s">
        <v>431</v>
      </c>
      <c r="K144" s="664" t="s">
        <v>358</v>
      </c>
      <c r="L144" s="664" t="s">
        <v>419</v>
      </c>
      <c r="M144" s="664" t="s">
        <v>358</v>
      </c>
      <c r="N144" s="664" t="s">
        <v>660</v>
      </c>
      <c r="O144" s="664" t="s">
        <v>361</v>
      </c>
      <c r="P144" s="14"/>
      <c r="Q144" s="14"/>
      <c r="R144" s="14"/>
      <c r="S144" s="14"/>
      <c r="T144" s="14"/>
      <c r="U144" s="942" t="s">
        <v>664</v>
      </c>
      <c r="V144" s="197"/>
    </row>
    <row r="145" spans="1:22" s="291" customFormat="1" ht="18" customHeight="1">
      <c r="A145" s="289"/>
      <c r="B145" s="664"/>
      <c r="C145" s="664"/>
      <c r="D145" s="664"/>
      <c r="E145" s="664"/>
      <c r="F145" s="664"/>
      <c r="G145" s="664"/>
      <c r="H145" s="664"/>
      <c r="I145" s="664"/>
      <c r="J145" s="664"/>
      <c r="K145" s="664"/>
      <c r="L145" s="664"/>
      <c r="M145" s="664"/>
      <c r="N145" s="664"/>
      <c r="O145" s="664"/>
      <c r="P145" s="14"/>
      <c r="Q145" s="14"/>
      <c r="R145" s="14"/>
      <c r="S145" s="14"/>
      <c r="T145" s="14"/>
      <c r="U145" s="664"/>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32" t="s">
        <v>663</v>
      </c>
      <c r="D147" s="788">
        <v>2</v>
      </c>
      <c r="E147" s="788" t="s">
        <v>389</v>
      </c>
      <c r="F147" s="1080">
        <f>S139</f>
        <v>13.996370162172747</v>
      </c>
      <c r="G147" s="1080"/>
      <c r="H147" s="788" t="s">
        <v>389</v>
      </c>
      <c r="I147" s="788" t="s">
        <v>430</v>
      </c>
      <c r="J147" s="788">
        <f>S136</f>
        <v>6</v>
      </c>
      <c r="K147" s="788" t="s">
        <v>358</v>
      </c>
      <c r="L147" s="1080">
        <f>S137</f>
        <v>0.8404529275</v>
      </c>
      <c r="M147" s="788" t="s">
        <v>358</v>
      </c>
      <c r="N147" s="1080">
        <f>S138</f>
        <v>0.1</v>
      </c>
      <c r="O147" s="788" t="s">
        <v>361</v>
      </c>
      <c r="P147" s="14"/>
      <c r="Q147" s="14"/>
      <c r="R147" s="14"/>
      <c r="S147" s="14"/>
      <c r="T147" s="14"/>
      <c r="U147" s="28"/>
      <c r="V147" s="197"/>
    </row>
    <row r="148" spans="1:22" ht="18" customHeight="1">
      <c r="A148" s="289"/>
      <c r="B148" s="28"/>
      <c r="C148" s="664"/>
      <c r="D148" s="788"/>
      <c r="E148" s="788"/>
      <c r="F148" s="1080"/>
      <c r="G148" s="1080"/>
      <c r="H148" s="788"/>
      <c r="I148" s="788"/>
      <c r="J148" s="788"/>
      <c r="K148" s="788"/>
      <c r="L148" s="788"/>
      <c r="M148" s="788"/>
      <c r="N148" s="788"/>
      <c r="O148" s="788"/>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875">
        <f>D147*F147*(J147+L147+N147)</f>
        <v>194.28229653285098</v>
      </c>
      <c r="E150" s="876"/>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665">
        <f>J95</f>
        <v>500</v>
      </c>
      <c r="F153" s="665"/>
      <c r="G153" s="28" t="s">
        <v>487</v>
      </c>
      <c r="H153" s="668">
        <f>D150</f>
        <v>194.28229653285098</v>
      </c>
      <c r="I153" s="665"/>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08" t="str">
        <f>B89</f>
        <v>T1</v>
      </c>
      <c r="C171" s="709"/>
      <c r="D171" s="710" t="str">
        <f>D89</f>
        <v>Core2</v>
      </c>
      <c r="E171" s="711"/>
      <c r="F171" s="198" t="s">
        <v>642</v>
      </c>
      <c r="H171" s="665" t="str">
        <f>H89</f>
        <v>(Transformer Differential)</v>
      </c>
      <c r="I171" s="665"/>
      <c r="J171" s="665"/>
      <c r="K171" s="665"/>
      <c r="L171" s="665"/>
      <c r="M171" s="665"/>
      <c r="P171" s="198"/>
      <c r="S171" s="199" t="s">
        <v>398</v>
      </c>
      <c r="T171" s="1131" t="str">
        <f>T89</f>
        <v>SEL487E</v>
      </c>
      <c r="U171" s="1138"/>
      <c r="V171" s="197"/>
    </row>
    <row r="172" spans="1:22" ht="18" hidden="1" customHeight="1">
      <c r="A172" s="196"/>
      <c r="B172" s="707">
        <f>B90</f>
        <v>0</v>
      </c>
      <c r="C172" s="707"/>
      <c r="D172" s="712"/>
      <c r="E172" s="713"/>
      <c r="F172" s="299"/>
      <c r="T172" s="1131">
        <f>T90</f>
        <v>0</v>
      </c>
      <c r="U172" s="1138"/>
      <c r="V172" s="197"/>
    </row>
    <row r="173" spans="1:22" ht="18" hidden="1" customHeight="1">
      <c r="A173" s="196"/>
      <c r="H173" s="696" t="s">
        <v>401</v>
      </c>
      <c r="I173" s="696"/>
      <c r="J173" s="696" t="s">
        <v>402</v>
      </c>
      <c r="K173" s="696"/>
      <c r="L173" s="666" t="s">
        <v>403</v>
      </c>
      <c r="M173" s="666"/>
      <c r="T173" s="1131">
        <f>T91</f>
        <v>0</v>
      </c>
      <c r="U173" s="1138"/>
      <c r="V173" s="197"/>
    </row>
    <row r="174" spans="1:22" ht="18" hidden="1" customHeight="1">
      <c r="A174" s="196"/>
      <c r="B174" s="47" t="s">
        <v>404</v>
      </c>
      <c r="H174" s="708">
        <f>H92</f>
        <v>3150</v>
      </c>
      <c r="I174" s="709"/>
      <c r="J174" s="708">
        <f>J92</f>
        <v>2000</v>
      </c>
      <c r="K174" s="709"/>
      <c r="L174" s="714" t="str">
        <f>L92</f>
        <v>-</v>
      </c>
      <c r="M174" s="715"/>
      <c r="N174" s="102" t="s">
        <v>353</v>
      </c>
      <c r="O174" s="268">
        <f>O92</f>
        <v>1</v>
      </c>
      <c r="P174" s="27" t="s">
        <v>9</v>
      </c>
      <c r="V174" s="197"/>
    </row>
    <row r="175" spans="1:22" ht="18" hidden="1" customHeight="1">
      <c r="A175" s="196"/>
      <c r="B175" s="47" t="s">
        <v>405</v>
      </c>
      <c r="H175" s="14"/>
      <c r="I175" s="14"/>
      <c r="L175" s="708" t="str">
        <f>J93</f>
        <v>PX</v>
      </c>
      <c r="M175" s="617"/>
      <c r="V175" s="197"/>
    </row>
    <row r="176" spans="1:22" ht="18" hidden="1" customHeight="1">
      <c r="A176" s="196"/>
      <c r="B176" s="47" t="s">
        <v>407</v>
      </c>
      <c r="K176" s="120" t="s">
        <v>508</v>
      </c>
      <c r="L176" s="653">
        <v>3</v>
      </c>
      <c r="M176" s="654"/>
      <c r="N176" s="204" t="s">
        <v>344</v>
      </c>
      <c r="V176" s="197"/>
    </row>
    <row r="177" spans="1:29" ht="18" hidden="1" customHeight="1">
      <c r="A177" s="196"/>
      <c r="B177" s="47" t="s">
        <v>409</v>
      </c>
      <c r="K177" s="120" t="s">
        <v>509</v>
      </c>
      <c r="L177" s="653">
        <v>200</v>
      </c>
      <c r="M177" s="654"/>
      <c r="N177" s="14" t="s">
        <v>316</v>
      </c>
      <c r="V177" s="197"/>
      <c r="W177" s="30" t="s">
        <v>411</v>
      </c>
      <c r="AB177" s="1022" t="e">
        <f>D235</f>
        <v>#VALUE!</v>
      </c>
      <c r="AC177" s="1023"/>
    </row>
    <row r="178" spans="1:29" ht="18" hidden="1" customHeight="1">
      <c r="A178" s="196"/>
      <c r="B178" s="14" t="s">
        <v>412</v>
      </c>
      <c r="K178" s="120" t="s">
        <v>413</v>
      </c>
      <c r="L178" s="653">
        <v>50</v>
      </c>
      <c r="M178" s="654"/>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896">
        <f>J100</f>
        <v>0.1</v>
      </c>
      <c r="K182" s="679"/>
      <c r="L182" s="3" t="s">
        <v>168</v>
      </c>
      <c r="V182" s="197"/>
    </row>
    <row r="183" spans="1:29" ht="18" hidden="1" customHeight="1">
      <c r="A183" s="196"/>
      <c r="B183" s="196" t="s">
        <v>416</v>
      </c>
      <c r="D183" s="30">
        <f>T172</f>
        <v>0</v>
      </c>
      <c r="H183" s="27"/>
      <c r="I183" s="189" t="s">
        <v>138</v>
      </c>
      <c r="J183" s="1026">
        <f>J101</f>
        <v>0</v>
      </c>
      <c r="K183" s="698"/>
      <c r="L183" s="210" t="s">
        <v>168</v>
      </c>
      <c r="V183" s="197"/>
    </row>
    <row r="184" spans="1:29" ht="18" hidden="1" customHeight="1">
      <c r="A184" s="196"/>
      <c r="B184" s="196" t="s">
        <v>416</v>
      </c>
      <c r="D184" s="30">
        <f>T173</f>
        <v>0</v>
      </c>
      <c r="E184" s="14"/>
      <c r="G184" s="211"/>
      <c r="H184" s="27"/>
      <c r="I184" s="189" t="s">
        <v>138</v>
      </c>
      <c r="J184" s="699">
        <f>J102</f>
        <v>0</v>
      </c>
      <c r="K184" s="700"/>
      <c r="L184" s="214" t="s">
        <v>168</v>
      </c>
      <c r="V184" s="197"/>
    </row>
    <row r="185" spans="1:29" ht="18" hidden="1" customHeight="1">
      <c r="A185" s="196"/>
      <c r="B185" s="196" t="s">
        <v>423</v>
      </c>
      <c r="H185" s="27" t="s">
        <v>610</v>
      </c>
      <c r="I185" s="189" t="s">
        <v>138</v>
      </c>
      <c r="J185" s="1026">
        <f>J103</f>
        <v>0.74045292750000002</v>
      </c>
      <c r="K185" s="698"/>
      <c r="L185" s="215" t="s">
        <v>168</v>
      </c>
      <c r="V185" s="197"/>
    </row>
    <row r="186" spans="1:29" ht="18" hidden="1" customHeight="1">
      <c r="A186" s="196"/>
      <c r="B186" s="217" t="s">
        <v>424</v>
      </c>
      <c r="C186" s="218"/>
      <c r="D186" s="218"/>
      <c r="E186" s="218"/>
      <c r="F186" s="219"/>
      <c r="G186" s="219"/>
      <c r="H186" s="202" t="s">
        <v>420</v>
      </c>
      <c r="I186" s="220" t="s">
        <v>138</v>
      </c>
      <c r="J186" s="896">
        <f>J183+J185</f>
        <v>0.74045292750000002</v>
      </c>
      <c r="K186" s="679"/>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0.74045292750000002</v>
      </c>
      <c r="P190" s="203" t="s">
        <v>421</v>
      </c>
      <c r="Q190" s="27">
        <f>O174</f>
        <v>1</v>
      </c>
      <c r="R190" s="27" t="s">
        <v>326</v>
      </c>
      <c r="S190" s="27">
        <f>O174</f>
        <v>1</v>
      </c>
      <c r="T190" s="30" t="s">
        <v>361</v>
      </c>
      <c r="V190" s="197"/>
    </row>
    <row r="191" spans="1:29" ht="18" hidden="1" customHeight="1">
      <c r="A191" s="196"/>
      <c r="B191" s="47"/>
      <c r="C191" s="27" t="s">
        <v>138</v>
      </c>
      <c r="D191" s="668">
        <f>D190/(F190*H190)</f>
        <v>0.1</v>
      </c>
      <c r="E191" s="668"/>
      <c r="F191" s="204" t="s">
        <v>344</v>
      </c>
      <c r="J191" s="211"/>
      <c r="L191" s="47"/>
      <c r="N191" s="27" t="s">
        <v>138</v>
      </c>
      <c r="O191" s="668">
        <f>O190/(Q190*S190)</f>
        <v>0.74045292750000002</v>
      </c>
      <c r="P191" s="668"/>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31">
        <f>O113</f>
        <v>100</v>
      </c>
      <c r="P195" s="709"/>
      <c r="Q195" s="14" t="s">
        <v>613</v>
      </c>
      <c r="S195" s="226"/>
      <c r="T195" s="18"/>
      <c r="U195" s="18"/>
      <c r="V195" s="97"/>
    </row>
    <row r="196" spans="1:22" s="14" customFormat="1" ht="18" hidden="1" customHeight="1">
      <c r="A196" s="96"/>
      <c r="B196" s="47" t="s">
        <v>614</v>
      </c>
      <c r="C196" s="5"/>
      <c r="D196" s="5"/>
      <c r="E196" s="5"/>
      <c r="I196" s="227"/>
      <c r="M196" s="5"/>
      <c r="N196" s="103" t="s">
        <v>138</v>
      </c>
      <c r="O196" s="1131">
        <f>O114</f>
        <v>25</v>
      </c>
      <c r="P196" s="709"/>
      <c r="Q196" s="14" t="s">
        <v>615</v>
      </c>
      <c r="S196" s="226"/>
      <c r="T196" s="18"/>
      <c r="U196" s="18"/>
      <c r="V196" s="97"/>
    </row>
    <row r="197" spans="1:22" s="14" customFormat="1" ht="18" hidden="1" customHeight="1">
      <c r="A197" s="96"/>
      <c r="B197" s="47" t="s">
        <v>616</v>
      </c>
      <c r="C197" s="5"/>
      <c r="D197" s="5"/>
      <c r="E197" s="5"/>
      <c r="M197" s="120" t="s">
        <v>617</v>
      </c>
      <c r="N197" s="103" t="s">
        <v>618</v>
      </c>
      <c r="O197" s="1131">
        <f>O115</f>
        <v>33</v>
      </c>
      <c r="P197" s="709"/>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664" t="s">
        <v>621</v>
      </c>
      <c r="K199" s="664"/>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664">
        <f>O195</f>
        <v>100</v>
      </c>
      <c r="K200" s="664"/>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669">
        <f>(O195*1000)/(SQRT(3)*O197)</f>
        <v>1749.5462702715934</v>
      </c>
      <c r="K201" s="669"/>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664" t="s">
        <v>620</v>
      </c>
      <c r="P205" s="936"/>
      <c r="Q205" s="233" t="s">
        <v>641</v>
      </c>
      <c r="R205" s="233">
        <v>16</v>
      </c>
      <c r="S205" s="226"/>
      <c r="V205" s="197"/>
    </row>
    <row r="206" spans="1:22" ht="18" hidden="1" customHeight="1">
      <c r="A206" s="96"/>
      <c r="B206" s="5"/>
      <c r="C206" s="5"/>
      <c r="D206" s="5"/>
      <c r="E206" s="5"/>
      <c r="M206" s="262"/>
      <c r="N206" s="28" t="s">
        <v>138</v>
      </c>
      <c r="O206" s="664">
        <f>+J201</f>
        <v>1749.5462702715934</v>
      </c>
      <c r="P206" s="936"/>
      <c r="Q206" s="233" t="s">
        <v>641</v>
      </c>
      <c r="R206" s="233">
        <v>16</v>
      </c>
      <c r="S206" s="226"/>
      <c r="V206" s="197"/>
    </row>
    <row r="207" spans="1:22" ht="18" hidden="1" customHeight="1">
      <c r="A207" s="96"/>
      <c r="B207" s="5"/>
      <c r="C207" s="5"/>
      <c r="D207" s="5"/>
      <c r="E207" s="5"/>
      <c r="M207" s="120" t="s">
        <v>624</v>
      </c>
      <c r="N207" s="28" t="s">
        <v>138</v>
      </c>
      <c r="O207" s="664">
        <f>O206*R206</f>
        <v>27992.740324345494</v>
      </c>
      <c r="P207" s="936"/>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664" t="s">
        <v>484</v>
      </c>
      <c r="C217" s="1132" t="s">
        <v>663</v>
      </c>
      <c r="D217" s="664">
        <v>2</v>
      </c>
      <c r="E217" s="664" t="s">
        <v>389</v>
      </c>
      <c r="F217" s="664" t="s">
        <v>628</v>
      </c>
      <c r="G217" s="664"/>
      <c r="H217" s="664" t="s">
        <v>389</v>
      </c>
      <c r="I217" s="664" t="s">
        <v>430</v>
      </c>
      <c r="J217" s="664" t="s">
        <v>431</v>
      </c>
      <c r="K217" s="664" t="s">
        <v>358</v>
      </c>
      <c r="L217" s="664" t="s">
        <v>419</v>
      </c>
      <c r="M217" s="664" t="s">
        <v>358</v>
      </c>
      <c r="N217" s="664" t="s">
        <v>660</v>
      </c>
      <c r="O217" s="664" t="s">
        <v>361</v>
      </c>
      <c r="P217" s="14"/>
      <c r="Q217" s="14"/>
      <c r="R217" s="14"/>
      <c r="S217" s="14"/>
      <c r="T217" s="14"/>
      <c r="U217" s="942" t="s">
        <v>664</v>
      </c>
      <c r="V217" s="197"/>
    </row>
    <row r="218" spans="1:22" s="291" customFormat="1" ht="18" hidden="1" customHeight="1">
      <c r="A218" s="289"/>
      <c r="B218" s="664"/>
      <c r="C218" s="664"/>
      <c r="D218" s="664"/>
      <c r="E218" s="664"/>
      <c r="F218" s="664"/>
      <c r="G218" s="664"/>
      <c r="H218" s="664"/>
      <c r="I218" s="664"/>
      <c r="J218" s="664"/>
      <c r="K218" s="664"/>
      <c r="L218" s="664"/>
      <c r="M218" s="664"/>
      <c r="N218" s="664"/>
      <c r="O218" s="664"/>
      <c r="P218" s="14"/>
      <c r="Q218" s="14"/>
      <c r="R218" s="14"/>
      <c r="S218" s="14"/>
      <c r="T218" s="14"/>
      <c r="U218" s="664"/>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665" t="str">
        <f>L174</f>
        <v>-</v>
      </c>
      <c r="T220" s="665"/>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665">
        <f>L176</f>
        <v>3</v>
      </c>
      <c r="T221" s="665"/>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668">
        <f>O191</f>
        <v>0.74045292750000002</v>
      </c>
      <c r="T222" s="668"/>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668">
        <f>D191</f>
        <v>0.1</v>
      </c>
      <c r="T223" s="665"/>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668" t="e">
        <f>O207/S220</f>
        <v>#VALUE!</v>
      </c>
      <c r="T224" s="668"/>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665">
        <f>S140</f>
        <v>1</v>
      </c>
      <c r="T225" s="665"/>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664" t="s">
        <v>484</v>
      </c>
      <c r="C229" s="1132" t="s">
        <v>663</v>
      </c>
      <c r="D229" s="664">
        <v>2</v>
      </c>
      <c r="E229" s="664" t="s">
        <v>389</v>
      </c>
      <c r="F229" s="664" t="s">
        <v>628</v>
      </c>
      <c r="G229" s="664"/>
      <c r="H229" s="664" t="s">
        <v>389</v>
      </c>
      <c r="I229" s="664" t="s">
        <v>430</v>
      </c>
      <c r="J229" s="664" t="s">
        <v>431</v>
      </c>
      <c r="K229" s="664" t="s">
        <v>358</v>
      </c>
      <c r="L229" s="664" t="s">
        <v>419</v>
      </c>
      <c r="M229" s="664" t="s">
        <v>358</v>
      </c>
      <c r="N229" s="664" t="s">
        <v>660</v>
      </c>
      <c r="O229" s="664" t="s">
        <v>361</v>
      </c>
      <c r="P229" s="14"/>
      <c r="Q229" s="14"/>
      <c r="R229" s="14"/>
      <c r="S229" s="14"/>
      <c r="T229" s="14"/>
      <c r="U229" s="942" t="s">
        <v>664</v>
      </c>
      <c r="V229" s="197"/>
    </row>
    <row r="230" spans="1:22" s="291" customFormat="1" ht="18" hidden="1" customHeight="1">
      <c r="A230" s="289"/>
      <c r="B230" s="664"/>
      <c r="C230" s="664"/>
      <c r="D230" s="664"/>
      <c r="E230" s="664"/>
      <c r="F230" s="664"/>
      <c r="G230" s="664"/>
      <c r="H230" s="664"/>
      <c r="I230" s="664"/>
      <c r="J230" s="664"/>
      <c r="K230" s="664"/>
      <c r="L230" s="664"/>
      <c r="M230" s="664"/>
      <c r="N230" s="664"/>
      <c r="O230" s="664"/>
      <c r="P230" s="14"/>
      <c r="Q230" s="14"/>
      <c r="R230" s="14"/>
      <c r="S230" s="14"/>
      <c r="T230" s="14"/>
      <c r="U230" s="664"/>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32" t="s">
        <v>663</v>
      </c>
      <c r="D232" s="788">
        <v>2</v>
      </c>
      <c r="E232" s="788" t="s">
        <v>389</v>
      </c>
      <c r="F232" s="1080" t="e">
        <f>S224</f>
        <v>#VALUE!</v>
      </c>
      <c r="G232" s="1080"/>
      <c r="H232" s="788" t="s">
        <v>389</v>
      </c>
      <c r="I232" s="788" t="s">
        <v>430</v>
      </c>
      <c r="J232" s="788">
        <f>S221</f>
        <v>3</v>
      </c>
      <c r="K232" s="788" t="s">
        <v>358</v>
      </c>
      <c r="L232" s="1080">
        <f>S222</f>
        <v>0.74045292750000002</v>
      </c>
      <c r="M232" s="788" t="s">
        <v>358</v>
      </c>
      <c r="N232" s="1080">
        <f>S223</f>
        <v>0.1</v>
      </c>
      <c r="O232" s="788" t="s">
        <v>361</v>
      </c>
      <c r="P232" s="14"/>
      <c r="Q232" s="14"/>
      <c r="R232" s="14"/>
      <c r="S232" s="14"/>
      <c r="T232" s="14"/>
      <c r="U232" s="28"/>
      <c r="V232" s="197"/>
    </row>
    <row r="233" spans="1:22" ht="18" hidden="1" customHeight="1">
      <c r="A233" s="289"/>
      <c r="B233" s="28"/>
      <c r="C233" s="664"/>
      <c r="D233" s="788"/>
      <c r="E233" s="788"/>
      <c r="F233" s="1080"/>
      <c r="G233" s="1080"/>
      <c r="H233" s="788"/>
      <c r="I233" s="788"/>
      <c r="J233" s="788"/>
      <c r="K233" s="788"/>
      <c r="L233" s="788"/>
      <c r="M233" s="788"/>
      <c r="N233" s="788"/>
      <c r="O233" s="788"/>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875" t="e">
        <f>D232*F232*(J232+L232+N232)</f>
        <v>#VALUE!</v>
      </c>
      <c r="E235" s="876"/>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665" t="str">
        <f>H182</f>
        <v>Sr'</v>
      </c>
      <c r="F238" s="665"/>
      <c r="G238" s="27" t="e">
        <f>G237</f>
        <v>#VALUE!</v>
      </c>
      <c r="H238" s="668" t="e">
        <f>D235</f>
        <v>#VALUE!</v>
      </c>
      <c r="I238" s="665"/>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16" t="s">
        <v>97</v>
      </c>
      <c r="B260" s="729"/>
      <c r="C260" s="717"/>
      <c r="D260" s="716" t="s">
        <v>98</v>
      </c>
      <c r="E260" s="729"/>
      <c r="F260" s="717"/>
      <c r="G260" s="716" t="s">
        <v>99</v>
      </c>
      <c r="H260" s="717"/>
      <c r="I260" s="716" t="s">
        <v>100</v>
      </c>
      <c r="J260" s="717"/>
      <c r="K260" s="716" t="s">
        <v>513</v>
      </c>
      <c r="L260" s="717"/>
      <c r="M260" s="716" t="s">
        <v>514</v>
      </c>
      <c r="N260" s="717"/>
      <c r="O260" s="716" t="s">
        <v>515</v>
      </c>
      <c r="P260" s="717"/>
      <c r="Q260" s="716" t="s">
        <v>516</v>
      </c>
      <c r="R260" s="717"/>
      <c r="S260" s="716" t="s">
        <v>105</v>
      </c>
      <c r="T260" s="729"/>
      <c r="U260" s="729"/>
      <c r="V260" s="717"/>
    </row>
    <row r="261" spans="1:22" ht="18" customHeight="1">
      <c r="A261" s="718"/>
      <c r="B261" s="730"/>
      <c r="C261" s="719"/>
      <c r="D261" s="718"/>
      <c r="E261" s="730"/>
      <c r="F261" s="719"/>
      <c r="G261" s="718"/>
      <c r="H261" s="719"/>
      <c r="I261" s="718"/>
      <c r="J261" s="719"/>
      <c r="K261" s="718"/>
      <c r="L261" s="719"/>
      <c r="M261" s="718"/>
      <c r="N261" s="719"/>
      <c r="O261" s="718"/>
      <c r="P261" s="719"/>
      <c r="Q261" s="718"/>
      <c r="R261" s="719"/>
      <c r="S261" s="718"/>
      <c r="T261" s="730"/>
      <c r="U261" s="730"/>
      <c r="V261" s="719"/>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20"/>
      <c r="B263" s="731"/>
      <c r="C263" s="721"/>
      <c r="D263" s="720"/>
      <c r="E263" s="731"/>
      <c r="F263" s="721"/>
      <c r="G263" s="720"/>
      <c r="H263" s="721"/>
      <c r="I263" s="720"/>
      <c r="J263" s="721"/>
      <c r="K263" s="720"/>
      <c r="L263" s="721"/>
      <c r="M263" s="720"/>
      <c r="N263" s="721"/>
      <c r="O263" s="720"/>
      <c r="P263" s="721"/>
      <c r="Q263" s="720"/>
      <c r="R263" s="721"/>
      <c r="S263" s="720"/>
      <c r="T263" s="731"/>
      <c r="U263" s="731"/>
      <c r="V263" s="721"/>
    </row>
    <row r="264" spans="1:22" ht="18" customHeight="1">
      <c r="A264" s="733" t="str">
        <f>B7</f>
        <v>T1</v>
      </c>
      <c r="B264" s="733" t="str">
        <f>D7</f>
        <v>Core2</v>
      </c>
      <c r="C264" s="733"/>
      <c r="D264" s="732">
        <f>H10</f>
        <v>3150</v>
      </c>
      <c r="E264" s="732"/>
      <c r="F264" s="734">
        <f>O10</f>
        <v>1</v>
      </c>
      <c r="G264" s="737">
        <f>'CT-VT Burdens'!S19</f>
        <v>50</v>
      </c>
      <c r="H264" s="740">
        <f>'CT-VT Burdens'!S10</f>
        <v>6</v>
      </c>
      <c r="I264" s="794" t="str">
        <f>H11</f>
        <v>PX</v>
      </c>
      <c r="J264" s="794"/>
      <c r="K264" s="728">
        <f>H12</f>
        <v>9</v>
      </c>
      <c r="L264" s="728"/>
      <c r="M264" s="728">
        <f>H13</f>
        <v>800</v>
      </c>
      <c r="N264" s="728"/>
      <c r="O264" s="732">
        <f>H14</f>
        <v>30</v>
      </c>
      <c r="P264" s="732"/>
      <c r="Q264" s="739" t="str">
        <f>T7</f>
        <v>SEL487E</v>
      </c>
      <c r="R264" s="739"/>
      <c r="S264" s="738" t="str">
        <f>H72</f>
        <v>Suitable Dimensions</v>
      </c>
      <c r="T264" s="738"/>
      <c r="U264" s="738"/>
      <c r="V264" s="738"/>
    </row>
    <row r="265" spans="1:22" ht="18" customHeight="1">
      <c r="A265" s="733"/>
      <c r="B265" s="733"/>
      <c r="C265" s="733"/>
      <c r="D265" s="732">
        <f>J10</f>
        <v>2000</v>
      </c>
      <c r="E265" s="732"/>
      <c r="F265" s="735"/>
      <c r="G265" s="737"/>
      <c r="H265" s="740"/>
      <c r="I265" s="794"/>
      <c r="J265" s="794"/>
      <c r="K265" s="728">
        <f>J94</f>
        <v>6</v>
      </c>
      <c r="L265" s="728"/>
      <c r="M265" s="728">
        <f>J95</f>
        <v>500</v>
      </c>
      <c r="N265" s="728"/>
      <c r="O265" s="732">
        <f>J96</f>
        <v>60</v>
      </c>
      <c r="P265" s="732"/>
      <c r="Q265" s="739"/>
      <c r="R265" s="739"/>
      <c r="S265" s="738" t="str">
        <f>H154</f>
        <v>Suitable Dimensions</v>
      </c>
      <c r="T265" s="738"/>
      <c r="U265" s="738"/>
      <c r="V265" s="738"/>
    </row>
    <row r="266" spans="1:22" ht="18" customHeight="1">
      <c r="A266" s="733"/>
      <c r="B266" s="733"/>
      <c r="C266" s="733"/>
      <c r="D266" s="732" t="str">
        <f>L10</f>
        <v>-</v>
      </c>
      <c r="E266" s="732"/>
      <c r="F266" s="736"/>
      <c r="G266" s="737"/>
      <c r="H266" s="740"/>
      <c r="I266" s="794"/>
      <c r="J266" s="794"/>
      <c r="K266" s="728" t="s">
        <v>7</v>
      </c>
      <c r="L266" s="728"/>
      <c r="M266" s="728" t="s">
        <v>7</v>
      </c>
      <c r="N266" s="728"/>
      <c r="O266" s="732" t="s">
        <v>7</v>
      </c>
      <c r="P266" s="732"/>
      <c r="Q266" s="739"/>
      <c r="R266" s="739"/>
      <c r="S266" s="738" t="s">
        <v>7</v>
      </c>
      <c r="T266" s="738"/>
      <c r="U266" s="738"/>
      <c r="V266" s="73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086" t="str">
        <f>A1</f>
        <v>HITACHI</v>
      </c>
      <c r="B302" s="1087"/>
      <c r="C302" s="1087"/>
      <c r="D302" s="1087"/>
      <c r="E302" s="1087"/>
      <c r="F302" s="1087"/>
      <c r="G302" s="1088"/>
      <c r="H302" s="636" t="str">
        <f>H1</f>
        <v>CT / VT</v>
      </c>
      <c r="I302" s="637"/>
      <c r="J302" s="637"/>
      <c r="K302" s="637"/>
      <c r="L302" s="637"/>
      <c r="M302" s="637"/>
      <c r="N302" s="638"/>
      <c r="O302" s="612" t="str">
        <f>O1</f>
        <v>Contract No.</v>
      </c>
      <c r="P302" s="613"/>
      <c r="Q302" s="614"/>
      <c r="R302" s="1139" t="str">
        <f>R1</f>
        <v>N-19957.1-DF5W</v>
      </c>
      <c r="S302" s="1140"/>
      <c r="T302" s="1140"/>
      <c r="U302" s="1140"/>
      <c r="V302" s="1141"/>
    </row>
    <row r="303" spans="1:22" ht="18" hidden="1" customHeight="1">
      <c r="A303" s="1089"/>
      <c r="B303" s="1090"/>
      <c r="C303" s="1090"/>
      <c r="D303" s="1090"/>
      <c r="E303" s="1090"/>
      <c r="F303" s="1090"/>
      <c r="G303" s="1091"/>
      <c r="H303" s="639" t="str">
        <f>H2</f>
        <v>ADEQUACY CHECK</v>
      </c>
      <c r="I303" s="640"/>
      <c r="J303" s="640"/>
      <c r="K303" s="640"/>
      <c r="L303" s="640"/>
      <c r="M303" s="640"/>
      <c r="N303" s="641"/>
      <c r="O303" s="612" t="str">
        <f>O2</f>
        <v>Date</v>
      </c>
      <c r="P303" s="613"/>
      <c r="Q303" s="614"/>
      <c r="R303" s="1139">
        <f>R2</f>
        <v>46106</v>
      </c>
      <c r="S303" s="1140"/>
      <c r="T303" s="1140"/>
      <c r="U303" s="1140"/>
      <c r="V303" s="1141"/>
    </row>
    <row r="304" spans="1:22" ht="18" hidden="1" customHeight="1">
      <c r="A304" s="716">
        <f>A3</f>
        <v>0</v>
      </c>
      <c r="B304" s="729"/>
      <c r="C304" s="729"/>
      <c r="D304" s="729"/>
      <c r="E304" s="729"/>
      <c r="F304" s="729"/>
      <c r="G304" s="717"/>
      <c r="H304" s="1142" t="str">
        <f>H3</f>
        <v>LT14 - LEWIS
400/132kV SUBSTATION</v>
      </c>
      <c r="I304" s="1143"/>
      <c r="J304" s="1143"/>
      <c r="K304" s="1143"/>
      <c r="L304" s="1143"/>
      <c r="M304" s="1143"/>
      <c r="N304" s="1144"/>
      <c r="O304" s="612" t="str">
        <f>O3</f>
        <v>Document No.</v>
      </c>
      <c r="P304" s="613"/>
      <c r="Q304" s="614"/>
      <c r="R304" s="1139" t="str">
        <f>R3</f>
        <v>-</v>
      </c>
      <c r="S304" s="1140"/>
      <c r="T304" s="1140"/>
      <c r="U304" s="1140"/>
      <c r="V304" s="1141"/>
    </row>
    <row r="305" spans="1:29" ht="18" hidden="1" customHeight="1">
      <c r="A305" s="720"/>
      <c r="B305" s="731"/>
      <c r="C305" s="731"/>
      <c r="D305" s="731"/>
      <c r="E305" s="731"/>
      <c r="F305" s="731"/>
      <c r="G305" s="721"/>
      <c r="H305" s="1145"/>
      <c r="I305" s="1146"/>
      <c r="J305" s="1146"/>
      <c r="K305" s="1146"/>
      <c r="L305" s="1146"/>
      <c r="M305" s="1146"/>
      <c r="N305" s="1147"/>
      <c r="O305" s="612" t="str">
        <f>O4</f>
        <v>Revision No.</v>
      </c>
      <c r="P305" s="613"/>
      <c r="Q305" s="614"/>
      <c r="R305" s="1139" t="str">
        <f>R4</f>
        <v>A</v>
      </c>
      <c r="S305" s="1140"/>
      <c r="T305" s="1140"/>
      <c r="U305" s="1140"/>
      <c r="V305" s="1141"/>
    </row>
    <row r="306" spans="1:29" ht="18" hidden="1" customHeight="1">
      <c r="A306" s="618" t="str">
        <f>A5</f>
        <v>Prep. By</v>
      </c>
      <c r="B306" s="619"/>
      <c r="C306" s="304" t="str">
        <f>C5</f>
        <v>AP</v>
      </c>
      <c r="D306" s="618" t="str">
        <f>D5</f>
        <v>Checked By</v>
      </c>
      <c r="E306" s="620"/>
      <c r="F306" s="619"/>
      <c r="G306" s="304" t="str">
        <f>G5</f>
        <v>RB</v>
      </c>
      <c r="H306" s="1092" t="str">
        <f>H5</f>
        <v>33kV Side Trafo Feeder (100MVA)</v>
      </c>
      <c r="I306" s="1093"/>
      <c r="J306" s="1093"/>
      <c r="K306" s="1093"/>
      <c r="L306" s="1093"/>
      <c r="M306" s="1093"/>
      <c r="N306" s="1094"/>
      <c r="O306" s="624" t="str">
        <f>O5</f>
        <v>Contractor</v>
      </c>
      <c r="P306" s="625"/>
      <c r="Q306" s="626"/>
      <c r="R306" s="1139" t="str">
        <f>R5</f>
        <v>HITACHI</v>
      </c>
      <c r="S306" s="1140"/>
      <c r="T306" s="1140"/>
      <c r="U306" s="1140"/>
      <c r="V306" s="1141"/>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653" t="s">
        <v>674</v>
      </c>
      <c r="C308" s="654"/>
      <c r="D308" s="659" t="s">
        <v>121</v>
      </c>
      <c r="E308" s="1148"/>
      <c r="F308" s="198" t="s">
        <v>647</v>
      </c>
      <c r="H308" s="665" t="str">
        <f>H171</f>
        <v>(Transformer Differential)</v>
      </c>
      <c r="I308" s="665"/>
      <c r="J308" s="665"/>
      <c r="K308" s="665"/>
      <c r="L308" s="665"/>
      <c r="M308" s="665"/>
      <c r="P308" s="198"/>
      <c r="S308" s="199" t="s">
        <v>398</v>
      </c>
      <c r="T308" s="1126" t="str">
        <f>T171</f>
        <v>SEL487E</v>
      </c>
      <c r="U308" s="1127"/>
      <c r="V308" s="197"/>
    </row>
    <row r="309" spans="1:29" ht="18" hidden="1" customHeight="1">
      <c r="A309" s="196"/>
      <c r="B309" s="890" t="s">
        <v>675</v>
      </c>
      <c r="C309" s="890"/>
      <c r="D309" s="1149"/>
      <c r="E309" s="1150"/>
      <c r="F309" s="267"/>
      <c r="T309" s="1126"/>
      <c r="U309" s="1127"/>
      <c r="V309" s="197"/>
    </row>
    <row r="310" spans="1:29" ht="18" hidden="1" customHeight="1">
      <c r="A310" s="196"/>
      <c r="H310" s="666" t="s">
        <v>401</v>
      </c>
      <c r="I310" s="666"/>
      <c r="J310" s="696" t="s">
        <v>402</v>
      </c>
      <c r="K310" s="696"/>
      <c r="L310" s="696" t="s">
        <v>403</v>
      </c>
      <c r="M310" s="696"/>
      <c r="T310" s="1126"/>
      <c r="U310" s="1127"/>
      <c r="V310" s="197"/>
    </row>
    <row r="311" spans="1:29" ht="18" hidden="1" customHeight="1">
      <c r="A311" s="196"/>
      <c r="B311" s="47" t="s">
        <v>404</v>
      </c>
      <c r="H311" s="651">
        <v>5000</v>
      </c>
      <c r="I311" s="652"/>
      <c r="J311" s="653">
        <v>4000</v>
      </c>
      <c r="K311" s="654"/>
      <c r="L311" s="653">
        <v>3000</v>
      </c>
      <c r="M311" s="654"/>
      <c r="N311" s="203" t="s">
        <v>353</v>
      </c>
      <c r="O311" s="125">
        <v>1</v>
      </c>
      <c r="P311" s="27" t="s">
        <v>9</v>
      </c>
      <c r="V311" s="197"/>
    </row>
    <row r="312" spans="1:29" ht="18" hidden="1" customHeight="1">
      <c r="A312" s="196"/>
      <c r="B312" s="47" t="s">
        <v>405</v>
      </c>
      <c r="H312" s="653" t="s">
        <v>406</v>
      </c>
      <c r="I312" s="675"/>
      <c r="V312" s="197"/>
    </row>
    <row r="313" spans="1:29" ht="18" hidden="1" customHeight="1">
      <c r="A313" s="196"/>
      <c r="B313" s="47" t="s">
        <v>407</v>
      </c>
      <c r="G313" s="120" t="s">
        <v>508</v>
      </c>
      <c r="H313" s="653">
        <v>20</v>
      </c>
      <c r="I313" s="654"/>
      <c r="J313" s="204" t="s">
        <v>344</v>
      </c>
      <c r="V313" s="197"/>
    </row>
    <row r="314" spans="1:29" ht="18" hidden="1" customHeight="1">
      <c r="A314" s="196"/>
      <c r="B314" s="47" t="s">
        <v>409</v>
      </c>
      <c r="G314" s="120" t="s">
        <v>509</v>
      </c>
      <c r="H314" s="653">
        <v>1000</v>
      </c>
      <c r="I314" s="654"/>
      <c r="J314" s="14" t="s">
        <v>316</v>
      </c>
      <c r="V314" s="197"/>
      <c r="W314" s="30" t="s">
        <v>411</v>
      </c>
      <c r="AB314" s="1022">
        <f>D367</f>
        <v>58.338138704125342</v>
      </c>
      <c r="AC314" s="1023"/>
    </row>
    <row r="315" spans="1:29" ht="18" hidden="1" customHeight="1">
      <c r="A315" s="196"/>
      <c r="B315" s="14" t="s">
        <v>412</v>
      </c>
      <c r="G315" s="120" t="s">
        <v>413</v>
      </c>
      <c r="H315" s="653">
        <v>20</v>
      </c>
      <c r="I315" s="654"/>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51">
        <f>J182</f>
        <v>0.1</v>
      </c>
      <c r="K319" s="1152"/>
      <c r="L319" s="3" t="s">
        <v>168</v>
      </c>
      <c r="V319" s="197"/>
    </row>
    <row r="320" spans="1:29" ht="18" hidden="1" customHeight="1">
      <c r="A320" s="196"/>
      <c r="B320" s="196" t="s">
        <v>416</v>
      </c>
      <c r="D320" s="30">
        <f>T309</f>
        <v>0</v>
      </c>
      <c r="H320" s="27"/>
      <c r="I320" s="189" t="s">
        <v>138</v>
      </c>
      <c r="J320" s="1045"/>
      <c r="K320" s="1073"/>
      <c r="L320" s="210" t="s">
        <v>168</v>
      </c>
      <c r="V320" s="197"/>
    </row>
    <row r="321" spans="1:22" ht="18" hidden="1" customHeight="1">
      <c r="A321" s="196"/>
      <c r="B321" s="196" t="s">
        <v>416</v>
      </c>
      <c r="D321" s="30">
        <f>T310</f>
        <v>0</v>
      </c>
      <c r="E321" s="14"/>
      <c r="G321" s="211"/>
      <c r="H321" s="27"/>
      <c r="I321" s="189" t="s">
        <v>138</v>
      </c>
      <c r="J321" s="1153"/>
      <c r="K321" s="1154"/>
      <c r="L321" s="214" t="s">
        <v>168</v>
      </c>
      <c r="V321" s="197"/>
    </row>
    <row r="322" spans="1:22" ht="18" hidden="1" customHeight="1">
      <c r="A322" s="196"/>
      <c r="B322" s="196" t="s">
        <v>423</v>
      </c>
      <c r="H322" s="27" t="s">
        <v>610</v>
      </c>
      <c r="I322" s="189" t="s">
        <v>138</v>
      </c>
      <c r="J322" s="1026">
        <f>J185</f>
        <v>0.74045292750000002</v>
      </c>
      <c r="K322" s="698"/>
      <c r="L322" s="215" t="s">
        <v>168</v>
      </c>
      <c r="V322" s="197"/>
    </row>
    <row r="323" spans="1:22" ht="18" hidden="1" customHeight="1">
      <c r="A323" s="196"/>
      <c r="B323" s="217" t="s">
        <v>424</v>
      </c>
      <c r="C323" s="218"/>
      <c r="D323" s="218"/>
      <c r="E323" s="218"/>
      <c r="F323" s="219"/>
      <c r="G323" s="219"/>
      <c r="H323" s="202" t="s">
        <v>420</v>
      </c>
      <c r="I323" s="220" t="s">
        <v>138</v>
      </c>
      <c r="J323" s="896">
        <f>J320+J322</f>
        <v>0.74045292750000002</v>
      </c>
      <c r="K323" s="679"/>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0.74045292750000002</v>
      </c>
      <c r="P327" s="203" t="s">
        <v>421</v>
      </c>
      <c r="Q327" s="27">
        <f>O311</f>
        <v>1</v>
      </c>
      <c r="R327" s="27" t="s">
        <v>326</v>
      </c>
      <c r="S327" s="27">
        <f>O311</f>
        <v>1</v>
      </c>
      <c r="T327" s="30" t="s">
        <v>361</v>
      </c>
      <c r="U327" s="30"/>
      <c r="V327" s="197"/>
    </row>
    <row r="328" spans="1:22" s="14" customFormat="1" ht="18" hidden="1" customHeight="1">
      <c r="A328" s="196"/>
      <c r="B328" s="47"/>
      <c r="C328" s="27" t="s">
        <v>138</v>
      </c>
      <c r="D328" s="668">
        <f>D327/(F327*H327)</f>
        <v>0.1</v>
      </c>
      <c r="E328" s="668"/>
      <c r="F328" s="204" t="s">
        <v>344</v>
      </c>
      <c r="G328" s="30"/>
      <c r="H328" s="30"/>
      <c r="I328" s="30"/>
      <c r="J328" s="211"/>
      <c r="K328" s="30"/>
      <c r="L328" s="47"/>
      <c r="M328" s="30"/>
      <c r="N328" s="27" t="s">
        <v>138</v>
      </c>
      <c r="O328" s="668">
        <f>O327/(Q327*S327)</f>
        <v>0.74045292750000002</v>
      </c>
      <c r="P328" s="668"/>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31">
        <f>O113</f>
        <v>100</v>
      </c>
      <c r="P332" s="709"/>
      <c r="Q332" s="14" t="s">
        <v>613</v>
      </c>
      <c r="S332" s="226"/>
      <c r="T332" s="18"/>
      <c r="U332" s="18"/>
      <c r="V332" s="97"/>
    </row>
    <row r="333" spans="1:22" s="14" customFormat="1" ht="18" hidden="1" customHeight="1">
      <c r="A333" s="96"/>
      <c r="B333" s="47" t="s">
        <v>614</v>
      </c>
      <c r="C333" s="5"/>
      <c r="D333" s="5"/>
      <c r="E333" s="5"/>
      <c r="I333" s="227"/>
      <c r="M333" s="5"/>
      <c r="N333" s="103" t="s">
        <v>138</v>
      </c>
      <c r="O333" s="1131">
        <f>O114</f>
        <v>25</v>
      </c>
      <c r="P333" s="709"/>
      <c r="Q333" s="14" t="s">
        <v>615</v>
      </c>
      <c r="S333" s="226"/>
      <c r="T333" s="18"/>
      <c r="U333" s="18"/>
      <c r="V333" s="97"/>
    </row>
    <row r="334" spans="1:22" s="14" customFormat="1" ht="18" hidden="1" customHeight="1">
      <c r="A334" s="96"/>
      <c r="B334" s="47" t="s">
        <v>616</v>
      </c>
      <c r="C334" s="5"/>
      <c r="D334" s="5"/>
      <c r="E334" s="5"/>
      <c r="M334" s="120" t="s">
        <v>617</v>
      </c>
      <c r="N334" s="103" t="s">
        <v>618</v>
      </c>
      <c r="O334" s="1131">
        <f>'[2]Parameters &amp; Fault Cal.'!Q12</f>
        <v>132</v>
      </c>
      <c r="P334" s="709"/>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664" t="s">
        <v>621</v>
      </c>
      <c r="K336" s="664"/>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664">
        <f>O332</f>
        <v>100</v>
      </c>
      <c r="K337" s="664"/>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669">
        <f>(O332*1000)/(SQRT(3)*O334)</f>
        <v>437.38656756789834</v>
      </c>
      <c r="K338" s="669"/>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664" t="s">
        <v>620</v>
      </c>
      <c r="P342" s="936"/>
      <c r="Q342" s="233" t="s">
        <v>641</v>
      </c>
      <c r="R342" s="233">
        <v>16</v>
      </c>
      <c r="S342" s="198"/>
      <c r="V342" s="197"/>
    </row>
    <row r="343" spans="1:22" ht="18" hidden="1" customHeight="1">
      <c r="A343" s="96"/>
      <c r="B343" s="5"/>
      <c r="C343" s="5"/>
      <c r="D343" s="5"/>
      <c r="E343" s="5"/>
      <c r="M343" s="262"/>
      <c r="N343" s="28" t="s">
        <v>138</v>
      </c>
      <c r="O343" s="664">
        <f>+J338</f>
        <v>437.38656756789834</v>
      </c>
      <c r="P343" s="936"/>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664">
        <f>O343*R343</f>
        <v>6998.1850810863734</v>
      </c>
      <c r="P344" s="936"/>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664" t="s">
        <v>484</v>
      </c>
      <c r="C349" s="1132" t="s">
        <v>663</v>
      </c>
      <c r="D349" s="664">
        <v>2</v>
      </c>
      <c r="E349" s="664" t="s">
        <v>389</v>
      </c>
      <c r="F349" s="664" t="s">
        <v>628</v>
      </c>
      <c r="G349" s="664"/>
      <c r="H349" s="664" t="s">
        <v>389</v>
      </c>
      <c r="I349" s="664" t="s">
        <v>430</v>
      </c>
      <c r="J349" s="664" t="s">
        <v>431</v>
      </c>
      <c r="K349" s="664" t="s">
        <v>358</v>
      </c>
      <c r="L349" s="664" t="s">
        <v>419</v>
      </c>
      <c r="M349" s="664" t="s">
        <v>358</v>
      </c>
      <c r="N349" s="664" t="s">
        <v>660</v>
      </c>
      <c r="O349" s="664" t="s">
        <v>361</v>
      </c>
      <c r="P349" s="14"/>
      <c r="Q349" s="14"/>
      <c r="R349" s="14"/>
      <c r="S349" s="14"/>
      <c r="T349" s="14"/>
      <c r="U349" s="942" t="s">
        <v>664</v>
      </c>
      <c r="V349" s="197"/>
    </row>
    <row r="350" spans="1:22" ht="18" hidden="1" customHeight="1">
      <c r="A350" s="289"/>
      <c r="B350" s="664"/>
      <c r="C350" s="664"/>
      <c r="D350" s="664"/>
      <c r="E350" s="664"/>
      <c r="F350" s="664"/>
      <c r="G350" s="664"/>
      <c r="H350" s="664"/>
      <c r="I350" s="664"/>
      <c r="J350" s="664"/>
      <c r="K350" s="664"/>
      <c r="L350" s="664"/>
      <c r="M350" s="664"/>
      <c r="N350" s="664"/>
      <c r="O350" s="664"/>
      <c r="P350" s="14"/>
      <c r="Q350" s="14"/>
      <c r="R350" s="14"/>
      <c r="S350" s="14"/>
      <c r="T350" s="14"/>
      <c r="U350" s="664"/>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665">
        <f>H311</f>
        <v>5000</v>
      </c>
      <c r="T352" s="665"/>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665">
        <f>H313</f>
        <v>20</v>
      </c>
      <c r="T353" s="665"/>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668">
        <f>O328</f>
        <v>0.74045292750000002</v>
      </c>
      <c r="T354" s="668"/>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668">
        <f>D328</f>
        <v>0.1</v>
      </c>
      <c r="T355" s="665"/>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668">
        <f>O344/S352</f>
        <v>1.3996370162172747</v>
      </c>
      <c r="T356" s="668"/>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665">
        <f>S58</f>
        <v>1</v>
      </c>
      <c r="T357" s="665"/>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664" t="s">
        <v>484</v>
      </c>
      <c r="C361" s="1132" t="s">
        <v>663</v>
      </c>
      <c r="D361" s="664">
        <v>2</v>
      </c>
      <c r="E361" s="664" t="s">
        <v>389</v>
      </c>
      <c r="F361" s="664" t="s">
        <v>628</v>
      </c>
      <c r="G361" s="664"/>
      <c r="H361" s="664" t="s">
        <v>389</v>
      </c>
      <c r="I361" s="664" t="s">
        <v>430</v>
      </c>
      <c r="J361" s="664" t="s">
        <v>431</v>
      </c>
      <c r="K361" s="664" t="s">
        <v>358</v>
      </c>
      <c r="L361" s="664" t="s">
        <v>419</v>
      </c>
      <c r="M361" s="664" t="s">
        <v>358</v>
      </c>
      <c r="N361" s="664" t="s">
        <v>660</v>
      </c>
      <c r="O361" s="664" t="s">
        <v>361</v>
      </c>
      <c r="P361" s="14"/>
      <c r="Q361" s="14"/>
      <c r="R361" s="14"/>
      <c r="S361" s="14"/>
      <c r="T361" s="14"/>
      <c r="U361" s="942" t="s">
        <v>664</v>
      </c>
      <c r="V361" s="197"/>
    </row>
    <row r="362" spans="1:22" ht="18" hidden="1" customHeight="1">
      <c r="A362" s="289"/>
      <c r="B362" s="664"/>
      <c r="C362" s="664"/>
      <c r="D362" s="664"/>
      <c r="E362" s="664"/>
      <c r="F362" s="664"/>
      <c r="G362" s="664"/>
      <c r="H362" s="664"/>
      <c r="I362" s="664"/>
      <c r="J362" s="664"/>
      <c r="K362" s="664"/>
      <c r="L362" s="664"/>
      <c r="M362" s="664"/>
      <c r="N362" s="664"/>
      <c r="O362" s="664"/>
      <c r="P362" s="14"/>
      <c r="Q362" s="14"/>
      <c r="R362" s="14"/>
      <c r="S362" s="14"/>
      <c r="T362" s="14"/>
      <c r="U362" s="664"/>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32" t="s">
        <v>663</v>
      </c>
      <c r="D364" s="788">
        <v>2</v>
      </c>
      <c r="E364" s="788" t="s">
        <v>389</v>
      </c>
      <c r="F364" s="1080">
        <f>S356</f>
        <v>1.3996370162172747</v>
      </c>
      <c r="G364" s="1080"/>
      <c r="H364" s="788" t="s">
        <v>389</v>
      </c>
      <c r="I364" s="788" t="s">
        <v>430</v>
      </c>
      <c r="J364" s="788">
        <f>S353</f>
        <v>20</v>
      </c>
      <c r="K364" s="788" t="s">
        <v>358</v>
      </c>
      <c r="L364" s="1080">
        <f>S354</f>
        <v>0.74045292750000002</v>
      </c>
      <c r="M364" s="788" t="s">
        <v>358</v>
      </c>
      <c r="N364" s="1080">
        <f>S355</f>
        <v>0.1</v>
      </c>
      <c r="O364" s="788" t="s">
        <v>361</v>
      </c>
      <c r="P364" s="14"/>
      <c r="Q364" s="14"/>
      <c r="R364" s="14"/>
      <c r="S364" s="14"/>
      <c r="T364" s="14"/>
      <c r="U364" s="28"/>
      <c r="V364" s="197"/>
    </row>
    <row r="365" spans="1:22" ht="18" hidden="1" customHeight="1">
      <c r="A365" s="289"/>
      <c r="B365" s="28"/>
      <c r="C365" s="664"/>
      <c r="D365" s="788"/>
      <c r="E365" s="788"/>
      <c r="F365" s="1080"/>
      <c r="G365" s="1080"/>
      <c r="H365" s="788"/>
      <c r="I365" s="788"/>
      <c r="J365" s="788"/>
      <c r="K365" s="788"/>
      <c r="L365" s="788"/>
      <c r="M365" s="788"/>
      <c r="N365" s="788"/>
      <c r="O365" s="788"/>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875">
        <f>D364*F364*(J364+L364+N364)</f>
        <v>58.338138704125342</v>
      </c>
      <c r="E367" s="876"/>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665">
        <f>H314</f>
        <v>1000</v>
      </c>
      <c r="F370" s="665"/>
      <c r="G370" s="27" t="str">
        <f>G369</f>
        <v>&gt;</v>
      </c>
      <c r="H370" s="668">
        <f>D367</f>
        <v>58.338138704125342</v>
      </c>
      <c r="I370" s="665"/>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08" t="str">
        <f>B308</f>
        <v>CT1L1</v>
      </c>
      <c r="C391" s="709"/>
      <c r="D391" s="710" t="str">
        <f>D308</f>
        <v>Core3</v>
      </c>
      <c r="E391" s="711"/>
      <c r="F391" s="198" t="s">
        <v>647</v>
      </c>
      <c r="H391" s="665" t="str">
        <f>H308</f>
        <v>(Transformer Differential)</v>
      </c>
      <c r="I391" s="665"/>
      <c r="J391" s="665"/>
      <c r="K391" s="665"/>
      <c r="L391" s="665"/>
      <c r="M391" s="665"/>
      <c r="P391" s="198"/>
      <c r="S391" s="199" t="s">
        <v>398</v>
      </c>
      <c r="T391" s="1131" t="str">
        <f>T308</f>
        <v>SEL487E</v>
      </c>
      <c r="U391" s="1138"/>
      <c r="V391" s="197"/>
    </row>
    <row r="392" spans="1:29" ht="18" hidden="1" customHeight="1">
      <c r="A392" s="196"/>
      <c r="B392" s="707" t="str">
        <f>B309</f>
        <v>CT1L2</v>
      </c>
      <c r="C392" s="707"/>
      <c r="D392" s="712"/>
      <c r="E392" s="713"/>
      <c r="F392" s="267"/>
      <c r="T392" s="1131">
        <f>T309</f>
        <v>0</v>
      </c>
      <c r="U392" s="1138"/>
      <c r="V392" s="197"/>
    </row>
    <row r="393" spans="1:29" ht="18" hidden="1" customHeight="1">
      <c r="A393" s="196"/>
      <c r="H393" s="696" t="s">
        <v>401</v>
      </c>
      <c r="I393" s="696"/>
      <c r="J393" s="666" t="s">
        <v>402</v>
      </c>
      <c r="K393" s="666"/>
      <c r="L393" s="696" t="s">
        <v>403</v>
      </c>
      <c r="M393" s="696"/>
      <c r="T393" s="1131">
        <f>T310</f>
        <v>0</v>
      </c>
      <c r="U393" s="1138"/>
      <c r="V393" s="197"/>
    </row>
    <row r="394" spans="1:29" ht="18" hidden="1" customHeight="1">
      <c r="A394" s="196"/>
      <c r="B394" s="47" t="s">
        <v>404</v>
      </c>
      <c r="H394" s="708">
        <f>H311</f>
        <v>5000</v>
      </c>
      <c r="I394" s="709"/>
      <c r="J394" s="714">
        <f>J311</f>
        <v>4000</v>
      </c>
      <c r="K394" s="715"/>
      <c r="L394" s="708">
        <f>L311</f>
        <v>3000</v>
      </c>
      <c r="M394" s="709"/>
      <c r="N394" s="102" t="s">
        <v>353</v>
      </c>
      <c r="O394" s="268">
        <f>O311</f>
        <v>1</v>
      </c>
      <c r="P394" s="27" t="s">
        <v>9</v>
      </c>
      <c r="V394" s="197"/>
    </row>
    <row r="395" spans="1:29" ht="18" hidden="1" customHeight="1">
      <c r="A395" s="196"/>
      <c r="B395" s="47" t="s">
        <v>405</v>
      </c>
      <c r="H395" s="14"/>
      <c r="I395" s="14"/>
      <c r="J395" s="708" t="str">
        <f>H312</f>
        <v>PX</v>
      </c>
      <c r="K395" s="617"/>
      <c r="L395" s="14"/>
      <c r="M395" s="14"/>
      <c r="V395" s="197"/>
    </row>
    <row r="396" spans="1:29" ht="18" hidden="1" customHeight="1">
      <c r="A396" s="196"/>
      <c r="B396" s="47" t="s">
        <v>407</v>
      </c>
      <c r="I396" s="120" t="s">
        <v>508</v>
      </c>
      <c r="J396" s="653">
        <v>15</v>
      </c>
      <c r="K396" s="654"/>
      <c r="L396" s="204" t="s">
        <v>344</v>
      </c>
      <c r="V396" s="197"/>
    </row>
    <row r="397" spans="1:29" ht="18" hidden="1" customHeight="1">
      <c r="A397" s="196"/>
      <c r="B397" s="47" t="s">
        <v>409</v>
      </c>
      <c r="I397" s="120" t="s">
        <v>509</v>
      </c>
      <c r="J397" s="653">
        <v>800</v>
      </c>
      <c r="K397" s="654"/>
      <c r="L397" s="14" t="s">
        <v>316</v>
      </c>
      <c r="V397" s="197"/>
      <c r="W397" s="30" t="s">
        <v>411</v>
      </c>
      <c r="AB397" s="1022">
        <f>D455</f>
        <v>55.427210677440733</v>
      </c>
      <c r="AC397" s="1023"/>
    </row>
    <row r="398" spans="1:29" ht="18" hidden="1" customHeight="1">
      <c r="A398" s="196"/>
      <c r="B398" s="14" t="s">
        <v>412</v>
      </c>
      <c r="I398" s="120" t="s">
        <v>413</v>
      </c>
      <c r="J398" s="653">
        <v>40</v>
      </c>
      <c r="K398" s="654"/>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896">
        <f>J319</f>
        <v>0.1</v>
      </c>
      <c r="K402" s="679"/>
      <c r="L402" s="3" t="s">
        <v>168</v>
      </c>
      <c r="V402" s="197"/>
    </row>
    <row r="403" spans="1:22" ht="18" hidden="1" customHeight="1">
      <c r="A403" s="196"/>
      <c r="B403" s="196" t="s">
        <v>416</v>
      </c>
      <c r="D403" s="30">
        <f>T392</f>
        <v>0</v>
      </c>
      <c r="H403" s="27"/>
      <c r="I403" s="189" t="s">
        <v>138</v>
      </c>
      <c r="J403" s="896">
        <f>J320</f>
        <v>0</v>
      </c>
      <c r="K403" s="679"/>
      <c r="L403" s="210" t="s">
        <v>168</v>
      </c>
      <c r="V403" s="197"/>
    </row>
    <row r="404" spans="1:22" ht="18" hidden="1" customHeight="1">
      <c r="A404" s="196"/>
      <c r="B404" s="196" t="s">
        <v>416</v>
      </c>
      <c r="D404" s="30">
        <f>T393</f>
        <v>0</v>
      </c>
      <c r="E404" s="14"/>
      <c r="G404" s="211"/>
      <c r="H404" s="27"/>
      <c r="I404" s="189" t="s">
        <v>138</v>
      </c>
      <c r="J404" s="896">
        <f>J321</f>
        <v>0</v>
      </c>
      <c r="K404" s="679"/>
      <c r="L404" s="214" t="s">
        <v>168</v>
      </c>
      <c r="V404" s="197"/>
    </row>
    <row r="405" spans="1:22" ht="18" hidden="1" customHeight="1">
      <c r="A405" s="196"/>
      <c r="B405" s="196" t="s">
        <v>423</v>
      </c>
      <c r="H405" s="27" t="s">
        <v>610</v>
      </c>
      <c r="I405" s="189" t="s">
        <v>138</v>
      </c>
      <c r="J405" s="896">
        <f>J322</f>
        <v>0.74045292750000002</v>
      </c>
      <c r="K405" s="679"/>
      <c r="L405" s="215" t="s">
        <v>168</v>
      </c>
      <c r="V405" s="197"/>
    </row>
    <row r="406" spans="1:22" ht="18" hidden="1" customHeight="1">
      <c r="A406" s="196"/>
      <c r="B406" s="217" t="s">
        <v>424</v>
      </c>
      <c r="C406" s="218"/>
      <c r="D406" s="218"/>
      <c r="E406" s="218"/>
      <c r="F406" s="219"/>
      <c r="G406" s="219"/>
      <c r="H406" s="202" t="s">
        <v>420</v>
      </c>
      <c r="I406" s="220" t="s">
        <v>138</v>
      </c>
      <c r="J406" s="896">
        <f>J403+J405</f>
        <v>0.74045292750000002</v>
      </c>
      <c r="K406" s="679"/>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0.74045292750000002</v>
      </c>
      <c r="P410" s="203" t="s">
        <v>421</v>
      </c>
      <c r="Q410" s="27">
        <f>O394</f>
        <v>1</v>
      </c>
      <c r="R410" s="27" t="s">
        <v>326</v>
      </c>
      <c r="S410" s="27">
        <f>O394</f>
        <v>1</v>
      </c>
      <c r="T410" s="30" t="s">
        <v>361</v>
      </c>
      <c r="U410" s="30"/>
      <c r="V410" s="197"/>
    </row>
    <row r="411" spans="1:22" s="14" customFormat="1" ht="18" hidden="1" customHeight="1">
      <c r="A411" s="196"/>
      <c r="B411" s="47"/>
      <c r="C411" s="27" t="s">
        <v>138</v>
      </c>
      <c r="D411" s="668">
        <f>D410/(F410*H410)</f>
        <v>0.1</v>
      </c>
      <c r="E411" s="668"/>
      <c r="F411" s="204" t="s">
        <v>344</v>
      </c>
      <c r="G411" s="30"/>
      <c r="H411" s="30"/>
      <c r="I411" s="30"/>
      <c r="J411" s="211"/>
      <c r="K411" s="30"/>
      <c r="L411" s="47"/>
      <c r="M411" s="30"/>
      <c r="N411" s="27" t="s">
        <v>138</v>
      </c>
      <c r="O411" s="668">
        <f>O410/(Q410*S410)</f>
        <v>0.74045292750000002</v>
      </c>
      <c r="P411" s="668"/>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31">
        <f>O332</f>
        <v>100</v>
      </c>
      <c r="P415" s="709"/>
      <c r="Q415" s="14" t="s">
        <v>613</v>
      </c>
      <c r="S415" s="226"/>
      <c r="T415" s="18"/>
      <c r="U415" s="18"/>
      <c r="V415" s="97"/>
    </row>
    <row r="416" spans="1:22" s="14" customFormat="1" ht="18" hidden="1" customHeight="1">
      <c r="A416" s="96"/>
      <c r="B416" s="47" t="s">
        <v>614</v>
      </c>
      <c r="C416" s="5"/>
      <c r="D416" s="5"/>
      <c r="E416" s="5"/>
      <c r="I416" s="227"/>
      <c r="M416" s="5"/>
      <c r="N416" s="103" t="s">
        <v>138</v>
      </c>
      <c r="O416" s="1131">
        <f>O333</f>
        <v>25</v>
      </c>
      <c r="P416" s="709"/>
      <c r="Q416" s="14" t="s">
        <v>615</v>
      </c>
      <c r="S416" s="226"/>
      <c r="T416" s="18"/>
      <c r="U416" s="18"/>
      <c r="V416" s="97"/>
    </row>
    <row r="417" spans="1:22" s="14" customFormat="1" ht="18" hidden="1" customHeight="1">
      <c r="A417" s="96"/>
      <c r="B417" s="47" t="s">
        <v>616</v>
      </c>
      <c r="C417" s="5"/>
      <c r="D417" s="5"/>
      <c r="E417" s="5"/>
      <c r="M417" s="120" t="s">
        <v>617</v>
      </c>
      <c r="N417" s="103" t="s">
        <v>618</v>
      </c>
      <c r="O417" s="1131">
        <f>O334</f>
        <v>132</v>
      </c>
      <c r="P417" s="709"/>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664" t="s">
        <v>621</v>
      </c>
      <c r="K419" s="664"/>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664">
        <f>O415</f>
        <v>100</v>
      </c>
      <c r="K420" s="664"/>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669">
        <f>(O415*1000)/(SQRT(3)*O417)</f>
        <v>437.38656756789834</v>
      </c>
      <c r="K421" s="669"/>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664" t="s">
        <v>620</v>
      </c>
      <c r="P425" s="936"/>
      <c r="Q425" s="233" t="s">
        <v>641</v>
      </c>
      <c r="R425" s="233">
        <v>16</v>
      </c>
      <c r="S425" s="226"/>
      <c r="V425" s="197"/>
    </row>
    <row r="426" spans="1:22" ht="18" hidden="1" customHeight="1">
      <c r="A426" s="96"/>
      <c r="B426" s="5"/>
      <c r="C426" s="5"/>
      <c r="D426" s="5"/>
      <c r="E426" s="5"/>
      <c r="M426" s="262"/>
      <c r="N426" s="28" t="s">
        <v>138</v>
      </c>
      <c r="O426" s="664">
        <f>+J421</f>
        <v>437.38656756789834</v>
      </c>
      <c r="P426" s="936"/>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664">
        <f>O426*R426</f>
        <v>6998.1850810863734</v>
      </c>
      <c r="P427" s="936"/>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664" t="s">
        <v>484</v>
      </c>
      <c r="C437" s="1132" t="s">
        <v>663</v>
      </c>
      <c r="D437" s="664">
        <v>2</v>
      </c>
      <c r="E437" s="664" t="s">
        <v>389</v>
      </c>
      <c r="F437" s="664" t="s">
        <v>628</v>
      </c>
      <c r="G437" s="664"/>
      <c r="H437" s="664" t="s">
        <v>389</v>
      </c>
      <c r="I437" s="664" t="s">
        <v>430</v>
      </c>
      <c r="J437" s="664" t="s">
        <v>431</v>
      </c>
      <c r="K437" s="664" t="s">
        <v>358</v>
      </c>
      <c r="L437" s="664" t="s">
        <v>419</v>
      </c>
      <c r="M437" s="664" t="s">
        <v>358</v>
      </c>
      <c r="N437" s="664" t="s">
        <v>660</v>
      </c>
      <c r="O437" s="664" t="s">
        <v>361</v>
      </c>
      <c r="P437" s="14"/>
      <c r="Q437" s="14"/>
      <c r="R437" s="14"/>
      <c r="S437" s="14"/>
      <c r="T437" s="14"/>
      <c r="U437" s="942" t="s">
        <v>664</v>
      </c>
      <c r="V437" s="197"/>
    </row>
    <row r="438" spans="1:22" ht="18" hidden="1" customHeight="1">
      <c r="A438" s="289"/>
      <c r="B438" s="664"/>
      <c r="C438" s="664"/>
      <c r="D438" s="664"/>
      <c r="E438" s="664"/>
      <c r="F438" s="664"/>
      <c r="G438" s="664"/>
      <c r="H438" s="664"/>
      <c r="I438" s="664"/>
      <c r="J438" s="664"/>
      <c r="K438" s="664"/>
      <c r="L438" s="664"/>
      <c r="M438" s="664"/>
      <c r="N438" s="664"/>
      <c r="O438" s="664"/>
      <c r="P438" s="14"/>
      <c r="Q438" s="14"/>
      <c r="R438" s="14"/>
      <c r="S438" s="14"/>
      <c r="T438" s="14"/>
      <c r="U438" s="664"/>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665">
        <f>J394</f>
        <v>4000</v>
      </c>
      <c r="T440" s="665"/>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665">
        <f>J396</f>
        <v>15</v>
      </c>
      <c r="T441" s="665"/>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668">
        <f>O411</f>
        <v>0.74045292750000002</v>
      </c>
      <c r="T442" s="668"/>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668">
        <f>D411</f>
        <v>0.1</v>
      </c>
      <c r="T443" s="665"/>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668">
        <f>O427/S440</f>
        <v>1.7495462702715934</v>
      </c>
      <c r="T444" s="668"/>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665">
        <f>S357</f>
        <v>1</v>
      </c>
      <c r="T445" s="665"/>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664" t="s">
        <v>484</v>
      </c>
      <c r="C449" s="1132" t="s">
        <v>663</v>
      </c>
      <c r="D449" s="664">
        <v>2</v>
      </c>
      <c r="E449" s="664" t="s">
        <v>389</v>
      </c>
      <c r="F449" s="664" t="s">
        <v>628</v>
      </c>
      <c r="G449" s="664"/>
      <c r="H449" s="664" t="s">
        <v>389</v>
      </c>
      <c r="I449" s="664" t="s">
        <v>430</v>
      </c>
      <c r="J449" s="664" t="s">
        <v>431</v>
      </c>
      <c r="K449" s="664" t="s">
        <v>358</v>
      </c>
      <c r="L449" s="664" t="s">
        <v>419</v>
      </c>
      <c r="M449" s="664" t="s">
        <v>358</v>
      </c>
      <c r="N449" s="664" t="s">
        <v>660</v>
      </c>
      <c r="O449" s="664" t="s">
        <v>361</v>
      </c>
      <c r="P449" s="14"/>
      <c r="Q449" s="14"/>
      <c r="R449" s="14"/>
      <c r="S449" s="14"/>
      <c r="T449" s="14"/>
      <c r="U449" s="942" t="s">
        <v>664</v>
      </c>
      <c r="V449" s="197"/>
    </row>
    <row r="450" spans="1:22" ht="18" hidden="1" customHeight="1">
      <c r="A450" s="289"/>
      <c r="B450" s="664"/>
      <c r="C450" s="664"/>
      <c r="D450" s="664"/>
      <c r="E450" s="664"/>
      <c r="F450" s="664"/>
      <c r="G450" s="664"/>
      <c r="H450" s="664"/>
      <c r="I450" s="664"/>
      <c r="J450" s="664"/>
      <c r="K450" s="664"/>
      <c r="L450" s="664"/>
      <c r="M450" s="664"/>
      <c r="N450" s="664"/>
      <c r="O450" s="664"/>
      <c r="P450" s="14"/>
      <c r="Q450" s="14"/>
      <c r="R450" s="14"/>
      <c r="S450" s="14"/>
      <c r="T450" s="14"/>
      <c r="U450" s="664"/>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32" t="s">
        <v>663</v>
      </c>
      <c r="D452" s="788">
        <v>2</v>
      </c>
      <c r="E452" s="788" t="s">
        <v>389</v>
      </c>
      <c r="F452" s="1080">
        <f>S444</f>
        <v>1.7495462702715934</v>
      </c>
      <c r="G452" s="1080"/>
      <c r="H452" s="788" t="s">
        <v>389</v>
      </c>
      <c r="I452" s="788" t="s">
        <v>430</v>
      </c>
      <c r="J452" s="788">
        <f>S441</f>
        <v>15</v>
      </c>
      <c r="K452" s="788" t="s">
        <v>358</v>
      </c>
      <c r="L452" s="1080">
        <f>S442</f>
        <v>0.74045292750000002</v>
      </c>
      <c r="M452" s="788" t="s">
        <v>358</v>
      </c>
      <c r="N452" s="1080">
        <f>S443</f>
        <v>0.1</v>
      </c>
      <c r="O452" s="788" t="s">
        <v>361</v>
      </c>
      <c r="P452" s="14"/>
      <c r="Q452" s="14"/>
      <c r="R452" s="14"/>
      <c r="S452" s="14"/>
      <c r="T452" s="14"/>
      <c r="U452" s="28"/>
      <c r="V452" s="197"/>
    </row>
    <row r="453" spans="1:22" ht="18" hidden="1" customHeight="1">
      <c r="A453" s="289"/>
      <c r="B453" s="28"/>
      <c r="C453" s="664"/>
      <c r="D453" s="788"/>
      <c r="E453" s="788"/>
      <c r="F453" s="1080"/>
      <c r="G453" s="1080"/>
      <c r="H453" s="788"/>
      <c r="I453" s="788"/>
      <c r="J453" s="788"/>
      <c r="K453" s="788"/>
      <c r="L453" s="788"/>
      <c r="M453" s="788"/>
      <c r="N453" s="788"/>
      <c r="O453" s="788"/>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875">
        <f>D452*F452*(J452+L452+N452)</f>
        <v>55.427210677440733</v>
      </c>
      <c r="E455" s="876"/>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665">
        <f>J397</f>
        <v>800</v>
      </c>
      <c r="F458" s="665"/>
      <c r="G458" s="27" t="str">
        <f>G457</f>
        <v>&gt;</v>
      </c>
      <c r="H458" s="668">
        <f>D455</f>
        <v>55.427210677440733</v>
      </c>
      <c r="I458" s="665"/>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08" t="str">
        <f>B391</f>
        <v>CT1L1</v>
      </c>
      <c r="C479" s="709"/>
      <c r="D479" s="710" t="str">
        <f>D391</f>
        <v>Core3</v>
      </c>
      <c r="E479" s="711"/>
      <c r="F479" s="198" t="s">
        <v>647</v>
      </c>
      <c r="H479" s="665" t="str">
        <f>H391</f>
        <v>(Transformer Differential)</v>
      </c>
      <c r="I479" s="665"/>
      <c r="J479" s="665"/>
      <c r="K479" s="665"/>
      <c r="L479" s="665"/>
      <c r="M479" s="665"/>
      <c r="P479" s="198"/>
      <c r="S479" s="199" t="s">
        <v>398</v>
      </c>
      <c r="T479" s="1131" t="str">
        <f>T391</f>
        <v>SEL487E</v>
      </c>
      <c r="U479" s="1138"/>
      <c r="V479" s="197"/>
    </row>
    <row r="480" spans="1:22" ht="18" hidden="1" customHeight="1">
      <c r="A480" s="196"/>
      <c r="B480" s="707" t="str">
        <f>B392</f>
        <v>CT1L2</v>
      </c>
      <c r="C480" s="707"/>
      <c r="D480" s="712"/>
      <c r="E480" s="713"/>
      <c r="F480" s="267"/>
      <c r="T480" s="1131">
        <f>T392</f>
        <v>0</v>
      </c>
      <c r="U480" s="1138"/>
      <c r="V480" s="197"/>
    </row>
    <row r="481" spans="1:29" ht="18" hidden="1" customHeight="1">
      <c r="A481" s="196"/>
      <c r="H481" s="696" t="s">
        <v>401</v>
      </c>
      <c r="I481" s="696"/>
      <c r="J481" s="696" t="s">
        <v>402</v>
      </c>
      <c r="K481" s="696"/>
      <c r="L481" s="666" t="s">
        <v>403</v>
      </c>
      <c r="M481" s="666"/>
      <c r="T481" s="1131">
        <f>T393</f>
        <v>0</v>
      </c>
      <c r="U481" s="1138"/>
      <c r="V481" s="197"/>
    </row>
    <row r="482" spans="1:29" ht="18" hidden="1" customHeight="1">
      <c r="A482" s="196"/>
      <c r="B482" s="47" t="s">
        <v>404</v>
      </c>
      <c r="H482" s="708">
        <f>H394</f>
        <v>5000</v>
      </c>
      <c r="I482" s="709"/>
      <c r="J482" s="708">
        <f>J394</f>
        <v>4000</v>
      </c>
      <c r="K482" s="709"/>
      <c r="L482" s="714">
        <f>L394</f>
        <v>3000</v>
      </c>
      <c r="M482" s="715"/>
      <c r="N482" s="102" t="s">
        <v>353</v>
      </c>
      <c r="O482" s="268">
        <f>O394</f>
        <v>1</v>
      </c>
      <c r="P482" s="27" t="s">
        <v>9</v>
      </c>
      <c r="V482" s="197"/>
    </row>
    <row r="483" spans="1:29" ht="18" hidden="1" customHeight="1">
      <c r="A483" s="196"/>
      <c r="B483" s="47" t="s">
        <v>405</v>
      </c>
      <c r="H483" s="14"/>
      <c r="I483" s="14"/>
      <c r="L483" s="708" t="str">
        <f>J395</f>
        <v>PX</v>
      </c>
      <c r="M483" s="617"/>
      <c r="V483" s="197"/>
    </row>
    <row r="484" spans="1:29" ht="18" hidden="1" customHeight="1">
      <c r="A484" s="196"/>
      <c r="B484" s="47" t="s">
        <v>407</v>
      </c>
      <c r="K484" s="120" t="s">
        <v>508</v>
      </c>
      <c r="L484" s="653">
        <v>10</v>
      </c>
      <c r="M484" s="654"/>
      <c r="N484" s="204" t="s">
        <v>344</v>
      </c>
      <c r="V484" s="197"/>
    </row>
    <row r="485" spans="1:29" ht="18" hidden="1" customHeight="1">
      <c r="A485" s="196"/>
      <c r="B485" s="47" t="s">
        <v>409</v>
      </c>
      <c r="K485" s="120" t="s">
        <v>509</v>
      </c>
      <c r="L485" s="653">
        <v>800</v>
      </c>
      <c r="M485" s="654"/>
      <c r="N485" s="14" t="s">
        <v>316</v>
      </c>
      <c r="V485" s="197"/>
      <c r="W485" s="30" t="s">
        <v>411</v>
      </c>
      <c r="AB485" s="1022">
        <f>D543</f>
        <v>50.575663966299736</v>
      </c>
      <c r="AC485" s="1023"/>
    </row>
    <row r="486" spans="1:29" ht="18" hidden="1" customHeight="1">
      <c r="A486" s="196"/>
      <c r="B486" s="14" t="s">
        <v>412</v>
      </c>
      <c r="K486" s="120" t="s">
        <v>413</v>
      </c>
      <c r="L486" s="653">
        <v>50</v>
      </c>
      <c r="M486" s="654"/>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896">
        <f>J402</f>
        <v>0.1</v>
      </c>
      <c r="K490" s="679"/>
      <c r="L490" s="3" t="s">
        <v>168</v>
      </c>
      <c r="V490" s="197"/>
    </row>
    <row r="491" spans="1:29" ht="18" hidden="1" customHeight="1">
      <c r="A491" s="196"/>
      <c r="B491" s="196" t="s">
        <v>416</v>
      </c>
      <c r="D491" s="30">
        <f>T480</f>
        <v>0</v>
      </c>
      <c r="H491" s="27"/>
      <c r="I491" s="189" t="s">
        <v>138</v>
      </c>
      <c r="J491" s="896">
        <f>J403</f>
        <v>0</v>
      </c>
      <c r="K491" s="679"/>
      <c r="L491" s="210" t="s">
        <v>168</v>
      </c>
      <c r="V491" s="197"/>
    </row>
    <row r="492" spans="1:29" ht="18" hidden="1" customHeight="1">
      <c r="A492" s="196"/>
      <c r="B492" s="196" t="s">
        <v>416</v>
      </c>
      <c r="D492" s="30">
        <f>T481</f>
        <v>0</v>
      </c>
      <c r="E492" s="14"/>
      <c r="G492" s="211"/>
      <c r="H492" s="27"/>
      <c r="I492" s="189" t="s">
        <v>138</v>
      </c>
      <c r="J492" s="896">
        <f>J404</f>
        <v>0</v>
      </c>
      <c r="K492" s="679"/>
      <c r="L492" s="214" t="s">
        <v>168</v>
      </c>
      <c r="V492" s="197"/>
    </row>
    <row r="493" spans="1:29" ht="18" hidden="1" customHeight="1">
      <c r="A493" s="196"/>
      <c r="B493" s="196" t="s">
        <v>423</v>
      </c>
      <c r="H493" s="27" t="s">
        <v>610</v>
      </c>
      <c r="I493" s="189" t="s">
        <v>138</v>
      </c>
      <c r="J493" s="896">
        <f>J405</f>
        <v>0.74045292750000002</v>
      </c>
      <c r="K493" s="679"/>
      <c r="L493" s="215" t="s">
        <v>168</v>
      </c>
      <c r="V493" s="197"/>
    </row>
    <row r="494" spans="1:29" ht="18" hidden="1" customHeight="1">
      <c r="A494" s="196"/>
      <c r="B494" s="217" t="s">
        <v>424</v>
      </c>
      <c r="C494" s="218"/>
      <c r="D494" s="218"/>
      <c r="E494" s="218"/>
      <c r="F494" s="219"/>
      <c r="G494" s="219"/>
      <c r="H494" s="202" t="s">
        <v>420</v>
      </c>
      <c r="I494" s="220" t="s">
        <v>138</v>
      </c>
      <c r="J494" s="896">
        <f>J491+J493</f>
        <v>0.74045292750000002</v>
      </c>
      <c r="K494" s="679"/>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0.74045292750000002</v>
      </c>
      <c r="P498" s="203" t="s">
        <v>421</v>
      </c>
      <c r="Q498" s="27">
        <f>O482</f>
        <v>1</v>
      </c>
      <c r="R498" s="27" t="s">
        <v>326</v>
      </c>
      <c r="S498" s="27">
        <f>O482</f>
        <v>1</v>
      </c>
      <c r="T498" s="30" t="s">
        <v>361</v>
      </c>
      <c r="U498" s="30"/>
      <c r="V498" s="197"/>
    </row>
    <row r="499" spans="1:22" s="14" customFormat="1" ht="18" hidden="1" customHeight="1">
      <c r="A499" s="196"/>
      <c r="B499" s="47"/>
      <c r="C499" s="27" t="s">
        <v>138</v>
      </c>
      <c r="D499" s="668">
        <f>D498/(F498*H498)</f>
        <v>0.1</v>
      </c>
      <c r="E499" s="668"/>
      <c r="F499" s="204" t="s">
        <v>344</v>
      </c>
      <c r="G499" s="30"/>
      <c r="H499" s="30"/>
      <c r="I499" s="30"/>
      <c r="J499" s="211"/>
      <c r="K499" s="30"/>
      <c r="L499" s="47"/>
      <c r="M499" s="30"/>
      <c r="N499" s="27" t="s">
        <v>138</v>
      </c>
      <c r="O499" s="668">
        <f>O498/(Q498*S498)</f>
        <v>0.74045292750000002</v>
      </c>
      <c r="P499" s="668"/>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31">
        <f>O415</f>
        <v>100</v>
      </c>
      <c r="P503" s="709"/>
      <c r="Q503" s="14" t="s">
        <v>613</v>
      </c>
      <c r="S503" s="226"/>
      <c r="T503" s="18"/>
      <c r="U503" s="18"/>
      <c r="V503" s="97"/>
    </row>
    <row r="504" spans="1:22" s="14" customFormat="1" ht="18" hidden="1" customHeight="1">
      <c r="A504" s="96"/>
      <c r="B504" s="47" t="s">
        <v>614</v>
      </c>
      <c r="C504" s="5"/>
      <c r="D504" s="5"/>
      <c r="E504" s="5"/>
      <c r="I504" s="227"/>
      <c r="M504" s="5"/>
      <c r="N504" s="103" t="s">
        <v>138</v>
      </c>
      <c r="O504" s="1131">
        <f>O416</f>
        <v>25</v>
      </c>
      <c r="P504" s="709"/>
      <c r="Q504" s="14" t="s">
        <v>615</v>
      </c>
      <c r="S504" s="226"/>
      <c r="T504" s="18"/>
      <c r="U504" s="18"/>
      <c r="V504" s="97"/>
    </row>
    <row r="505" spans="1:22" s="14" customFormat="1" ht="18" hidden="1" customHeight="1">
      <c r="A505" s="96"/>
      <c r="B505" s="47" t="s">
        <v>616</v>
      </c>
      <c r="C505" s="5"/>
      <c r="D505" s="5"/>
      <c r="E505" s="5"/>
      <c r="M505" s="120" t="s">
        <v>617</v>
      </c>
      <c r="N505" s="103" t="s">
        <v>618</v>
      </c>
      <c r="O505" s="1131">
        <f>O417</f>
        <v>132</v>
      </c>
      <c r="P505" s="709"/>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664" t="s">
        <v>621</v>
      </c>
      <c r="K507" s="664"/>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664">
        <f>O503</f>
        <v>100</v>
      </c>
      <c r="K508" s="664"/>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669">
        <f>(O503*1000)/(SQRT(3)*O505)</f>
        <v>437.38656756789834</v>
      </c>
      <c r="K509" s="669"/>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664" t="s">
        <v>620</v>
      </c>
      <c r="P513" s="936"/>
      <c r="Q513" s="233" t="s">
        <v>641</v>
      </c>
      <c r="R513" s="233">
        <v>16</v>
      </c>
      <c r="S513" s="198"/>
      <c r="V513" s="197"/>
    </row>
    <row r="514" spans="1:22" ht="18" hidden="1" customHeight="1">
      <c r="A514" s="96"/>
      <c r="B514" s="5"/>
      <c r="C514" s="5"/>
      <c r="D514" s="5"/>
      <c r="E514" s="5"/>
      <c r="M514" s="262"/>
      <c r="N514" s="28" t="s">
        <v>138</v>
      </c>
      <c r="O514" s="664">
        <f>+J509</f>
        <v>437.38656756789834</v>
      </c>
      <c r="P514" s="936"/>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664">
        <f>O514*R514</f>
        <v>6998.1850810863734</v>
      </c>
      <c r="P515" s="936"/>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664" t="s">
        <v>484</v>
      </c>
      <c r="C525" s="1132" t="s">
        <v>663</v>
      </c>
      <c r="D525" s="664">
        <v>2</v>
      </c>
      <c r="E525" s="664" t="s">
        <v>389</v>
      </c>
      <c r="F525" s="664" t="s">
        <v>628</v>
      </c>
      <c r="G525" s="664"/>
      <c r="H525" s="664" t="s">
        <v>389</v>
      </c>
      <c r="I525" s="664" t="s">
        <v>430</v>
      </c>
      <c r="J525" s="664" t="s">
        <v>431</v>
      </c>
      <c r="K525" s="664" t="s">
        <v>358</v>
      </c>
      <c r="L525" s="664" t="s">
        <v>419</v>
      </c>
      <c r="M525" s="664" t="s">
        <v>358</v>
      </c>
      <c r="N525" s="664" t="s">
        <v>660</v>
      </c>
      <c r="O525" s="664" t="s">
        <v>361</v>
      </c>
      <c r="P525" s="14"/>
      <c r="Q525" s="14"/>
      <c r="R525" s="14"/>
      <c r="S525" s="14"/>
      <c r="T525" s="14"/>
      <c r="U525" s="942" t="s">
        <v>664</v>
      </c>
      <c r="V525" s="197"/>
    </row>
    <row r="526" spans="1:22" ht="18" hidden="1" customHeight="1">
      <c r="A526" s="289"/>
      <c r="B526" s="664"/>
      <c r="C526" s="664"/>
      <c r="D526" s="664"/>
      <c r="E526" s="664"/>
      <c r="F526" s="664"/>
      <c r="G526" s="664"/>
      <c r="H526" s="664"/>
      <c r="I526" s="664"/>
      <c r="J526" s="664"/>
      <c r="K526" s="664"/>
      <c r="L526" s="664"/>
      <c r="M526" s="664"/>
      <c r="N526" s="664"/>
      <c r="O526" s="664"/>
      <c r="P526" s="14"/>
      <c r="Q526" s="14"/>
      <c r="R526" s="14"/>
      <c r="S526" s="14"/>
      <c r="T526" s="14"/>
      <c r="U526" s="664"/>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665">
        <f>L482</f>
        <v>3000</v>
      </c>
      <c r="T528" s="665"/>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665">
        <f>L484</f>
        <v>10</v>
      </c>
      <c r="T529" s="665"/>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668">
        <f>O499</f>
        <v>0.74045292750000002</v>
      </c>
      <c r="T530" s="668"/>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668">
        <f>D499</f>
        <v>0.1</v>
      </c>
      <c r="T531" s="665"/>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668">
        <f>O515/S528</f>
        <v>2.3327283603621245</v>
      </c>
      <c r="T532" s="668"/>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665">
        <f>S445</f>
        <v>1</v>
      </c>
      <c r="T533" s="665"/>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664" t="s">
        <v>484</v>
      </c>
      <c r="C537" s="1132" t="s">
        <v>663</v>
      </c>
      <c r="D537" s="664">
        <v>2</v>
      </c>
      <c r="E537" s="664" t="s">
        <v>389</v>
      </c>
      <c r="F537" s="664" t="s">
        <v>628</v>
      </c>
      <c r="G537" s="664"/>
      <c r="H537" s="664" t="s">
        <v>389</v>
      </c>
      <c r="I537" s="664" t="s">
        <v>430</v>
      </c>
      <c r="J537" s="664" t="s">
        <v>431</v>
      </c>
      <c r="K537" s="664" t="s">
        <v>358</v>
      </c>
      <c r="L537" s="664" t="s">
        <v>419</v>
      </c>
      <c r="M537" s="664" t="s">
        <v>358</v>
      </c>
      <c r="N537" s="664" t="s">
        <v>660</v>
      </c>
      <c r="O537" s="664" t="s">
        <v>361</v>
      </c>
      <c r="P537" s="14"/>
      <c r="Q537" s="14"/>
      <c r="R537" s="14"/>
      <c r="S537" s="14"/>
      <c r="T537" s="14"/>
      <c r="U537" s="942" t="s">
        <v>664</v>
      </c>
      <c r="V537" s="197"/>
    </row>
    <row r="538" spans="1:22" ht="18" hidden="1" customHeight="1">
      <c r="A538" s="289"/>
      <c r="B538" s="664"/>
      <c r="C538" s="664"/>
      <c r="D538" s="664"/>
      <c r="E538" s="664"/>
      <c r="F538" s="664"/>
      <c r="G538" s="664"/>
      <c r="H538" s="664"/>
      <c r="I538" s="664"/>
      <c r="J538" s="664"/>
      <c r="K538" s="664"/>
      <c r="L538" s="664"/>
      <c r="M538" s="664"/>
      <c r="N538" s="664"/>
      <c r="O538" s="664"/>
      <c r="P538" s="14"/>
      <c r="Q538" s="14"/>
      <c r="R538" s="14"/>
      <c r="S538" s="14"/>
      <c r="T538" s="14"/>
      <c r="U538" s="664"/>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32" t="s">
        <v>663</v>
      </c>
      <c r="D540" s="788">
        <v>2</v>
      </c>
      <c r="E540" s="788" t="s">
        <v>389</v>
      </c>
      <c r="F540" s="1080">
        <f>S532</f>
        <v>2.3327283603621245</v>
      </c>
      <c r="G540" s="1080"/>
      <c r="H540" s="788" t="s">
        <v>389</v>
      </c>
      <c r="I540" s="788" t="s">
        <v>430</v>
      </c>
      <c r="J540" s="788">
        <f>S529</f>
        <v>10</v>
      </c>
      <c r="K540" s="788" t="s">
        <v>358</v>
      </c>
      <c r="L540" s="1080">
        <f>S530</f>
        <v>0.74045292750000002</v>
      </c>
      <c r="M540" s="788" t="s">
        <v>358</v>
      </c>
      <c r="N540" s="1080">
        <f>S531</f>
        <v>0.1</v>
      </c>
      <c r="O540" s="788" t="s">
        <v>361</v>
      </c>
      <c r="P540" s="14"/>
      <c r="Q540" s="14"/>
      <c r="R540" s="14"/>
      <c r="S540" s="14"/>
      <c r="T540" s="14"/>
      <c r="U540" s="28"/>
      <c r="V540" s="197"/>
    </row>
    <row r="541" spans="1:22" ht="18" hidden="1" customHeight="1">
      <c r="A541" s="289"/>
      <c r="B541" s="28"/>
      <c r="C541" s="664"/>
      <c r="D541" s="788"/>
      <c r="E541" s="788"/>
      <c r="F541" s="1080"/>
      <c r="G541" s="1080"/>
      <c r="H541" s="788"/>
      <c r="I541" s="788"/>
      <c r="J541" s="788"/>
      <c r="K541" s="788"/>
      <c r="L541" s="788"/>
      <c r="M541" s="788"/>
      <c r="N541" s="788"/>
      <c r="O541" s="788"/>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875">
        <f>D540*F540*(J540+L540+N540)</f>
        <v>50.575663966299736</v>
      </c>
      <c r="E543" s="876"/>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665" t="str">
        <f>H490</f>
        <v>Sr'</v>
      </c>
      <c r="F546" s="665"/>
      <c r="G546" s="27" t="str">
        <f>G545</f>
        <v>&gt;</v>
      </c>
      <c r="H546" s="668">
        <f>D543</f>
        <v>50.575663966299736</v>
      </c>
      <c r="I546" s="665"/>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16" t="s">
        <v>97</v>
      </c>
      <c r="B568" s="729"/>
      <c r="C568" s="1101"/>
      <c r="D568" s="716" t="s">
        <v>98</v>
      </c>
      <c r="E568" s="1104"/>
      <c r="F568" s="1104"/>
      <c r="G568" s="1101"/>
      <c r="H568" s="716" t="s">
        <v>99</v>
      </c>
      <c r="I568" s="717"/>
      <c r="J568" s="716" t="s">
        <v>100</v>
      </c>
      <c r="K568" s="1101"/>
      <c r="L568" s="716" t="s">
        <v>513</v>
      </c>
      <c r="M568" s="729"/>
      <c r="N568" s="717" t="s">
        <v>567</v>
      </c>
      <c r="O568" s="716" t="s">
        <v>568</v>
      </c>
      <c r="P568" s="729"/>
      <c r="Q568" s="1101"/>
      <c r="R568" s="716" t="s">
        <v>569</v>
      </c>
      <c r="S568" s="1106"/>
      <c r="T568" s="1102"/>
      <c r="U568" s="716" t="s">
        <v>516</v>
      </c>
      <c r="V568" s="1115"/>
    </row>
    <row r="569" spans="1:22" ht="18" hidden="1" customHeight="1">
      <c r="A569" s="718"/>
      <c r="B569" s="730"/>
      <c r="C569" s="1102"/>
      <c r="D569" s="1105"/>
      <c r="E569" s="1106"/>
      <c r="F569" s="1106"/>
      <c r="G569" s="1102"/>
      <c r="H569" s="718"/>
      <c r="I569" s="719"/>
      <c r="J569" s="1105"/>
      <c r="K569" s="1102"/>
      <c r="L569" s="718"/>
      <c r="M569" s="730"/>
      <c r="N569" s="719"/>
      <c r="O569" s="718"/>
      <c r="P569" s="730"/>
      <c r="Q569" s="1102"/>
      <c r="R569" s="1105"/>
      <c r="S569" s="1106"/>
      <c r="T569" s="1102"/>
      <c r="U569" s="1079"/>
      <c r="V569" s="1116"/>
    </row>
    <row r="570" spans="1:22" ht="18" hidden="1" customHeight="1">
      <c r="A570" s="720"/>
      <c r="B570" s="731"/>
      <c r="C570" s="1103"/>
      <c r="D570" s="1107"/>
      <c r="E570" s="1108"/>
      <c r="F570" s="1108"/>
      <c r="G570" s="1103"/>
      <c r="H570" s="720"/>
      <c r="I570" s="721"/>
      <c r="J570" s="1107"/>
      <c r="K570" s="1103"/>
      <c r="L570" s="720"/>
      <c r="M570" s="731"/>
      <c r="N570" s="721"/>
      <c r="O570" s="720"/>
      <c r="P570" s="731"/>
      <c r="Q570" s="1103"/>
      <c r="R570" s="1107"/>
      <c r="S570" s="1108"/>
      <c r="T570" s="1103"/>
      <c r="U570" s="1117"/>
      <c r="V570" s="1118"/>
    </row>
    <row r="571" spans="1:22" ht="18" hidden="1" customHeight="1">
      <c r="A571" s="733" t="str">
        <f>B479</f>
        <v>CT1L1</v>
      </c>
      <c r="B571" s="1098" t="str">
        <f>B480</f>
        <v>CT1L2</v>
      </c>
      <c r="C571" s="734" t="str">
        <f>D479</f>
        <v>Core3</v>
      </c>
      <c r="D571" s="734">
        <f>H394</f>
        <v>5000</v>
      </c>
      <c r="E571" s="734">
        <f>J394</f>
        <v>4000</v>
      </c>
      <c r="F571" s="734">
        <f>L482</f>
        <v>3000</v>
      </c>
      <c r="G571" s="734">
        <f>O394</f>
        <v>1</v>
      </c>
      <c r="H571" s="734">
        <f>'CT-VT Burdens'!S19</f>
        <v>50</v>
      </c>
      <c r="I571" s="722">
        <f>'CT-VT Burdens'!S10</f>
        <v>6</v>
      </c>
      <c r="J571" s="728" t="str">
        <f>J395</f>
        <v>PX</v>
      </c>
      <c r="K571" s="728"/>
      <c r="L571" s="734">
        <f>H313</f>
        <v>20</v>
      </c>
      <c r="M571" s="734">
        <f>J396</f>
        <v>15</v>
      </c>
      <c r="N571" s="734">
        <f>L484</f>
        <v>10</v>
      </c>
      <c r="O571" s="734">
        <f>H314</f>
        <v>1000</v>
      </c>
      <c r="P571" s="734">
        <f>J397</f>
        <v>800</v>
      </c>
      <c r="Q571" s="734">
        <f>L485</f>
        <v>800</v>
      </c>
      <c r="R571" s="734">
        <f>H315</f>
        <v>20</v>
      </c>
      <c r="S571" s="734">
        <f>J398</f>
        <v>40</v>
      </c>
      <c r="T571" s="734">
        <f>L486</f>
        <v>50</v>
      </c>
      <c r="U571" s="615" t="str">
        <f>D402</f>
        <v>SEL487E</v>
      </c>
      <c r="V571" s="617"/>
    </row>
    <row r="572" spans="1:22" ht="18" hidden="1" customHeight="1">
      <c r="A572" s="733" t="str">
        <f>B480</f>
        <v>CT1L2</v>
      </c>
      <c r="B572" s="1098">
        <f>A481</f>
        <v>0</v>
      </c>
      <c r="C572" s="1121"/>
      <c r="D572" s="1121"/>
      <c r="E572" s="1121"/>
      <c r="F572" s="1121"/>
      <c r="G572" s="1121"/>
      <c r="H572" s="1121"/>
      <c r="I572" s="1121"/>
      <c r="J572" s="1123"/>
      <c r="K572" s="1123"/>
      <c r="L572" s="1121"/>
      <c r="M572" s="1121"/>
      <c r="N572" s="1121"/>
      <c r="O572" s="1121"/>
      <c r="P572" s="1121"/>
      <c r="Q572" s="1121"/>
      <c r="R572" s="1121"/>
      <c r="S572" s="1121"/>
      <c r="T572" s="1121"/>
      <c r="U572" s="615"/>
      <c r="V572" s="617"/>
    </row>
    <row r="573" spans="1:22" ht="18" hidden="1" customHeight="1">
      <c r="A573" s="733">
        <f>A481</f>
        <v>0</v>
      </c>
      <c r="B573" s="1098" t="str">
        <f>B482</f>
        <v>CT Ratio:</v>
      </c>
      <c r="C573" s="1122"/>
      <c r="D573" s="1122"/>
      <c r="E573" s="1122"/>
      <c r="F573" s="1122"/>
      <c r="G573" s="1122"/>
      <c r="H573" s="1122"/>
      <c r="I573" s="1122"/>
      <c r="J573" s="1123"/>
      <c r="K573" s="1123"/>
      <c r="L573" s="1122"/>
      <c r="M573" s="1122"/>
      <c r="N573" s="1122"/>
      <c r="O573" s="1122"/>
      <c r="P573" s="1122"/>
      <c r="Q573" s="1122"/>
      <c r="R573" s="1122"/>
      <c r="S573" s="1122"/>
      <c r="T573" s="1122"/>
      <c r="U573" s="615"/>
      <c r="V573" s="617"/>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 ref="I571:I573"/>
    <mergeCell ref="J571:K573"/>
    <mergeCell ref="D543:E543"/>
    <mergeCell ref="E546:F546"/>
    <mergeCell ref="H546:I546"/>
    <mergeCell ref="A568:C570"/>
    <mergeCell ref="D568:G570"/>
    <mergeCell ref="H568:I570"/>
    <mergeCell ref="J540:J541"/>
    <mergeCell ref="K540:K541"/>
    <mergeCell ref="L540:L541"/>
    <mergeCell ref="J568:K570"/>
    <mergeCell ref="L568:N570"/>
    <mergeCell ref="M540:M541"/>
    <mergeCell ref="N540:N541"/>
    <mergeCell ref="O540:O541"/>
    <mergeCell ref="C540:C541"/>
    <mergeCell ref="D540:D541"/>
    <mergeCell ref="E540:E541"/>
    <mergeCell ref="F540:G541"/>
    <mergeCell ref="H540:H541"/>
    <mergeCell ref="I540:I541"/>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O525:O526"/>
    <mergeCell ref="U525:U526"/>
    <mergeCell ref="S528:T528"/>
    <mergeCell ref="S529:T529"/>
    <mergeCell ref="S530:T530"/>
    <mergeCell ref="S531:T531"/>
    <mergeCell ref="I525:I526"/>
    <mergeCell ref="J525:J526"/>
    <mergeCell ref="K525:K526"/>
    <mergeCell ref="L525:L526"/>
    <mergeCell ref="M525:M526"/>
    <mergeCell ref="N525:N526"/>
    <mergeCell ref="B525:B526"/>
    <mergeCell ref="C525:C526"/>
    <mergeCell ref="D525:D526"/>
    <mergeCell ref="E525:E526"/>
    <mergeCell ref="F525:G526"/>
    <mergeCell ref="H525:H526"/>
    <mergeCell ref="J507:K507"/>
    <mergeCell ref="J508:K508"/>
    <mergeCell ref="J509:K509"/>
    <mergeCell ref="O513:P513"/>
    <mergeCell ref="O514:P514"/>
    <mergeCell ref="O515:P515"/>
    <mergeCell ref="J494:K494"/>
    <mergeCell ref="D499:E499"/>
    <mergeCell ref="O499:P499"/>
    <mergeCell ref="O503:P503"/>
    <mergeCell ref="O504:P504"/>
    <mergeCell ref="O505:P505"/>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J452:J453"/>
    <mergeCell ref="K452:K453"/>
    <mergeCell ref="L452:L453"/>
    <mergeCell ref="M452:M453"/>
    <mergeCell ref="N452:N453"/>
    <mergeCell ref="O452:O453"/>
    <mergeCell ref="C452:C453"/>
    <mergeCell ref="D452:D453"/>
    <mergeCell ref="E452:E453"/>
    <mergeCell ref="F452:G453"/>
    <mergeCell ref="H452:H453"/>
    <mergeCell ref="I452:I453"/>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O437:O438"/>
    <mergeCell ref="U437:U438"/>
    <mergeCell ref="S440:T440"/>
    <mergeCell ref="S441:T441"/>
    <mergeCell ref="S442:T442"/>
    <mergeCell ref="S443:T443"/>
    <mergeCell ref="I437:I438"/>
    <mergeCell ref="J437:J438"/>
    <mergeCell ref="K437:K438"/>
    <mergeCell ref="L437:L438"/>
    <mergeCell ref="M437:M438"/>
    <mergeCell ref="N437:N438"/>
    <mergeCell ref="B437:B438"/>
    <mergeCell ref="C437:C438"/>
    <mergeCell ref="D437:D438"/>
    <mergeCell ref="E437:E438"/>
    <mergeCell ref="F437:G438"/>
    <mergeCell ref="H437:H438"/>
    <mergeCell ref="J419:K419"/>
    <mergeCell ref="J420:K420"/>
    <mergeCell ref="J421:K421"/>
    <mergeCell ref="O425:P425"/>
    <mergeCell ref="O426:P426"/>
    <mergeCell ref="O427:P427"/>
    <mergeCell ref="J406:K406"/>
    <mergeCell ref="D411:E411"/>
    <mergeCell ref="O411:P411"/>
    <mergeCell ref="O415:P415"/>
    <mergeCell ref="O416:P416"/>
    <mergeCell ref="O417:P417"/>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U361:U362"/>
    <mergeCell ref="C364:C365"/>
    <mergeCell ref="D364:D365"/>
    <mergeCell ref="E364:E365"/>
    <mergeCell ref="F364:G365"/>
    <mergeCell ref="H364:H365"/>
    <mergeCell ref="T391:U391"/>
    <mergeCell ref="B392:C392"/>
    <mergeCell ref="T392:U392"/>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49:U350"/>
    <mergeCell ref="S352:T352"/>
    <mergeCell ref="S353:T353"/>
    <mergeCell ref="S354:T354"/>
    <mergeCell ref="S355:T355"/>
    <mergeCell ref="S356:T356"/>
    <mergeCell ref="J349:J350"/>
    <mergeCell ref="K349:K350"/>
    <mergeCell ref="L349:L350"/>
    <mergeCell ref="M349:M350"/>
    <mergeCell ref="N349:N350"/>
    <mergeCell ref="O349:O350"/>
    <mergeCell ref="O342:P342"/>
    <mergeCell ref="O343:P343"/>
    <mergeCell ref="O344:P344"/>
    <mergeCell ref="B349:B350"/>
    <mergeCell ref="C349:C350"/>
    <mergeCell ref="D349:D350"/>
    <mergeCell ref="E349:E350"/>
    <mergeCell ref="F349:G350"/>
    <mergeCell ref="H349:H350"/>
    <mergeCell ref="I349:I350"/>
    <mergeCell ref="O332:P332"/>
    <mergeCell ref="O333:P333"/>
    <mergeCell ref="O334:P334"/>
    <mergeCell ref="J336:K336"/>
    <mergeCell ref="J337:K337"/>
    <mergeCell ref="J338:K338"/>
    <mergeCell ref="J320:K320"/>
    <mergeCell ref="J321:K321"/>
    <mergeCell ref="J322:K322"/>
    <mergeCell ref="J323:K323"/>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A306:B306"/>
    <mergeCell ref="D306:F306"/>
    <mergeCell ref="H306:N306"/>
    <mergeCell ref="O306:Q306"/>
    <mergeCell ref="R306:V306"/>
    <mergeCell ref="B308:C308"/>
    <mergeCell ref="D308:E309"/>
    <mergeCell ref="H308:M308"/>
    <mergeCell ref="T308:U308"/>
    <mergeCell ref="B309:C309"/>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D235:E235"/>
    <mergeCell ref="E238:F238"/>
    <mergeCell ref="H238:I238"/>
    <mergeCell ref="A260:C263"/>
    <mergeCell ref="D260:F263"/>
    <mergeCell ref="G260:H263"/>
    <mergeCell ref="I260:J263"/>
    <mergeCell ref="J232:J233"/>
    <mergeCell ref="K232:K233"/>
    <mergeCell ref="K260:L263"/>
    <mergeCell ref="L232:L233"/>
    <mergeCell ref="M232:M233"/>
    <mergeCell ref="N232:N233"/>
    <mergeCell ref="O232:O233"/>
    <mergeCell ref="C232:C233"/>
    <mergeCell ref="D232:D233"/>
    <mergeCell ref="E232:E233"/>
    <mergeCell ref="F232:G233"/>
    <mergeCell ref="H232:H233"/>
    <mergeCell ref="I232:I233"/>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O217:O218"/>
    <mergeCell ref="U217:U218"/>
    <mergeCell ref="S220:T220"/>
    <mergeCell ref="S221:T221"/>
    <mergeCell ref="S222:T222"/>
    <mergeCell ref="S223:T223"/>
    <mergeCell ref="I217:I218"/>
    <mergeCell ref="J217:J218"/>
    <mergeCell ref="K217:K218"/>
    <mergeCell ref="L217:L218"/>
    <mergeCell ref="M217:M218"/>
    <mergeCell ref="N217:N218"/>
    <mergeCell ref="B217:B218"/>
    <mergeCell ref="C217:C218"/>
    <mergeCell ref="D217:D218"/>
    <mergeCell ref="E217:E218"/>
    <mergeCell ref="F217:G218"/>
    <mergeCell ref="H217:H218"/>
    <mergeCell ref="J199:K199"/>
    <mergeCell ref="J200:K200"/>
    <mergeCell ref="J201:K201"/>
    <mergeCell ref="O205:P205"/>
    <mergeCell ref="O206:P206"/>
    <mergeCell ref="O207:P207"/>
    <mergeCell ref="J186:K186"/>
    <mergeCell ref="D191:E191"/>
    <mergeCell ref="O191:P191"/>
    <mergeCell ref="O195:P195"/>
    <mergeCell ref="O196:P196"/>
    <mergeCell ref="O197:P197"/>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J147:J148"/>
    <mergeCell ref="K147:K148"/>
    <mergeCell ref="L147:L148"/>
    <mergeCell ref="M147:M148"/>
    <mergeCell ref="N147:N148"/>
    <mergeCell ref="O147:O148"/>
    <mergeCell ref="C147:C148"/>
    <mergeCell ref="D147:D148"/>
    <mergeCell ref="E147:E148"/>
    <mergeCell ref="F147:G148"/>
    <mergeCell ref="H147:H148"/>
    <mergeCell ref="I147:I148"/>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O132:O133"/>
    <mergeCell ref="U132:U133"/>
    <mergeCell ref="S135:T135"/>
    <mergeCell ref="S136:T136"/>
    <mergeCell ref="S137:T137"/>
    <mergeCell ref="S138:T138"/>
    <mergeCell ref="I132:I133"/>
    <mergeCell ref="J132:J133"/>
    <mergeCell ref="K132:K133"/>
    <mergeCell ref="L132:L133"/>
    <mergeCell ref="M132:M133"/>
    <mergeCell ref="N132:N133"/>
    <mergeCell ref="B132:B133"/>
    <mergeCell ref="C132:C133"/>
    <mergeCell ref="D132:D133"/>
    <mergeCell ref="E132:E133"/>
    <mergeCell ref="F132:G133"/>
    <mergeCell ref="H132:H133"/>
    <mergeCell ref="J117:K117"/>
    <mergeCell ref="J118:K118"/>
    <mergeCell ref="J119:K119"/>
    <mergeCell ref="O123:P123"/>
    <mergeCell ref="O124:P124"/>
    <mergeCell ref="O125:P125"/>
    <mergeCell ref="J104:K104"/>
    <mergeCell ref="D109:E109"/>
    <mergeCell ref="O109:P109"/>
    <mergeCell ref="O113:P113"/>
    <mergeCell ref="O114:P114"/>
    <mergeCell ref="O115:P115"/>
    <mergeCell ref="AB95:AC95"/>
    <mergeCell ref="J96:K96"/>
    <mergeCell ref="J100:K100"/>
    <mergeCell ref="J101:K101"/>
    <mergeCell ref="J102:K102"/>
    <mergeCell ref="J103:K103"/>
    <mergeCell ref="H92:I92"/>
    <mergeCell ref="J92:K92"/>
    <mergeCell ref="L92:M92"/>
    <mergeCell ref="J93:K93"/>
    <mergeCell ref="J94:K94"/>
    <mergeCell ref="J95:K95"/>
    <mergeCell ref="T89:U89"/>
    <mergeCell ref="B90:C90"/>
    <mergeCell ref="T90:U90"/>
    <mergeCell ref="H91:I91"/>
    <mergeCell ref="J91:K91"/>
    <mergeCell ref="L91:M91"/>
    <mergeCell ref="T91:U91"/>
    <mergeCell ref="D68:E68"/>
    <mergeCell ref="E71:F71"/>
    <mergeCell ref="H71:I71"/>
    <mergeCell ref="B89:C89"/>
    <mergeCell ref="D89:E90"/>
    <mergeCell ref="H89:M89"/>
    <mergeCell ref="J65:J66"/>
    <mergeCell ref="K65:K66"/>
    <mergeCell ref="L65:L66"/>
    <mergeCell ref="M65:M66"/>
    <mergeCell ref="N65:N66"/>
    <mergeCell ref="O65:O66"/>
    <mergeCell ref="C65:C66"/>
    <mergeCell ref="D65:D66"/>
    <mergeCell ref="E65:E66"/>
    <mergeCell ref="F65:G66"/>
    <mergeCell ref="H65:H66"/>
    <mergeCell ref="I65:I66"/>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O50:O51"/>
    <mergeCell ref="U50:U51"/>
    <mergeCell ref="S53:T53"/>
    <mergeCell ref="S54:T54"/>
    <mergeCell ref="S55:T55"/>
    <mergeCell ref="S56:T56"/>
    <mergeCell ref="I50:I51"/>
    <mergeCell ref="J50:J51"/>
    <mergeCell ref="K50:K51"/>
    <mergeCell ref="L50:L51"/>
    <mergeCell ref="M50:M51"/>
    <mergeCell ref="N50:N51"/>
    <mergeCell ref="B50:B51"/>
    <mergeCell ref="C50:C51"/>
    <mergeCell ref="D50:D51"/>
    <mergeCell ref="E50:E51"/>
    <mergeCell ref="F50:G51"/>
    <mergeCell ref="H50:H51"/>
    <mergeCell ref="J35:K35"/>
    <mergeCell ref="J36:K36"/>
    <mergeCell ref="J37:K37"/>
    <mergeCell ref="O41:P41"/>
    <mergeCell ref="O42:P42"/>
    <mergeCell ref="O43:P43"/>
    <mergeCell ref="J22:K22"/>
    <mergeCell ref="D27:E27"/>
    <mergeCell ref="O27:P27"/>
    <mergeCell ref="O31:P31"/>
    <mergeCell ref="O32:P32"/>
    <mergeCell ref="O33:P33"/>
    <mergeCell ref="AB13:AC13"/>
    <mergeCell ref="H14:I14"/>
    <mergeCell ref="J18:K18"/>
    <mergeCell ref="J19:K19"/>
    <mergeCell ref="J20:K20"/>
    <mergeCell ref="J21:K21"/>
    <mergeCell ref="H10:I10"/>
    <mergeCell ref="J10:K10"/>
    <mergeCell ref="L10:M10"/>
    <mergeCell ref="H11:I11"/>
    <mergeCell ref="H12:I12"/>
    <mergeCell ref="H13:I13"/>
    <mergeCell ref="A9:B9"/>
    <mergeCell ref="C9:D9"/>
    <mergeCell ref="H9:I9"/>
    <mergeCell ref="J9:K9"/>
    <mergeCell ref="L9:M9"/>
    <mergeCell ref="T9:U9"/>
    <mergeCell ref="B7:C7"/>
    <mergeCell ref="D7:E8"/>
    <mergeCell ref="H7:M7"/>
    <mergeCell ref="T7:U7"/>
    <mergeCell ref="B8:C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121</v>
      </c>
      <c r="E7" s="661"/>
      <c r="F7" s="267"/>
      <c r="H7" s="664" t="s">
        <v>570</v>
      </c>
      <c r="I7" s="665"/>
      <c r="J7" s="665"/>
      <c r="K7" s="665"/>
      <c r="L7" s="665"/>
      <c r="M7" s="665"/>
      <c r="P7" s="198"/>
      <c r="S7" s="199" t="s">
        <v>398</v>
      </c>
      <c r="T7" s="655" t="s">
        <v>571</v>
      </c>
      <c r="U7" s="656"/>
      <c r="V7" s="197"/>
    </row>
    <row r="8" spans="1:24" ht="18" customHeight="1">
      <c r="A8" s="196"/>
      <c r="B8" s="657"/>
      <c r="C8" s="658"/>
      <c r="D8" s="662"/>
      <c r="E8" s="663"/>
      <c r="F8" s="267"/>
      <c r="T8" s="655" t="s">
        <v>243</v>
      </c>
      <c r="U8" s="656"/>
      <c r="V8" s="197"/>
    </row>
    <row r="9" spans="1:24" ht="18" customHeight="1">
      <c r="A9" s="196"/>
      <c r="H9" s="666" t="s">
        <v>401</v>
      </c>
      <c r="I9" s="666"/>
      <c r="J9" s="667" t="s">
        <v>402</v>
      </c>
      <c r="K9" s="667"/>
      <c r="L9" s="667" t="s">
        <v>403</v>
      </c>
      <c r="M9" s="667"/>
      <c r="T9" s="655" t="s">
        <v>205</v>
      </c>
      <c r="U9" s="656"/>
      <c r="V9" s="197"/>
    </row>
    <row r="10" spans="1:24" ht="18" customHeight="1">
      <c r="A10" s="196"/>
      <c r="B10" s="47" t="s">
        <v>404</v>
      </c>
      <c r="H10" s="651">
        <v>3150</v>
      </c>
      <c r="I10" s="652"/>
      <c r="J10" s="653">
        <v>2000</v>
      </c>
      <c r="K10" s="654"/>
      <c r="L10" s="653" t="s">
        <v>7</v>
      </c>
      <c r="M10" s="654"/>
      <c r="N10" s="203" t="s">
        <v>353</v>
      </c>
      <c r="O10" s="125">
        <v>1</v>
      </c>
      <c r="P10" s="27" t="s">
        <v>9</v>
      </c>
      <c r="R10" s="267"/>
      <c r="S10" s="267"/>
      <c r="T10" s="655" t="s">
        <v>676</v>
      </c>
      <c r="U10" s="656"/>
      <c r="V10" s="197"/>
    </row>
    <row r="11" spans="1:24" ht="18" customHeight="1">
      <c r="A11" s="196"/>
      <c r="B11" s="47" t="s">
        <v>405</v>
      </c>
      <c r="H11" s="305" t="s">
        <v>572</v>
      </c>
      <c r="I11" s="306">
        <v>20</v>
      </c>
      <c r="V11" s="197"/>
    </row>
    <row r="12" spans="1:24" ht="18" customHeight="1">
      <c r="A12" s="196"/>
      <c r="B12" s="47" t="s">
        <v>407</v>
      </c>
      <c r="G12" s="120" t="s">
        <v>508</v>
      </c>
      <c r="H12" s="657">
        <v>9</v>
      </c>
      <c r="I12" s="658"/>
      <c r="J12" s="204" t="s">
        <v>344</v>
      </c>
      <c r="V12" s="197"/>
    </row>
    <row r="13" spans="1:24" ht="18" customHeight="1">
      <c r="A13" s="196"/>
      <c r="B13" s="47" t="s">
        <v>573</v>
      </c>
      <c r="G13" s="120" t="s">
        <v>504</v>
      </c>
      <c r="H13" s="653">
        <v>7.5</v>
      </c>
      <c r="I13" s="654"/>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670">
        <f>'CT-VT Burdens'!Q54</f>
        <v>0.02</v>
      </c>
      <c r="K17" s="671"/>
      <c r="L17" s="3" t="s">
        <v>168</v>
      </c>
      <c r="N17" s="209" t="s">
        <v>521</v>
      </c>
      <c r="V17" s="197"/>
    </row>
    <row r="18" spans="1:25" ht="18" customHeight="1">
      <c r="A18" s="196"/>
      <c r="B18" s="96" t="s">
        <v>416</v>
      </c>
      <c r="D18" s="308" t="str">
        <f>T8</f>
        <v>SEL751</v>
      </c>
      <c r="I18" s="189" t="s">
        <v>138</v>
      </c>
      <c r="J18" s="672">
        <f>'CT-VT Burdens'!Q55</f>
        <v>0.02</v>
      </c>
      <c r="K18" s="673"/>
      <c r="L18" s="210" t="s">
        <v>168</v>
      </c>
      <c r="P18" s="256"/>
      <c r="V18" s="197"/>
    </row>
    <row r="19" spans="1:25" ht="18" customHeight="1">
      <c r="A19" s="196"/>
      <c r="B19" s="96" t="s">
        <v>416</v>
      </c>
      <c r="C19" s="14"/>
      <c r="D19" s="47" t="str">
        <f>T9</f>
        <v>FMS</v>
      </c>
      <c r="E19" s="14"/>
      <c r="G19" s="211"/>
      <c r="H19" s="27"/>
      <c r="I19" s="101" t="s">
        <v>138</v>
      </c>
      <c r="J19" s="674">
        <f>'CT-VT Burdens'!Q92</f>
        <v>5.8000000000000003E-2</v>
      </c>
      <c r="K19" s="675"/>
      <c r="L19" s="214" t="s">
        <v>168</v>
      </c>
      <c r="V19" s="197"/>
    </row>
    <row r="20" spans="1:25" ht="18" customHeight="1">
      <c r="A20" s="196"/>
      <c r="B20" s="96" t="s">
        <v>416</v>
      </c>
      <c r="C20" s="14"/>
      <c r="D20" s="47" t="s">
        <v>676</v>
      </c>
      <c r="E20" s="14"/>
      <c r="G20" s="211"/>
      <c r="H20" s="27"/>
      <c r="I20" s="101"/>
      <c r="J20" s="674">
        <f>'CT-VT Burdens'!Q88</f>
        <v>0.2</v>
      </c>
      <c r="K20" s="670"/>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76">
        <f>'CT-VT Burdens'!S22</f>
        <v>0.44875935000000006</v>
      </c>
      <c r="K21" s="677"/>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678">
        <f>SUM(J17:J21)</f>
        <v>0.74675935000000004</v>
      </c>
      <c r="K22" s="679"/>
      <c r="L22" s="3" t="s">
        <v>168</v>
      </c>
      <c r="O22" s="27" t="s">
        <v>138</v>
      </c>
      <c r="P22" s="668">
        <f>P21*R21*T21</f>
        <v>9</v>
      </c>
      <c r="Q22" s="665"/>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64">
        <v>31500</v>
      </c>
      <c r="T24" s="664"/>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64">
        <f>H10</f>
        <v>3150</v>
      </c>
      <c r="T25" s="664"/>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69">
        <f>P22</f>
        <v>9</v>
      </c>
      <c r="T26" s="664"/>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69">
        <f>J22</f>
        <v>0.74675935000000004</v>
      </c>
      <c r="T27" s="664"/>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64">
        <f>O10</f>
        <v>1</v>
      </c>
      <c r="T28" s="664"/>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64">
        <f>I11</f>
        <v>20</v>
      </c>
      <c r="T29" s="664"/>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64">
        <f>H13</f>
        <v>7.5</v>
      </c>
      <c r="T30" s="664"/>
      <c r="U30" s="14" t="s">
        <v>168</v>
      </c>
      <c r="V30" s="312"/>
      <c r="W30" s="291"/>
      <c r="X30" s="291"/>
      <c r="Y30" s="291"/>
    </row>
    <row r="31" spans="1:25" ht="18" customHeight="1">
      <c r="A31" s="196"/>
      <c r="V31" s="197"/>
    </row>
    <row r="32" spans="1:25" ht="18" customHeight="1">
      <c r="A32" s="196"/>
      <c r="E32" s="256" t="s">
        <v>123</v>
      </c>
      <c r="F32" s="27" t="s">
        <v>138</v>
      </c>
      <c r="G32" s="664" t="s">
        <v>555</v>
      </c>
      <c r="H32" s="664"/>
      <c r="I32" s="203" t="s">
        <v>353</v>
      </c>
      <c r="J32" s="665" t="s">
        <v>434</v>
      </c>
      <c r="K32" s="665"/>
      <c r="V32" s="197"/>
    </row>
    <row r="33" spans="1:22" ht="18" customHeight="1">
      <c r="A33" s="196"/>
      <c r="F33" s="27" t="s">
        <v>138</v>
      </c>
      <c r="G33" s="665">
        <f>S24</f>
        <v>31500</v>
      </c>
      <c r="H33" s="665"/>
      <c r="I33" s="203" t="s">
        <v>353</v>
      </c>
      <c r="J33" s="665">
        <f>S25</f>
        <v>3150</v>
      </c>
      <c r="K33" s="665"/>
      <c r="V33" s="197"/>
    </row>
    <row r="34" spans="1:22" ht="18" customHeight="1">
      <c r="A34" s="196"/>
      <c r="F34" s="27" t="s">
        <v>138</v>
      </c>
      <c r="G34" s="668">
        <f>G33/J33</f>
        <v>10</v>
      </c>
      <c r="H34" s="668"/>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0.74675935000000004</v>
      </c>
      <c r="P37" s="308" t="s">
        <v>361</v>
      </c>
      <c r="V37" s="197"/>
    </row>
    <row r="38" spans="1:22" ht="18" customHeight="1">
      <c r="A38" s="196"/>
      <c r="F38" s="27" t="s">
        <v>138</v>
      </c>
      <c r="G38" s="680">
        <f>G37*((I37+K37)/(M37+O37))</f>
        <v>33.857407180161886</v>
      </c>
      <c r="H38" s="680"/>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668">
        <f>G38</f>
        <v>33.857407180161886</v>
      </c>
      <c r="E41" s="668"/>
      <c r="F41" s="27" t="str">
        <f>F40</f>
        <v>&gt;</v>
      </c>
      <c r="G41" s="668">
        <f>G34</f>
        <v>10</v>
      </c>
      <c r="H41" s="668"/>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81" t="str">
        <f>B7</f>
        <v>T1</v>
      </c>
      <c r="C48" s="682"/>
      <c r="D48" s="683" t="str">
        <f>D7</f>
        <v>Core3</v>
      </c>
      <c r="E48" s="684"/>
      <c r="F48" s="267"/>
      <c r="H48" s="665" t="str">
        <f>H7</f>
        <v>(OC +BCU)</v>
      </c>
      <c r="I48" s="665"/>
      <c r="J48" s="665"/>
      <c r="K48" s="665"/>
      <c r="L48" s="665"/>
      <c r="M48" s="665"/>
      <c r="P48" s="198"/>
      <c r="S48" s="199" t="s">
        <v>398</v>
      </c>
      <c r="T48" s="693" t="str">
        <f>T7</f>
        <v>7SJ85</v>
      </c>
      <c r="U48" s="694"/>
      <c r="V48" s="197"/>
    </row>
    <row r="49" spans="1:23" ht="18" customHeight="1">
      <c r="A49" s="196"/>
      <c r="B49" s="695">
        <f>B8</f>
        <v>0</v>
      </c>
      <c r="C49" s="695"/>
      <c r="D49" s="685"/>
      <c r="E49" s="686"/>
      <c r="F49" s="267"/>
      <c r="T49" s="693" t="str">
        <f>T8</f>
        <v>SEL751</v>
      </c>
      <c r="U49" s="694"/>
      <c r="V49" s="197"/>
    </row>
    <row r="50" spans="1:23" ht="18" customHeight="1">
      <c r="A50" s="196"/>
      <c r="H50" s="696" t="s">
        <v>401</v>
      </c>
      <c r="I50" s="696"/>
      <c r="J50" s="666" t="s">
        <v>402</v>
      </c>
      <c r="K50" s="666"/>
      <c r="L50" s="696" t="s">
        <v>403</v>
      </c>
      <c r="M50" s="696"/>
      <c r="T50" s="693" t="str">
        <f>T9</f>
        <v>FMS</v>
      </c>
      <c r="U50" s="694"/>
      <c r="V50" s="197"/>
    </row>
    <row r="51" spans="1:23" ht="18" customHeight="1">
      <c r="A51" s="196"/>
      <c r="B51" s="47" t="s">
        <v>404</v>
      </c>
      <c r="H51" s="681">
        <f>H10</f>
        <v>3150</v>
      </c>
      <c r="I51" s="682"/>
      <c r="J51" s="703">
        <f>J10</f>
        <v>2000</v>
      </c>
      <c r="K51" s="704"/>
      <c r="L51" s="681" t="str">
        <f>L10</f>
        <v>-</v>
      </c>
      <c r="M51" s="682"/>
      <c r="N51" s="203" t="s">
        <v>353</v>
      </c>
      <c r="O51" s="501">
        <f>O10</f>
        <v>1</v>
      </c>
      <c r="P51" s="27" t="s">
        <v>9</v>
      </c>
      <c r="R51" s="267"/>
      <c r="S51" s="267"/>
      <c r="T51" s="693" t="str">
        <f>T10</f>
        <v>AVR</v>
      </c>
      <c r="U51" s="694"/>
      <c r="V51" s="197"/>
    </row>
    <row r="52" spans="1:23" ht="18" customHeight="1">
      <c r="A52" s="196"/>
      <c r="B52" s="47" t="s">
        <v>405</v>
      </c>
      <c r="J52" s="503" t="str">
        <f>H11</f>
        <v>5P</v>
      </c>
      <c r="K52" s="502">
        <f>I11</f>
        <v>20</v>
      </c>
      <c r="V52" s="197"/>
    </row>
    <row r="53" spans="1:23" ht="18" customHeight="1">
      <c r="A53" s="196"/>
      <c r="B53" s="47" t="s">
        <v>407</v>
      </c>
      <c r="I53" s="120" t="s">
        <v>508</v>
      </c>
      <c r="J53" s="657">
        <v>5</v>
      </c>
      <c r="K53" s="658"/>
      <c r="L53" s="204" t="s">
        <v>344</v>
      </c>
      <c r="V53" s="197"/>
    </row>
    <row r="54" spans="1:23" ht="18" customHeight="1">
      <c r="A54" s="196"/>
      <c r="B54" s="47" t="s">
        <v>573</v>
      </c>
      <c r="I54" s="120" t="s">
        <v>504</v>
      </c>
      <c r="J54" s="653">
        <v>5</v>
      </c>
      <c r="K54" s="654"/>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678">
        <f>J17</f>
        <v>0.02</v>
      </c>
      <c r="K58" s="679"/>
      <c r="L58" s="3" t="s">
        <v>168</v>
      </c>
      <c r="N58" s="209" t="s">
        <v>521</v>
      </c>
      <c r="V58" s="197"/>
    </row>
    <row r="59" spans="1:23" ht="18" customHeight="1">
      <c r="A59" s="196"/>
      <c r="B59" s="96" t="s">
        <v>416</v>
      </c>
      <c r="D59" s="308" t="str">
        <f>T49</f>
        <v>SEL751</v>
      </c>
      <c r="I59" s="189" t="s">
        <v>138</v>
      </c>
      <c r="J59" s="697">
        <f>J18</f>
        <v>0.02</v>
      </c>
      <c r="K59" s="698"/>
      <c r="L59" s="210" t="s">
        <v>168</v>
      </c>
      <c r="P59" s="256"/>
      <c r="V59" s="197"/>
    </row>
    <row r="60" spans="1:23" ht="18" customHeight="1">
      <c r="A60" s="196"/>
      <c r="B60" s="96" t="s">
        <v>416</v>
      </c>
      <c r="C60" s="14"/>
      <c r="D60" s="47" t="str">
        <f>T50</f>
        <v>FMS</v>
      </c>
      <c r="E60" s="14"/>
      <c r="G60" s="211"/>
      <c r="H60" s="27"/>
      <c r="I60" s="101" t="s">
        <v>138</v>
      </c>
      <c r="J60" s="699">
        <f>J19</f>
        <v>5.8000000000000003E-2</v>
      </c>
      <c r="K60" s="700"/>
      <c r="L60" s="214" t="s">
        <v>168</v>
      </c>
      <c r="V60" s="197"/>
    </row>
    <row r="61" spans="1:23" ht="18" customHeight="1">
      <c r="A61" s="196"/>
      <c r="B61" s="96" t="s">
        <v>416</v>
      </c>
      <c r="C61" s="14"/>
      <c r="D61" s="47" t="str">
        <f>T51</f>
        <v>AVR</v>
      </c>
      <c r="E61" s="14"/>
      <c r="G61" s="211"/>
      <c r="H61" s="27"/>
      <c r="I61" s="101"/>
      <c r="J61" s="699">
        <f>J20</f>
        <v>0.2</v>
      </c>
      <c r="K61" s="700"/>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701">
        <f>J21</f>
        <v>0.44875935000000006</v>
      </c>
      <c r="K62" s="702"/>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678">
        <f>SUM(J58:J62)</f>
        <v>0.74675935000000004</v>
      </c>
      <c r="K63" s="679"/>
      <c r="L63" s="3" t="s">
        <v>168</v>
      </c>
      <c r="O63" s="27" t="s">
        <v>138</v>
      </c>
      <c r="P63" s="668">
        <f>P62*R62*T62</f>
        <v>5</v>
      </c>
      <c r="Q63" s="665"/>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64">
        <f>S24</f>
        <v>31500</v>
      </c>
      <c r="T65" s="664"/>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64">
        <f>J51</f>
        <v>2000</v>
      </c>
      <c r="T66" s="664"/>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69">
        <f>P63</f>
        <v>5</v>
      </c>
      <c r="T67" s="664"/>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69">
        <f>J63</f>
        <v>0.74675935000000004</v>
      </c>
      <c r="T68" s="664"/>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64">
        <f>O51</f>
        <v>1</v>
      </c>
      <c r="T69" s="664"/>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64">
        <f>K52</f>
        <v>20</v>
      </c>
      <c r="T70" s="664"/>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64">
        <f>J54</f>
        <v>5</v>
      </c>
      <c r="T71" s="664"/>
      <c r="U71" s="14" t="s">
        <v>168</v>
      </c>
      <c r="V71" s="312"/>
      <c r="W71" s="291"/>
      <c r="X71" s="291"/>
      <c r="Y71" s="291"/>
    </row>
    <row r="72" spans="1:25" ht="18" customHeight="1">
      <c r="A72" s="196"/>
      <c r="V72" s="197"/>
    </row>
    <row r="73" spans="1:25" ht="18" customHeight="1">
      <c r="A73" s="196"/>
      <c r="E73" s="256" t="s">
        <v>123</v>
      </c>
      <c r="F73" s="27" t="s">
        <v>138</v>
      </c>
      <c r="G73" s="664" t="s">
        <v>555</v>
      </c>
      <c r="H73" s="664"/>
      <c r="I73" s="203" t="s">
        <v>353</v>
      </c>
      <c r="J73" s="665" t="s">
        <v>434</v>
      </c>
      <c r="K73" s="665"/>
      <c r="V73" s="197"/>
    </row>
    <row r="74" spans="1:25" ht="18" customHeight="1">
      <c r="A74" s="196"/>
      <c r="F74" s="27" t="s">
        <v>138</v>
      </c>
      <c r="G74" s="665">
        <f>S65</f>
        <v>31500</v>
      </c>
      <c r="H74" s="665"/>
      <c r="I74" s="203" t="s">
        <v>353</v>
      </c>
      <c r="J74" s="665">
        <f>S66</f>
        <v>2000</v>
      </c>
      <c r="K74" s="665"/>
      <c r="V74" s="197"/>
    </row>
    <row r="75" spans="1:25" ht="18" customHeight="1">
      <c r="A75" s="196"/>
      <c r="F75" s="27" t="s">
        <v>138</v>
      </c>
      <c r="G75" s="668">
        <f>G74/J74</f>
        <v>15.75</v>
      </c>
      <c r="H75" s="668"/>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0.74675935000000004</v>
      </c>
      <c r="P78" s="308" t="s">
        <v>361</v>
      </c>
      <c r="V78" s="197"/>
    </row>
    <row r="79" spans="1:25" ht="18" customHeight="1">
      <c r="A79" s="196"/>
      <c r="F79" s="27" t="s">
        <v>138</v>
      </c>
      <c r="G79" s="680">
        <f>G78*((I78+K78)/(M78+O78))</f>
        <v>34.802222925865166</v>
      </c>
      <c r="H79" s="680"/>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668">
        <f>G79</f>
        <v>34.802222925865166</v>
      </c>
      <c r="E82" s="668"/>
      <c r="F82" s="27" t="str">
        <f>F81</f>
        <v>&gt;</v>
      </c>
      <c r="G82" s="668">
        <f>G75</f>
        <v>15.75</v>
      </c>
      <c r="H82" s="668"/>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08" t="str">
        <f>B48</f>
        <v>T1</v>
      </c>
      <c r="C89" s="709"/>
      <c r="D89" s="710" t="str">
        <f>D48</f>
        <v>Core3</v>
      </c>
      <c r="E89" s="711"/>
      <c r="F89" s="267"/>
      <c r="H89" s="665" t="str">
        <f>H48</f>
        <v>(OC +BCU)</v>
      </c>
      <c r="I89" s="665"/>
      <c r="J89" s="665"/>
      <c r="K89" s="665"/>
      <c r="L89" s="665"/>
      <c r="M89" s="665"/>
      <c r="P89" s="198"/>
      <c r="S89" s="199" t="s">
        <v>398</v>
      </c>
      <c r="T89" s="705" t="str">
        <f>T48</f>
        <v>7SJ85</v>
      </c>
      <c r="U89" s="706"/>
      <c r="V89" s="197"/>
    </row>
    <row r="90" spans="1:23" ht="18" hidden="1" customHeight="1">
      <c r="A90" s="196"/>
      <c r="B90" s="707">
        <f>B49</f>
        <v>0</v>
      </c>
      <c r="C90" s="707"/>
      <c r="D90" s="712"/>
      <c r="E90" s="713"/>
      <c r="F90" s="267"/>
      <c r="T90" s="705" t="str">
        <f>T49</f>
        <v>SEL751</v>
      </c>
      <c r="U90" s="706"/>
      <c r="V90" s="197"/>
    </row>
    <row r="91" spans="1:23" ht="18" hidden="1" customHeight="1">
      <c r="A91" s="196"/>
      <c r="H91" s="696" t="s">
        <v>401</v>
      </c>
      <c r="I91" s="696"/>
      <c r="J91" s="696" t="s">
        <v>402</v>
      </c>
      <c r="K91" s="696"/>
      <c r="L91" s="666" t="s">
        <v>403</v>
      </c>
      <c r="M91" s="666"/>
      <c r="T91" s="705" t="str">
        <f>T50</f>
        <v>FMS</v>
      </c>
      <c r="U91" s="706"/>
      <c r="V91" s="197"/>
    </row>
    <row r="92" spans="1:23" ht="18" hidden="1" customHeight="1">
      <c r="A92" s="196"/>
      <c r="B92" s="47" t="s">
        <v>404</v>
      </c>
      <c r="H92" s="708">
        <f>H51</f>
        <v>3150</v>
      </c>
      <c r="I92" s="709"/>
      <c r="J92" s="708">
        <f>J51</f>
        <v>2000</v>
      </c>
      <c r="K92" s="709"/>
      <c r="L92" s="714" t="str">
        <f>L51</f>
        <v>-</v>
      </c>
      <c r="M92" s="715"/>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7" t="s">
        <v>7</v>
      </c>
      <c r="M94" s="658"/>
      <c r="N94" s="204" t="s">
        <v>344</v>
      </c>
      <c r="V94" s="197"/>
    </row>
    <row r="95" spans="1:23" ht="18" hidden="1" customHeight="1">
      <c r="A95" s="196"/>
      <c r="B95" s="47" t="s">
        <v>573</v>
      </c>
      <c r="K95" s="120" t="s">
        <v>504</v>
      </c>
      <c r="L95" s="653" t="s">
        <v>7</v>
      </c>
      <c r="M95" s="654"/>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78">
        <f>J58</f>
        <v>0.02</v>
      </c>
      <c r="K99" s="679"/>
      <c r="L99" s="3" t="s">
        <v>168</v>
      </c>
      <c r="N99" s="209" t="s">
        <v>521</v>
      </c>
      <c r="V99" s="197"/>
    </row>
    <row r="100" spans="1:25" ht="18" hidden="1" customHeight="1">
      <c r="A100" s="196"/>
      <c r="B100" s="96" t="s">
        <v>416</v>
      </c>
      <c r="D100" s="308" t="str">
        <f>T90</f>
        <v>SEL751</v>
      </c>
      <c r="I100" s="189" t="s">
        <v>138</v>
      </c>
      <c r="J100" s="697">
        <f>J59</f>
        <v>0.02</v>
      </c>
      <c r="K100" s="698"/>
      <c r="L100" s="210" t="s">
        <v>168</v>
      </c>
      <c r="P100" s="256"/>
      <c r="V100" s="197"/>
    </row>
    <row r="101" spans="1:25" ht="18" hidden="1" customHeight="1">
      <c r="A101" s="196"/>
      <c r="B101" s="96" t="s">
        <v>416</v>
      </c>
      <c r="C101" s="14"/>
      <c r="D101" s="47" t="str">
        <f>T91</f>
        <v>FMS</v>
      </c>
      <c r="E101" s="14"/>
      <c r="G101" s="211"/>
      <c r="H101" s="27"/>
      <c r="I101" s="101" t="s">
        <v>138</v>
      </c>
      <c r="J101" s="699">
        <f>J60</f>
        <v>5.8000000000000003E-2</v>
      </c>
      <c r="K101" s="700"/>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701">
        <f>J62</f>
        <v>0.44875935000000006</v>
      </c>
      <c r="K102" s="70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78">
        <f>SUM(J99:J102)</f>
        <v>0.54675935000000009</v>
      </c>
      <c r="K103" s="679"/>
      <c r="L103" s="3" t="s">
        <v>168</v>
      </c>
      <c r="O103" s="27" t="s">
        <v>138</v>
      </c>
      <c r="P103" s="668" t="e">
        <f>P102*R102*T102</f>
        <v>#VALUE!</v>
      </c>
      <c r="Q103" s="665"/>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64">
        <f>S65</f>
        <v>31500</v>
      </c>
      <c r="T105" s="664"/>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64">
        <f>J92</f>
        <v>2000</v>
      </c>
      <c r="T106" s="664"/>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69" t="e">
        <f>P103</f>
        <v>#VALUE!</v>
      </c>
      <c r="T107" s="664"/>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69">
        <f>J103</f>
        <v>0.54675935000000009</v>
      </c>
      <c r="T108" s="664"/>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64">
        <f>O92</f>
        <v>1</v>
      </c>
      <c r="T109" s="664"/>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64">
        <f>M93</f>
        <v>20</v>
      </c>
      <c r="T110" s="664"/>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64" t="str">
        <f>L95</f>
        <v>-</v>
      </c>
      <c r="T111" s="664"/>
      <c r="U111" s="14" t="s">
        <v>168</v>
      </c>
      <c r="V111" s="312"/>
      <c r="W111" s="291"/>
      <c r="X111" s="291"/>
      <c r="Y111" s="291"/>
    </row>
    <row r="112" spans="1:25" ht="18" hidden="1" customHeight="1">
      <c r="A112" s="196"/>
      <c r="V112" s="197"/>
    </row>
    <row r="113" spans="1:22" ht="18" hidden="1" customHeight="1">
      <c r="A113" s="196"/>
      <c r="E113" s="256" t="s">
        <v>123</v>
      </c>
      <c r="F113" s="27" t="s">
        <v>138</v>
      </c>
      <c r="G113" s="664" t="s">
        <v>555</v>
      </c>
      <c r="H113" s="664"/>
      <c r="I113" s="203" t="s">
        <v>353</v>
      </c>
      <c r="J113" s="665" t="s">
        <v>434</v>
      </c>
      <c r="K113" s="665"/>
      <c r="V113" s="197"/>
    </row>
    <row r="114" spans="1:22" ht="18" hidden="1" customHeight="1">
      <c r="A114" s="196"/>
      <c r="F114" s="27" t="s">
        <v>138</v>
      </c>
      <c r="G114" s="665">
        <f>S105</f>
        <v>31500</v>
      </c>
      <c r="H114" s="665"/>
      <c r="I114" s="203" t="s">
        <v>353</v>
      </c>
      <c r="J114" s="665">
        <f>S106</f>
        <v>2000</v>
      </c>
      <c r="K114" s="665"/>
      <c r="V114" s="197"/>
    </row>
    <row r="115" spans="1:22" ht="18" hidden="1" customHeight="1">
      <c r="A115" s="196"/>
      <c r="F115" s="27" t="s">
        <v>138</v>
      </c>
      <c r="G115" s="668">
        <f>G114/J114</f>
        <v>15.75</v>
      </c>
      <c r="H115" s="668"/>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0.54675935000000009</v>
      </c>
      <c r="P118" s="308" t="s">
        <v>361</v>
      </c>
      <c r="V118" s="197"/>
    </row>
    <row r="119" spans="1:22" ht="18" hidden="1" customHeight="1">
      <c r="A119" s="196"/>
      <c r="F119" s="27" t="s">
        <v>138</v>
      </c>
      <c r="G119" s="680" t="e">
        <f>G118*((I118+K118)/(M118+O118))</f>
        <v>#VALUE!</v>
      </c>
      <c r="H119" s="68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68" t="e">
        <f>G119</f>
        <v>#VALUE!</v>
      </c>
      <c r="E122" s="668"/>
      <c r="F122" s="27" t="e">
        <f>F121</f>
        <v>#VALUE!</v>
      </c>
      <c r="G122" s="668">
        <f>G115</f>
        <v>15.75</v>
      </c>
      <c r="H122" s="668"/>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16" t="s">
        <v>97</v>
      </c>
      <c r="B134" s="729"/>
      <c r="C134" s="717"/>
      <c r="D134" s="716" t="s">
        <v>98</v>
      </c>
      <c r="E134" s="729"/>
      <c r="F134" s="717"/>
      <c r="G134" s="716" t="s">
        <v>99</v>
      </c>
      <c r="H134" s="717"/>
      <c r="I134" s="716" t="s">
        <v>100</v>
      </c>
      <c r="J134" s="717"/>
      <c r="K134" s="716" t="s">
        <v>513</v>
      </c>
      <c r="L134" s="717"/>
      <c r="M134" s="716" t="s">
        <v>575</v>
      </c>
      <c r="N134" s="717"/>
      <c r="O134" s="716"/>
      <c r="P134" s="717"/>
      <c r="Q134" s="716" t="s">
        <v>516</v>
      </c>
      <c r="R134" s="717"/>
      <c r="S134" s="716" t="s">
        <v>105</v>
      </c>
      <c r="T134" s="729"/>
      <c r="U134" s="729"/>
      <c r="V134" s="717"/>
    </row>
    <row r="135" spans="1:22" ht="18" customHeight="1">
      <c r="A135" s="718"/>
      <c r="B135" s="730"/>
      <c r="C135" s="719"/>
      <c r="D135" s="718"/>
      <c r="E135" s="730"/>
      <c r="F135" s="719"/>
      <c r="G135" s="718"/>
      <c r="H135" s="719"/>
      <c r="I135" s="718"/>
      <c r="J135" s="719"/>
      <c r="K135" s="718"/>
      <c r="L135" s="719"/>
      <c r="M135" s="718"/>
      <c r="N135" s="719"/>
      <c r="O135" s="718"/>
      <c r="P135" s="719"/>
      <c r="Q135" s="718"/>
      <c r="R135" s="719"/>
      <c r="S135" s="718"/>
      <c r="T135" s="730"/>
      <c r="U135" s="730"/>
      <c r="V135" s="719"/>
    </row>
    <row r="136" spans="1:22" ht="18" customHeight="1">
      <c r="A136" s="718"/>
      <c r="B136" s="730"/>
      <c r="C136" s="719"/>
      <c r="D136" s="718"/>
      <c r="E136" s="730"/>
      <c r="F136" s="719"/>
      <c r="G136" s="718"/>
      <c r="H136" s="719"/>
      <c r="I136" s="718"/>
      <c r="J136" s="719"/>
      <c r="K136" s="718"/>
      <c r="L136" s="719"/>
      <c r="M136" s="718"/>
      <c r="N136" s="719"/>
      <c r="O136" s="718"/>
      <c r="P136" s="719"/>
      <c r="Q136" s="718"/>
      <c r="R136" s="719"/>
      <c r="S136" s="718"/>
      <c r="T136" s="730"/>
      <c r="U136" s="730"/>
      <c r="V136" s="719"/>
    </row>
    <row r="137" spans="1:22" ht="18" customHeight="1">
      <c r="A137" s="720"/>
      <c r="B137" s="731"/>
      <c r="C137" s="721"/>
      <c r="D137" s="720"/>
      <c r="E137" s="731"/>
      <c r="F137" s="721"/>
      <c r="G137" s="720"/>
      <c r="H137" s="721"/>
      <c r="I137" s="720"/>
      <c r="J137" s="721"/>
      <c r="K137" s="720"/>
      <c r="L137" s="721"/>
      <c r="M137" s="720"/>
      <c r="N137" s="721"/>
      <c r="O137" s="720"/>
      <c r="P137" s="721"/>
      <c r="Q137" s="720"/>
      <c r="R137" s="721"/>
      <c r="S137" s="720"/>
      <c r="T137" s="731"/>
      <c r="U137" s="731"/>
      <c r="V137" s="721"/>
    </row>
    <row r="138" spans="1:22" ht="18" customHeight="1">
      <c r="A138" s="733" t="str">
        <f>B89</f>
        <v>T1</v>
      </c>
      <c r="B138" s="733" t="str">
        <f>D89</f>
        <v>Core3</v>
      </c>
      <c r="C138" s="733"/>
      <c r="D138" s="732">
        <f>H92</f>
        <v>3150</v>
      </c>
      <c r="E138" s="732"/>
      <c r="F138" s="734">
        <f>O92</f>
        <v>1</v>
      </c>
      <c r="G138" s="737">
        <f>'CT-VT Burdens'!S19</f>
        <v>50</v>
      </c>
      <c r="H138" s="740">
        <f>'CT-VT Burdens'!S10</f>
        <v>6</v>
      </c>
      <c r="I138" s="722" t="str">
        <f>L93</f>
        <v>5P</v>
      </c>
      <c r="J138" s="725">
        <f>M93</f>
        <v>20</v>
      </c>
      <c r="K138" s="728">
        <f>H12</f>
        <v>9</v>
      </c>
      <c r="L138" s="728"/>
      <c r="M138" s="728">
        <f>H13</f>
        <v>7.5</v>
      </c>
      <c r="N138" s="728"/>
      <c r="O138" s="732" t="s">
        <v>7</v>
      </c>
      <c r="P138" s="732"/>
      <c r="Q138" s="739" t="str">
        <f>CONCATENATE(T7," ",T8," ",T9," ",T10)</f>
        <v>7SJ85 SEL751 FMS AVR</v>
      </c>
      <c r="R138" s="739"/>
      <c r="S138" s="738" t="str">
        <f>G42</f>
        <v>Suitably Dimensioned</v>
      </c>
      <c r="T138" s="738"/>
      <c r="U138" s="738"/>
      <c r="V138" s="738"/>
    </row>
    <row r="139" spans="1:22" ht="18" customHeight="1">
      <c r="A139" s="733"/>
      <c r="B139" s="733"/>
      <c r="C139" s="733"/>
      <c r="D139" s="732">
        <f>J92</f>
        <v>2000</v>
      </c>
      <c r="E139" s="732"/>
      <c r="F139" s="735"/>
      <c r="G139" s="737"/>
      <c r="H139" s="740"/>
      <c r="I139" s="723"/>
      <c r="J139" s="726"/>
      <c r="K139" s="728">
        <f>J53</f>
        <v>5</v>
      </c>
      <c r="L139" s="728"/>
      <c r="M139" s="728">
        <f>J54</f>
        <v>5</v>
      </c>
      <c r="N139" s="728"/>
      <c r="O139" s="732" t="s">
        <v>7</v>
      </c>
      <c r="P139" s="732"/>
      <c r="Q139" s="739"/>
      <c r="R139" s="739"/>
      <c r="S139" s="738" t="str">
        <f>G83</f>
        <v>Suitably Dimentioned</v>
      </c>
      <c r="T139" s="738"/>
      <c r="U139" s="738"/>
      <c r="V139" s="738"/>
    </row>
    <row r="140" spans="1:22" ht="18" customHeight="1">
      <c r="A140" s="733"/>
      <c r="B140" s="733"/>
      <c r="C140" s="733"/>
      <c r="D140" s="732" t="s">
        <v>7</v>
      </c>
      <c r="E140" s="732"/>
      <c r="F140" s="736"/>
      <c r="G140" s="737"/>
      <c r="H140" s="740"/>
      <c r="I140" s="724"/>
      <c r="J140" s="727"/>
      <c r="K140" s="728" t="s">
        <v>7</v>
      </c>
      <c r="L140" s="728"/>
      <c r="M140" s="728" t="s">
        <v>7</v>
      </c>
      <c r="N140" s="728"/>
      <c r="O140" s="732" t="s">
        <v>7</v>
      </c>
      <c r="P140" s="732"/>
      <c r="Q140" s="739"/>
      <c r="R140" s="739"/>
      <c r="S140" s="738" t="s">
        <v>7</v>
      </c>
      <c r="T140" s="738"/>
      <c r="U140" s="738"/>
      <c r="V140" s="73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125</v>
      </c>
      <c r="E7" s="661"/>
      <c r="F7" s="267"/>
      <c r="H7" s="664" t="s">
        <v>677</v>
      </c>
      <c r="I7" s="665"/>
      <c r="J7" s="665"/>
      <c r="K7" s="665"/>
      <c r="L7" s="665"/>
      <c r="M7" s="665"/>
      <c r="P7" s="198"/>
      <c r="R7" s="267"/>
      <c r="S7" s="199" t="s">
        <v>398</v>
      </c>
      <c r="T7" s="1047" t="s">
        <v>255</v>
      </c>
      <c r="U7" s="1048"/>
      <c r="V7" s="197"/>
    </row>
    <row r="8" spans="1:24" ht="18" customHeight="1">
      <c r="A8" s="196"/>
      <c r="B8" s="657"/>
      <c r="C8" s="658"/>
      <c r="D8" s="662"/>
      <c r="E8" s="663"/>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3150</v>
      </c>
      <c r="I10" s="652"/>
      <c r="J10" s="653">
        <v>2000</v>
      </c>
      <c r="K10" s="654"/>
      <c r="L10" s="653" t="s">
        <v>7</v>
      </c>
      <c r="M10" s="654"/>
      <c r="N10" s="203" t="s">
        <v>353</v>
      </c>
      <c r="O10" s="125">
        <v>1</v>
      </c>
      <c r="P10" s="27" t="s">
        <v>9</v>
      </c>
      <c r="T10" s="1047"/>
      <c r="U10" s="1048"/>
      <c r="V10" s="197"/>
    </row>
    <row r="11" spans="1:24" ht="18" customHeight="1">
      <c r="A11" s="196"/>
      <c r="B11" s="47" t="s">
        <v>405</v>
      </c>
      <c r="H11" s="653" t="s">
        <v>678</v>
      </c>
      <c r="I11" s="654"/>
      <c r="T11" s="1049"/>
      <c r="U11" s="1049"/>
      <c r="V11" s="197"/>
    </row>
    <row r="12" spans="1:24" ht="18" customHeight="1">
      <c r="A12" s="196"/>
      <c r="B12" s="47" t="s">
        <v>407</v>
      </c>
      <c r="G12" s="120" t="s">
        <v>508</v>
      </c>
      <c r="H12" s="653">
        <v>9</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9</v>
      </c>
      <c r="Q22" s="665"/>
      <c r="R22" s="27" t="s">
        <v>168</v>
      </c>
      <c r="S22" s="27"/>
      <c r="T22" s="27"/>
      <c r="V22" s="197"/>
    </row>
    <row r="23" spans="1:31" ht="18" customHeight="1">
      <c r="A23" s="196"/>
      <c r="B23" s="1" t="s">
        <v>424</v>
      </c>
      <c r="C23" s="2"/>
      <c r="D23" s="2"/>
      <c r="E23" s="2"/>
      <c r="F23" s="208"/>
      <c r="G23" s="208"/>
      <c r="H23" s="236" t="s">
        <v>523</v>
      </c>
      <c r="I23" s="195" t="s">
        <v>138</v>
      </c>
      <c r="J23" s="678">
        <f>SUM(J18:K22)</f>
        <v>0.45675935000000006</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3150</v>
      </c>
      <c r="Q25" s="989"/>
      <c r="R25" s="204" t="s">
        <v>9</v>
      </c>
      <c r="V25" s="197"/>
    </row>
    <row r="26" spans="1:31" ht="18" customHeight="1">
      <c r="A26" s="196"/>
      <c r="B26" s="47" t="s">
        <v>558</v>
      </c>
      <c r="C26" s="47"/>
      <c r="D26" s="47"/>
      <c r="E26" s="47"/>
      <c r="H26" s="27"/>
      <c r="I26" s="28"/>
      <c r="J26" s="211"/>
      <c r="L26" s="47"/>
      <c r="N26" s="120" t="s">
        <v>583</v>
      </c>
      <c r="O26" s="28" t="s">
        <v>138</v>
      </c>
      <c r="P26" s="989">
        <f>H12</f>
        <v>9</v>
      </c>
      <c r="Q26" s="989"/>
      <c r="R26" s="316" t="s">
        <v>168</v>
      </c>
      <c r="V26" s="197"/>
    </row>
    <row r="27" spans="1:31" ht="18" customHeight="1">
      <c r="A27" s="196"/>
      <c r="B27" s="47" t="s">
        <v>559</v>
      </c>
      <c r="C27" s="47"/>
      <c r="D27" s="47"/>
      <c r="E27" s="47"/>
      <c r="H27" s="27"/>
      <c r="I27" s="28"/>
      <c r="J27" s="211"/>
      <c r="L27" s="47"/>
      <c r="N27" s="120" t="s">
        <v>584</v>
      </c>
      <c r="O27" s="28" t="s">
        <v>138</v>
      </c>
      <c r="P27" s="940">
        <f>J23</f>
        <v>0.45675935000000006</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47" t="s">
        <v>588</v>
      </c>
      <c r="C30" s="47"/>
      <c r="D30" s="47"/>
      <c r="E30" s="47"/>
      <c r="H30" s="27"/>
      <c r="I30" s="28"/>
      <c r="J30" s="211"/>
      <c r="L30" s="47"/>
      <c r="O30" s="28" t="s">
        <v>138</v>
      </c>
      <c r="P30" s="940">
        <v>20</v>
      </c>
      <c r="Q30" s="94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0.45675935000000006</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0.45675935000000006</v>
      </c>
      <c r="S38" s="308" t="s">
        <v>361</v>
      </c>
      <c r="V38" s="197"/>
    </row>
    <row r="39" spans="1:22" ht="18" customHeight="1">
      <c r="A39" s="196"/>
      <c r="I39" s="27" t="s">
        <v>138</v>
      </c>
      <c r="J39" s="680">
        <f>J38*((L38+N38)/(P38+R38))</f>
        <v>10.045724595920905</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665">
        <f>H14</f>
        <v>10</v>
      </c>
      <c r="H43" s="665"/>
      <c r="I43" s="27" t="str">
        <f>IF(G43&gt;J43,"&gt;","&lt;")</f>
        <v>&gt;</v>
      </c>
      <c r="J43" s="668">
        <f>J35</f>
        <v>0.45675935000000006</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668">
        <f>P30</f>
        <v>20</v>
      </c>
      <c r="H46" s="668"/>
      <c r="I46" s="27" t="str">
        <f>IF(G46&gt;J46,"&gt;","&lt;")</f>
        <v>&gt;</v>
      </c>
      <c r="J46" s="668">
        <f>J39</f>
        <v>10.045724595920905</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81" t="str">
        <f>B7</f>
        <v>T1</v>
      </c>
      <c r="C50" s="682"/>
      <c r="D50" s="683" t="str">
        <f>D7</f>
        <v>Core4</v>
      </c>
      <c r="E50" s="684"/>
      <c r="F50" s="267"/>
      <c r="H50" s="665" t="str">
        <f>H7</f>
        <v>(Tariff Meter- Main)</v>
      </c>
      <c r="I50" s="665"/>
      <c r="J50" s="665"/>
      <c r="K50" s="665"/>
      <c r="L50" s="665"/>
      <c r="M50" s="665"/>
      <c r="P50" s="198"/>
      <c r="R50" s="267"/>
      <c r="S50" s="199" t="s">
        <v>398</v>
      </c>
      <c r="T50" s="1047" t="str">
        <f>T7</f>
        <v>XC-RACK</v>
      </c>
      <c r="U50" s="1048"/>
      <c r="V50" s="197"/>
    </row>
    <row r="51" spans="1:23" ht="18" customHeight="1">
      <c r="A51" s="196"/>
      <c r="B51" s="695">
        <f>B8</f>
        <v>0</v>
      </c>
      <c r="C51" s="695"/>
      <c r="D51" s="685"/>
      <c r="E51" s="686"/>
      <c r="F51" s="267"/>
      <c r="T51" s="1047"/>
      <c r="U51" s="1048"/>
      <c r="V51" s="197"/>
    </row>
    <row r="52" spans="1:23" ht="18" customHeight="1">
      <c r="A52" s="196"/>
      <c r="H52" s="696" t="s">
        <v>401</v>
      </c>
      <c r="I52" s="696"/>
      <c r="J52" s="666" t="s">
        <v>402</v>
      </c>
      <c r="K52" s="666"/>
      <c r="L52" s="667" t="s">
        <v>403</v>
      </c>
      <c r="M52" s="667"/>
      <c r="T52" s="1047"/>
      <c r="U52" s="1048"/>
      <c r="V52" s="197"/>
    </row>
    <row r="53" spans="1:23" ht="18" customHeight="1">
      <c r="A53" s="196"/>
      <c r="B53" s="47" t="s">
        <v>404</v>
      </c>
      <c r="H53" s="681">
        <f>H10</f>
        <v>3150</v>
      </c>
      <c r="I53" s="682"/>
      <c r="J53" s="1038">
        <f>J10</f>
        <v>2000</v>
      </c>
      <c r="K53" s="1039"/>
      <c r="L53" s="681" t="str">
        <f>L10</f>
        <v>-</v>
      </c>
      <c r="M53" s="682"/>
      <c r="N53" s="203" t="s">
        <v>353</v>
      </c>
      <c r="O53" s="501">
        <f>O10</f>
        <v>1</v>
      </c>
      <c r="P53" s="27" t="s">
        <v>9</v>
      </c>
      <c r="T53" s="1047"/>
      <c r="U53" s="1048"/>
      <c r="V53" s="197"/>
    </row>
    <row r="54" spans="1:23" ht="18" customHeight="1">
      <c r="A54" s="196"/>
      <c r="B54" s="47" t="s">
        <v>405</v>
      </c>
      <c r="H54" s="14"/>
      <c r="I54" s="14"/>
      <c r="J54" s="681" t="str">
        <f>H11</f>
        <v>0.2sFS5</v>
      </c>
      <c r="K54" s="682"/>
      <c r="L54" s="14"/>
      <c r="M54" s="14"/>
      <c r="V54" s="197"/>
    </row>
    <row r="55" spans="1:23" ht="18" customHeight="1">
      <c r="A55" s="196"/>
      <c r="B55" s="47" t="s">
        <v>407</v>
      </c>
      <c r="I55" s="120" t="s">
        <v>508</v>
      </c>
      <c r="J55" s="653">
        <v>5</v>
      </c>
      <c r="K55" s="654"/>
      <c r="L55" s="204" t="s">
        <v>344</v>
      </c>
      <c r="T55" s="307"/>
      <c r="U55" s="18"/>
      <c r="V55" s="197"/>
    </row>
    <row r="56" spans="1:23" ht="18" customHeight="1">
      <c r="A56" s="196"/>
      <c r="B56" s="30" t="s">
        <v>579</v>
      </c>
      <c r="I56" s="120" t="s">
        <v>580</v>
      </c>
      <c r="J56" s="653">
        <v>5</v>
      </c>
      <c r="K56" s="654"/>
      <c r="T56" s="307"/>
      <c r="U56" s="18"/>
      <c r="V56" s="197"/>
      <c r="W56" s="30" t="str">
        <f>J90</f>
        <v>Suitable Dimensions</v>
      </c>
    </row>
    <row r="57" spans="1:23" ht="18" customHeight="1">
      <c r="A57" s="196"/>
      <c r="B57" s="47" t="s">
        <v>573</v>
      </c>
      <c r="I57" s="120" t="s">
        <v>504</v>
      </c>
      <c r="J57" s="653">
        <v>7.5</v>
      </c>
      <c r="K57" s="654"/>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f>D19</f>
        <v>0</v>
      </c>
      <c r="I62" s="189" t="s">
        <v>138</v>
      </c>
      <c r="J62" s="697">
        <f t="shared" si="0"/>
        <v>0</v>
      </c>
      <c r="K62" s="698"/>
      <c r="L62" s="210" t="s">
        <v>168</v>
      </c>
      <c r="P62" s="256"/>
      <c r="V62" s="197"/>
    </row>
    <row r="63" spans="1:23" ht="18"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customHeight="1">
      <c r="A66" s="196"/>
      <c r="B66" s="1" t="s">
        <v>424</v>
      </c>
      <c r="C66" s="2"/>
      <c r="D66" s="2"/>
      <c r="E66" s="2"/>
      <c r="F66" s="208"/>
      <c r="G66" s="208"/>
      <c r="H66" s="236" t="s">
        <v>523</v>
      </c>
      <c r="I66" s="195" t="s">
        <v>138</v>
      </c>
      <c r="J66" s="678">
        <f t="shared" si="0"/>
        <v>0.45675935000000006</v>
      </c>
      <c r="K66" s="67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9">
        <f>J53</f>
        <v>2000</v>
      </c>
      <c r="Q68" s="989"/>
      <c r="R68" s="204" t="s">
        <v>9</v>
      </c>
      <c r="V68" s="197"/>
    </row>
    <row r="69" spans="1:22" ht="18" customHeight="1">
      <c r="A69" s="196"/>
      <c r="B69" s="47" t="s">
        <v>558</v>
      </c>
      <c r="C69" s="47"/>
      <c r="D69" s="47"/>
      <c r="E69" s="47"/>
      <c r="H69" s="27"/>
      <c r="I69" s="28"/>
      <c r="J69" s="211"/>
      <c r="L69" s="47"/>
      <c r="N69" s="120" t="s">
        <v>583</v>
      </c>
      <c r="O69" s="28" t="s">
        <v>138</v>
      </c>
      <c r="P69" s="989">
        <f>J55</f>
        <v>5</v>
      </c>
      <c r="Q69" s="989"/>
      <c r="R69" s="316" t="s">
        <v>168</v>
      </c>
      <c r="V69" s="197"/>
    </row>
    <row r="70" spans="1:22" ht="18" customHeight="1">
      <c r="A70" s="196"/>
      <c r="B70" s="47" t="s">
        <v>559</v>
      </c>
      <c r="C70" s="47"/>
      <c r="D70" s="47"/>
      <c r="E70" s="47"/>
      <c r="H70" s="27"/>
      <c r="I70" s="28"/>
      <c r="J70" s="211"/>
      <c r="L70" s="47"/>
      <c r="N70" s="120" t="s">
        <v>584</v>
      </c>
      <c r="O70" s="28" t="s">
        <v>138</v>
      </c>
      <c r="P70" s="940">
        <f>J66</f>
        <v>0.45675935000000006</v>
      </c>
      <c r="Q70" s="989"/>
      <c r="R70" s="316" t="s">
        <v>168</v>
      </c>
      <c r="V70" s="197"/>
    </row>
    <row r="71" spans="1:22" ht="18" customHeight="1">
      <c r="A71" s="196"/>
      <c r="B71" s="47" t="s">
        <v>560</v>
      </c>
      <c r="C71" s="47"/>
      <c r="D71" s="47"/>
      <c r="E71" s="47"/>
      <c r="H71" s="27"/>
      <c r="I71" s="28"/>
      <c r="J71" s="211"/>
      <c r="L71" s="47"/>
      <c r="N71" s="120" t="s">
        <v>522</v>
      </c>
      <c r="O71" s="28" t="s">
        <v>138</v>
      </c>
      <c r="P71" s="989">
        <f>O53</f>
        <v>1</v>
      </c>
      <c r="Q71" s="989"/>
      <c r="R71" s="204" t="s">
        <v>9</v>
      </c>
      <c r="V71" s="197"/>
    </row>
    <row r="72" spans="1:22" ht="18" customHeight="1">
      <c r="A72" s="196"/>
      <c r="B72" s="47" t="s">
        <v>585</v>
      </c>
      <c r="C72" s="47"/>
      <c r="D72" s="47"/>
      <c r="E72" s="47"/>
      <c r="H72" s="27"/>
      <c r="I72" s="28"/>
      <c r="J72" s="211"/>
      <c r="L72" s="47"/>
      <c r="N72" s="120" t="s">
        <v>506</v>
      </c>
      <c r="O72" s="28" t="s">
        <v>138</v>
      </c>
      <c r="P72" s="989">
        <v>10</v>
      </c>
      <c r="Q72" s="989"/>
      <c r="R72" s="204"/>
      <c r="V72" s="197"/>
    </row>
    <row r="73" spans="1:22" ht="18" customHeight="1">
      <c r="A73" s="196"/>
      <c r="B73" s="47" t="s">
        <v>588</v>
      </c>
      <c r="C73" s="47"/>
      <c r="D73" s="47"/>
      <c r="E73" s="47"/>
      <c r="H73" s="27"/>
      <c r="I73" s="28"/>
      <c r="J73" s="211"/>
      <c r="L73" s="47"/>
      <c r="O73" s="28" t="s">
        <v>138</v>
      </c>
      <c r="P73" s="940">
        <v>20</v>
      </c>
      <c r="Q73" s="94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68">
        <f>J66</f>
        <v>0.45675935000000006</v>
      </c>
      <c r="K78" s="665"/>
      <c r="L78" s="28"/>
      <c r="M78" s="668"/>
      <c r="N78" s="665"/>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0.45675935000000006</v>
      </c>
      <c r="S81" s="308" t="s">
        <v>361</v>
      </c>
      <c r="V81" s="197"/>
    </row>
    <row r="82" spans="1:22" ht="18" customHeight="1">
      <c r="A82" s="196"/>
      <c r="I82" s="27" t="s">
        <v>138</v>
      </c>
      <c r="J82" s="680">
        <f>J81*((L81+N81)/(P81+R81))</f>
        <v>11.453684502322792</v>
      </c>
      <c r="K82" s="68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65">
        <f>J57</f>
        <v>7.5</v>
      </c>
      <c r="H86" s="665"/>
      <c r="I86" s="27" t="str">
        <f>IF(G86&gt;J86,"&gt;","&lt;")</f>
        <v>&gt;</v>
      </c>
      <c r="J86" s="668">
        <f>J78</f>
        <v>0.45675935000000006</v>
      </c>
      <c r="K86" s="665"/>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68">
        <f>P73</f>
        <v>20</v>
      </c>
      <c r="H89" s="668"/>
      <c r="I89" s="27" t="str">
        <f>IF(G89&gt;J89,"&gt;","&lt;")</f>
        <v>&gt;</v>
      </c>
      <c r="J89" s="668">
        <f>J82</f>
        <v>11.453684502322792</v>
      </c>
      <c r="K89" s="668"/>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Core4</v>
      </c>
      <c r="E95" s="711"/>
      <c r="F95" s="267"/>
      <c r="H95" s="665" t="str">
        <f>H50</f>
        <v>(Tariff Meter- Main)</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3150</v>
      </c>
      <c r="I98" s="709"/>
      <c r="J98" s="708">
        <f>J53</f>
        <v>2000</v>
      </c>
      <c r="K98" s="709"/>
      <c r="L98" s="714" t="str">
        <f>L53</f>
        <v>-</v>
      </c>
      <c r="M98" s="715"/>
      <c r="N98" s="203" t="s">
        <v>353</v>
      </c>
      <c r="O98" s="268">
        <f>O53</f>
        <v>1</v>
      </c>
      <c r="P98" s="27" t="s">
        <v>9</v>
      </c>
      <c r="V98" s="197"/>
    </row>
    <row r="99" spans="1:23" ht="18" hidden="1" customHeight="1">
      <c r="A99" s="196"/>
      <c r="B99" s="47" t="s">
        <v>405</v>
      </c>
      <c r="H99" s="14"/>
      <c r="I99" s="14"/>
      <c r="K99" s="14"/>
      <c r="L99" s="708" t="str">
        <f>J54</f>
        <v>0.2sFS5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f>D62</f>
        <v>0</v>
      </c>
      <c r="I107" s="189" t="s">
        <v>138</v>
      </c>
      <c r="J107" s="697">
        <f t="shared" si="1"/>
        <v>0</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0.45675935000000006</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0.45675935000000006</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0.45675935000000006</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Core4</v>
      </c>
      <c r="C144" s="733"/>
      <c r="D144" s="732">
        <f>H98</f>
        <v>3150</v>
      </c>
      <c r="E144" s="732"/>
      <c r="F144" s="734">
        <f>O98</f>
        <v>1</v>
      </c>
      <c r="G144" s="737">
        <f>'CT-VT Burdens'!S19</f>
        <v>50</v>
      </c>
      <c r="H144" s="740">
        <f>'CT-VT Burdens'!S10</f>
        <v>6</v>
      </c>
      <c r="I144" s="794" t="str">
        <f>L99</f>
        <v>0.2sFS5</v>
      </c>
      <c r="J144" s="794"/>
      <c r="K144" s="728">
        <f>H12</f>
        <v>9</v>
      </c>
      <c r="L144" s="728"/>
      <c r="M144" s="728">
        <f>H14</f>
        <v>10</v>
      </c>
      <c r="N144" s="728"/>
      <c r="O144" s="732" t="s">
        <v>7</v>
      </c>
      <c r="P144" s="732"/>
      <c r="Q144" s="739" t="str">
        <f>CONCATENATE(T7," ",T8," ",T9," ",T10)</f>
        <v xml:space="preserve">XC-RACK   </v>
      </c>
      <c r="R144" s="739"/>
      <c r="S144" s="738" t="str">
        <f>J47</f>
        <v>Suitable Dimensions</v>
      </c>
      <c r="T144" s="738"/>
      <c r="U144" s="738"/>
      <c r="V144" s="738"/>
    </row>
    <row r="145" spans="1:22" ht="18" customHeight="1">
      <c r="A145" s="733"/>
      <c r="B145" s="733"/>
      <c r="C145" s="733"/>
      <c r="D145" s="732">
        <f>J98</f>
        <v>2000</v>
      </c>
      <c r="E145" s="732"/>
      <c r="F145" s="735"/>
      <c r="G145" s="737"/>
      <c r="H145" s="740"/>
      <c r="I145" s="794"/>
      <c r="J145" s="794"/>
      <c r="K145" s="728">
        <f>J55</f>
        <v>5</v>
      </c>
      <c r="L145" s="728"/>
      <c r="M145" s="728">
        <f>J57</f>
        <v>7.5</v>
      </c>
      <c r="N145" s="728"/>
      <c r="O145" s="732" t="s">
        <v>7</v>
      </c>
      <c r="P145" s="732"/>
      <c r="Q145" s="739"/>
      <c r="R145" s="739"/>
      <c r="S145" s="738" t="str">
        <f>J90</f>
        <v>Suitable Dimensions</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124</v>
      </c>
      <c r="E7" s="661"/>
      <c r="F7" s="267"/>
      <c r="H7" s="664" t="s">
        <v>602</v>
      </c>
      <c r="I7" s="665"/>
      <c r="J7" s="665"/>
      <c r="K7" s="665"/>
      <c r="L7" s="665"/>
      <c r="M7" s="665"/>
      <c r="P7" s="198"/>
      <c r="R7" s="267"/>
      <c r="S7" s="199" t="s">
        <v>398</v>
      </c>
      <c r="T7" s="1047" t="s">
        <v>255</v>
      </c>
      <c r="U7" s="1048"/>
      <c r="V7" s="197"/>
    </row>
    <row r="8" spans="1:24" ht="18" customHeight="1">
      <c r="A8" s="196"/>
      <c r="B8" s="657"/>
      <c r="C8" s="658"/>
      <c r="D8" s="662"/>
      <c r="E8" s="663"/>
      <c r="F8" s="267"/>
      <c r="T8" s="1047" t="s">
        <v>257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3150</v>
      </c>
      <c r="I10" s="652"/>
      <c r="J10" s="653">
        <v>2000</v>
      </c>
      <c r="K10" s="654"/>
      <c r="L10" s="653" t="s">
        <v>7</v>
      </c>
      <c r="M10" s="654"/>
      <c r="N10" s="203" t="s">
        <v>353</v>
      </c>
      <c r="O10" s="125">
        <v>1</v>
      </c>
      <c r="P10" s="27" t="s">
        <v>9</v>
      </c>
      <c r="T10" s="1047"/>
      <c r="U10" s="1048"/>
      <c r="V10" s="197"/>
    </row>
    <row r="11" spans="1:24" ht="18" customHeight="1">
      <c r="A11" s="196"/>
      <c r="B11" s="47" t="s">
        <v>405</v>
      </c>
      <c r="H11" s="653" t="s">
        <v>678</v>
      </c>
      <c r="I11" s="654"/>
      <c r="T11" s="1049"/>
      <c r="U11" s="1049"/>
      <c r="V11" s="197"/>
    </row>
    <row r="12" spans="1:24" ht="18" customHeight="1">
      <c r="A12" s="196"/>
      <c r="B12" s="47" t="s">
        <v>407</v>
      </c>
      <c r="G12" s="120" t="s">
        <v>508</v>
      </c>
      <c r="H12" s="653">
        <v>9</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674">
        <f>'CT-VT Burdens'!Q86</f>
        <v>0.25</v>
      </c>
      <c r="K19" s="670"/>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9</v>
      </c>
      <c r="Q22" s="665"/>
      <c r="R22" s="27" t="s">
        <v>168</v>
      </c>
      <c r="S22" s="27"/>
      <c r="T22" s="27"/>
      <c r="V22" s="197"/>
    </row>
    <row r="23" spans="1:31" ht="18" customHeight="1">
      <c r="A23" s="196"/>
      <c r="B23" s="1" t="s">
        <v>424</v>
      </c>
      <c r="C23" s="2"/>
      <c r="D23" s="2"/>
      <c r="E23" s="2"/>
      <c r="F23" s="208"/>
      <c r="G23" s="208"/>
      <c r="H23" s="236" t="s">
        <v>523</v>
      </c>
      <c r="I23" s="195" t="s">
        <v>138</v>
      </c>
      <c r="J23" s="678">
        <f>SUM(J18:K22)</f>
        <v>0.70675935000000001</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3150</v>
      </c>
      <c r="Q25" s="989"/>
      <c r="R25" s="204" t="s">
        <v>9</v>
      </c>
      <c r="V25" s="197"/>
    </row>
    <row r="26" spans="1:31" ht="18" customHeight="1">
      <c r="A26" s="196"/>
      <c r="B26" s="47" t="s">
        <v>558</v>
      </c>
      <c r="C26" s="47"/>
      <c r="D26" s="47"/>
      <c r="E26" s="47"/>
      <c r="H26" s="27"/>
      <c r="I26" s="28"/>
      <c r="J26" s="211"/>
      <c r="L26" s="47"/>
      <c r="N26" s="120" t="s">
        <v>583</v>
      </c>
      <c r="O26" s="28" t="s">
        <v>138</v>
      </c>
      <c r="P26" s="989">
        <f>H12</f>
        <v>9</v>
      </c>
      <c r="Q26" s="989"/>
      <c r="R26" s="316" t="s">
        <v>168</v>
      </c>
      <c r="V26" s="197"/>
    </row>
    <row r="27" spans="1:31" ht="18" customHeight="1">
      <c r="A27" s="196"/>
      <c r="B27" s="47" t="s">
        <v>559</v>
      </c>
      <c r="C27" s="47"/>
      <c r="D27" s="47"/>
      <c r="E27" s="47"/>
      <c r="H27" s="27"/>
      <c r="I27" s="28"/>
      <c r="J27" s="211"/>
      <c r="L27" s="47"/>
      <c r="N27" s="120" t="s">
        <v>584</v>
      </c>
      <c r="O27" s="28" t="s">
        <v>138</v>
      </c>
      <c r="P27" s="940">
        <f>J23</f>
        <v>0.70675935000000001</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47" t="s">
        <v>588</v>
      </c>
      <c r="C30" s="47"/>
      <c r="D30" s="47"/>
      <c r="E30" s="47"/>
      <c r="H30" s="27"/>
      <c r="I30" s="28"/>
      <c r="J30" s="211"/>
      <c r="L30" s="47"/>
      <c r="O30" s="28" t="s">
        <v>138</v>
      </c>
      <c r="P30" s="940">
        <v>20</v>
      </c>
      <c r="Q30" s="94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0.70675935000000001</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0.70675935000000001</v>
      </c>
      <c r="S38" s="308" t="s">
        <v>361</v>
      </c>
      <c r="V38" s="197"/>
    </row>
    <row r="39" spans="1:22" ht="18" customHeight="1">
      <c r="A39" s="196"/>
      <c r="I39" s="27" t="s">
        <v>138</v>
      </c>
      <c r="J39" s="680">
        <f>J38*((L38+N38)/(P38+R38))</f>
        <v>9.7869944617510267</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0.70675935000000001</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9.7869944617510267</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81" t="str">
        <f>B7</f>
        <v>T1</v>
      </c>
      <c r="C50" s="682"/>
      <c r="D50" s="683" t="str">
        <f>D7</f>
        <v>Core5</v>
      </c>
      <c r="E50" s="684"/>
      <c r="F50" s="267"/>
      <c r="H50" s="665" t="str">
        <f>H7</f>
        <v>(Tariff Meter- Check)</v>
      </c>
      <c r="I50" s="665"/>
      <c r="J50" s="665"/>
      <c r="K50" s="665"/>
      <c r="L50" s="665"/>
      <c r="M50" s="665"/>
      <c r="P50" s="198"/>
      <c r="R50" s="267"/>
      <c r="S50" s="199" t="s">
        <v>398</v>
      </c>
      <c r="T50" s="1047" t="str">
        <f>T7</f>
        <v>XC-RACK</v>
      </c>
      <c r="U50" s="1048"/>
      <c r="V50" s="197"/>
    </row>
    <row r="51" spans="1:23" ht="18" customHeight="1">
      <c r="A51" s="196"/>
      <c r="B51" s="695">
        <f>B8</f>
        <v>0</v>
      </c>
      <c r="C51" s="695"/>
      <c r="D51" s="685"/>
      <c r="E51" s="686"/>
      <c r="F51" s="267"/>
      <c r="T51" s="1047" t="str">
        <f>T8</f>
        <v>GOSSEN</v>
      </c>
      <c r="U51" s="1048"/>
      <c r="V51" s="197"/>
    </row>
    <row r="52" spans="1:23" ht="18" customHeight="1">
      <c r="A52" s="196"/>
      <c r="H52" s="696" t="s">
        <v>401</v>
      </c>
      <c r="I52" s="696"/>
      <c r="J52" s="666" t="s">
        <v>402</v>
      </c>
      <c r="K52" s="666"/>
      <c r="L52" s="667" t="s">
        <v>403</v>
      </c>
      <c r="M52" s="667"/>
      <c r="T52" s="1047"/>
      <c r="U52" s="1048"/>
      <c r="V52" s="197"/>
    </row>
    <row r="53" spans="1:23" ht="18" customHeight="1">
      <c r="A53" s="196"/>
      <c r="B53" s="47" t="s">
        <v>404</v>
      </c>
      <c r="H53" s="681">
        <f>H10</f>
        <v>3150</v>
      </c>
      <c r="I53" s="682"/>
      <c r="J53" s="1038">
        <f>J10</f>
        <v>2000</v>
      </c>
      <c r="K53" s="1039"/>
      <c r="L53" s="681" t="str">
        <f>L10</f>
        <v>-</v>
      </c>
      <c r="M53" s="682"/>
      <c r="N53" s="203" t="s">
        <v>353</v>
      </c>
      <c r="O53" s="501">
        <f>O10</f>
        <v>1</v>
      </c>
      <c r="P53" s="27" t="s">
        <v>9</v>
      </c>
      <c r="T53" s="1047"/>
      <c r="U53" s="1048"/>
      <c r="V53" s="197"/>
    </row>
    <row r="54" spans="1:23" ht="18" customHeight="1">
      <c r="A54" s="196"/>
      <c r="B54" s="47" t="s">
        <v>405</v>
      </c>
      <c r="H54" s="14"/>
      <c r="I54" s="14"/>
      <c r="J54" s="681" t="str">
        <f>H11</f>
        <v>0.2sFS5</v>
      </c>
      <c r="K54" s="682"/>
      <c r="L54" s="14"/>
      <c r="M54" s="14"/>
      <c r="V54" s="197"/>
    </row>
    <row r="55" spans="1:23" ht="18" customHeight="1">
      <c r="A55" s="196"/>
      <c r="B55" s="47" t="s">
        <v>407</v>
      </c>
      <c r="I55" s="120" t="s">
        <v>508</v>
      </c>
      <c r="J55" s="653">
        <v>5</v>
      </c>
      <c r="K55" s="654"/>
      <c r="L55" s="204" t="s">
        <v>344</v>
      </c>
      <c r="T55" s="307"/>
      <c r="U55" s="18"/>
      <c r="V55" s="197"/>
    </row>
    <row r="56" spans="1:23" ht="18" customHeight="1">
      <c r="A56" s="196"/>
      <c r="B56" s="30" t="s">
        <v>579</v>
      </c>
      <c r="I56" s="120" t="s">
        <v>580</v>
      </c>
      <c r="J56" s="653">
        <v>5</v>
      </c>
      <c r="K56" s="654"/>
      <c r="T56" s="307"/>
      <c r="U56" s="18"/>
      <c r="V56" s="197"/>
      <c r="W56" s="30" t="str">
        <f>J90</f>
        <v>Suitable Dimensions</v>
      </c>
    </row>
    <row r="57" spans="1:23" ht="18" customHeight="1">
      <c r="A57" s="196"/>
      <c r="B57" s="47" t="s">
        <v>573</v>
      </c>
      <c r="I57" s="120" t="s">
        <v>504</v>
      </c>
      <c r="J57" s="653">
        <v>7.5</v>
      </c>
      <c r="K57" s="654"/>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697">
        <f t="shared" si="0"/>
        <v>0.25</v>
      </c>
      <c r="K62" s="698"/>
      <c r="L62" s="210" t="s">
        <v>168</v>
      </c>
      <c r="P62" s="256"/>
      <c r="V62" s="197"/>
    </row>
    <row r="63" spans="1:23" ht="18"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customHeight="1">
      <c r="A66" s="196"/>
      <c r="B66" s="1" t="s">
        <v>424</v>
      </c>
      <c r="C66" s="2"/>
      <c r="D66" s="2"/>
      <c r="E66" s="2"/>
      <c r="F66" s="208"/>
      <c r="G66" s="208"/>
      <c r="H66" s="236" t="s">
        <v>523</v>
      </c>
      <c r="I66" s="195" t="s">
        <v>138</v>
      </c>
      <c r="J66" s="678">
        <f t="shared" si="0"/>
        <v>0.70675935000000001</v>
      </c>
      <c r="K66" s="67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9">
        <f>J53</f>
        <v>2000</v>
      </c>
      <c r="Q68" s="989"/>
      <c r="R68" s="204" t="s">
        <v>9</v>
      </c>
      <c r="V68" s="197"/>
    </row>
    <row r="69" spans="1:22" ht="18" customHeight="1">
      <c r="A69" s="196"/>
      <c r="B69" s="47" t="s">
        <v>558</v>
      </c>
      <c r="C69" s="47"/>
      <c r="D69" s="47"/>
      <c r="E69" s="47"/>
      <c r="H69" s="27"/>
      <c r="I69" s="28"/>
      <c r="J69" s="211"/>
      <c r="L69" s="47"/>
      <c r="N69" s="120" t="s">
        <v>583</v>
      </c>
      <c r="O69" s="28" t="s">
        <v>138</v>
      </c>
      <c r="P69" s="989">
        <f>J55</f>
        <v>5</v>
      </c>
      <c r="Q69" s="989"/>
      <c r="R69" s="316" t="s">
        <v>168</v>
      </c>
      <c r="V69" s="197"/>
    </row>
    <row r="70" spans="1:22" ht="18" customHeight="1">
      <c r="A70" s="196"/>
      <c r="B70" s="47" t="s">
        <v>559</v>
      </c>
      <c r="C70" s="47"/>
      <c r="D70" s="47"/>
      <c r="E70" s="47"/>
      <c r="H70" s="27"/>
      <c r="I70" s="28"/>
      <c r="J70" s="211"/>
      <c r="L70" s="47"/>
      <c r="N70" s="120" t="s">
        <v>584</v>
      </c>
      <c r="O70" s="28" t="s">
        <v>138</v>
      </c>
      <c r="P70" s="940">
        <f>J66</f>
        <v>0.70675935000000001</v>
      </c>
      <c r="Q70" s="989"/>
      <c r="R70" s="316" t="s">
        <v>168</v>
      </c>
      <c r="V70" s="197"/>
    </row>
    <row r="71" spans="1:22" ht="18" customHeight="1">
      <c r="A71" s="196"/>
      <c r="B71" s="47" t="s">
        <v>560</v>
      </c>
      <c r="C71" s="47"/>
      <c r="D71" s="47"/>
      <c r="E71" s="47"/>
      <c r="H71" s="27"/>
      <c r="I71" s="28"/>
      <c r="J71" s="211"/>
      <c r="L71" s="47"/>
      <c r="N71" s="120" t="s">
        <v>522</v>
      </c>
      <c r="O71" s="28" t="s">
        <v>138</v>
      </c>
      <c r="P71" s="989">
        <f>O53</f>
        <v>1</v>
      </c>
      <c r="Q71" s="989"/>
      <c r="R71" s="204" t="s">
        <v>9</v>
      </c>
      <c r="V71" s="197"/>
    </row>
    <row r="72" spans="1:22" ht="18" customHeight="1">
      <c r="A72" s="196"/>
      <c r="B72" s="47" t="s">
        <v>585</v>
      </c>
      <c r="C72" s="47"/>
      <c r="D72" s="47"/>
      <c r="E72" s="47"/>
      <c r="H72" s="27"/>
      <c r="I72" s="28"/>
      <c r="J72" s="211"/>
      <c r="L72" s="47"/>
      <c r="N72" s="120" t="s">
        <v>506</v>
      </c>
      <c r="O72" s="28" t="s">
        <v>138</v>
      </c>
      <c r="P72" s="989">
        <v>10</v>
      </c>
      <c r="Q72" s="989"/>
      <c r="R72" s="204"/>
      <c r="V72" s="197"/>
    </row>
    <row r="73" spans="1:22" ht="18" customHeight="1">
      <c r="A73" s="196"/>
      <c r="B73" s="47" t="s">
        <v>588</v>
      </c>
      <c r="C73" s="47"/>
      <c r="D73" s="47"/>
      <c r="E73" s="47"/>
      <c r="H73" s="27"/>
      <c r="I73" s="28"/>
      <c r="J73" s="211"/>
      <c r="L73" s="47"/>
      <c r="O73" s="28" t="s">
        <v>138</v>
      </c>
      <c r="P73" s="940">
        <v>20</v>
      </c>
      <c r="Q73" s="94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68">
        <f>J66</f>
        <v>0.70675935000000001</v>
      </c>
      <c r="K78" s="665"/>
      <c r="L78" s="28"/>
      <c r="M78" s="668"/>
      <c r="N78" s="665"/>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0.70675935000000001</v>
      </c>
      <c r="S81" s="308" t="s">
        <v>361</v>
      </c>
      <c r="V81" s="197"/>
    </row>
    <row r="82" spans="1:22" ht="18" customHeight="1">
      <c r="A82" s="196"/>
      <c r="I82" s="27" t="s">
        <v>138</v>
      </c>
      <c r="J82" s="680">
        <f>J81*((L81+N81)/(P81+R81))</f>
        <v>10.951924930915474</v>
      </c>
      <c r="K82" s="68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65">
        <f>J57</f>
        <v>7.5</v>
      </c>
      <c r="H86" s="665"/>
      <c r="I86" s="27" t="str">
        <f>IF(G86&gt;J86,"&gt;","&lt;")</f>
        <v>&gt;</v>
      </c>
      <c r="J86" s="668">
        <f>J78</f>
        <v>0.70675935000000001</v>
      </c>
      <c r="K86" s="665"/>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68">
        <f>P73</f>
        <v>20</v>
      </c>
      <c r="H89" s="668"/>
      <c r="I89" s="27" t="str">
        <f>IF(G89&gt;J89,"&gt;","&lt;")</f>
        <v>&gt;</v>
      </c>
      <c r="J89" s="668">
        <f>J82</f>
        <v>10.951924930915474</v>
      </c>
      <c r="K89" s="668"/>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Core5</v>
      </c>
      <c r="E95" s="711"/>
      <c r="F95" s="267"/>
      <c r="H95" s="665" t="str">
        <f>H50</f>
        <v>(Tariff Meter- Check)</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3150</v>
      </c>
      <c r="I98" s="709"/>
      <c r="J98" s="708">
        <f>J53</f>
        <v>2000</v>
      </c>
      <c r="K98" s="709"/>
      <c r="L98" s="714" t="str">
        <f>L53</f>
        <v>-</v>
      </c>
      <c r="M98" s="715"/>
      <c r="N98" s="203" t="s">
        <v>353</v>
      </c>
      <c r="O98" s="268">
        <f>O53</f>
        <v>1</v>
      </c>
      <c r="P98" s="27" t="s">
        <v>9</v>
      </c>
      <c r="V98" s="197"/>
    </row>
    <row r="99" spans="1:23" ht="18" hidden="1" customHeight="1">
      <c r="A99" s="196"/>
      <c r="B99" s="47" t="s">
        <v>405</v>
      </c>
      <c r="H99" s="14"/>
      <c r="I99" s="14"/>
      <c r="K99" s="14"/>
      <c r="L99" s="708" t="str">
        <f>J54</f>
        <v>0.2sFS5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GOSSEN</v>
      </c>
      <c r="I107" s="189" t="s">
        <v>138</v>
      </c>
      <c r="J107" s="697">
        <f t="shared" si="1"/>
        <v>0.25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0.70675935000000001</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0.70675935000000001</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0.70675935000000001</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Core5</v>
      </c>
      <c r="C144" s="733"/>
      <c r="D144" s="732">
        <f>H98</f>
        <v>3150</v>
      </c>
      <c r="E144" s="732"/>
      <c r="F144" s="734">
        <f>O98</f>
        <v>1</v>
      </c>
      <c r="G144" s="737">
        <f>'CT-VT Burdens'!S19</f>
        <v>50</v>
      </c>
      <c r="H144" s="740">
        <f>'CT-VT Burdens'!S10</f>
        <v>6</v>
      </c>
      <c r="I144" s="794" t="str">
        <f>L99</f>
        <v>0.2sFS5</v>
      </c>
      <c r="J144" s="794"/>
      <c r="K144" s="728">
        <f>H12</f>
        <v>9</v>
      </c>
      <c r="L144" s="728"/>
      <c r="M144" s="728">
        <f>H14</f>
        <v>10</v>
      </c>
      <c r="N144" s="728"/>
      <c r="O144" s="732" t="s">
        <v>7</v>
      </c>
      <c r="P144" s="732"/>
      <c r="Q144" s="739" t="str">
        <f>CONCATENATE(T7," ",T8," ",T9," ",T10)</f>
        <v xml:space="preserve">XC-RACK GOSSEN  </v>
      </c>
      <c r="R144" s="739"/>
      <c r="S144" s="738" t="str">
        <f>J47</f>
        <v>Suitable Dimensions</v>
      </c>
      <c r="T144" s="738"/>
      <c r="U144" s="738"/>
      <c r="V144" s="738"/>
    </row>
    <row r="145" spans="1:22" ht="18" customHeight="1">
      <c r="A145" s="733"/>
      <c r="B145" s="733"/>
      <c r="C145" s="733"/>
      <c r="D145" s="732">
        <f>J98</f>
        <v>2000</v>
      </c>
      <c r="E145" s="732"/>
      <c r="F145" s="735"/>
      <c r="G145" s="737"/>
      <c r="H145" s="740"/>
      <c r="I145" s="794"/>
      <c r="J145" s="794"/>
      <c r="K145" s="728">
        <f>J55</f>
        <v>5</v>
      </c>
      <c r="L145" s="728"/>
      <c r="M145" s="728">
        <f>J57</f>
        <v>7.5</v>
      </c>
      <c r="N145" s="728"/>
      <c r="O145" s="732" t="s">
        <v>7</v>
      </c>
      <c r="P145" s="732"/>
      <c r="Q145" s="739"/>
      <c r="R145" s="739"/>
      <c r="S145" s="738" t="str">
        <f>J90</f>
        <v>Suitable Dimensions</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086" t="str">
        <f>[5]Title!A1</f>
        <v/>
      </c>
      <c r="B1" s="1087"/>
      <c r="C1" s="1087"/>
      <c r="D1" s="1087"/>
      <c r="E1" s="1087"/>
      <c r="F1" s="1087"/>
      <c r="G1" s="1088"/>
      <c r="H1" s="636" t="str">
        <f>[5]Title!H1</f>
        <v>CT / VT</v>
      </c>
      <c r="I1" s="637"/>
      <c r="J1" s="637"/>
      <c r="K1" s="637"/>
      <c r="L1" s="637"/>
      <c r="M1" s="637"/>
      <c r="N1" s="638"/>
      <c r="O1" s="612" t="str">
        <f>[5]Title!O1</f>
        <v>Contract No.</v>
      </c>
      <c r="P1" s="613"/>
      <c r="Q1" s="614"/>
      <c r="R1" s="615" t="str">
        <f>[5]Title!R1</f>
        <v>N-16682</v>
      </c>
      <c r="S1" s="616"/>
      <c r="T1" s="616"/>
      <c r="U1" s="616"/>
      <c r="V1" s="617"/>
      <c r="W1" s="14"/>
      <c r="X1" s="14"/>
    </row>
    <row r="2" spans="1:29" ht="18" customHeight="1">
      <c r="A2" s="1089"/>
      <c r="B2" s="1090"/>
      <c r="C2" s="1090"/>
      <c r="D2" s="1090"/>
      <c r="E2" s="1090"/>
      <c r="F2" s="1090"/>
      <c r="G2" s="1091"/>
      <c r="H2" s="639" t="str">
        <f>[5]Title!H2</f>
        <v>CALCULATION</v>
      </c>
      <c r="I2" s="640"/>
      <c r="J2" s="640"/>
      <c r="K2" s="640"/>
      <c r="L2" s="640"/>
      <c r="M2" s="640"/>
      <c r="N2" s="641"/>
      <c r="O2" s="612" t="str">
        <f>[5]Title!O2</f>
        <v>Date</v>
      </c>
      <c r="P2" s="613"/>
      <c r="Q2" s="614"/>
      <c r="R2" s="615">
        <f>[5]Title!R2</f>
        <v>45276</v>
      </c>
      <c r="S2" s="616"/>
      <c r="T2" s="616"/>
      <c r="U2" s="616"/>
      <c r="V2" s="617"/>
      <c r="W2" s="14"/>
      <c r="X2" s="14"/>
    </row>
    <row r="3" spans="1:29" ht="18" customHeight="1">
      <c r="A3" s="716" t="str">
        <f>[5]Title!A3</f>
        <v>HITACHI ENERGY - GRID AUTOMATION</v>
      </c>
      <c r="B3" s="729"/>
      <c r="C3" s="729"/>
      <c r="D3" s="729"/>
      <c r="E3" s="729"/>
      <c r="F3" s="729"/>
      <c r="G3" s="717"/>
      <c r="H3" s="645" t="str">
        <f>Title!H3</f>
        <v>LT14 - LEWIS
400/132kV SUBSTATION</v>
      </c>
      <c r="I3" s="646"/>
      <c r="J3" s="646"/>
      <c r="K3" s="646"/>
      <c r="L3" s="646"/>
      <c r="M3" s="646"/>
      <c r="N3" s="647"/>
      <c r="O3" s="612" t="str">
        <f>[5]Title!O3</f>
        <v>Document No.</v>
      </c>
      <c r="P3" s="613"/>
      <c r="Q3" s="614"/>
      <c r="R3" s="615" t="str">
        <f>[5]Title!R3</f>
        <v>N16682-CB-0070-J-7901</v>
      </c>
      <c r="S3" s="616"/>
      <c r="T3" s="616"/>
      <c r="U3" s="616"/>
      <c r="V3" s="617"/>
      <c r="W3" s="14"/>
      <c r="X3" s="14"/>
    </row>
    <row r="4" spans="1:29" ht="18" customHeight="1">
      <c r="A4" s="720"/>
      <c r="B4" s="731"/>
      <c r="C4" s="731"/>
      <c r="D4" s="731"/>
      <c r="E4" s="731"/>
      <c r="F4" s="731"/>
      <c r="G4" s="721"/>
      <c r="H4" s="648"/>
      <c r="I4" s="649"/>
      <c r="J4" s="649"/>
      <c r="K4" s="649"/>
      <c r="L4" s="649"/>
      <c r="M4" s="649"/>
      <c r="N4" s="650"/>
      <c r="O4" s="612" t="str">
        <f>[5]Title!O4</f>
        <v>Revision No.</v>
      </c>
      <c r="P4" s="613"/>
      <c r="Q4" s="614"/>
      <c r="R4" s="615" t="str">
        <f>[5]Title!R4</f>
        <v>A</v>
      </c>
      <c r="S4" s="616"/>
      <c r="T4" s="616"/>
      <c r="U4" s="616"/>
      <c r="V4" s="617"/>
      <c r="W4" s="14"/>
      <c r="X4" s="14"/>
    </row>
    <row r="5" spans="1:29" ht="18" customHeight="1">
      <c r="A5" s="618" t="str">
        <f>[5]Title!A5</f>
        <v>Prep. By</v>
      </c>
      <c r="B5" s="619"/>
      <c r="C5" s="25" t="str">
        <f>[5]Title!C5</f>
        <v>PK</v>
      </c>
      <c r="D5" s="618" t="str">
        <f>[5]Title!D5</f>
        <v>Checked By</v>
      </c>
      <c r="E5" s="620"/>
      <c r="F5" s="619"/>
      <c r="G5" s="25" t="str">
        <f>[5]Title!G5</f>
        <v>RN</v>
      </c>
      <c r="H5" s="621" t="s">
        <v>604</v>
      </c>
      <c r="I5" s="622"/>
      <c r="J5" s="622"/>
      <c r="K5" s="622"/>
      <c r="L5" s="622"/>
      <c r="M5" s="622"/>
      <c r="N5" s="623"/>
      <c r="O5" s="624" t="str">
        <f>[5]Title!O5</f>
        <v>Contractor</v>
      </c>
      <c r="P5" s="625"/>
      <c r="Q5" s="626"/>
      <c r="R5" s="615" t="str">
        <f>[5]Title!R5</f>
        <v>HITACHI ENERGY</v>
      </c>
      <c r="S5" s="616"/>
      <c r="T5" s="616"/>
      <c r="U5" s="616"/>
      <c r="V5" s="617"/>
      <c r="W5" s="14"/>
      <c r="X5" s="14"/>
    </row>
    <row r="6" spans="1:29" ht="18" customHeight="1">
      <c r="A6" s="196"/>
      <c r="V6" s="197"/>
    </row>
    <row r="7" spans="1:29" ht="18" customHeight="1">
      <c r="A7" s="196"/>
      <c r="B7" s="659" t="s">
        <v>120</v>
      </c>
      <c r="C7" s="660"/>
      <c r="D7" s="659" t="s">
        <v>517</v>
      </c>
      <c r="E7" s="660"/>
      <c r="F7" s="198"/>
      <c r="H7" s="664" t="s">
        <v>605</v>
      </c>
      <c r="I7" s="664"/>
      <c r="J7" s="664"/>
      <c r="K7" s="664"/>
      <c r="L7" s="664"/>
      <c r="M7" s="664"/>
      <c r="N7" s="664"/>
      <c r="P7" s="198"/>
      <c r="S7" s="199" t="s">
        <v>398</v>
      </c>
      <c r="T7" s="1126" t="s">
        <v>216</v>
      </c>
      <c r="U7" s="1127"/>
      <c r="V7" s="197"/>
    </row>
    <row r="8" spans="1:29" ht="18" customHeight="1">
      <c r="A8" s="196"/>
      <c r="B8" s="659"/>
      <c r="C8" s="660"/>
      <c r="D8" s="659"/>
      <c r="E8" s="660"/>
      <c r="F8" s="267"/>
      <c r="T8" s="1126"/>
      <c r="U8" s="1127"/>
      <c r="V8" s="197"/>
    </row>
    <row r="9" spans="1:29" ht="18" customHeight="1">
      <c r="A9" s="1124"/>
      <c r="B9" s="1125"/>
      <c r="C9" s="1125"/>
      <c r="D9" s="665"/>
      <c r="H9" s="666" t="s">
        <v>401</v>
      </c>
      <c r="I9" s="666"/>
      <c r="J9" s="696" t="s">
        <v>402</v>
      </c>
      <c r="K9" s="696"/>
      <c r="L9" s="696" t="s">
        <v>403</v>
      </c>
      <c r="M9" s="696"/>
      <c r="T9" s="1126"/>
      <c r="U9" s="1127"/>
      <c r="V9" s="197"/>
    </row>
    <row r="10" spans="1:29" ht="18" customHeight="1">
      <c r="A10" s="196"/>
      <c r="B10" s="47" t="s">
        <v>404</v>
      </c>
      <c r="H10" s="651">
        <v>2500</v>
      </c>
      <c r="I10" s="652"/>
      <c r="J10" s="653" t="s">
        <v>7</v>
      </c>
      <c r="K10" s="654"/>
      <c r="L10" s="653" t="s">
        <v>7</v>
      </c>
      <c r="M10" s="654"/>
      <c r="N10" s="203" t="s">
        <v>353</v>
      </c>
      <c r="O10" s="125">
        <v>1</v>
      </c>
      <c r="P10" s="27" t="s">
        <v>9</v>
      </c>
      <c r="V10" s="197"/>
    </row>
    <row r="11" spans="1:29" ht="18" customHeight="1">
      <c r="A11" s="196"/>
      <c r="B11" s="47" t="s">
        <v>405</v>
      </c>
      <c r="H11" s="653" t="s">
        <v>406</v>
      </c>
      <c r="I11" s="1130"/>
      <c r="V11" s="197"/>
    </row>
    <row r="12" spans="1:29" ht="18" customHeight="1">
      <c r="A12" s="196"/>
      <c r="B12" s="47" t="s">
        <v>407</v>
      </c>
      <c r="G12" s="120" t="s">
        <v>508</v>
      </c>
      <c r="H12" s="653">
        <v>10</v>
      </c>
      <c r="I12" s="654"/>
      <c r="J12" s="204" t="s">
        <v>344</v>
      </c>
      <c r="V12" s="197"/>
    </row>
    <row r="13" spans="1:29" ht="18" customHeight="1">
      <c r="A13" s="196"/>
      <c r="B13" s="47" t="s">
        <v>409</v>
      </c>
      <c r="G13" s="120" t="s">
        <v>509</v>
      </c>
      <c r="H13" s="653">
        <v>400</v>
      </c>
      <c r="I13" s="654"/>
      <c r="J13" s="14" t="s">
        <v>316</v>
      </c>
      <c r="V13" s="197"/>
      <c r="W13" s="30" t="s">
        <v>411</v>
      </c>
      <c r="AB13" s="1022">
        <f>D60</f>
        <v>84.4</v>
      </c>
      <c r="AC13" s="1023"/>
    </row>
    <row r="14" spans="1:29" ht="18" customHeight="1">
      <c r="A14" s="196"/>
      <c r="B14" s="14" t="s">
        <v>412</v>
      </c>
      <c r="G14" s="120" t="s">
        <v>413</v>
      </c>
      <c r="H14" s="653">
        <v>50</v>
      </c>
      <c r="I14" s="654"/>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069">
        <f>'CT-VT Burdens'!Q63</f>
        <v>0.1</v>
      </c>
      <c r="K18" s="671"/>
      <c r="L18" s="3" t="s">
        <v>168</v>
      </c>
      <c r="V18" s="197"/>
    </row>
    <row r="19" spans="1:22" ht="18" customHeight="1">
      <c r="A19" s="196"/>
      <c r="B19" s="196" t="s">
        <v>416</v>
      </c>
      <c r="D19" s="30">
        <f>T8</f>
        <v>0</v>
      </c>
      <c r="H19" s="27"/>
      <c r="I19" s="189" t="s">
        <v>138</v>
      </c>
      <c r="J19" s="1072"/>
      <c r="K19" s="673"/>
      <c r="L19" s="210" t="s">
        <v>168</v>
      </c>
      <c r="V19" s="197"/>
    </row>
    <row r="20" spans="1:22" ht="18" customHeight="1">
      <c r="A20" s="196"/>
      <c r="B20" s="196" t="s">
        <v>416</v>
      </c>
      <c r="D20" s="30">
        <f>T9</f>
        <v>0</v>
      </c>
      <c r="E20" s="14"/>
      <c r="G20" s="211"/>
      <c r="H20" s="27"/>
      <c r="I20" s="189" t="s">
        <v>138</v>
      </c>
      <c r="J20" s="674"/>
      <c r="K20" s="675"/>
      <c r="L20" s="214" t="s">
        <v>168</v>
      </c>
      <c r="V20" s="197"/>
    </row>
    <row r="21" spans="1:22" ht="18" customHeight="1">
      <c r="A21" s="196"/>
      <c r="B21" s="196" t="s">
        <v>423</v>
      </c>
      <c r="H21" s="27" t="s">
        <v>610</v>
      </c>
      <c r="I21" s="189" t="s">
        <v>138</v>
      </c>
      <c r="J21" s="1045">
        <f>'CT-VT Burdens'!S22</f>
        <v>0.44875935000000006</v>
      </c>
      <c r="K21" s="1073"/>
      <c r="L21" s="215" t="s">
        <v>168</v>
      </c>
      <c r="V21" s="197"/>
    </row>
    <row r="22" spans="1:22" ht="18" customHeight="1">
      <c r="A22" s="196"/>
      <c r="B22" s="217" t="s">
        <v>424</v>
      </c>
      <c r="C22" s="218"/>
      <c r="D22" s="218"/>
      <c r="E22" s="218"/>
      <c r="F22" s="219"/>
      <c r="G22" s="219"/>
      <c r="H22" s="202" t="s">
        <v>420</v>
      </c>
      <c r="I22" s="220" t="s">
        <v>138</v>
      </c>
      <c r="J22" s="896">
        <f>J19+J21</f>
        <v>0.44875935000000006</v>
      </c>
      <c r="K22" s="67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0.44875935000000006</v>
      </c>
      <c r="P26" s="203" t="s">
        <v>421</v>
      </c>
      <c r="Q26" s="27">
        <f>O10</f>
        <v>1</v>
      </c>
      <c r="R26" s="27" t="s">
        <v>326</v>
      </c>
      <c r="S26" s="27">
        <f>O10</f>
        <v>1</v>
      </c>
      <c r="T26" s="30" t="s">
        <v>361</v>
      </c>
      <c r="V26" s="197"/>
    </row>
    <row r="27" spans="1:22" ht="18" customHeight="1">
      <c r="A27" s="196"/>
      <c r="B27" s="47"/>
      <c r="C27" s="27" t="s">
        <v>138</v>
      </c>
      <c r="D27" s="668">
        <f>D26/(F26*H26)</f>
        <v>0.1</v>
      </c>
      <c r="E27" s="668"/>
      <c r="F27" s="204" t="s">
        <v>344</v>
      </c>
      <c r="J27" s="211"/>
      <c r="L27" s="47"/>
      <c r="N27" s="27" t="s">
        <v>138</v>
      </c>
      <c r="O27" s="668">
        <f>O26/(Q26*S26)</f>
        <v>0.44875935000000006</v>
      </c>
      <c r="P27" s="668"/>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668">
        <f>D27</f>
        <v>0.1</v>
      </c>
      <c r="N29" s="668"/>
      <c r="O29" s="27" t="s">
        <v>358</v>
      </c>
      <c r="P29" s="668">
        <f>O27</f>
        <v>0.44875935000000006</v>
      </c>
      <c r="Q29" s="668"/>
      <c r="R29" s="223" t="s">
        <v>138</v>
      </c>
      <c r="S29" s="668">
        <f>M29+P29</f>
        <v>0.54875935000000009</v>
      </c>
      <c r="T29" s="668"/>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914"/>
      <c r="Q31" s="14" t="s">
        <v>613</v>
      </c>
      <c r="S31" s="226"/>
      <c r="T31" s="18"/>
      <c r="U31" s="18"/>
      <c r="V31" s="97"/>
    </row>
    <row r="32" spans="1:22" s="14" customFormat="1" ht="18" customHeight="1">
      <c r="A32" s="96"/>
      <c r="B32" s="47" t="s">
        <v>614</v>
      </c>
      <c r="C32" s="5"/>
      <c r="D32" s="5"/>
      <c r="E32" s="5"/>
      <c r="I32" s="227"/>
      <c r="M32" s="5"/>
      <c r="N32" s="103" t="s">
        <v>138</v>
      </c>
      <c r="O32" s="1126">
        <v>25</v>
      </c>
      <c r="P32" s="914"/>
      <c r="Q32" s="14" t="s">
        <v>615</v>
      </c>
      <c r="S32" s="226"/>
      <c r="T32" s="18"/>
      <c r="U32" s="18"/>
      <c r="V32" s="97"/>
    </row>
    <row r="33" spans="1:22" s="14" customFormat="1" ht="18" customHeight="1">
      <c r="A33" s="96"/>
      <c r="B33" s="47" t="s">
        <v>616</v>
      </c>
      <c r="C33" s="5"/>
      <c r="D33" s="5"/>
      <c r="E33" s="5"/>
      <c r="M33" s="120" t="s">
        <v>617</v>
      </c>
      <c r="N33" s="103" t="s">
        <v>618</v>
      </c>
      <c r="O33" s="1131">
        <v>33</v>
      </c>
      <c r="P33" s="709"/>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664" t="s">
        <v>621</v>
      </c>
      <c r="K35" s="664"/>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664">
        <f>O31</f>
        <v>100</v>
      </c>
      <c r="K36" s="664"/>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669">
        <f>(O31*1000)/(SQRT(3)*O33)</f>
        <v>1749.5462702715934</v>
      </c>
      <c r="K37" s="669"/>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664">
        <v>50000</v>
      </c>
      <c r="P41" s="936"/>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664" t="s">
        <v>484</v>
      </c>
      <c r="C44" s="1132" t="s">
        <v>663</v>
      </c>
      <c r="D44" s="291"/>
      <c r="E44" s="291"/>
      <c r="F44" s="291"/>
      <c r="G44" s="1015">
        <v>0.4</v>
      </c>
      <c r="H44" s="1157" t="s">
        <v>326</v>
      </c>
      <c r="I44" s="667" t="s">
        <v>682</v>
      </c>
      <c r="J44" s="1085"/>
      <c r="K44" s="1085"/>
      <c r="L44" s="1085"/>
      <c r="M44" s="1085"/>
      <c r="N44" s="664" t="s">
        <v>683</v>
      </c>
      <c r="O44" s="696" t="s">
        <v>431</v>
      </c>
      <c r="P44" s="664" t="s">
        <v>358</v>
      </c>
      <c r="Q44" s="667" t="s">
        <v>684</v>
      </c>
      <c r="R44" s="696" t="s">
        <v>685</v>
      </c>
      <c r="S44" s="667" t="s">
        <v>493</v>
      </c>
      <c r="T44" s="14"/>
      <c r="U44" s="942" t="s">
        <v>664</v>
      </c>
      <c r="V44" s="197"/>
    </row>
    <row r="45" spans="1:22" ht="18" customHeight="1">
      <c r="A45" s="96"/>
      <c r="B45" s="664"/>
      <c r="C45" s="664"/>
      <c r="D45" s="291"/>
      <c r="E45" s="291"/>
      <c r="F45" s="291"/>
      <c r="G45" s="1015"/>
      <c r="H45" s="664"/>
      <c r="I45" s="858" t="s">
        <v>494</v>
      </c>
      <c r="J45" s="1159"/>
      <c r="K45" s="1159"/>
      <c r="L45" s="1159"/>
      <c r="M45" s="1159"/>
      <c r="N45" s="664"/>
      <c r="O45" s="664"/>
      <c r="P45" s="664"/>
      <c r="Q45" s="664"/>
      <c r="R45" s="664"/>
      <c r="S45" s="664"/>
      <c r="T45" s="14"/>
      <c r="U45" s="664"/>
      <c r="V45" s="197"/>
    </row>
    <row r="46" spans="1:22" ht="18" customHeight="1">
      <c r="A46" s="96"/>
      <c r="B46" s="5"/>
      <c r="C46" s="5"/>
      <c r="D46" s="5"/>
      <c r="E46" s="5"/>
      <c r="M46" s="120"/>
      <c r="N46" s="28"/>
      <c r="O46" s="664"/>
      <c r="P46" s="936"/>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665">
        <f>H10</f>
        <v>2500</v>
      </c>
      <c r="T50" s="665"/>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665">
        <f>H12</f>
        <v>10</v>
      </c>
      <c r="T51" s="665"/>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668">
        <f>S29</f>
        <v>0.54875935000000009</v>
      </c>
      <c r="T52" s="668"/>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665">
        <f>O10</f>
        <v>1</v>
      </c>
      <c r="T53" s="665"/>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665">
        <f>O41</f>
        <v>50000</v>
      </c>
      <c r="T54" s="665"/>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668">
        <f>J37</f>
        <v>1749.5462702715934</v>
      </c>
      <c r="T55" s="665"/>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665">
        <f>'[5]CT-VT Burdens'!S18</f>
        <v>1</v>
      </c>
      <c r="T56" s="665"/>
      <c r="U56" s="30" t="s">
        <v>9</v>
      </c>
      <c r="V56" s="197"/>
    </row>
    <row r="57" spans="1:22" ht="18" customHeight="1">
      <c r="A57" s="96"/>
      <c r="B57" s="14"/>
      <c r="C57" s="14"/>
      <c r="D57" s="247"/>
      <c r="E57" s="14"/>
      <c r="F57" s="28"/>
      <c r="G57" s="261"/>
      <c r="H57" s="28"/>
      <c r="I57" s="263"/>
      <c r="J57" s="14"/>
      <c r="K57" s="292"/>
      <c r="M57" s="47"/>
      <c r="N57" s="280"/>
      <c r="P57" s="293"/>
      <c r="R57" s="246"/>
      <c r="S57" s="1160"/>
      <c r="T57" s="987"/>
      <c r="V57" s="197"/>
    </row>
    <row r="58" spans="1:22" s="291" customFormat="1" ht="18" customHeight="1">
      <c r="A58" s="289"/>
      <c r="B58" s="664" t="s">
        <v>484</v>
      </c>
      <c r="C58" s="1132" t="s">
        <v>663</v>
      </c>
      <c r="G58" s="1015">
        <f>G44</f>
        <v>0.4</v>
      </c>
      <c r="H58" s="1156" t="s">
        <v>326</v>
      </c>
      <c r="I58" s="996">
        <f>O41</f>
        <v>50000</v>
      </c>
      <c r="J58" s="1162"/>
      <c r="K58" s="1162"/>
      <c r="L58" s="1162"/>
      <c r="M58" s="1162"/>
      <c r="N58" s="664" t="s">
        <v>683</v>
      </c>
      <c r="O58" s="696">
        <f>S51</f>
        <v>10</v>
      </c>
      <c r="P58" s="664" t="s">
        <v>358</v>
      </c>
      <c r="Q58" s="996">
        <f>S52</f>
        <v>0.54875935000000009</v>
      </c>
      <c r="R58" s="696" t="s">
        <v>685</v>
      </c>
      <c r="S58" s="696">
        <f>S53</f>
        <v>1</v>
      </c>
      <c r="T58" s="14"/>
      <c r="U58" s="942" t="s">
        <v>664</v>
      </c>
      <c r="V58" s="197"/>
    </row>
    <row r="59" spans="1:22" s="291" customFormat="1" ht="18" customHeight="1">
      <c r="A59" s="289"/>
      <c r="B59" s="664"/>
      <c r="C59" s="664"/>
      <c r="G59" s="1015"/>
      <c r="H59" s="665"/>
      <c r="I59" s="1159">
        <f>H10</f>
        <v>2500</v>
      </c>
      <c r="J59" s="1159"/>
      <c r="K59" s="1159"/>
      <c r="L59" s="1159"/>
      <c r="M59" s="1159"/>
      <c r="N59" s="664"/>
      <c r="O59" s="664"/>
      <c r="P59" s="664"/>
      <c r="Q59" s="664"/>
      <c r="R59" s="664"/>
      <c r="S59" s="664"/>
      <c r="T59" s="14"/>
      <c r="U59" s="664"/>
      <c r="V59" s="197"/>
    </row>
    <row r="60" spans="1:22" ht="18" customHeight="1">
      <c r="A60" s="96"/>
      <c r="B60" s="14"/>
      <c r="C60" s="27" t="s">
        <v>138</v>
      </c>
      <c r="D60" s="875">
        <f>ROUNDUP(G58*(I58/(I59)*(O58+Q58)*S58),2)</f>
        <v>84.4</v>
      </c>
      <c r="E60" s="876"/>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664" t="s">
        <v>620</v>
      </c>
      <c r="P66" s="936"/>
      <c r="Q66" s="257" t="s">
        <v>692</v>
      </c>
      <c r="R66" s="788" t="str">
        <f>B32</f>
        <v>Percentage Impedance</v>
      </c>
      <c r="S66" s="788"/>
      <c r="T66" s="788"/>
      <c r="U66" s="788"/>
      <c r="V66" s="804"/>
    </row>
    <row r="67" spans="1:22" ht="18" customHeight="1">
      <c r="A67" s="96"/>
      <c r="B67" s="5"/>
      <c r="C67" s="5"/>
      <c r="D67" s="5"/>
      <c r="E67" s="5"/>
      <c r="M67" s="262"/>
      <c r="N67" s="28" t="s">
        <v>138</v>
      </c>
      <c r="O67" s="669">
        <f>J37</f>
        <v>1749.5462702715934</v>
      </c>
      <c r="P67" s="936"/>
      <c r="Q67" s="257" t="s">
        <v>353</v>
      </c>
      <c r="R67" s="233">
        <f>O32%</f>
        <v>0.25</v>
      </c>
      <c r="S67" s="226"/>
      <c r="V67" s="197"/>
    </row>
    <row r="68" spans="1:22" ht="18" customHeight="1">
      <c r="A68" s="96"/>
      <c r="B68" s="5"/>
      <c r="C68" s="5"/>
      <c r="D68" s="5"/>
      <c r="E68" s="5"/>
      <c r="M68" s="120" t="s">
        <v>624</v>
      </c>
      <c r="N68" s="28" t="s">
        <v>138</v>
      </c>
      <c r="O68" s="664">
        <f>O67/R67</f>
        <v>6998.1850810863734</v>
      </c>
      <c r="P68" s="936"/>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664" t="s">
        <v>484</v>
      </c>
      <c r="C70" s="1132" t="s">
        <v>663</v>
      </c>
      <c r="G70" s="1015">
        <v>1.6</v>
      </c>
      <c r="H70" s="1157" t="s">
        <v>326</v>
      </c>
      <c r="I70" s="667" t="s">
        <v>693</v>
      </c>
      <c r="J70" s="1085"/>
      <c r="K70" s="1085"/>
      <c r="L70" s="1085"/>
      <c r="M70" s="1085"/>
      <c r="N70" s="664" t="s">
        <v>683</v>
      </c>
      <c r="O70" s="696" t="s">
        <v>431</v>
      </c>
      <c r="P70" s="664" t="s">
        <v>358</v>
      </c>
      <c r="Q70" s="667" t="s">
        <v>684</v>
      </c>
      <c r="R70" s="696" t="s">
        <v>685</v>
      </c>
      <c r="S70" s="667" t="s">
        <v>493</v>
      </c>
      <c r="T70" s="14"/>
      <c r="U70" s="1163" t="s">
        <v>694</v>
      </c>
      <c r="V70" s="197"/>
    </row>
    <row r="71" spans="1:22" s="291" customFormat="1" ht="18" customHeight="1">
      <c r="A71" s="289"/>
      <c r="B71" s="664"/>
      <c r="C71" s="664"/>
      <c r="G71" s="1015"/>
      <c r="H71" s="664"/>
      <c r="I71" s="858" t="s">
        <v>494</v>
      </c>
      <c r="J71" s="1159"/>
      <c r="K71" s="1159"/>
      <c r="L71" s="1159"/>
      <c r="M71" s="1159"/>
      <c r="N71" s="664"/>
      <c r="O71" s="664"/>
      <c r="P71" s="664"/>
      <c r="Q71" s="664"/>
      <c r="R71" s="664"/>
      <c r="S71" s="664"/>
      <c r="T71" s="14"/>
      <c r="U71" s="664"/>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665">
        <f>H10</f>
        <v>2500</v>
      </c>
      <c r="T73" s="665"/>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665">
        <f>H12</f>
        <v>10</v>
      </c>
      <c r="T74" s="665"/>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668">
        <f>S29</f>
        <v>0.54875935000000009</v>
      </c>
      <c r="T75" s="668"/>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665">
        <f>O10</f>
        <v>1</v>
      </c>
      <c r="T76" s="665"/>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665">
        <f>O68</f>
        <v>6998.1850810863734</v>
      </c>
      <c r="T77" s="665"/>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668">
        <f>J37</f>
        <v>1749.5462702715934</v>
      </c>
      <c r="T78" s="665"/>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665">
        <f>O10</f>
        <v>1</v>
      </c>
      <c r="T79" s="665"/>
      <c r="U79" s="30" t="s">
        <v>9</v>
      </c>
      <c r="V79" s="197"/>
    </row>
    <row r="80" spans="1:22" ht="18" customHeight="1">
      <c r="A80" s="96"/>
      <c r="B80" s="14"/>
      <c r="C80" s="14"/>
      <c r="D80" s="247"/>
      <c r="E80" s="14"/>
      <c r="F80" s="28"/>
      <c r="G80" s="261"/>
      <c r="H80" s="28"/>
      <c r="I80" s="263"/>
      <c r="J80" s="14"/>
      <c r="K80" s="292"/>
      <c r="M80" s="47"/>
      <c r="N80" s="280"/>
      <c r="P80" s="293"/>
      <c r="R80" s="246"/>
      <c r="S80" s="1160"/>
      <c r="T80" s="987"/>
      <c r="V80" s="197"/>
    </row>
    <row r="81" spans="1:27" s="291" customFormat="1" ht="18" customHeight="1">
      <c r="A81" s="289"/>
      <c r="B81" s="664" t="s">
        <v>484</v>
      </c>
      <c r="C81" s="1132" t="s">
        <v>663</v>
      </c>
      <c r="G81" s="1015">
        <f>G70</f>
        <v>1.6</v>
      </c>
      <c r="H81" s="1156" t="s">
        <v>326</v>
      </c>
      <c r="I81" s="996">
        <f>O68</f>
        <v>6998.1850810863734</v>
      </c>
      <c r="J81" s="1162"/>
      <c r="K81" s="1162"/>
      <c r="L81" s="1162"/>
      <c r="M81" s="1162"/>
      <c r="N81" s="664" t="s">
        <v>683</v>
      </c>
      <c r="O81" s="696">
        <f>S74</f>
        <v>10</v>
      </c>
      <c r="P81" s="664" t="s">
        <v>358</v>
      </c>
      <c r="Q81" s="996">
        <f>S75</f>
        <v>0.54875935000000009</v>
      </c>
      <c r="R81" s="696" t="s">
        <v>685</v>
      </c>
      <c r="S81" s="696">
        <f>S76</f>
        <v>1</v>
      </c>
      <c r="T81" s="14"/>
      <c r="U81" s="1163" t="s">
        <v>694</v>
      </c>
      <c r="V81" s="197"/>
    </row>
    <row r="82" spans="1:27" s="291" customFormat="1" ht="18" customHeight="1">
      <c r="A82" s="289"/>
      <c r="B82" s="664"/>
      <c r="C82" s="664"/>
      <c r="G82" s="1015"/>
      <c r="H82" s="665"/>
      <c r="I82" s="1159">
        <f>H10</f>
        <v>2500</v>
      </c>
      <c r="J82" s="1159"/>
      <c r="K82" s="1159"/>
      <c r="L82" s="1159"/>
      <c r="M82" s="1159"/>
      <c r="N82" s="664"/>
      <c r="O82" s="664"/>
      <c r="P82" s="664"/>
      <c r="Q82" s="664"/>
      <c r="R82" s="664"/>
      <c r="S82" s="664"/>
      <c r="T82" s="14"/>
      <c r="U82" s="664"/>
      <c r="V82" s="197"/>
    </row>
    <row r="83" spans="1:27" ht="18" customHeight="1">
      <c r="A83" s="96"/>
      <c r="B83" s="14"/>
      <c r="C83" s="27" t="s">
        <v>138</v>
      </c>
      <c r="D83" s="875">
        <f>ROUNDUP(G81*(I81/(I82)*(O81+Q81)*S81),2)</f>
        <v>47.25</v>
      </c>
      <c r="E83" s="876"/>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3"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664"/>
      <c r="V86" s="197"/>
    </row>
    <row r="87" spans="1:27" ht="18" customHeight="1">
      <c r="A87" s="196"/>
      <c r="B87" s="47" t="s">
        <v>666</v>
      </c>
      <c r="C87" s="14"/>
      <c r="D87" s="14"/>
      <c r="E87" s="14"/>
      <c r="F87" s="18"/>
      <c r="G87" s="18"/>
      <c r="H87" s="14"/>
      <c r="I87" s="120"/>
      <c r="J87" s="14"/>
      <c r="K87" s="14"/>
      <c r="M87" s="14"/>
      <c r="N87" s="14"/>
      <c r="P87" s="14" t="s">
        <v>431</v>
      </c>
      <c r="R87" s="246" t="s">
        <v>138</v>
      </c>
      <c r="S87" s="665">
        <f>H12</f>
        <v>10</v>
      </c>
      <c r="T87" s="665"/>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668">
        <f>S29</f>
        <v>0.54875935000000009</v>
      </c>
      <c r="T88" s="668"/>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665">
        <v>1</v>
      </c>
      <c r="T89" s="665"/>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0.54875935000000009</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93">
        <f>ROUNDUP(G91*I91*(K91+M91),2)</f>
        <v>210.98</v>
      </c>
      <c r="H93" s="993"/>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max(84.4,47.25,210.98)</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668">
        <f>MAX(D83,D60,G93)</f>
        <v>210.98</v>
      </c>
      <c r="O97" s="668"/>
      <c r="R97" s="246"/>
      <c r="S97" s="216"/>
      <c r="V97" s="197"/>
    </row>
    <row r="98" spans="1:29" ht="18" customHeight="1">
      <c r="A98" s="96"/>
      <c r="B98" s="14"/>
      <c r="G98" s="14"/>
      <c r="H98" s="14"/>
      <c r="I98" s="14"/>
      <c r="J98" s="14"/>
      <c r="K98" s="14"/>
      <c r="L98" s="308">
        <f>H13</f>
        <v>400</v>
      </c>
      <c r="M98" s="519" t="s">
        <v>540</v>
      </c>
      <c r="N98" s="668">
        <f>N97</f>
        <v>210.98</v>
      </c>
      <c r="O98" s="668"/>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08" t="str">
        <f>B7</f>
        <v>T1</v>
      </c>
      <c r="C103" s="709"/>
      <c r="D103" s="710" t="str">
        <f>D7</f>
        <v>Core2</v>
      </c>
      <c r="E103" s="711"/>
      <c r="F103" s="198" t="s">
        <v>642</v>
      </c>
      <c r="H103" s="665" t="str">
        <f>H7</f>
        <v>(Transformer Differential)</v>
      </c>
      <c r="I103" s="665"/>
      <c r="J103" s="665"/>
      <c r="K103" s="665"/>
      <c r="L103" s="665"/>
      <c r="M103" s="665"/>
      <c r="P103" s="198"/>
      <c r="S103" s="199" t="s">
        <v>398</v>
      </c>
      <c r="T103" s="1131" t="str">
        <f>T7</f>
        <v>7UT85</v>
      </c>
      <c r="U103" s="1138"/>
      <c r="V103" s="197"/>
    </row>
    <row r="104" spans="1:29" ht="18" hidden="1" customHeight="1">
      <c r="A104" s="196"/>
      <c r="B104" s="707">
        <f>B8</f>
        <v>0</v>
      </c>
      <c r="C104" s="707"/>
      <c r="D104" s="712"/>
      <c r="E104" s="713"/>
      <c r="F104" s="299"/>
      <c r="T104" s="1131">
        <f>T8</f>
        <v>0</v>
      </c>
      <c r="U104" s="1138"/>
      <c r="V104" s="197"/>
    </row>
    <row r="105" spans="1:29" ht="18" hidden="1" customHeight="1">
      <c r="A105" s="196"/>
      <c r="H105" s="696" t="s">
        <v>401</v>
      </c>
      <c r="I105" s="696"/>
      <c r="J105" s="666" t="s">
        <v>402</v>
      </c>
      <c r="K105" s="666"/>
      <c r="L105" s="696" t="s">
        <v>403</v>
      </c>
      <c r="M105" s="696"/>
      <c r="T105" s="1131">
        <f>T9</f>
        <v>0</v>
      </c>
      <c r="U105" s="1138"/>
      <c r="V105" s="197"/>
    </row>
    <row r="106" spans="1:29" ht="18" hidden="1" customHeight="1">
      <c r="A106" s="196"/>
      <c r="B106" s="47" t="s">
        <v>404</v>
      </c>
      <c r="H106" s="708">
        <f>H10</f>
        <v>2500</v>
      </c>
      <c r="I106" s="709"/>
      <c r="J106" s="714" t="str">
        <f>J10</f>
        <v>-</v>
      </c>
      <c r="K106" s="715"/>
      <c r="L106" s="708" t="str">
        <f>L10</f>
        <v>-</v>
      </c>
      <c r="M106" s="709"/>
      <c r="N106" s="102" t="s">
        <v>353</v>
      </c>
      <c r="O106" s="268">
        <f>O10</f>
        <v>1</v>
      </c>
      <c r="P106" s="27" t="s">
        <v>9</v>
      </c>
      <c r="V106" s="197"/>
    </row>
    <row r="107" spans="1:29" ht="18" hidden="1" customHeight="1">
      <c r="A107" s="196"/>
      <c r="B107" s="47" t="s">
        <v>405</v>
      </c>
      <c r="H107" s="14"/>
      <c r="I107" s="14"/>
      <c r="J107" s="708" t="str">
        <f>H11</f>
        <v>PX</v>
      </c>
      <c r="K107" s="617"/>
      <c r="L107" s="14"/>
      <c r="M107" s="14"/>
      <c r="V107" s="197"/>
    </row>
    <row r="108" spans="1:29" ht="18" hidden="1" customHeight="1">
      <c r="A108" s="196"/>
      <c r="B108" s="47" t="s">
        <v>407</v>
      </c>
      <c r="I108" s="120" t="s">
        <v>508</v>
      </c>
      <c r="J108" s="653">
        <v>5</v>
      </c>
      <c r="K108" s="654"/>
      <c r="L108" s="204" t="s">
        <v>344</v>
      </c>
      <c r="V108" s="197"/>
    </row>
    <row r="109" spans="1:29" ht="18" hidden="1" customHeight="1">
      <c r="A109" s="196"/>
      <c r="B109" s="47" t="s">
        <v>409</v>
      </c>
      <c r="I109" s="120" t="s">
        <v>509</v>
      </c>
      <c r="J109" s="653">
        <v>300</v>
      </c>
      <c r="K109" s="654"/>
      <c r="L109" s="14" t="s">
        <v>316</v>
      </c>
      <c r="V109" s="197"/>
      <c r="W109" s="30" t="s">
        <v>411</v>
      </c>
      <c r="AB109" s="1022" t="e">
        <f>D164</f>
        <v>#VALUE!</v>
      </c>
      <c r="AC109" s="1023"/>
    </row>
    <row r="110" spans="1:29" ht="18" hidden="1" customHeight="1">
      <c r="A110" s="196"/>
      <c r="B110" s="14" t="s">
        <v>412</v>
      </c>
      <c r="I110" s="120" t="s">
        <v>413</v>
      </c>
      <c r="J110" s="653">
        <v>40</v>
      </c>
      <c r="K110" s="654"/>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896">
        <f>J18</f>
        <v>0.1</v>
      </c>
      <c r="K114" s="679"/>
      <c r="L114" s="3" t="s">
        <v>168</v>
      </c>
      <c r="V114" s="197"/>
    </row>
    <row r="115" spans="1:22" ht="18" hidden="1" customHeight="1">
      <c r="A115" s="196"/>
      <c r="B115" s="196" t="s">
        <v>416</v>
      </c>
      <c r="D115" s="30">
        <f>T104</f>
        <v>0</v>
      </c>
      <c r="H115" s="27"/>
      <c r="I115" s="189" t="s">
        <v>138</v>
      </c>
      <c r="J115" s="1026">
        <f>J19</f>
        <v>0</v>
      </c>
      <c r="K115" s="698"/>
      <c r="L115" s="210" t="s">
        <v>168</v>
      </c>
      <c r="V115" s="197"/>
    </row>
    <row r="116" spans="1:22" ht="18" hidden="1" customHeight="1">
      <c r="A116" s="196"/>
      <c r="B116" s="196" t="s">
        <v>416</v>
      </c>
      <c r="D116" s="30">
        <f>T105</f>
        <v>0</v>
      </c>
      <c r="E116" s="14"/>
      <c r="G116" s="211"/>
      <c r="H116" s="27"/>
      <c r="I116" s="189" t="s">
        <v>138</v>
      </c>
      <c r="J116" s="699">
        <f>J20</f>
        <v>0</v>
      </c>
      <c r="K116" s="700"/>
      <c r="L116" s="214" t="s">
        <v>168</v>
      </c>
      <c r="V116" s="197"/>
    </row>
    <row r="117" spans="1:22" ht="18" hidden="1" customHeight="1">
      <c r="A117" s="196"/>
      <c r="B117" s="196" t="s">
        <v>423</v>
      </c>
      <c r="H117" s="27" t="s">
        <v>610</v>
      </c>
      <c r="I117" s="189" t="s">
        <v>138</v>
      </c>
      <c r="J117" s="1026">
        <f>J21</f>
        <v>0.44875935000000006</v>
      </c>
      <c r="K117" s="698"/>
      <c r="L117" s="215" t="s">
        <v>168</v>
      </c>
      <c r="V117" s="197"/>
    </row>
    <row r="118" spans="1:22" ht="18" hidden="1" customHeight="1">
      <c r="A118" s="196"/>
      <c r="B118" s="217" t="s">
        <v>424</v>
      </c>
      <c r="C118" s="218"/>
      <c r="D118" s="218"/>
      <c r="E118" s="218"/>
      <c r="F118" s="219"/>
      <c r="G118" s="219"/>
      <c r="H118" s="202" t="s">
        <v>420</v>
      </c>
      <c r="I118" s="220" t="s">
        <v>138</v>
      </c>
      <c r="J118" s="896">
        <f>J115+J117</f>
        <v>0.44875935000000006</v>
      </c>
      <c r="K118" s="679"/>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0.44875935000000006</v>
      </c>
      <c r="P122" s="203" t="s">
        <v>421</v>
      </c>
      <c r="Q122" s="27">
        <f>O106</f>
        <v>1</v>
      </c>
      <c r="R122" s="27" t="s">
        <v>326</v>
      </c>
      <c r="S122" s="27">
        <f>O106</f>
        <v>1</v>
      </c>
      <c r="T122" s="30" t="s">
        <v>361</v>
      </c>
      <c r="V122" s="197"/>
    </row>
    <row r="123" spans="1:22" ht="18" hidden="1" customHeight="1">
      <c r="A123" s="196"/>
      <c r="B123" s="47"/>
      <c r="C123" s="27" t="s">
        <v>138</v>
      </c>
      <c r="D123" s="668">
        <f>D122/(F122*H122)</f>
        <v>0.1</v>
      </c>
      <c r="E123" s="668"/>
      <c r="F123" s="204" t="s">
        <v>344</v>
      </c>
      <c r="J123" s="211"/>
      <c r="L123" s="47"/>
      <c r="N123" s="27" t="s">
        <v>138</v>
      </c>
      <c r="O123" s="668">
        <f>O122/(Q122*S122)</f>
        <v>0.44875935000000006</v>
      </c>
      <c r="P123" s="668"/>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668">
        <f>D123</f>
        <v>0.1</v>
      </c>
      <c r="N125" s="668"/>
      <c r="O125" s="27" t="s">
        <v>358</v>
      </c>
      <c r="P125" s="668">
        <f>O123</f>
        <v>0.44875935000000006</v>
      </c>
      <c r="Q125" s="668"/>
      <c r="R125" s="223" t="s">
        <v>138</v>
      </c>
      <c r="S125" s="668">
        <f>M125+P125</f>
        <v>0.54875935000000009</v>
      </c>
      <c r="T125" s="668"/>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31">
        <f>O31</f>
        <v>100</v>
      </c>
      <c r="P127" s="709"/>
      <c r="Q127" s="14" t="s">
        <v>613</v>
      </c>
      <c r="S127" s="226"/>
      <c r="T127" s="18"/>
      <c r="U127" s="18"/>
      <c r="V127" s="97"/>
    </row>
    <row r="128" spans="1:22" s="14" customFormat="1" ht="18" hidden="1" customHeight="1">
      <c r="A128" s="96"/>
      <c r="B128" s="47" t="s">
        <v>614</v>
      </c>
      <c r="C128" s="5"/>
      <c r="D128" s="5"/>
      <c r="E128" s="5"/>
      <c r="I128" s="227"/>
      <c r="M128" s="5"/>
      <c r="N128" s="103" t="s">
        <v>138</v>
      </c>
      <c r="O128" s="1131">
        <f>O32</f>
        <v>25</v>
      </c>
      <c r="P128" s="709"/>
      <c r="Q128" s="14" t="s">
        <v>615</v>
      </c>
      <c r="S128" s="226"/>
      <c r="T128" s="18"/>
      <c r="U128" s="18"/>
      <c r="V128" s="97"/>
    </row>
    <row r="129" spans="1:22" s="14" customFormat="1" ht="18" hidden="1" customHeight="1">
      <c r="A129" s="96"/>
      <c r="B129" s="47" t="s">
        <v>616</v>
      </c>
      <c r="C129" s="5"/>
      <c r="D129" s="5"/>
      <c r="E129" s="5"/>
      <c r="M129" s="120" t="s">
        <v>617</v>
      </c>
      <c r="N129" s="103" t="s">
        <v>618</v>
      </c>
      <c r="O129" s="1131">
        <f>O33</f>
        <v>33</v>
      </c>
      <c r="P129" s="709"/>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664" t="s">
        <v>621</v>
      </c>
      <c r="K131" s="664"/>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664">
        <f>O127</f>
        <v>100</v>
      </c>
      <c r="K132" s="664"/>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669">
        <f>(O127*1000)/(SQRT(3)*O129)</f>
        <v>1749.5462702715934</v>
      </c>
      <c r="K133" s="669"/>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664" t="s">
        <v>620</v>
      </c>
      <c r="P137" s="936"/>
      <c r="Q137" s="233" t="s">
        <v>641</v>
      </c>
      <c r="R137" s="233">
        <v>16</v>
      </c>
      <c r="S137" s="198"/>
      <c r="V137" s="197"/>
    </row>
    <row r="138" spans="1:22" ht="18" hidden="1" customHeight="1">
      <c r="A138" s="96"/>
      <c r="B138" s="5"/>
      <c r="C138" s="5"/>
      <c r="D138" s="5"/>
      <c r="E138" s="5"/>
      <c r="M138" s="262"/>
      <c r="N138" s="28" t="s">
        <v>138</v>
      </c>
      <c r="O138" s="664">
        <f>+J133</f>
        <v>1749.5462702715934</v>
      </c>
      <c r="P138" s="936"/>
      <c r="Q138" s="233" t="s">
        <v>641</v>
      </c>
      <c r="R138" s="233">
        <v>16</v>
      </c>
      <c r="S138" s="198"/>
      <c r="V138" s="197"/>
    </row>
    <row r="139" spans="1:22" ht="18" hidden="1" customHeight="1">
      <c r="A139" s="96"/>
      <c r="B139" s="5"/>
      <c r="C139" s="5"/>
      <c r="D139" s="5"/>
      <c r="E139" s="5"/>
      <c r="M139" s="120" t="s">
        <v>624</v>
      </c>
      <c r="N139" s="28" t="s">
        <v>138</v>
      </c>
      <c r="O139" s="664">
        <f>O138*R138</f>
        <v>27992.740324345494</v>
      </c>
      <c r="P139" s="936"/>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664" t="s">
        <v>484</v>
      </c>
      <c r="C149" s="1132" t="s">
        <v>663</v>
      </c>
      <c r="G149" s="1015" t="s">
        <v>698</v>
      </c>
      <c r="H149" s="1157" t="s">
        <v>326</v>
      </c>
      <c r="I149" s="696" t="s">
        <v>699</v>
      </c>
      <c r="J149" s="1085"/>
      <c r="K149" s="1085"/>
      <c r="L149" s="1085"/>
      <c r="M149" s="1085"/>
      <c r="N149" s="664" t="s">
        <v>683</v>
      </c>
      <c r="O149" s="696" t="s">
        <v>431</v>
      </c>
      <c r="P149" s="664" t="s">
        <v>358</v>
      </c>
      <c r="Q149" s="696" t="s">
        <v>700</v>
      </c>
      <c r="R149" s="696" t="s">
        <v>685</v>
      </c>
      <c r="S149" s="696" t="s">
        <v>422</v>
      </c>
      <c r="T149" s="14"/>
      <c r="U149" s="942" t="s">
        <v>664</v>
      </c>
      <c r="V149" s="197"/>
    </row>
    <row r="150" spans="1:22" s="291" customFormat="1" ht="18" hidden="1" customHeight="1">
      <c r="A150" s="289"/>
      <c r="B150" s="664"/>
      <c r="C150" s="664"/>
      <c r="G150" s="1015"/>
      <c r="H150" s="664"/>
      <c r="I150" s="664">
        <v>1.3</v>
      </c>
      <c r="J150" s="664"/>
      <c r="K150" s="28" t="s">
        <v>326</v>
      </c>
      <c r="L150" s="664" t="s">
        <v>434</v>
      </c>
      <c r="M150" s="664"/>
      <c r="N150" s="664"/>
      <c r="O150" s="664"/>
      <c r="P150" s="664"/>
      <c r="Q150" s="664"/>
      <c r="R150" s="664"/>
      <c r="S150" s="664"/>
      <c r="T150" s="14"/>
      <c r="U150" s="664"/>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665" t="str">
        <f>J106</f>
        <v>-</v>
      </c>
      <c r="T152" s="665"/>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665">
        <f>J108</f>
        <v>5</v>
      </c>
      <c r="T153" s="665"/>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668">
        <f>S125</f>
        <v>0.54875935000000009</v>
      </c>
      <c r="T154" s="668"/>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665">
        <f>O106</f>
        <v>1</v>
      </c>
      <c r="T155" s="665"/>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665">
        <f>O139</f>
        <v>27992.740324345494</v>
      </c>
      <c r="T156" s="665"/>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668">
        <f>J133</f>
        <v>1749.5462702715934</v>
      </c>
      <c r="T157" s="665"/>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665">
        <f>S56</f>
        <v>1</v>
      </c>
      <c r="T158" s="665"/>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0"/>
      <c r="T159" s="987"/>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1"/>
      <c r="T160" s="987"/>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664" t="s">
        <v>484</v>
      </c>
      <c r="C162" s="1132" t="s">
        <v>663</v>
      </c>
      <c r="G162" s="1015">
        <f>H160</f>
        <v>3</v>
      </c>
      <c r="H162" s="1156" t="s">
        <v>326</v>
      </c>
      <c r="I162" s="996">
        <f>S156</f>
        <v>27992.740324345494</v>
      </c>
      <c r="J162" s="1162"/>
      <c r="K162" s="1162"/>
      <c r="L162" s="1162"/>
      <c r="M162" s="1162"/>
      <c r="N162" s="664" t="s">
        <v>683</v>
      </c>
      <c r="O162" s="696">
        <f>S153</f>
        <v>5</v>
      </c>
      <c r="P162" s="664" t="s">
        <v>358</v>
      </c>
      <c r="Q162" s="996">
        <f>S154</f>
        <v>0.54875935000000009</v>
      </c>
      <c r="R162" s="696" t="s">
        <v>685</v>
      </c>
      <c r="S162" s="696">
        <f>S155</f>
        <v>1</v>
      </c>
      <c r="T162" s="14"/>
      <c r="U162" s="942" t="s">
        <v>664</v>
      </c>
      <c r="V162" s="197"/>
    </row>
    <row r="163" spans="1:22" s="291" customFormat="1" ht="18" hidden="1" customHeight="1">
      <c r="A163" s="289"/>
      <c r="B163" s="664"/>
      <c r="C163" s="664"/>
      <c r="G163" s="1015"/>
      <c r="H163" s="665"/>
      <c r="I163" s="664">
        <v>1.3</v>
      </c>
      <c r="J163" s="665"/>
      <c r="K163" s="28" t="s">
        <v>326</v>
      </c>
      <c r="L163" s="664" t="str">
        <f>S152</f>
        <v>-</v>
      </c>
      <c r="M163" s="665"/>
      <c r="N163" s="664"/>
      <c r="O163" s="664"/>
      <c r="P163" s="664"/>
      <c r="Q163" s="664"/>
      <c r="R163" s="664"/>
      <c r="S163" s="664"/>
      <c r="T163" s="14"/>
      <c r="U163" s="664"/>
      <c r="V163" s="197"/>
    </row>
    <row r="164" spans="1:22" ht="18" hidden="1" customHeight="1">
      <c r="A164" s="96"/>
      <c r="B164" s="14"/>
      <c r="C164" s="27" t="s">
        <v>138</v>
      </c>
      <c r="D164" s="875" t="e">
        <f>G162*(I162/(I163*L163)*(O162+Q162)*S162)</f>
        <v>#VALUE!</v>
      </c>
      <c r="E164" s="876"/>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665">
        <f>J109</f>
        <v>300</v>
      </c>
      <c r="F167" s="665"/>
      <c r="G167" s="27" t="e">
        <f>G166</f>
        <v>#VALUE!</v>
      </c>
      <c r="H167" s="668" t="e">
        <f>D164</f>
        <v>#VALUE!</v>
      </c>
      <c r="I167" s="665"/>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1015" t="s">
        <v>707</v>
      </c>
      <c r="E171" s="936"/>
      <c r="F171" s="664" t="s">
        <v>138</v>
      </c>
      <c r="G171" s="696" t="s">
        <v>434</v>
      </c>
      <c r="H171" s="1085"/>
      <c r="I171" s="664" t="s">
        <v>326</v>
      </c>
      <c r="J171" s="696" t="s">
        <v>708</v>
      </c>
      <c r="K171" s="1085"/>
      <c r="L171" s="14"/>
      <c r="M171" s="14"/>
      <c r="N171" s="14"/>
      <c r="R171" s="246"/>
      <c r="S171" s="216"/>
      <c r="V171" s="197"/>
    </row>
    <row r="172" spans="1:22" ht="18" hidden="1" customHeight="1">
      <c r="A172" s="96"/>
      <c r="B172" s="14"/>
      <c r="D172" s="936"/>
      <c r="E172" s="936"/>
      <c r="F172" s="664"/>
      <c r="G172" s="664" t="s">
        <v>691</v>
      </c>
      <c r="H172" s="936"/>
      <c r="I172" s="664"/>
      <c r="J172" s="664" t="s">
        <v>422</v>
      </c>
      <c r="K172" s="936"/>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664" t="s">
        <v>138</v>
      </c>
      <c r="G174" s="696" t="str">
        <f>S152</f>
        <v>-</v>
      </c>
      <c r="H174" s="1085"/>
      <c r="I174" s="664" t="s">
        <v>326</v>
      </c>
      <c r="J174" s="696">
        <f>S158</f>
        <v>1</v>
      </c>
      <c r="K174" s="1085"/>
      <c r="L174" s="14"/>
      <c r="M174" s="14"/>
      <c r="N174" s="14"/>
      <c r="R174" s="246"/>
      <c r="S174" s="216"/>
      <c r="V174" s="197"/>
    </row>
    <row r="175" spans="1:22" ht="18" hidden="1" customHeight="1">
      <c r="A175" s="96"/>
      <c r="B175" s="14"/>
      <c r="F175" s="664"/>
      <c r="G175" s="669">
        <f>J133</f>
        <v>1749.5462702715934</v>
      </c>
      <c r="H175" s="936"/>
      <c r="I175" s="664"/>
      <c r="J175" s="664">
        <f>S155</f>
        <v>1</v>
      </c>
      <c r="K175" s="936"/>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936" t="e">
        <f>(G174/G175)*(J174/J175)</f>
        <v>#VALUE!</v>
      </c>
      <c r="H177" s="936"/>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664" t="s">
        <v>707</v>
      </c>
      <c r="G179" s="936"/>
      <c r="H179" s="936"/>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906" t="e">
        <f>G177</f>
        <v>#VALUE!</v>
      </c>
      <c r="G180" s="1158"/>
      <c r="H180" s="906"/>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08" t="str">
        <f>B103</f>
        <v>T1</v>
      </c>
      <c r="C191" s="709"/>
      <c r="D191" s="710" t="str">
        <f>D103</f>
        <v>Core2</v>
      </c>
      <c r="E191" s="711"/>
      <c r="F191" s="198" t="s">
        <v>642</v>
      </c>
      <c r="H191" s="665" t="str">
        <f>H103</f>
        <v>(Transformer Differential)</v>
      </c>
      <c r="I191" s="665"/>
      <c r="J191" s="665"/>
      <c r="K191" s="665"/>
      <c r="L191" s="665"/>
      <c r="M191" s="665"/>
      <c r="P191" s="198"/>
      <c r="S191" s="199" t="s">
        <v>398</v>
      </c>
      <c r="T191" s="1131" t="str">
        <f>T103</f>
        <v>7UT85</v>
      </c>
      <c r="U191" s="1138"/>
      <c r="V191" s="197"/>
    </row>
    <row r="192" spans="1:22" ht="18" hidden="1" customHeight="1">
      <c r="A192" s="196"/>
      <c r="B192" s="707">
        <f>B104</f>
        <v>0</v>
      </c>
      <c r="C192" s="707"/>
      <c r="D192" s="712"/>
      <c r="E192" s="713"/>
      <c r="F192" s="299"/>
      <c r="T192" s="1131">
        <f>T104</f>
        <v>0</v>
      </c>
      <c r="U192" s="1138"/>
      <c r="V192" s="197"/>
    </row>
    <row r="193" spans="1:29" ht="18" hidden="1" customHeight="1">
      <c r="A193" s="196"/>
      <c r="H193" s="696" t="s">
        <v>401</v>
      </c>
      <c r="I193" s="696"/>
      <c r="J193" s="696" t="s">
        <v>402</v>
      </c>
      <c r="K193" s="696"/>
      <c r="L193" s="666" t="s">
        <v>403</v>
      </c>
      <c r="M193" s="666"/>
      <c r="T193" s="1131">
        <f>T105</f>
        <v>0</v>
      </c>
      <c r="U193" s="1138"/>
      <c r="V193" s="197"/>
    </row>
    <row r="194" spans="1:29" ht="18" hidden="1" customHeight="1">
      <c r="A194" s="196"/>
      <c r="B194" s="47" t="s">
        <v>404</v>
      </c>
      <c r="H194" s="708">
        <f>H106</f>
        <v>2500</v>
      </c>
      <c r="I194" s="709"/>
      <c r="J194" s="708" t="str">
        <f>J106</f>
        <v>-</v>
      </c>
      <c r="K194" s="709"/>
      <c r="L194" s="714" t="str">
        <f>L106</f>
        <v>-</v>
      </c>
      <c r="M194" s="715"/>
      <c r="N194" s="102" t="s">
        <v>353</v>
      </c>
      <c r="O194" s="268">
        <f>O106</f>
        <v>1</v>
      </c>
      <c r="P194" s="27" t="s">
        <v>9</v>
      </c>
      <c r="V194" s="197"/>
    </row>
    <row r="195" spans="1:29" ht="18" hidden="1" customHeight="1">
      <c r="A195" s="196"/>
      <c r="B195" s="47" t="s">
        <v>405</v>
      </c>
      <c r="H195" s="14"/>
      <c r="I195" s="14"/>
      <c r="L195" s="708" t="str">
        <f>J107</f>
        <v>PX</v>
      </c>
      <c r="M195" s="617"/>
      <c r="V195" s="197"/>
    </row>
    <row r="196" spans="1:29" ht="18" hidden="1" customHeight="1">
      <c r="A196" s="196"/>
      <c r="B196" s="47" t="s">
        <v>407</v>
      </c>
      <c r="K196" s="120" t="s">
        <v>508</v>
      </c>
      <c r="L196" s="653">
        <v>3</v>
      </c>
      <c r="M196" s="654"/>
      <c r="N196" s="204" t="s">
        <v>344</v>
      </c>
      <c r="V196" s="197"/>
    </row>
    <row r="197" spans="1:29" ht="18" hidden="1" customHeight="1">
      <c r="A197" s="196"/>
      <c r="B197" s="47" t="s">
        <v>409</v>
      </c>
      <c r="K197" s="120" t="s">
        <v>509</v>
      </c>
      <c r="L197" s="653">
        <v>200</v>
      </c>
      <c r="M197" s="654"/>
      <c r="N197" s="14" t="s">
        <v>316</v>
      </c>
      <c r="V197" s="197"/>
      <c r="W197" s="30" t="s">
        <v>411</v>
      </c>
      <c r="AB197" s="1022" t="e">
        <f>D252</f>
        <v>#VALUE!</v>
      </c>
      <c r="AC197" s="1023"/>
    </row>
    <row r="198" spans="1:29" ht="18" hidden="1" customHeight="1">
      <c r="A198" s="196"/>
      <c r="B198" s="14" t="s">
        <v>412</v>
      </c>
      <c r="K198" s="120" t="s">
        <v>413</v>
      </c>
      <c r="L198" s="653">
        <v>50</v>
      </c>
      <c r="M198" s="654"/>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896">
        <f>J114</f>
        <v>0.1</v>
      </c>
      <c r="K202" s="679"/>
      <c r="L202" s="3" t="s">
        <v>168</v>
      </c>
      <c r="V202" s="197"/>
    </row>
    <row r="203" spans="1:29" ht="18" hidden="1" customHeight="1">
      <c r="A203" s="196"/>
      <c r="B203" s="196" t="s">
        <v>416</v>
      </c>
      <c r="D203" s="30">
        <f>T192</f>
        <v>0</v>
      </c>
      <c r="H203" s="27"/>
      <c r="I203" s="189" t="s">
        <v>138</v>
      </c>
      <c r="J203" s="1026">
        <f>J115</f>
        <v>0</v>
      </c>
      <c r="K203" s="698"/>
      <c r="L203" s="210" t="s">
        <v>168</v>
      </c>
      <c r="V203" s="197"/>
    </row>
    <row r="204" spans="1:29" ht="18" hidden="1" customHeight="1">
      <c r="A204" s="196"/>
      <c r="B204" s="196" t="s">
        <v>416</v>
      </c>
      <c r="D204" s="30">
        <f>T193</f>
        <v>0</v>
      </c>
      <c r="E204" s="14"/>
      <c r="G204" s="211"/>
      <c r="H204" s="27"/>
      <c r="I204" s="189" t="s">
        <v>138</v>
      </c>
      <c r="J204" s="699">
        <f>J116</f>
        <v>0</v>
      </c>
      <c r="K204" s="700"/>
      <c r="L204" s="214" t="s">
        <v>168</v>
      </c>
      <c r="V204" s="197"/>
    </row>
    <row r="205" spans="1:29" ht="18" hidden="1" customHeight="1">
      <c r="A205" s="196"/>
      <c r="B205" s="196" t="s">
        <v>423</v>
      </c>
      <c r="H205" s="27" t="s">
        <v>610</v>
      </c>
      <c r="I205" s="189" t="s">
        <v>138</v>
      </c>
      <c r="J205" s="1026">
        <f>J117</f>
        <v>0.44875935000000006</v>
      </c>
      <c r="K205" s="698"/>
      <c r="L205" s="215" t="s">
        <v>168</v>
      </c>
      <c r="V205" s="197"/>
    </row>
    <row r="206" spans="1:29" ht="18" hidden="1" customHeight="1">
      <c r="A206" s="196"/>
      <c r="B206" s="217" t="s">
        <v>424</v>
      </c>
      <c r="C206" s="218"/>
      <c r="D206" s="218"/>
      <c r="E206" s="218"/>
      <c r="F206" s="219"/>
      <c r="G206" s="219"/>
      <c r="H206" s="202" t="s">
        <v>420</v>
      </c>
      <c r="I206" s="220" t="s">
        <v>138</v>
      </c>
      <c r="J206" s="896">
        <f>J203+J205</f>
        <v>0.44875935000000006</v>
      </c>
      <c r="K206" s="679"/>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0.44875935000000006</v>
      </c>
      <c r="P210" s="203" t="s">
        <v>421</v>
      </c>
      <c r="Q210" s="27">
        <f>O194</f>
        <v>1</v>
      </c>
      <c r="R210" s="27" t="s">
        <v>326</v>
      </c>
      <c r="S210" s="27">
        <f>O194</f>
        <v>1</v>
      </c>
      <c r="T210" s="30" t="s">
        <v>361</v>
      </c>
      <c r="V210" s="197"/>
    </row>
    <row r="211" spans="1:22" ht="18" hidden="1" customHeight="1">
      <c r="A211" s="196"/>
      <c r="B211" s="47"/>
      <c r="C211" s="27" t="s">
        <v>138</v>
      </c>
      <c r="D211" s="668">
        <f>D210/(F210*H210)</f>
        <v>0.1</v>
      </c>
      <c r="E211" s="668"/>
      <c r="F211" s="204" t="s">
        <v>344</v>
      </c>
      <c r="J211" s="211"/>
      <c r="L211" s="47"/>
      <c r="N211" s="27" t="s">
        <v>138</v>
      </c>
      <c r="O211" s="668">
        <f>O210/(Q210*S210)</f>
        <v>0.44875935000000006</v>
      </c>
      <c r="P211" s="668"/>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668">
        <f>D211</f>
        <v>0.1</v>
      </c>
      <c r="N213" s="668"/>
      <c r="O213" s="27" t="s">
        <v>358</v>
      </c>
      <c r="P213" s="668">
        <f>O211</f>
        <v>0.44875935000000006</v>
      </c>
      <c r="Q213" s="668"/>
      <c r="R213" s="223" t="s">
        <v>138</v>
      </c>
      <c r="S213" s="668">
        <f>M213+P213</f>
        <v>0.54875935000000009</v>
      </c>
      <c r="T213" s="668"/>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31">
        <f>O127</f>
        <v>100</v>
      </c>
      <c r="P215" s="709"/>
      <c r="Q215" s="14" t="s">
        <v>613</v>
      </c>
      <c r="S215" s="226"/>
      <c r="T215" s="18"/>
      <c r="U215" s="18"/>
      <c r="V215" s="97"/>
    </row>
    <row r="216" spans="1:22" s="14" customFormat="1" ht="18" hidden="1" customHeight="1">
      <c r="A216" s="96"/>
      <c r="B216" s="47" t="s">
        <v>614</v>
      </c>
      <c r="C216" s="5"/>
      <c r="D216" s="5"/>
      <c r="E216" s="5"/>
      <c r="I216" s="227"/>
      <c r="M216" s="5"/>
      <c r="N216" s="103" t="s">
        <v>138</v>
      </c>
      <c r="O216" s="1131">
        <f>O128</f>
        <v>25</v>
      </c>
      <c r="P216" s="709"/>
      <c r="Q216" s="14" t="s">
        <v>615</v>
      </c>
      <c r="S216" s="226"/>
      <c r="T216" s="18"/>
      <c r="U216" s="18"/>
      <c r="V216" s="97"/>
    </row>
    <row r="217" spans="1:22" s="14" customFormat="1" ht="18" hidden="1" customHeight="1">
      <c r="A217" s="96"/>
      <c r="B217" s="47" t="s">
        <v>616</v>
      </c>
      <c r="C217" s="5"/>
      <c r="D217" s="5"/>
      <c r="E217" s="5"/>
      <c r="M217" s="120" t="s">
        <v>617</v>
      </c>
      <c r="N217" s="103" t="s">
        <v>618</v>
      </c>
      <c r="O217" s="1131">
        <f>O129</f>
        <v>33</v>
      </c>
      <c r="P217" s="709"/>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664" t="s">
        <v>621</v>
      </c>
      <c r="K219" s="664"/>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664">
        <f>O215</f>
        <v>100</v>
      </c>
      <c r="K220" s="664"/>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669">
        <f>(O215*1000)/(SQRT(3)*O217)</f>
        <v>1749.5462702715934</v>
      </c>
      <c r="K221" s="669"/>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664" t="s">
        <v>620</v>
      </c>
      <c r="P225" s="936"/>
      <c r="Q225" s="233" t="s">
        <v>641</v>
      </c>
      <c r="R225" s="233">
        <v>16</v>
      </c>
      <c r="S225" s="226"/>
      <c r="V225" s="197"/>
    </row>
    <row r="226" spans="1:22" ht="18" hidden="1" customHeight="1">
      <c r="A226" s="96"/>
      <c r="B226" s="5"/>
      <c r="C226" s="5"/>
      <c r="D226" s="5"/>
      <c r="E226" s="5"/>
      <c r="M226" s="262"/>
      <c r="N226" s="28" t="s">
        <v>138</v>
      </c>
      <c r="O226" s="664">
        <f>+J221</f>
        <v>1749.5462702715934</v>
      </c>
      <c r="P226" s="936"/>
      <c r="Q226" s="233" t="s">
        <v>641</v>
      </c>
      <c r="R226" s="233">
        <v>16</v>
      </c>
      <c r="S226" s="226"/>
      <c r="V226" s="197"/>
    </row>
    <row r="227" spans="1:22" ht="18" hidden="1" customHeight="1">
      <c r="A227" s="96"/>
      <c r="B227" s="5"/>
      <c r="C227" s="5"/>
      <c r="D227" s="5"/>
      <c r="E227" s="5"/>
      <c r="M227" s="120" t="s">
        <v>624</v>
      </c>
      <c r="N227" s="28" t="s">
        <v>138</v>
      </c>
      <c r="O227" s="664">
        <f>O226*R226</f>
        <v>27992.740324345494</v>
      </c>
      <c r="P227" s="936"/>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664" t="s">
        <v>484</v>
      </c>
      <c r="C237" s="1132" t="s">
        <v>663</v>
      </c>
      <c r="G237" s="1015" t="s">
        <v>698</v>
      </c>
      <c r="H237" s="1157" t="s">
        <v>326</v>
      </c>
      <c r="I237" s="696" t="s">
        <v>699</v>
      </c>
      <c r="J237" s="1085"/>
      <c r="K237" s="1085"/>
      <c r="L237" s="1085"/>
      <c r="M237" s="1085"/>
      <c r="N237" s="664" t="s">
        <v>683</v>
      </c>
      <c r="O237" s="696" t="s">
        <v>431</v>
      </c>
      <c r="P237" s="664" t="s">
        <v>358</v>
      </c>
      <c r="Q237" s="696" t="s">
        <v>700</v>
      </c>
      <c r="R237" s="696" t="s">
        <v>685</v>
      </c>
      <c r="S237" s="696" t="s">
        <v>422</v>
      </c>
      <c r="T237" s="14"/>
      <c r="U237" s="942" t="s">
        <v>664</v>
      </c>
      <c r="V237" s="197"/>
    </row>
    <row r="238" spans="1:22" s="291" customFormat="1" ht="18" hidden="1" customHeight="1">
      <c r="A238" s="289"/>
      <c r="B238" s="664"/>
      <c r="C238" s="664"/>
      <c r="G238" s="1015"/>
      <c r="H238" s="664"/>
      <c r="I238" s="664">
        <v>1.3</v>
      </c>
      <c r="J238" s="664"/>
      <c r="K238" s="28" t="s">
        <v>326</v>
      </c>
      <c r="L238" s="664" t="s">
        <v>434</v>
      </c>
      <c r="M238" s="664"/>
      <c r="N238" s="664"/>
      <c r="O238" s="664"/>
      <c r="P238" s="664"/>
      <c r="Q238" s="664"/>
      <c r="R238" s="664"/>
      <c r="S238" s="664"/>
      <c r="T238" s="14"/>
      <c r="U238" s="664"/>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665" t="str">
        <f>L194</f>
        <v>-</v>
      </c>
      <c r="T240" s="665"/>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665">
        <f>L196</f>
        <v>3</v>
      </c>
      <c r="T241" s="665"/>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668">
        <f>S213</f>
        <v>0.54875935000000009</v>
      </c>
      <c r="T242" s="668"/>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665">
        <f>O194</f>
        <v>1</v>
      </c>
      <c r="T243" s="665"/>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665">
        <f>O227</f>
        <v>27992.740324345494</v>
      </c>
      <c r="T244" s="665"/>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668">
        <f>J221</f>
        <v>1749.5462702715934</v>
      </c>
      <c r="T245" s="665"/>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665">
        <f>S158</f>
        <v>1</v>
      </c>
      <c r="T246" s="665"/>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0"/>
      <c r="T247" s="987"/>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1"/>
      <c r="T248" s="987"/>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664" t="s">
        <v>714</v>
      </c>
      <c r="C250" s="1132" t="s">
        <v>663</v>
      </c>
      <c r="G250" s="1015">
        <f>H248</f>
        <v>3</v>
      </c>
      <c r="H250" s="1156" t="s">
        <v>326</v>
      </c>
      <c r="I250" s="996">
        <f>S244</f>
        <v>27992.740324345494</v>
      </c>
      <c r="J250" s="1162"/>
      <c r="K250" s="1162"/>
      <c r="L250" s="1162"/>
      <c r="M250" s="1162"/>
      <c r="N250" s="664" t="s">
        <v>683</v>
      </c>
      <c r="O250" s="696">
        <f>S241</f>
        <v>3</v>
      </c>
      <c r="P250" s="664" t="s">
        <v>358</v>
      </c>
      <c r="Q250" s="996">
        <f>S242</f>
        <v>0.54875935000000009</v>
      </c>
      <c r="R250" s="696" t="s">
        <v>685</v>
      </c>
      <c r="S250" s="696">
        <f>S243</f>
        <v>1</v>
      </c>
      <c r="T250" s="14"/>
      <c r="U250" s="942" t="s">
        <v>664</v>
      </c>
      <c r="V250" s="197"/>
    </row>
    <row r="251" spans="1:22" s="291" customFormat="1" ht="18" hidden="1" customHeight="1">
      <c r="A251" s="289"/>
      <c r="B251" s="664"/>
      <c r="C251" s="664"/>
      <c r="G251" s="1015"/>
      <c r="H251" s="665"/>
      <c r="I251" s="664">
        <v>1.3</v>
      </c>
      <c r="J251" s="665"/>
      <c r="K251" s="28" t="s">
        <v>326</v>
      </c>
      <c r="L251" s="664" t="str">
        <f>S240</f>
        <v>-</v>
      </c>
      <c r="M251" s="665"/>
      <c r="N251" s="664"/>
      <c r="O251" s="664"/>
      <c r="P251" s="664"/>
      <c r="Q251" s="664"/>
      <c r="R251" s="664"/>
      <c r="S251" s="664"/>
      <c r="T251" s="14"/>
      <c r="U251" s="664"/>
      <c r="V251" s="197"/>
    </row>
    <row r="252" spans="1:22" ht="18" hidden="1" customHeight="1">
      <c r="A252" s="96"/>
      <c r="B252" s="14"/>
      <c r="C252" s="27" t="s">
        <v>138</v>
      </c>
      <c r="D252" s="875" t="e">
        <f>G250*(I250/(I251*L251)*(O250+Q250)*S250)</f>
        <v>#VALUE!</v>
      </c>
      <c r="E252" s="876"/>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665">
        <f>L197</f>
        <v>200</v>
      </c>
      <c r="F255" s="665"/>
      <c r="G255" s="27" t="e">
        <f>G254</f>
        <v>#VALUE!</v>
      </c>
      <c r="H255" s="668" t="e">
        <f>D252</f>
        <v>#VALUE!</v>
      </c>
      <c r="I255" s="665"/>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1015" t="s">
        <v>707</v>
      </c>
      <c r="E259" s="936"/>
      <c r="F259" s="664" t="s">
        <v>138</v>
      </c>
      <c r="G259" s="696" t="s">
        <v>434</v>
      </c>
      <c r="H259" s="1085"/>
      <c r="I259" s="664" t="s">
        <v>326</v>
      </c>
      <c r="J259" s="696" t="s">
        <v>708</v>
      </c>
      <c r="K259" s="1085"/>
      <c r="L259" s="14"/>
      <c r="M259" s="14"/>
      <c r="N259" s="14"/>
      <c r="R259" s="246"/>
      <c r="S259" s="216"/>
      <c r="V259" s="197"/>
    </row>
    <row r="260" spans="1:22" ht="18" hidden="1" customHeight="1">
      <c r="A260" s="96"/>
      <c r="B260" s="14"/>
      <c r="D260" s="936"/>
      <c r="E260" s="936"/>
      <c r="F260" s="664"/>
      <c r="G260" s="664" t="s">
        <v>691</v>
      </c>
      <c r="H260" s="936"/>
      <c r="I260" s="664"/>
      <c r="J260" s="664" t="s">
        <v>422</v>
      </c>
      <c r="K260" s="936"/>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664" t="s">
        <v>138</v>
      </c>
      <c r="G262" s="696" t="str">
        <f>S240</f>
        <v>-</v>
      </c>
      <c r="H262" s="1085"/>
      <c r="I262" s="664" t="s">
        <v>326</v>
      </c>
      <c r="J262" s="696">
        <f>S246</f>
        <v>1</v>
      </c>
      <c r="K262" s="1085"/>
      <c r="L262" s="14"/>
      <c r="M262" s="14"/>
      <c r="N262" s="14"/>
      <c r="R262" s="246"/>
      <c r="S262" s="216"/>
      <c r="V262" s="197"/>
    </row>
    <row r="263" spans="1:22" ht="18" hidden="1" customHeight="1">
      <c r="A263" s="96"/>
      <c r="B263" s="14"/>
      <c r="D263" s="14"/>
      <c r="E263" s="14"/>
      <c r="F263" s="664"/>
      <c r="G263" s="669">
        <f>J221</f>
        <v>1749.5462702715934</v>
      </c>
      <c r="H263" s="936"/>
      <c r="I263" s="664"/>
      <c r="J263" s="664">
        <f>S243</f>
        <v>1</v>
      </c>
      <c r="K263" s="936"/>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936" t="e">
        <f>(G262/G263)*(J262/J263)</f>
        <v>#VALUE!</v>
      </c>
      <c r="H265" s="936"/>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664" t="s">
        <v>707</v>
      </c>
      <c r="G267" s="936"/>
      <c r="H267" s="936"/>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906" t="e">
        <f>G265</f>
        <v>#VALUE!</v>
      </c>
      <c r="G268" s="1158"/>
      <c r="H268" s="906"/>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800" t="s">
        <v>97</v>
      </c>
      <c r="B281" s="800"/>
      <c r="C281" s="728"/>
      <c r="D281" s="800" t="s">
        <v>98</v>
      </c>
      <c r="E281" s="800"/>
      <c r="F281" s="800"/>
      <c r="G281" s="800" t="s">
        <v>99</v>
      </c>
      <c r="H281" s="800"/>
      <c r="I281" s="800" t="s">
        <v>100</v>
      </c>
      <c r="J281" s="800"/>
      <c r="K281" s="800" t="s">
        <v>513</v>
      </c>
      <c r="L281" s="800"/>
      <c r="M281" s="800" t="s">
        <v>514</v>
      </c>
      <c r="N281" s="800"/>
      <c r="O281" s="800" t="s">
        <v>515</v>
      </c>
      <c r="P281" s="800"/>
      <c r="Q281" s="800" t="s">
        <v>516</v>
      </c>
      <c r="R281" s="800"/>
      <c r="S281" s="800" t="s">
        <v>105</v>
      </c>
      <c r="T281" s="800"/>
      <c r="U281" s="800"/>
      <c r="V281" s="800"/>
    </row>
    <row r="282" spans="1:22" ht="18" customHeight="1">
      <c r="A282" s="800"/>
      <c r="B282" s="800"/>
      <c r="C282" s="728"/>
      <c r="D282" s="800"/>
      <c r="E282" s="800"/>
      <c r="F282" s="800"/>
      <c r="G282" s="800"/>
      <c r="H282" s="800"/>
      <c r="I282" s="800"/>
      <c r="J282" s="800"/>
      <c r="K282" s="800"/>
      <c r="L282" s="800"/>
      <c r="M282" s="800"/>
      <c r="N282" s="800"/>
      <c r="O282" s="800"/>
      <c r="P282" s="800"/>
      <c r="Q282" s="800"/>
      <c r="R282" s="800"/>
      <c r="S282" s="800"/>
      <c r="T282" s="800"/>
      <c r="U282" s="800"/>
      <c r="V282" s="800"/>
    </row>
    <row r="283" spans="1:22"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ht="18" customHeight="1">
      <c r="A285" s="733" t="str">
        <f>B7</f>
        <v>T1</v>
      </c>
      <c r="B285" s="733" t="str">
        <f>D7</f>
        <v>Core2</v>
      </c>
      <c r="C285" s="733"/>
      <c r="D285" s="732">
        <f>H10</f>
        <v>2500</v>
      </c>
      <c r="E285" s="732"/>
      <c r="F285" s="734">
        <f>O10</f>
        <v>1</v>
      </c>
      <c r="G285" s="732">
        <f>'CT-VT Burdens'!S19</f>
        <v>50</v>
      </c>
      <c r="H285" s="794">
        <f>'CT-VT Burdens'!S10</f>
        <v>6</v>
      </c>
      <c r="I285" s="794">
        <f>H38</f>
        <v>0</v>
      </c>
      <c r="J285" s="794"/>
      <c r="K285" s="728">
        <f>H12</f>
        <v>10</v>
      </c>
      <c r="L285" s="728"/>
      <c r="M285" s="728">
        <f>H13</f>
        <v>400</v>
      </c>
      <c r="N285" s="728"/>
      <c r="O285" s="732">
        <f>H14</f>
        <v>50</v>
      </c>
      <c r="P285" s="732"/>
      <c r="Q285" s="739" t="str">
        <f>CONCATENATE(T7)</f>
        <v>7UT85</v>
      </c>
      <c r="R285" s="739"/>
      <c r="S285" s="799" t="str">
        <f>H100</f>
        <v>Suitably Dimensioned</v>
      </c>
      <c r="T285" s="732"/>
      <c r="U285" s="732"/>
      <c r="V285" s="732"/>
    </row>
    <row r="286" spans="1:22" ht="18" customHeight="1">
      <c r="A286" s="733"/>
      <c r="B286" s="733"/>
      <c r="C286" s="733"/>
      <c r="D286" s="799" t="s">
        <v>7</v>
      </c>
      <c r="E286" s="732"/>
      <c r="F286" s="735"/>
      <c r="G286" s="732"/>
      <c r="H286" s="732"/>
      <c r="I286" s="794"/>
      <c r="J286" s="794"/>
      <c r="K286" s="801" t="s">
        <v>7</v>
      </c>
      <c r="L286" s="728"/>
      <c r="M286" s="801" t="s">
        <v>7</v>
      </c>
      <c r="N286" s="728"/>
      <c r="O286" s="799" t="s">
        <v>7</v>
      </c>
      <c r="P286" s="732"/>
      <c r="Q286" s="739"/>
      <c r="R286" s="739"/>
      <c r="S286" s="799" t="s">
        <v>7</v>
      </c>
      <c r="T286" s="732"/>
      <c r="U286" s="732"/>
      <c r="V286" s="732"/>
    </row>
    <row r="287" spans="1:22" ht="18" customHeight="1">
      <c r="A287" s="733"/>
      <c r="B287" s="733"/>
      <c r="C287" s="733"/>
      <c r="D287" s="799" t="s">
        <v>7</v>
      </c>
      <c r="E287" s="732"/>
      <c r="F287" s="736"/>
      <c r="G287" s="732"/>
      <c r="H287" s="732"/>
      <c r="I287" s="794"/>
      <c r="J287" s="794"/>
      <c r="K287" s="801" t="s">
        <v>7</v>
      </c>
      <c r="L287" s="728"/>
      <c r="M287" s="801" t="s">
        <v>7</v>
      </c>
      <c r="N287" s="728"/>
      <c r="O287" s="799" t="s">
        <v>7</v>
      </c>
      <c r="P287" s="732"/>
      <c r="Q287" s="739"/>
      <c r="R287" s="739"/>
      <c r="S287" s="732" t="s">
        <v>7</v>
      </c>
      <c r="T287" s="732"/>
      <c r="U287" s="732"/>
      <c r="V287" s="732"/>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086" t="str">
        <f>A1</f>
        <v/>
      </c>
      <c r="B316" s="1087"/>
      <c r="C316" s="1087"/>
      <c r="D316" s="1087"/>
      <c r="E316" s="1087"/>
      <c r="F316" s="1087"/>
      <c r="G316" s="1088"/>
      <c r="H316" s="636" t="str">
        <f>H1</f>
        <v>CT / VT</v>
      </c>
      <c r="I316" s="637"/>
      <c r="J316" s="637"/>
      <c r="K316" s="637"/>
      <c r="L316" s="637"/>
      <c r="M316" s="637"/>
      <c r="N316" s="638"/>
      <c r="O316" s="612" t="str">
        <f>O1</f>
        <v>Contract No.</v>
      </c>
      <c r="P316" s="613"/>
      <c r="Q316" s="614"/>
      <c r="R316" s="1139" t="str">
        <f>R1</f>
        <v>N-16682</v>
      </c>
      <c r="S316" s="1140"/>
      <c r="T316" s="1140"/>
      <c r="U316" s="1140"/>
      <c r="V316" s="1141"/>
    </row>
    <row r="317" spans="1:22" ht="18" hidden="1" customHeight="1">
      <c r="A317" s="1089"/>
      <c r="B317" s="1090"/>
      <c r="C317" s="1090"/>
      <c r="D317" s="1090"/>
      <c r="E317" s="1090"/>
      <c r="F317" s="1090"/>
      <c r="G317" s="1091"/>
      <c r="H317" s="639" t="str">
        <f>H2</f>
        <v>CALCULATION</v>
      </c>
      <c r="I317" s="640"/>
      <c r="J317" s="640"/>
      <c r="K317" s="640"/>
      <c r="L317" s="640"/>
      <c r="M317" s="640"/>
      <c r="N317" s="641"/>
      <c r="O317" s="612" t="str">
        <f>O2</f>
        <v>Date</v>
      </c>
      <c r="P317" s="613"/>
      <c r="Q317" s="614"/>
      <c r="R317" s="1139">
        <f>R2</f>
        <v>45276</v>
      </c>
      <c r="S317" s="1140"/>
      <c r="T317" s="1140"/>
      <c r="U317" s="1140"/>
      <c r="V317" s="1141"/>
    </row>
    <row r="318" spans="1:22" ht="18" hidden="1" customHeight="1">
      <c r="A318" s="716" t="str">
        <f>A3</f>
        <v>HITACHI ENERGY - GRID AUTOMATION</v>
      </c>
      <c r="B318" s="729"/>
      <c r="C318" s="729"/>
      <c r="D318" s="729"/>
      <c r="E318" s="729"/>
      <c r="F318" s="729"/>
      <c r="G318" s="717"/>
      <c r="H318" s="1142" t="str">
        <f>H3</f>
        <v>LT14 - LEWIS
400/132kV SUBSTATION</v>
      </c>
      <c r="I318" s="1143"/>
      <c r="J318" s="1143"/>
      <c r="K318" s="1143"/>
      <c r="L318" s="1143"/>
      <c r="M318" s="1143"/>
      <c r="N318" s="1144"/>
      <c r="O318" s="612" t="str">
        <f>O3</f>
        <v>Document No.</v>
      </c>
      <c r="P318" s="613"/>
      <c r="Q318" s="614"/>
      <c r="R318" s="1139" t="str">
        <f>R3</f>
        <v>N16682-CB-0070-J-7901</v>
      </c>
      <c r="S318" s="1140"/>
      <c r="T318" s="1140"/>
      <c r="U318" s="1140"/>
      <c r="V318" s="1141"/>
    </row>
    <row r="319" spans="1:22" ht="18" hidden="1" customHeight="1">
      <c r="A319" s="720"/>
      <c r="B319" s="731"/>
      <c r="C319" s="731"/>
      <c r="D319" s="731"/>
      <c r="E319" s="731"/>
      <c r="F319" s="731"/>
      <c r="G319" s="721"/>
      <c r="H319" s="1145"/>
      <c r="I319" s="1146"/>
      <c r="J319" s="1146"/>
      <c r="K319" s="1146"/>
      <c r="L319" s="1146"/>
      <c r="M319" s="1146"/>
      <c r="N319" s="1147"/>
      <c r="O319" s="612" t="str">
        <f>O4</f>
        <v>Revision No.</v>
      </c>
      <c r="P319" s="613"/>
      <c r="Q319" s="614"/>
      <c r="R319" s="1139" t="str">
        <f>R4</f>
        <v>A</v>
      </c>
      <c r="S319" s="1140"/>
      <c r="T319" s="1140"/>
      <c r="U319" s="1140"/>
      <c r="V319" s="1141"/>
    </row>
    <row r="320" spans="1:22" ht="18" hidden="1" customHeight="1">
      <c r="A320" s="618" t="str">
        <f>A5</f>
        <v>Prep. By</v>
      </c>
      <c r="B320" s="619"/>
      <c r="C320" s="304" t="str">
        <f>C5</f>
        <v>PK</v>
      </c>
      <c r="D320" s="618" t="str">
        <f>D5</f>
        <v>Checked By</v>
      </c>
      <c r="E320" s="620"/>
      <c r="F320" s="619"/>
      <c r="G320" s="304" t="str">
        <f>G5</f>
        <v>RN</v>
      </c>
      <c r="H320" s="1092" t="str">
        <f>H5</f>
        <v xml:space="preserve">33kV Incomer Transformer Feeder </v>
      </c>
      <c r="I320" s="1093"/>
      <c r="J320" s="1093"/>
      <c r="K320" s="1093"/>
      <c r="L320" s="1093"/>
      <c r="M320" s="1093"/>
      <c r="N320" s="1094"/>
      <c r="O320" s="624" t="str">
        <f>O5</f>
        <v>Contractor</v>
      </c>
      <c r="P320" s="625"/>
      <c r="Q320" s="626"/>
      <c r="R320" s="1139" t="str">
        <f>R5</f>
        <v>HITACHI ENERGY</v>
      </c>
      <c r="S320" s="1140"/>
      <c r="T320" s="1140"/>
      <c r="U320" s="1140"/>
      <c r="V320" s="1141"/>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653" t="s">
        <v>674</v>
      </c>
      <c r="C322" s="654"/>
      <c r="D322" s="659" t="s">
        <v>121</v>
      </c>
      <c r="E322" s="1148"/>
      <c r="F322" s="198" t="s">
        <v>647</v>
      </c>
      <c r="H322" s="665" t="str">
        <f>H191</f>
        <v>(Transformer Differential)</v>
      </c>
      <c r="I322" s="665"/>
      <c r="J322" s="665"/>
      <c r="K322" s="665"/>
      <c r="L322" s="665"/>
      <c r="M322" s="665"/>
      <c r="P322" s="198"/>
      <c r="S322" s="199" t="s">
        <v>398</v>
      </c>
      <c r="T322" s="1126" t="str">
        <f>T191</f>
        <v>7UT85</v>
      </c>
      <c r="U322" s="1127"/>
      <c r="V322" s="197"/>
    </row>
    <row r="323" spans="1:29" ht="18" hidden="1" customHeight="1">
      <c r="A323" s="196"/>
      <c r="B323" s="890" t="s">
        <v>675</v>
      </c>
      <c r="C323" s="890"/>
      <c r="D323" s="1149"/>
      <c r="E323" s="1150"/>
      <c r="F323" s="267"/>
      <c r="T323" s="1126"/>
      <c r="U323" s="1127"/>
      <c r="V323" s="197"/>
    </row>
    <row r="324" spans="1:29" ht="18" hidden="1" customHeight="1">
      <c r="A324" s="196"/>
      <c r="H324" s="666" t="s">
        <v>401</v>
      </c>
      <c r="I324" s="666"/>
      <c r="J324" s="696" t="s">
        <v>402</v>
      </c>
      <c r="K324" s="696"/>
      <c r="L324" s="696" t="s">
        <v>403</v>
      </c>
      <c r="M324" s="696"/>
      <c r="T324" s="1126"/>
      <c r="U324" s="1127"/>
      <c r="V324" s="197"/>
    </row>
    <row r="325" spans="1:29" ht="18" hidden="1" customHeight="1">
      <c r="A325" s="196"/>
      <c r="B325" s="47" t="s">
        <v>404</v>
      </c>
      <c r="H325" s="651">
        <v>5000</v>
      </c>
      <c r="I325" s="652"/>
      <c r="J325" s="653">
        <v>4000</v>
      </c>
      <c r="K325" s="654"/>
      <c r="L325" s="653">
        <v>3000</v>
      </c>
      <c r="M325" s="654"/>
      <c r="N325" s="203" t="s">
        <v>353</v>
      </c>
      <c r="O325" s="125">
        <v>1</v>
      </c>
      <c r="P325" s="27" t="s">
        <v>9</v>
      </c>
      <c r="V325" s="197"/>
    </row>
    <row r="326" spans="1:29" ht="18" hidden="1" customHeight="1">
      <c r="A326" s="196"/>
      <c r="B326" s="47" t="s">
        <v>405</v>
      </c>
      <c r="H326" s="653" t="s">
        <v>406</v>
      </c>
      <c r="I326" s="675"/>
      <c r="V326" s="197"/>
    </row>
    <row r="327" spans="1:29" ht="18" hidden="1" customHeight="1">
      <c r="A327" s="196"/>
      <c r="B327" s="47" t="s">
        <v>407</v>
      </c>
      <c r="G327" s="120" t="s">
        <v>508</v>
      </c>
      <c r="H327" s="653">
        <v>20</v>
      </c>
      <c r="I327" s="654"/>
      <c r="J327" s="204" t="s">
        <v>344</v>
      </c>
      <c r="V327" s="197"/>
    </row>
    <row r="328" spans="1:29" ht="18" hidden="1" customHeight="1">
      <c r="A328" s="196"/>
      <c r="B328" s="47" t="s">
        <v>409</v>
      </c>
      <c r="G328" s="120" t="s">
        <v>509</v>
      </c>
      <c r="H328" s="653">
        <v>1000</v>
      </c>
      <c r="I328" s="654"/>
      <c r="J328" s="14" t="s">
        <v>316</v>
      </c>
      <c r="V328" s="197"/>
      <c r="W328" s="30" t="s">
        <v>411</v>
      </c>
      <c r="AB328" s="1022">
        <f>D378</f>
        <v>66.371086669848069</v>
      </c>
      <c r="AC328" s="1023"/>
    </row>
    <row r="329" spans="1:29" ht="18" hidden="1" customHeight="1">
      <c r="A329" s="196"/>
      <c r="B329" s="14" t="s">
        <v>412</v>
      </c>
      <c r="G329" s="120" t="s">
        <v>413</v>
      </c>
      <c r="H329" s="653">
        <v>20</v>
      </c>
      <c r="I329" s="654"/>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51">
        <f>J202</f>
        <v>0.1</v>
      </c>
      <c r="K333" s="1152"/>
      <c r="L333" s="3" t="s">
        <v>168</v>
      </c>
      <c r="V333" s="197"/>
    </row>
    <row r="334" spans="1:29" ht="18" hidden="1" customHeight="1">
      <c r="A334" s="196"/>
      <c r="B334" s="196" t="s">
        <v>416</v>
      </c>
      <c r="D334" s="30">
        <f>T323</f>
        <v>0</v>
      </c>
      <c r="H334" s="27"/>
      <c r="I334" s="189" t="s">
        <v>138</v>
      </c>
      <c r="J334" s="1045"/>
      <c r="K334" s="1073"/>
      <c r="L334" s="210" t="s">
        <v>168</v>
      </c>
      <c r="V334" s="197"/>
    </row>
    <row r="335" spans="1:29" ht="18" hidden="1" customHeight="1">
      <c r="A335" s="196"/>
      <c r="B335" s="196" t="s">
        <v>416</v>
      </c>
      <c r="D335" s="30">
        <f>T324</f>
        <v>0</v>
      </c>
      <c r="E335" s="14"/>
      <c r="G335" s="211"/>
      <c r="H335" s="27"/>
      <c r="I335" s="189" t="s">
        <v>138</v>
      </c>
      <c r="J335" s="1153"/>
      <c r="K335" s="1154"/>
      <c r="L335" s="214" t="s">
        <v>168</v>
      </c>
      <c r="V335" s="197"/>
    </row>
    <row r="336" spans="1:29" ht="18" hidden="1" customHeight="1">
      <c r="A336" s="196"/>
      <c r="B336" s="196" t="s">
        <v>423</v>
      </c>
      <c r="H336" s="27" t="s">
        <v>610</v>
      </c>
      <c r="I336" s="189" t="s">
        <v>138</v>
      </c>
      <c r="J336" s="1026">
        <f>J205</f>
        <v>0.44875935000000006</v>
      </c>
      <c r="K336" s="698"/>
      <c r="L336" s="215" t="s">
        <v>168</v>
      </c>
      <c r="V336" s="197"/>
    </row>
    <row r="337" spans="1:22" ht="18" hidden="1" customHeight="1">
      <c r="A337" s="196"/>
      <c r="B337" s="217" t="s">
        <v>424</v>
      </c>
      <c r="C337" s="218"/>
      <c r="D337" s="218"/>
      <c r="E337" s="218"/>
      <c r="F337" s="219"/>
      <c r="G337" s="219"/>
      <c r="H337" s="202" t="s">
        <v>420</v>
      </c>
      <c r="I337" s="220" t="s">
        <v>138</v>
      </c>
      <c r="J337" s="896">
        <f>J334+J336</f>
        <v>0.44875935000000006</v>
      </c>
      <c r="K337" s="679"/>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0.44875935000000006</v>
      </c>
      <c r="P341" s="203" t="s">
        <v>421</v>
      </c>
      <c r="Q341" s="27">
        <f>O325</f>
        <v>1</v>
      </c>
      <c r="R341" s="27" t="s">
        <v>326</v>
      </c>
      <c r="S341" s="27">
        <f>O325</f>
        <v>1</v>
      </c>
      <c r="T341" s="30" t="s">
        <v>361</v>
      </c>
      <c r="U341" s="30"/>
      <c r="V341" s="197"/>
    </row>
    <row r="342" spans="1:22" s="14" customFormat="1" ht="18" hidden="1" customHeight="1">
      <c r="A342" s="196"/>
      <c r="B342" s="47"/>
      <c r="C342" s="27" t="s">
        <v>138</v>
      </c>
      <c r="D342" s="668">
        <f>D341/(F341*H341)</f>
        <v>0.1</v>
      </c>
      <c r="E342" s="668"/>
      <c r="F342" s="204" t="s">
        <v>344</v>
      </c>
      <c r="G342" s="30"/>
      <c r="H342" s="30"/>
      <c r="I342" s="30"/>
      <c r="J342" s="211"/>
      <c r="K342" s="30"/>
      <c r="L342" s="47"/>
      <c r="M342" s="30"/>
      <c r="N342" s="27" t="s">
        <v>138</v>
      </c>
      <c r="O342" s="668">
        <f>O341/(Q341*S341)</f>
        <v>0.44875935000000006</v>
      </c>
      <c r="P342" s="668"/>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0.44875935000000006</v>
      </c>
      <c r="P344" s="223" t="s">
        <v>138</v>
      </c>
      <c r="Q344" s="223">
        <f>M344+O344</f>
        <v>0.54875935000000009</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31">
        <f>O127</f>
        <v>100</v>
      </c>
      <c r="P346" s="709"/>
      <c r="Q346" s="14" t="s">
        <v>613</v>
      </c>
      <c r="S346" s="226"/>
      <c r="T346" s="18"/>
      <c r="U346" s="18"/>
      <c r="V346" s="97"/>
    </row>
    <row r="347" spans="1:22" s="14" customFormat="1" ht="18" hidden="1" customHeight="1">
      <c r="A347" s="96"/>
      <c r="B347" s="47" t="s">
        <v>614</v>
      </c>
      <c r="C347" s="5"/>
      <c r="D347" s="5"/>
      <c r="E347" s="5"/>
      <c r="I347" s="227"/>
      <c r="M347" s="5"/>
      <c r="N347" s="103" t="s">
        <v>138</v>
      </c>
      <c r="O347" s="1131">
        <f>O128</f>
        <v>25</v>
      </c>
      <c r="P347" s="709"/>
      <c r="Q347" s="14" t="s">
        <v>615</v>
      </c>
      <c r="S347" s="226"/>
      <c r="T347" s="18"/>
      <c r="U347" s="18"/>
      <c r="V347" s="97"/>
    </row>
    <row r="348" spans="1:22" s="14" customFormat="1" ht="18" hidden="1" customHeight="1">
      <c r="A348" s="96"/>
      <c r="B348" s="47" t="s">
        <v>616</v>
      </c>
      <c r="C348" s="5"/>
      <c r="D348" s="5"/>
      <c r="E348" s="5"/>
      <c r="M348" s="120" t="s">
        <v>617</v>
      </c>
      <c r="N348" s="103" t="s">
        <v>618</v>
      </c>
      <c r="O348" s="1131">
        <f>'[5]Parameters &amp; Fault Cal.'!Q12</f>
        <v>132</v>
      </c>
      <c r="P348" s="709"/>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664" t="s">
        <v>621</v>
      </c>
      <c r="K350" s="664"/>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664">
        <f>O346</f>
        <v>100</v>
      </c>
      <c r="K351" s="664"/>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669">
        <f>(O346*1000)/(SQRT(3)*O348)</f>
        <v>437.38656756789834</v>
      </c>
      <c r="K352" s="669"/>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664" t="s">
        <v>620</v>
      </c>
      <c r="P356" s="936"/>
      <c r="Q356" s="233" t="s">
        <v>641</v>
      </c>
      <c r="R356" s="233">
        <v>16</v>
      </c>
      <c r="S356" s="198"/>
      <c r="V356" s="197"/>
    </row>
    <row r="357" spans="1:22" ht="18" hidden="1" customHeight="1">
      <c r="A357" s="96"/>
      <c r="B357" s="5"/>
      <c r="C357" s="5"/>
      <c r="D357" s="5"/>
      <c r="E357" s="5"/>
      <c r="M357" s="262"/>
      <c r="N357" s="28" t="s">
        <v>138</v>
      </c>
      <c r="O357" s="664">
        <f>+J352</f>
        <v>437.38656756789834</v>
      </c>
      <c r="P357" s="936"/>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664">
        <f>O357*R357</f>
        <v>6998.1850810863734</v>
      </c>
      <c r="P358" s="936"/>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664" t="s">
        <v>484</v>
      </c>
      <c r="C363" s="1132" t="s">
        <v>663</v>
      </c>
      <c r="D363" s="291"/>
      <c r="E363" s="291"/>
      <c r="F363" s="291"/>
      <c r="G363" s="1015" t="s">
        <v>698</v>
      </c>
      <c r="H363" s="1157" t="s">
        <v>326</v>
      </c>
      <c r="I363" s="696" t="s">
        <v>699</v>
      </c>
      <c r="J363" s="1085"/>
      <c r="K363" s="1085"/>
      <c r="L363" s="1085"/>
      <c r="M363" s="1085"/>
      <c r="N363" s="664" t="s">
        <v>683</v>
      </c>
      <c r="O363" s="696" t="s">
        <v>431</v>
      </c>
      <c r="P363" s="664" t="s">
        <v>358</v>
      </c>
      <c r="Q363" s="696" t="s">
        <v>700</v>
      </c>
      <c r="R363" s="696" t="s">
        <v>685</v>
      </c>
      <c r="S363" s="696" t="s">
        <v>422</v>
      </c>
      <c r="T363" s="14"/>
      <c r="U363" s="942" t="s">
        <v>664</v>
      </c>
      <c r="V363" s="197"/>
    </row>
    <row r="364" spans="1:22" ht="18" hidden="1" customHeight="1">
      <c r="A364" s="289"/>
      <c r="B364" s="664"/>
      <c r="C364" s="664"/>
      <c r="D364" s="291"/>
      <c r="E364" s="291"/>
      <c r="F364" s="291"/>
      <c r="G364" s="1015"/>
      <c r="H364" s="664"/>
      <c r="I364" s="664">
        <v>1.3</v>
      </c>
      <c r="J364" s="664"/>
      <c r="K364" s="28" t="s">
        <v>326</v>
      </c>
      <c r="L364" s="664" t="s">
        <v>434</v>
      </c>
      <c r="M364" s="664"/>
      <c r="N364" s="664"/>
      <c r="O364" s="664"/>
      <c r="P364" s="664"/>
      <c r="Q364" s="664"/>
      <c r="R364" s="664"/>
      <c r="S364" s="664"/>
      <c r="T364" s="14"/>
      <c r="U364" s="664"/>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665">
        <f>H325</f>
        <v>5000</v>
      </c>
      <c r="T366" s="665"/>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665">
        <f>H327</f>
        <v>20</v>
      </c>
      <c r="T367" s="665"/>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668">
        <f>Q344</f>
        <v>0.54875935000000009</v>
      </c>
      <c r="T368" s="668"/>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665">
        <f>O325</f>
        <v>1</v>
      </c>
      <c r="T369" s="665"/>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665">
        <f>O358</f>
        <v>6998.1850810863734</v>
      </c>
      <c r="T370" s="665"/>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668">
        <f>J352</f>
        <v>437.38656756789834</v>
      </c>
      <c r="T371" s="665"/>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665">
        <f>S158</f>
        <v>1</v>
      </c>
      <c r="T372" s="665"/>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0"/>
      <c r="T373" s="987"/>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1"/>
      <c r="T374" s="987"/>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664" t="s">
        <v>714</v>
      </c>
      <c r="C376" s="1132" t="s">
        <v>663</v>
      </c>
      <c r="D376" s="291"/>
      <c r="E376" s="291"/>
      <c r="F376" s="291"/>
      <c r="G376" s="1015">
        <f>H374</f>
        <v>3</v>
      </c>
      <c r="H376" s="1156" t="s">
        <v>326</v>
      </c>
      <c r="I376" s="996">
        <f>S370</f>
        <v>6998.1850810863734</v>
      </c>
      <c r="J376" s="1162"/>
      <c r="K376" s="1162"/>
      <c r="L376" s="1162"/>
      <c r="M376" s="1162"/>
      <c r="N376" s="664" t="s">
        <v>683</v>
      </c>
      <c r="O376" s="696">
        <f>S367</f>
        <v>20</v>
      </c>
      <c r="P376" s="664" t="s">
        <v>358</v>
      </c>
      <c r="Q376" s="996">
        <f>S368</f>
        <v>0.54875935000000009</v>
      </c>
      <c r="R376" s="696" t="s">
        <v>685</v>
      </c>
      <c r="S376" s="696">
        <f>S369</f>
        <v>1</v>
      </c>
      <c r="T376" s="14"/>
      <c r="U376" s="942" t="s">
        <v>664</v>
      </c>
      <c r="V376" s="197"/>
    </row>
    <row r="377" spans="1:22" ht="18" hidden="1" customHeight="1">
      <c r="A377" s="289"/>
      <c r="B377" s="664"/>
      <c r="C377" s="664"/>
      <c r="D377" s="291"/>
      <c r="E377" s="291"/>
      <c r="F377" s="291"/>
      <c r="G377" s="1015"/>
      <c r="H377" s="665"/>
      <c r="I377" s="664">
        <v>1.3</v>
      </c>
      <c r="J377" s="665"/>
      <c r="K377" s="28" t="s">
        <v>326</v>
      </c>
      <c r="L377" s="664">
        <f>S366</f>
        <v>5000</v>
      </c>
      <c r="M377" s="665"/>
      <c r="N377" s="664"/>
      <c r="O377" s="664"/>
      <c r="P377" s="664"/>
      <c r="Q377" s="664"/>
      <c r="R377" s="664"/>
      <c r="S377" s="664"/>
      <c r="T377" s="14"/>
      <c r="U377" s="664"/>
      <c r="V377" s="197"/>
    </row>
    <row r="378" spans="1:22" ht="18" hidden="1" customHeight="1">
      <c r="A378" s="96"/>
      <c r="B378" s="14"/>
      <c r="C378" s="27" t="s">
        <v>138</v>
      </c>
      <c r="D378" s="875">
        <f>G376*(I376/(I377*L377)*(O376+Q376)*S376)</f>
        <v>66.371086669848069</v>
      </c>
      <c r="E378" s="876"/>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665">
        <f>H328</f>
        <v>1000</v>
      </c>
      <c r="F381" s="665"/>
      <c r="G381" s="27" t="str">
        <f>G380</f>
        <v>&gt;</v>
      </c>
      <c r="H381" s="668">
        <f>D378</f>
        <v>66.371086669848069</v>
      </c>
      <c r="I381" s="665"/>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1015" t="s">
        <v>707</v>
      </c>
      <c r="E385" s="936"/>
      <c r="F385" s="664" t="s">
        <v>138</v>
      </c>
      <c r="G385" s="696" t="s">
        <v>434</v>
      </c>
      <c r="H385" s="1085"/>
      <c r="I385" s="664" t="s">
        <v>326</v>
      </c>
      <c r="J385" s="696" t="s">
        <v>708</v>
      </c>
      <c r="K385" s="1085"/>
      <c r="L385" s="14"/>
      <c r="M385" s="14"/>
      <c r="N385" s="14"/>
      <c r="R385" s="246"/>
      <c r="S385" s="216"/>
      <c r="V385" s="197"/>
    </row>
    <row r="386" spans="1:22" ht="18" hidden="1" customHeight="1">
      <c r="A386" s="96"/>
      <c r="B386" s="14"/>
      <c r="D386" s="936"/>
      <c r="E386" s="936"/>
      <c r="F386" s="664"/>
      <c r="G386" s="664" t="s">
        <v>691</v>
      </c>
      <c r="H386" s="936"/>
      <c r="I386" s="664"/>
      <c r="J386" s="664" t="s">
        <v>422</v>
      </c>
      <c r="K386" s="936"/>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664" t="s">
        <v>138</v>
      </c>
      <c r="G388" s="696">
        <f>S366</f>
        <v>5000</v>
      </c>
      <c r="H388" s="1085"/>
      <c r="I388" s="664" t="s">
        <v>326</v>
      </c>
      <c r="J388" s="696">
        <f>S372</f>
        <v>1</v>
      </c>
      <c r="K388" s="1085"/>
      <c r="L388" s="14"/>
      <c r="M388" s="14"/>
      <c r="N388" s="14"/>
      <c r="R388" s="246"/>
      <c r="S388" s="216"/>
      <c r="V388" s="197"/>
    </row>
    <row r="389" spans="1:22" ht="18" hidden="1" customHeight="1">
      <c r="A389" s="96"/>
      <c r="B389" s="14"/>
      <c r="D389" s="14"/>
      <c r="E389" s="14"/>
      <c r="F389" s="664"/>
      <c r="G389" s="669">
        <f>J352</f>
        <v>437.38656756789834</v>
      </c>
      <c r="H389" s="936"/>
      <c r="I389" s="664"/>
      <c r="J389" s="664">
        <f>S369</f>
        <v>1</v>
      </c>
      <c r="K389" s="936"/>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936">
        <f>(G388/G389)*(J388/J389)</f>
        <v>11.43153532995459</v>
      </c>
      <c r="H391" s="936"/>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664" t="s">
        <v>707</v>
      </c>
      <c r="G393" s="936"/>
      <c r="H393" s="936"/>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906">
        <f>G391</f>
        <v>11.43153532995459</v>
      </c>
      <c r="G394" s="1158"/>
      <c r="H394" s="906"/>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08" t="str">
        <f>B322</f>
        <v>CT1L1</v>
      </c>
      <c r="C405" s="709"/>
      <c r="D405" s="710" t="str">
        <f>D322</f>
        <v>Core3</v>
      </c>
      <c r="E405" s="711"/>
      <c r="F405" s="198" t="s">
        <v>647</v>
      </c>
      <c r="H405" s="665" t="str">
        <f>H322</f>
        <v>(Transformer Differential)</v>
      </c>
      <c r="I405" s="665"/>
      <c r="J405" s="665"/>
      <c r="K405" s="665"/>
      <c r="L405" s="665"/>
      <c r="M405" s="665"/>
      <c r="P405" s="198"/>
      <c r="S405" s="199" t="s">
        <v>398</v>
      </c>
      <c r="T405" s="1131" t="str">
        <f>T322</f>
        <v>7UT85</v>
      </c>
      <c r="U405" s="1138"/>
      <c r="V405" s="197"/>
    </row>
    <row r="406" spans="1:29" ht="18" hidden="1" customHeight="1">
      <c r="A406" s="196"/>
      <c r="B406" s="707" t="str">
        <f>B323</f>
        <v>CT1L2</v>
      </c>
      <c r="C406" s="707"/>
      <c r="D406" s="712"/>
      <c r="E406" s="713"/>
      <c r="F406" s="267"/>
      <c r="T406" s="1131">
        <f>T323</f>
        <v>0</v>
      </c>
      <c r="U406" s="1138"/>
      <c r="V406" s="197"/>
    </row>
    <row r="407" spans="1:29" ht="18" hidden="1" customHeight="1">
      <c r="A407" s="196"/>
      <c r="H407" s="696" t="s">
        <v>401</v>
      </c>
      <c r="I407" s="696"/>
      <c r="J407" s="666" t="s">
        <v>402</v>
      </c>
      <c r="K407" s="666"/>
      <c r="L407" s="696" t="s">
        <v>403</v>
      </c>
      <c r="M407" s="696"/>
      <c r="T407" s="1131">
        <f>T324</f>
        <v>0</v>
      </c>
      <c r="U407" s="1138"/>
      <c r="V407" s="197"/>
    </row>
    <row r="408" spans="1:29" ht="18" hidden="1" customHeight="1">
      <c r="A408" s="196"/>
      <c r="B408" s="47" t="s">
        <v>404</v>
      </c>
      <c r="H408" s="708">
        <f>H325</f>
        <v>5000</v>
      </c>
      <c r="I408" s="709"/>
      <c r="J408" s="714">
        <f>J325</f>
        <v>4000</v>
      </c>
      <c r="K408" s="715"/>
      <c r="L408" s="708">
        <f>L325</f>
        <v>3000</v>
      </c>
      <c r="M408" s="709"/>
      <c r="N408" s="102" t="s">
        <v>353</v>
      </c>
      <c r="O408" s="268">
        <f>O325</f>
        <v>1</v>
      </c>
      <c r="P408" s="27" t="s">
        <v>9</v>
      </c>
      <c r="V408" s="197"/>
    </row>
    <row r="409" spans="1:29" ht="18" hidden="1" customHeight="1">
      <c r="A409" s="196"/>
      <c r="B409" s="47" t="s">
        <v>405</v>
      </c>
      <c r="H409" s="14"/>
      <c r="I409" s="14"/>
      <c r="J409" s="708" t="str">
        <f>H326</f>
        <v>PX</v>
      </c>
      <c r="K409" s="617"/>
      <c r="L409" s="14"/>
      <c r="M409" s="14"/>
      <c r="V409" s="197"/>
    </row>
    <row r="410" spans="1:29" ht="18" hidden="1" customHeight="1">
      <c r="A410" s="196"/>
      <c r="B410" s="47" t="s">
        <v>407</v>
      </c>
      <c r="I410" s="120" t="s">
        <v>508</v>
      </c>
      <c r="J410" s="653">
        <v>15</v>
      </c>
      <c r="K410" s="654"/>
      <c r="L410" s="204" t="s">
        <v>344</v>
      </c>
      <c r="V410" s="197"/>
    </row>
    <row r="411" spans="1:29" ht="18" hidden="1" customHeight="1">
      <c r="A411" s="196"/>
      <c r="B411" s="47" t="s">
        <v>409</v>
      </c>
      <c r="I411" s="120" t="s">
        <v>509</v>
      </c>
      <c r="J411" s="653">
        <v>800</v>
      </c>
      <c r="K411" s="654"/>
      <c r="L411" s="14" t="s">
        <v>316</v>
      </c>
      <c r="V411" s="197"/>
      <c r="W411" s="30" t="s">
        <v>411</v>
      </c>
      <c r="AB411" s="1022">
        <f>D466</f>
        <v>62.776785988022453</v>
      </c>
      <c r="AC411" s="1023"/>
    </row>
    <row r="412" spans="1:29" ht="18" hidden="1" customHeight="1">
      <c r="A412" s="196"/>
      <c r="B412" s="14" t="s">
        <v>412</v>
      </c>
      <c r="I412" s="120" t="s">
        <v>413</v>
      </c>
      <c r="J412" s="653">
        <v>40</v>
      </c>
      <c r="K412" s="654"/>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896">
        <f>J333</f>
        <v>0.1</v>
      </c>
      <c r="K416" s="679"/>
      <c r="L416" s="3" t="s">
        <v>168</v>
      </c>
      <c r="V416" s="197"/>
    </row>
    <row r="417" spans="1:22" ht="18" hidden="1" customHeight="1">
      <c r="A417" s="196"/>
      <c r="B417" s="196" t="s">
        <v>416</v>
      </c>
      <c r="D417" s="30">
        <f>T406</f>
        <v>0</v>
      </c>
      <c r="H417" s="27"/>
      <c r="I417" s="189" t="s">
        <v>138</v>
      </c>
      <c r="J417" s="896">
        <f>J334</f>
        <v>0</v>
      </c>
      <c r="K417" s="679"/>
      <c r="L417" s="210" t="s">
        <v>168</v>
      </c>
      <c r="V417" s="197"/>
    </row>
    <row r="418" spans="1:22" ht="18" hidden="1" customHeight="1">
      <c r="A418" s="196"/>
      <c r="B418" s="196" t="s">
        <v>416</v>
      </c>
      <c r="D418" s="30">
        <f>T407</f>
        <v>0</v>
      </c>
      <c r="E418" s="14"/>
      <c r="G418" s="211"/>
      <c r="H418" s="27"/>
      <c r="I418" s="189" t="s">
        <v>138</v>
      </c>
      <c r="J418" s="896">
        <f>J335</f>
        <v>0</v>
      </c>
      <c r="K418" s="679"/>
      <c r="L418" s="214" t="s">
        <v>168</v>
      </c>
      <c r="V418" s="197"/>
    </row>
    <row r="419" spans="1:22" ht="18" hidden="1" customHeight="1">
      <c r="A419" s="196"/>
      <c r="B419" s="196" t="s">
        <v>423</v>
      </c>
      <c r="H419" s="27" t="s">
        <v>610</v>
      </c>
      <c r="I419" s="189" t="s">
        <v>138</v>
      </c>
      <c r="J419" s="896">
        <f>J336</f>
        <v>0.44875935000000006</v>
      </c>
      <c r="K419" s="679"/>
      <c r="L419" s="215" t="s">
        <v>168</v>
      </c>
      <c r="V419" s="197"/>
    </row>
    <row r="420" spans="1:22" ht="18" hidden="1" customHeight="1">
      <c r="A420" s="196"/>
      <c r="B420" s="217" t="s">
        <v>424</v>
      </c>
      <c r="C420" s="218"/>
      <c r="D420" s="218"/>
      <c r="E420" s="218"/>
      <c r="F420" s="219"/>
      <c r="G420" s="219"/>
      <c r="H420" s="202" t="s">
        <v>420</v>
      </c>
      <c r="I420" s="220" t="s">
        <v>138</v>
      </c>
      <c r="J420" s="896">
        <f>J417+J419</f>
        <v>0.44875935000000006</v>
      </c>
      <c r="K420" s="679"/>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0.44875935000000006</v>
      </c>
      <c r="P424" s="203" t="s">
        <v>421</v>
      </c>
      <c r="Q424" s="27">
        <f>O408</f>
        <v>1</v>
      </c>
      <c r="R424" s="27" t="s">
        <v>326</v>
      </c>
      <c r="S424" s="27">
        <f>O408</f>
        <v>1</v>
      </c>
      <c r="T424" s="30" t="s">
        <v>361</v>
      </c>
      <c r="U424" s="30"/>
      <c r="V424" s="197"/>
    </row>
    <row r="425" spans="1:22" s="14" customFormat="1" ht="18" hidden="1" customHeight="1">
      <c r="A425" s="196"/>
      <c r="B425" s="47"/>
      <c r="C425" s="27" t="s">
        <v>138</v>
      </c>
      <c r="D425" s="668">
        <f>D424/(F424*H424)</f>
        <v>0.1</v>
      </c>
      <c r="E425" s="668"/>
      <c r="F425" s="204" t="s">
        <v>344</v>
      </c>
      <c r="G425" s="30"/>
      <c r="H425" s="30"/>
      <c r="I425" s="30"/>
      <c r="J425" s="211"/>
      <c r="K425" s="30"/>
      <c r="L425" s="47"/>
      <c r="M425" s="30"/>
      <c r="N425" s="27" t="s">
        <v>138</v>
      </c>
      <c r="O425" s="668">
        <f>O424/(Q424*S424)</f>
        <v>0.44875935000000006</v>
      </c>
      <c r="P425" s="668"/>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0.44875935000000006</v>
      </c>
      <c r="P427" s="223" t="s">
        <v>138</v>
      </c>
      <c r="Q427" s="223">
        <f>M427+O427</f>
        <v>0.54875935000000009</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31">
        <f>O346</f>
        <v>100</v>
      </c>
      <c r="P429" s="709"/>
      <c r="Q429" s="14" t="s">
        <v>613</v>
      </c>
      <c r="S429" s="226"/>
      <c r="T429" s="18"/>
      <c r="U429" s="18"/>
      <c r="V429" s="97"/>
    </row>
    <row r="430" spans="1:22" s="14" customFormat="1" ht="18" hidden="1" customHeight="1">
      <c r="A430" s="96"/>
      <c r="B430" s="47" t="s">
        <v>614</v>
      </c>
      <c r="C430" s="5"/>
      <c r="D430" s="5"/>
      <c r="E430" s="5"/>
      <c r="I430" s="227"/>
      <c r="M430" s="5"/>
      <c r="N430" s="103" t="s">
        <v>138</v>
      </c>
      <c r="O430" s="1131">
        <f>O347</f>
        <v>25</v>
      </c>
      <c r="P430" s="709"/>
      <c r="Q430" s="14" t="s">
        <v>615</v>
      </c>
      <c r="S430" s="226"/>
      <c r="T430" s="18"/>
      <c r="U430" s="18"/>
      <c r="V430" s="97"/>
    </row>
    <row r="431" spans="1:22" s="14" customFormat="1" ht="18" hidden="1" customHeight="1">
      <c r="A431" s="96"/>
      <c r="B431" s="47" t="s">
        <v>616</v>
      </c>
      <c r="C431" s="5"/>
      <c r="D431" s="5"/>
      <c r="E431" s="5"/>
      <c r="M431" s="120" t="s">
        <v>617</v>
      </c>
      <c r="N431" s="103" t="s">
        <v>618</v>
      </c>
      <c r="O431" s="1131">
        <f>O348</f>
        <v>132</v>
      </c>
      <c r="P431" s="709"/>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664" t="s">
        <v>621</v>
      </c>
      <c r="K433" s="664"/>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664">
        <f>O429</f>
        <v>100</v>
      </c>
      <c r="K434" s="664"/>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669">
        <f>(O429*1000)/(SQRT(3)*O431)</f>
        <v>437.38656756789834</v>
      </c>
      <c r="K435" s="669"/>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664" t="s">
        <v>620</v>
      </c>
      <c r="P439" s="936"/>
      <c r="Q439" s="233" t="s">
        <v>641</v>
      </c>
      <c r="R439" s="233">
        <v>16</v>
      </c>
      <c r="S439" s="226"/>
      <c r="V439" s="197"/>
    </row>
    <row r="440" spans="1:22" ht="18" hidden="1" customHeight="1">
      <c r="A440" s="96"/>
      <c r="B440" s="5"/>
      <c r="C440" s="5"/>
      <c r="D440" s="5"/>
      <c r="E440" s="5"/>
      <c r="M440" s="262"/>
      <c r="N440" s="28" t="s">
        <v>138</v>
      </c>
      <c r="O440" s="664">
        <f>+J435</f>
        <v>437.38656756789834</v>
      </c>
      <c r="P440" s="936"/>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664">
        <f>O440*R440</f>
        <v>6998.1850810863734</v>
      </c>
      <c r="P441" s="936"/>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664" t="s">
        <v>484</v>
      </c>
      <c r="C451" s="1132" t="s">
        <v>663</v>
      </c>
      <c r="D451" s="291"/>
      <c r="E451" s="291"/>
      <c r="F451" s="291"/>
      <c r="G451" s="1015" t="s">
        <v>698</v>
      </c>
      <c r="H451" s="1157" t="s">
        <v>326</v>
      </c>
      <c r="I451" s="696" t="s">
        <v>699</v>
      </c>
      <c r="J451" s="1085"/>
      <c r="K451" s="1085"/>
      <c r="L451" s="1085"/>
      <c r="M451" s="1085"/>
      <c r="N451" s="664" t="s">
        <v>683</v>
      </c>
      <c r="O451" s="696" t="s">
        <v>431</v>
      </c>
      <c r="P451" s="664" t="s">
        <v>358</v>
      </c>
      <c r="Q451" s="696" t="s">
        <v>700</v>
      </c>
      <c r="R451" s="696" t="s">
        <v>685</v>
      </c>
      <c r="S451" s="696" t="s">
        <v>422</v>
      </c>
      <c r="T451" s="14"/>
      <c r="U451" s="942" t="s">
        <v>664</v>
      </c>
      <c r="V451" s="197"/>
    </row>
    <row r="452" spans="1:22" ht="18" hidden="1" customHeight="1">
      <c r="A452" s="289"/>
      <c r="B452" s="664"/>
      <c r="C452" s="664"/>
      <c r="D452" s="291"/>
      <c r="E452" s="291"/>
      <c r="F452" s="291"/>
      <c r="G452" s="1015"/>
      <c r="H452" s="664"/>
      <c r="I452" s="664">
        <v>1.3</v>
      </c>
      <c r="J452" s="664"/>
      <c r="K452" s="28" t="s">
        <v>326</v>
      </c>
      <c r="L452" s="664" t="s">
        <v>434</v>
      </c>
      <c r="M452" s="664"/>
      <c r="N452" s="664"/>
      <c r="O452" s="664"/>
      <c r="P452" s="664"/>
      <c r="Q452" s="664"/>
      <c r="R452" s="664"/>
      <c r="S452" s="664"/>
      <c r="T452" s="14"/>
      <c r="U452" s="664"/>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665">
        <f>J408</f>
        <v>4000</v>
      </c>
      <c r="T454" s="665"/>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665">
        <f>J410</f>
        <v>15</v>
      </c>
      <c r="T455" s="665"/>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668">
        <f>Q427</f>
        <v>0.54875935000000009</v>
      </c>
      <c r="T456" s="668"/>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665">
        <f>O408</f>
        <v>1</v>
      </c>
      <c r="T457" s="665"/>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665">
        <f>O441</f>
        <v>6998.1850810863734</v>
      </c>
      <c r="T458" s="665"/>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668">
        <f>J435</f>
        <v>437.38656756789834</v>
      </c>
      <c r="T459" s="665"/>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665">
        <f>S372</f>
        <v>1</v>
      </c>
      <c r="T460" s="665"/>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0"/>
      <c r="T461" s="987"/>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1"/>
      <c r="T462" s="987"/>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664" t="s">
        <v>484</v>
      </c>
      <c r="C464" s="1132" t="s">
        <v>663</v>
      </c>
      <c r="D464" s="291"/>
      <c r="E464" s="291"/>
      <c r="F464" s="291"/>
      <c r="G464" s="1015">
        <f>H462</f>
        <v>3</v>
      </c>
      <c r="H464" s="1156" t="s">
        <v>326</v>
      </c>
      <c r="I464" s="996">
        <f>S458</f>
        <v>6998.1850810863734</v>
      </c>
      <c r="J464" s="1162"/>
      <c r="K464" s="1162"/>
      <c r="L464" s="1162"/>
      <c r="M464" s="1162"/>
      <c r="N464" s="664" t="s">
        <v>683</v>
      </c>
      <c r="O464" s="696">
        <f>S455</f>
        <v>15</v>
      </c>
      <c r="P464" s="664" t="s">
        <v>358</v>
      </c>
      <c r="Q464" s="996">
        <f>S456</f>
        <v>0.54875935000000009</v>
      </c>
      <c r="R464" s="696" t="s">
        <v>685</v>
      </c>
      <c r="S464" s="696">
        <f>S457</f>
        <v>1</v>
      </c>
      <c r="T464" s="14"/>
      <c r="U464" s="942" t="s">
        <v>664</v>
      </c>
      <c r="V464" s="197"/>
    </row>
    <row r="465" spans="1:22" ht="18" hidden="1" customHeight="1">
      <c r="A465" s="289"/>
      <c r="B465" s="664"/>
      <c r="C465" s="664"/>
      <c r="D465" s="291"/>
      <c r="E465" s="291"/>
      <c r="F465" s="291"/>
      <c r="G465" s="1015"/>
      <c r="H465" s="665"/>
      <c r="I465" s="664">
        <v>1.3</v>
      </c>
      <c r="J465" s="665"/>
      <c r="K465" s="28" t="s">
        <v>326</v>
      </c>
      <c r="L465" s="664">
        <f>S454</f>
        <v>4000</v>
      </c>
      <c r="M465" s="665"/>
      <c r="N465" s="664"/>
      <c r="O465" s="664"/>
      <c r="P465" s="664"/>
      <c r="Q465" s="664"/>
      <c r="R465" s="664"/>
      <c r="S465" s="664"/>
      <c r="T465" s="14"/>
      <c r="U465" s="664"/>
      <c r="V465" s="197"/>
    </row>
    <row r="466" spans="1:22" ht="18" hidden="1" customHeight="1">
      <c r="A466" s="96"/>
      <c r="B466" s="14"/>
      <c r="C466" s="27" t="s">
        <v>138</v>
      </c>
      <c r="D466" s="875">
        <f>G464*(I464/(I465*L465)*(O464+Q464)*S464)</f>
        <v>62.776785988022453</v>
      </c>
      <c r="E466" s="876"/>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665">
        <f>J411</f>
        <v>800</v>
      </c>
      <c r="F469" s="665"/>
      <c r="G469" s="27" t="str">
        <f>G468</f>
        <v>&gt;</v>
      </c>
      <c r="H469" s="668">
        <f>D466</f>
        <v>62.776785988022453</v>
      </c>
      <c r="I469" s="665"/>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1015" t="s">
        <v>707</v>
      </c>
      <c r="E473" s="936"/>
      <c r="F473" s="664" t="s">
        <v>138</v>
      </c>
      <c r="G473" s="696" t="s">
        <v>434</v>
      </c>
      <c r="H473" s="1085"/>
      <c r="I473" s="664" t="s">
        <v>326</v>
      </c>
      <c r="J473" s="696" t="s">
        <v>708</v>
      </c>
      <c r="K473" s="1085"/>
      <c r="L473" s="14"/>
      <c r="M473" s="14"/>
      <c r="N473" s="14"/>
      <c r="R473" s="246"/>
      <c r="S473" s="216"/>
      <c r="V473" s="197"/>
    </row>
    <row r="474" spans="1:22" ht="18" hidden="1" customHeight="1">
      <c r="A474" s="96"/>
      <c r="B474" s="14"/>
      <c r="D474" s="936"/>
      <c r="E474" s="936"/>
      <c r="F474" s="664"/>
      <c r="G474" s="664" t="s">
        <v>691</v>
      </c>
      <c r="H474" s="936"/>
      <c r="I474" s="664"/>
      <c r="J474" s="664" t="s">
        <v>422</v>
      </c>
      <c r="K474" s="936"/>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664" t="s">
        <v>138</v>
      </c>
      <c r="G476" s="696">
        <f>S454</f>
        <v>4000</v>
      </c>
      <c r="H476" s="1085"/>
      <c r="I476" s="664" t="s">
        <v>326</v>
      </c>
      <c r="J476" s="696">
        <f>S460</f>
        <v>1</v>
      </c>
      <c r="K476" s="1085"/>
      <c r="L476" s="14"/>
      <c r="M476" s="14"/>
      <c r="N476" s="14"/>
      <c r="R476" s="246"/>
      <c r="S476" s="216"/>
      <c r="V476" s="197"/>
    </row>
    <row r="477" spans="1:22" ht="18" hidden="1" customHeight="1">
      <c r="A477" s="96"/>
      <c r="B477" s="14"/>
      <c r="D477" s="14"/>
      <c r="E477" s="14"/>
      <c r="F477" s="664"/>
      <c r="G477" s="669">
        <f>J435</f>
        <v>437.38656756789834</v>
      </c>
      <c r="H477" s="936"/>
      <c r="I477" s="664"/>
      <c r="J477" s="664">
        <f>S457</f>
        <v>1</v>
      </c>
      <c r="K477" s="936"/>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936">
        <f>(G476/G477)*(J476/J477)</f>
        <v>9.1452282639636717</v>
      </c>
      <c r="H479" s="936"/>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664" t="s">
        <v>707</v>
      </c>
      <c r="G481" s="936"/>
      <c r="H481" s="936"/>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906">
        <f>G479</f>
        <v>9.1452282639636717</v>
      </c>
      <c r="G482" s="1158"/>
      <c r="H482" s="906"/>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08" t="str">
        <f>B405</f>
        <v>CT1L1</v>
      </c>
      <c r="C493" s="709"/>
      <c r="D493" s="710" t="str">
        <f>D405</f>
        <v>Core3</v>
      </c>
      <c r="E493" s="711"/>
      <c r="F493" s="198" t="s">
        <v>647</v>
      </c>
      <c r="H493" s="665" t="str">
        <f>H405</f>
        <v>(Transformer Differential)</v>
      </c>
      <c r="I493" s="665"/>
      <c r="J493" s="665"/>
      <c r="K493" s="665"/>
      <c r="L493" s="665"/>
      <c r="M493" s="665"/>
      <c r="P493" s="198"/>
      <c r="S493" s="199" t="s">
        <v>398</v>
      </c>
      <c r="T493" s="1131" t="str">
        <f>T405</f>
        <v>7UT85</v>
      </c>
      <c r="U493" s="1138"/>
      <c r="V493" s="197"/>
    </row>
    <row r="494" spans="1:22" ht="18" hidden="1" customHeight="1">
      <c r="A494" s="196"/>
      <c r="B494" s="707" t="str">
        <f>B406</f>
        <v>CT1L2</v>
      </c>
      <c r="C494" s="707"/>
      <c r="D494" s="712"/>
      <c r="E494" s="713"/>
      <c r="F494" s="267"/>
      <c r="T494" s="1131">
        <f>T406</f>
        <v>0</v>
      </c>
      <c r="U494" s="1138"/>
      <c r="V494" s="197"/>
    </row>
    <row r="495" spans="1:22" ht="18" hidden="1" customHeight="1">
      <c r="A495" s="196"/>
      <c r="H495" s="696" t="s">
        <v>401</v>
      </c>
      <c r="I495" s="696"/>
      <c r="J495" s="696" t="s">
        <v>402</v>
      </c>
      <c r="K495" s="696"/>
      <c r="L495" s="666" t="s">
        <v>403</v>
      </c>
      <c r="M495" s="666"/>
      <c r="T495" s="1131">
        <f>T407</f>
        <v>0</v>
      </c>
      <c r="U495" s="1138"/>
      <c r="V495" s="197"/>
    </row>
    <row r="496" spans="1:22" ht="18" hidden="1" customHeight="1">
      <c r="A496" s="196"/>
      <c r="B496" s="47" t="s">
        <v>404</v>
      </c>
      <c r="H496" s="708">
        <f>H408</f>
        <v>5000</v>
      </c>
      <c r="I496" s="709"/>
      <c r="J496" s="708">
        <f>J408</f>
        <v>4000</v>
      </c>
      <c r="K496" s="709"/>
      <c r="L496" s="714">
        <f>L408</f>
        <v>3000</v>
      </c>
      <c r="M496" s="715"/>
      <c r="N496" s="102" t="s">
        <v>353</v>
      </c>
      <c r="O496" s="268">
        <f>O408</f>
        <v>1</v>
      </c>
      <c r="P496" s="27" t="s">
        <v>9</v>
      </c>
      <c r="V496" s="197"/>
    </row>
    <row r="497" spans="1:29" ht="18" hidden="1" customHeight="1">
      <c r="A497" s="196"/>
      <c r="B497" s="47" t="s">
        <v>405</v>
      </c>
      <c r="H497" s="14"/>
      <c r="I497" s="14"/>
      <c r="L497" s="708" t="str">
        <f>J409</f>
        <v>PX</v>
      </c>
      <c r="M497" s="617"/>
      <c r="V497" s="197"/>
    </row>
    <row r="498" spans="1:29" ht="18" hidden="1" customHeight="1">
      <c r="A498" s="196"/>
      <c r="B498" s="47" t="s">
        <v>407</v>
      </c>
      <c r="K498" s="120" t="s">
        <v>508</v>
      </c>
      <c r="L498" s="653">
        <v>10</v>
      </c>
      <c r="M498" s="654"/>
      <c r="N498" s="204" t="s">
        <v>344</v>
      </c>
      <c r="V498" s="197"/>
    </row>
    <row r="499" spans="1:29" ht="18" hidden="1" customHeight="1">
      <c r="A499" s="196"/>
      <c r="B499" s="47" t="s">
        <v>409</v>
      </c>
      <c r="K499" s="120" t="s">
        <v>509</v>
      </c>
      <c r="L499" s="653">
        <v>800</v>
      </c>
      <c r="M499" s="654"/>
      <c r="N499" s="14" t="s">
        <v>316</v>
      </c>
      <c r="V499" s="197"/>
      <c r="W499" s="30" t="s">
        <v>411</v>
      </c>
      <c r="AB499" s="1022">
        <f>D554</f>
        <v>56.786284851646457</v>
      </c>
      <c r="AC499" s="1023"/>
    </row>
    <row r="500" spans="1:29" ht="18" hidden="1" customHeight="1">
      <c r="A500" s="196"/>
      <c r="B500" s="14" t="s">
        <v>412</v>
      </c>
      <c r="K500" s="120" t="s">
        <v>413</v>
      </c>
      <c r="L500" s="653">
        <v>50</v>
      </c>
      <c r="M500" s="654"/>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896">
        <f>J416</f>
        <v>0.1</v>
      </c>
      <c r="K504" s="679"/>
      <c r="L504" s="3" t="s">
        <v>168</v>
      </c>
      <c r="V504" s="197"/>
    </row>
    <row r="505" spans="1:29" ht="18" hidden="1" customHeight="1">
      <c r="A505" s="196"/>
      <c r="B505" s="196" t="s">
        <v>416</v>
      </c>
      <c r="D505" s="30">
        <f>T494</f>
        <v>0</v>
      </c>
      <c r="H505" s="27"/>
      <c r="I505" s="189" t="s">
        <v>138</v>
      </c>
      <c r="J505" s="896">
        <f>J417</f>
        <v>0</v>
      </c>
      <c r="K505" s="679"/>
      <c r="L505" s="210" t="s">
        <v>168</v>
      </c>
      <c r="V505" s="197"/>
    </row>
    <row r="506" spans="1:29" ht="18" hidden="1" customHeight="1">
      <c r="A506" s="196"/>
      <c r="B506" s="196" t="s">
        <v>416</v>
      </c>
      <c r="D506" s="30">
        <f>T495</f>
        <v>0</v>
      </c>
      <c r="E506" s="14"/>
      <c r="G506" s="211"/>
      <c r="H506" s="27"/>
      <c r="I506" s="189" t="s">
        <v>138</v>
      </c>
      <c r="J506" s="896">
        <f>J418</f>
        <v>0</v>
      </c>
      <c r="K506" s="679"/>
      <c r="L506" s="214" t="s">
        <v>168</v>
      </c>
      <c r="V506" s="197"/>
    </row>
    <row r="507" spans="1:29" ht="18" hidden="1" customHeight="1">
      <c r="A507" s="196"/>
      <c r="B507" s="196" t="s">
        <v>423</v>
      </c>
      <c r="H507" s="27" t="s">
        <v>610</v>
      </c>
      <c r="I507" s="189" t="s">
        <v>138</v>
      </c>
      <c r="J507" s="896">
        <f>J419</f>
        <v>0.44875935000000006</v>
      </c>
      <c r="K507" s="679"/>
      <c r="L507" s="215" t="s">
        <v>168</v>
      </c>
      <c r="V507" s="197"/>
    </row>
    <row r="508" spans="1:29" ht="18" hidden="1" customHeight="1">
      <c r="A508" s="196"/>
      <c r="B508" s="217" t="s">
        <v>424</v>
      </c>
      <c r="C508" s="218"/>
      <c r="D508" s="218"/>
      <c r="E508" s="218"/>
      <c r="F508" s="219"/>
      <c r="G508" s="219"/>
      <c r="H508" s="202" t="s">
        <v>420</v>
      </c>
      <c r="I508" s="220" t="s">
        <v>138</v>
      </c>
      <c r="J508" s="896">
        <f>J505+J507</f>
        <v>0.44875935000000006</v>
      </c>
      <c r="K508" s="679"/>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0.44875935000000006</v>
      </c>
      <c r="P512" s="203" t="s">
        <v>421</v>
      </c>
      <c r="Q512" s="27">
        <f>O496</f>
        <v>1</v>
      </c>
      <c r="R512" s="27" t="s">
        <v>326</v>
      </c>
      <c r="S512" s="27">
        <f>O496</f>
        <v>1</v>
      </c>
      <c r="T512" s="30" t="s">
        <v>361</v>
      </c>
      <c r="U512" s="30"/>
      <c r="V512" s="197"/>
    </row>
    <row r="513" spans="1:22" s="14" customFormat="1" ht="18" hidden="1" customHeight="1">
      <c r="A513" s="196"/>
      <c r="B513" s="47"/>
      <c r="C513" s="27" t="s">
        <v>138</v>
      </c>
      <c r="D513" s="668">
        <f>D512/(F512*H512)</f>
        <v>0.1</v>
      </c>
      <c r="E513" s="668"/>
      <c r="F513" s="204" t="s">
        <v>344</v>
      </c>
      <c r="G513" s="30"/>
      <c r="H513" s="30"/>
      <c r="I513" s="30"/>
      <c r="J513" s="211"/>
      <c r="K513" s="30"/>
      <c r="L513" s="47"/>
      <c r="M513" s="30"/>
      <c r="N513" s="27" t="s">
        <v>138</v>
      </c>
      <c r="O513" s="668">
        <f>O512/(Q512*S512)</f>
        <v>0.44875935000000006</v>
      </c>
      <c r="P513" s="668"/>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0.44875935000000006</v>
      </c>
      <c r="P515" s="223" t="s">
        <v>138</v>
      </c>
      <c r="Q515" s="223">
        <f>M515+O515</f>
        <v>0.54875935000000009</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31">
        <f>O429</f>
        <v>100</v>
      </c>
      <c r="P517" s="709"/>
      <c r="Q517" s="14" t="s">
        <v>613</v>
      </c>
      <c r="S517" s="226"/>
      <c r="T517" s="18"/>
      <c r="U517" s="18"/>
      <c r="V517" s="97"/>
    </row>
    <row r="518" spans="1:22" s="14" customFormat="1" ht="18" hidden="1" customHeight="1">
      <c r="A518" s="96"/>
      <c r="B518" s="47" t="s">
        <v>614</v>
      </c>
      <c r="C518" s="5"/>
      <c r="D518" s="5"/>
      <c r="E518" s="5"/>
      <c r="I518" s="227"/>
      <c r="M518" s="5"/>
      <c r="N518" s="103" t="s">
        <v>138</v>
      </c>
      <c r="O518" s="1131">
        <f>O430</f>
        <v>25</v>
      </c>
      <c r="P518" s="709"/>
      <c r="Q518" s="14" t="s">
        <v>615</v>
      </c>
      <c r="S518" s="226"/>
      <c r="T518" s="18"/>
      <c r="U518" s="18"/>
      <c r="V518" s="97"/>
    </row>
    <row r="519" spans="1:22" s="14" customFormat="1" ht="18" hidden="1" customHeight="1">
      <c r="A519" s="96"/>
      <c r="B519" s="47" t="s">
        <v>616</v>
      </c>
      <c r="C519" s="5"/>
      <c r="D519" s="5"/>
      <c r="E519" s="5"/>
      <c r="M519" s="120" t="s">
        <v>617</v>
      </c>
      <c r="N519" s="103" t="s">
        <v>618</v>
      </c>
      <c r="O519" s="1131">
        <f>O431</f>
        <v>132</v>
      </c>
      <c r="P519" s="709"/>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664" t="s">
        <v>621</v>
      </c>
      <c r="K521" s="664"/>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664">
        <f>O517</f>
        <v>100</v>
      </c>
      <c r="K522" s="664"/>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669">
        <f>(O517*1000)/(SQRT(3)*O519)</f>
        <v>437.38656756789834</v>
      </c>
      <c r="K523" s="669"/>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664" t="s">
        <v>620</v>
      </c>
      <c r="P527" s="936"/>
      <c r="Q527" s="233" t="s">
        <v>641</v>
      </c>
      <c r="R527" s="233">
        <v>16</v>
      </c>
      <c r="S527" s="198"/>
      <c r="V527" s="197"/>
    </row>
    <row r="528" spans="1:22" ht="18" hidden="1" customHeight="1">
      <c r="A528" s="96"/>
      <c r="B528" s="5"/>
      <c r="C528" s="5"/>
      <c r="D528" s="5"/>
      <c r="E528" s="5"/>
      <c r="M528" s="262"/>
      <c r="N528" s="28" t="s">
        <v>138</v>
      </c>
      <c r="O528" s="664">
        <f>+J523</f>
        <v>437.38656756789834</v>
      </c>
      <c r="P528" s="936"/>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664">
        <f>O528*R528</f>
        <v>6998.1850810863734</v>
      </c>
      <c r="P529" s="936"/>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664" t="s">
        <v>484</v>
      </c>
      <c r="C539" s="1132" t="s">
        <v>663</v>
      </c>
      <c r="D539" s="291"/>
      <c r="E539" s="291"/>
      <c r="F539" s="291"/>
      <c r="G539" s="1015" t="s">
        <v>698</v>
      </c>
      <c r="H539" s="1157" t="s">
        <v>326</v>
      </c>
      <c r="I539" s="696" t="s">
        <v>699</v>
      </c>
      <c r="J539" s="1085"/>
      <c r="K539" s="1085"/>
      <c r="L539" s="1085"/>
      <c r="M539" s="1085"/>
      <c r="N539" s="664" t="s">
        <v>683</v>
      </c>
      <c r="O539" s="696" t="s">
        <v>431</v>
      </c>
      <c r="P539" s="664" t="s">
        <v>358</v>
      </c>
      <c r="Q539" s="696" t="s">
        <v>700</v>
      </c>
      <c r="R539" s="696" t="s">
        <v>685</v>
      </c>
      <c r="S539" s="696" t="s">
        <v>422</v>
      </c>
      <c r="T539" s="14"/>
      <c r="U539" s="942" t="s">
        <v>664</v>
      </c>
      <c r="V539" s="197"/>
    </row>
    <row r="540" spans="1:22" ht="18" hidden="1" customHeight="1">
      <c r="A540" s="289"/>
      <c r="B540" s="664"/>
      <c r="C540" s="664"/>
      <c r="D540" s="291"/>
      <c r="E540" s="291"/>
      <c r="F540" s="291"/>
      <c r="G540" s="1015"/>
      <c r="H540" s="664"/>
      <c r="I540" s="664">
        <v>1.3</v>
      </c>
      <c r="J540" s="664"/>
      <c r="K540" s="28" t="s">
        <v>326</v>
      </c>
      <c r="L540" s="664" t="s">
        <v>434</v>
      </c>
      <c r="M540" s="664"/>
      <c r="N540" s="664"/>
      <c r="O540" s="664"/>
      <c r="P540" s="664"/>
      <c r="Q540" s="664"/>
      <c r="R540" s="664"/>
      <c r="S540" s="664"/>
      <c r="T540" s="14"/>
      <c r="U540" s="664"/>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665">
        <f>L496</f>
        <v>3000</v>
      </c>
      <c r="T542" s="665"/>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665">
        <f>L498</f>
        <v>10</v>
      </c>
      <c r="T543" s="665"/>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668">
        <f>Q515</f>
        <v>0.54875935000000009</v>
      </c>
      <c r="T544" s="668"/>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665">
        <f>O496</f>
        <v>1</v>
      </c>
      <c r="T545" s="665"/>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665">
        <f>O529</f>
        <v>6998.1850810863734</v>
      </c>
      <c r="T546" s="665"/>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668">
        <f>J523</f>
        <v>437.38656756789834</v>
      </c>
      <c r="T547" s="665"/>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665">
        <f>S460</f>
        <v>1</v>
      </c>
      <c r="T548" s="665"/>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0"/>
      <c r="T549" s="987"/>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1"/>
      <c r="T550" s="987"/>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664" t="s">
        <v>714</v>
      </c>
      <c r="C552" s="1132" t="s">
        <v>663</v>
      </c>
      <c r="D552" s="291"/>
      <c r="E552" s="291"/>
      <c r="F552" s="291"/>
      <c r="G552" s="1015">
        <f>H550</f>
        <v>3</v>
      </c>
      <c r="H552" s="1156" t="s">
        <v>326</v>
      </c>
      <c r="I552" s="996">
        <f>S546</f>
        <v>6998.1850810863734</v>
      </c>
      <c r="J552" s="1162"/>
      <c r="K552" s="1162"/>
      <c r="L552" s="1162"/>
      <c r="M552" s="1162"/>
      <c r="N552" s="664" t="s">
        <v>683</v>
      </c>
      <c r="O552" s="696">
        <f>S543</f>
        <v>10</v>
      </c>
      <c r="P552" s="664" t="s">
        <v>358</v>
      </c>
      <c r="Q552" s="996">
        <f>S544</f>
        <v>0.54875935000000009</v>
      </c>
      <c r="R552" s="696" t="s">
        <v>685</v>
      </c>
      <c r="S552" s="696">
        <f>S545</f>
        <v>1</v>
      </c>
      <c r="T552" s="14"/>
      <c r="U552" s="942" t="s">
        <v>664</v>
      </c>
      <c r="V552" s="197"/>
    </row>
    <row r="553" spans="1:22" ht="18" hidden="1" customHeight="1">
      <c r="A553" s="289"/>
      <c r="B553" s="664"/>
      <c r="C553" s="664"/>
      <c r="D553" s="291"/>
      <c r="E553" s="291"/>
      <c r="F553" s="291"/>
      <c r="G553" s="1015"/>
      <c r="H553" s="665"/>
      <c r="I553" s="664">
        <v>1.3</v>
      </c>
      <c r="J553" s="665"/>
      <c r="K553" s="28" t="s">
        <v>326</v>
      </c>
      <c r="L553" s="664">
        <f>S542</f>
        <v>3000</v>
      </c>
      <c r="M553" s="665"/>
      <c r="N553" s="664"/>
      <c r="O553" s="664"/>
      <c r="P553" s="664"/>
      <c r="Q553" s="664"/>
      <c r="R553" s="664"/>
      <c r="S553" s="664"/>
      <c r="T553" s="14"/>
      <c r="U553" s="664"/>
      <c r="V553" s="197"/>
    </row>
    <row r="554" spans="1:22" ht="18" hidden="1" customHeight="1">
      <c r="A554" s="96"/>
      <c r="B554" s="14"/>
      <c r="C554" s="27" t="s">
        <v>138</v>
      </c>
      <c r="D554" s="875">
        <f>G552*(I552/(I553*L553)*(O552+Q552)*S552)</f>
        <v>56.786284851646457</v>
      </c>
      <c r="E554" s="876"/>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665">
        <f>L499</f>
        <v>800</v>
      </c>
      <c r="F557" s="665"/>
      <c r="G557" s="27" t="str">
        <f>G556</f>
        <v>&gt;</v>
      </c>
      <c r="H557" s="668">
        <f>D554</f>
        <v>56.786284851646457</v>
      </c>
      <c r="I557" s="665"/>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1015" t="s">
        <v>707</v>
      </c>
      <c r="E561" s="936"/>
      <c r="F561" s="664" t="s">
        <v>138</v>
      </c>
      <c r="G561" s="696" t="s">
        <v>434</v>
      </c>
      <c r="H561" s="1085"/>
      <c r="I561" s="664" t="s">
        <v>326</v>
      </c>
      <c r="J561" s="696" t="s">
        <v>708</v>
      </c>
      <c r="K561" s="1085"/>
      <c r="L561" s="14"/>
      <c r="M561" s="14"/>
      <c r="N561" s="14"/>
      <c r="R561" s="246"/>
      <c r="S561" s="216"/>
      <c r="V561" s="197"/>
    </row>
    <row r="562" spans="1:22" ht="18" hidden="1" customHeight="1">
      <c r="A562" s="96"/>
      <c r="B562" s="14"/>
      <c r="D562" s="936"/>
      <c r="E562" s="936"/>
      <c r="F562" s="664"/>
      <c r="G562" s="664" t="s">
        <v>691</v>
      </c>
      <c r="H562" s="936"/>
      <c r="I562" s="664"/>
      <c r="J562" s="664" t="s">
        <v>422</v>
      </c>
      <c r="K562" s="936"/>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664" t="s">
        <v>138</v>
      </c>
      <c r="G564" s="696">
        <f>S542</f>
        <v>3000</v>
      </c>
      <c r="H564" s="1085"/>
      <c r="I564" s="664" t="s">
        <v>326</v>
      </c>
      <c r="J564" s="696">
        <f>S548</f>
        <v>1</v>
      </c>
      <c r="K564" s="1085"/>
      <c r="L564" s="14"/>
      <c r="M564" s="14"/>
      <c r="N564" s="14"/>
      <c r="R564" s="246"/>
      <c r="S564" s="216"/>
      <c r="V564" s="197"/>
    </row>
    <row r="565" spans="1:22" ht="18" hidden="1" customHeight="1">
      <c r="A565" s="96"/>
      <c r="B565" s="14"/>
      <c r="D565" s="14"/>
      <c r="E565" s="14"/>
      <c r="F565" s="664"/>
      <c r="G565" s="669">
        <f>J523</f>
        <v>437.38656756789834</v>
      </c>
      <c r="H565" s="936"/>
      <c r="I565" s="664"/>
      <c r="J565" s="664">
        <f>S545</f>
        <v>1</v>
      </c>
      <c r="K565" s="936"/>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664">
        <f>(G564/G565)*(J564/J565)</f>
        <v>6.8589211979727533</v>
      </c>
      <c r="H567" s="664"/>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664" t="s">
        <v>707</v>
      </c>
      <c r="G569" s="936"/>
      <c r="H569" s="936"/>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906">
        <f>G567</f>
        <v>6.8589211979727533</v>
      </c>
      <c r="G570" s="1158"/>
      <c r="H570" s="906"/>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16" t="s">
        <v>97</v>
      </c>
      <c r="B582" s="729"/>
      <c r="C582" s="1101"/>
      <c r="D582" s="716" t="s">
        <v>98</v>
      </c>
      <c r="E582" s="1104"/>
      <c r="F582" s="1104"/>
      <c r="G582" s="1101"/>
      <c r="H582" s="716" t="s">
        <v>99</v>
      </c>
      <c r="I582" s="717"/>
      <c r="J582" s="716" t="s">
        <v>100</v>
      </c>
      <c r="K582" s="1101"/>
      <c r="L582" s="716" t="s">
        <v>513</v>
      </c>
      <c r="M582" s="729"/>
      <c r="N582" s="717" t="s">
        <v>567</v>
      </c>
      <c r="O582" s="716" t="s">
        <v>568</v>
      </c>
      <c r="P582" s="729"/>
      <c r="Q582" s="1101"/>
      <c r="R582" s="716" t="s">
        <v>569</v>
      </c>
      <c r="S582" s="1106"/>
      <c r="T582" s="1102"/>
      <c r="U582" s="716" t="s">
        <v>516</v>
      </c>
      <c r="V582" s="1115"/>
    </row>
    <row r="583" spans="1:22" ht="18" hidden="1" customHeight="1">
      <c r="A583" s="718"/>
      <c r="B583" s="730"/>
      <c r="C583" s="1102"/>
      <c r="D583" s="1105"/>
      <c r="E583" s="1106"/>
      <c r="F583" s="1106"/>
      <c r="G583" s="1102"/>
      <c r="H583" s="718"/>
      <c r="I583" s="719"/>
      <c r="J583" s="1105"/>
      <c r="K583" s="1102"/>
      <c r="L583" s="718"/>
      <c r="M583" s="730"/>
      <c r="N583" s="719"/>
      <c r="O583" s="718"/>
      <c r="P583" s="730"/>
      <c r="Q583" s="1102"/>
      <c r="R583" s="1105"/>
      <c r="S583" s="1106"/>
      <c r="T583" s="1102"/>
      <c r="U583" s="1079"/>
      <c r="V583" s="1116"/>
    </row>
    <row r="584" spans="1:22" ht="18" hidden="1" customHeight="1">
      <c r="A584" s="720"/>
      <c r="B584" s="731"/>
      <c r="C584" s="1103"/>
      <c r="D584" s="1107"/>
      <c r="E584" s="1108"/>
      <c r="F584" s="1108"/>
      <c r="G584" s="1103"/>
      <c r="H584" s="720"/>
      <c r="I584" s="721"/>
      <c r="J584" s="1107"/>
      <c r="K584" s="1103"/>
      <c r="L584" s="720"/>
      <c r="M584" s="731"/>
      <c r="N584" s="721"/>
      <c r="O584" s="720"/>
      <c r="P584" s="731"/>
      <c r="Q584" s="1103"/>
      <c r="R584" s="1107"/>
      <c r="S584" s="1108"/>
      <c r="T584" s="1103"/>
      <c r="U584" s="1117"/>
      <c r="V584" s="1118"/>
    </row>
    <row r="585" spans="1:22" ht="18" hidden="1" customHeight="1">
      <c r="A585" s="733" t="str">
        <f>B493</f>
        <v>CT1L1</v>
      </c>
      <c r="B585" s="1098" t="str">
        <f>B494</f>
        <v>CT1L2</v>
      </c>
      <c r="C585" s="734" t="str">
        <f>D493</f>
        <v>Core3</v>
      </c>
      <c r="D585" s="734">
        <f>H408</f>
        <v>5000</v>
      </c>
      <c r="E585" s="734">
        <f>J408</f>
        <v>4000</v>
      </c>
      <c r="F585" s="734">
        <f>L496</f>
        <v>3000</v>
      </c>
      <c r="G585" s="734">
        <f>O408</f>
        <v>1</v>
      </c>
      <c r="H585" s="734">
        <f>'[5]CT-VT Burdens'!S19</f>
        <v>100</v>
      </c>
      <c r="I585" s="722">
        <f>'[5]CT-VT Burdens'!S10</f>
        <v>4</v>
      </c>
      <c r="J585" s="728" t="str">
        <f>J409</f>
        <v>PX</v>
      </c>
      <c r="K585" s="728"/>
      <c r="L585" s="734">
        <f>H327</f>
        <v>20</v>
      </c>
      <c r="M585" s="734">
        <f>J410</f>
        <v>15</v>
      </c>
      <c r="N585" s="734">
        <f>L498</f>
        <v>10</v>
      </c>
      <c r="O585" s="734">
        <f>H328</f>
        <v>1000</v>
      </c>
      <c r="P585" s="734">
        <f>J411</f>
        <v>800</v>
      </c>
      <c r="Q585" s="734">
        <f>L499</f>
        <v>800</v>
      </c>
      <c r="R585" s="734">
        <f>H329</f>
        <v>20</v>
      </c>
      <c r="S585" s="734">
        <f>J412</f>
        <v>40</v>
      </c>
      <c r="T585" s="734">
        <f>L500</f>
        <v>50</v>
      </c>
      <c r="U585" s="615" t="str">
        <f>D416</f>
        <v>7UT85</v>
      </c>
      <c r="V585" s="617"/>
    </row>
    <row r="586" spans="1:22" ht="18" hidden="1" customHeight="1">
      <c r="A586" s="733" t="str">
        <f>B494</f>
        <v>CT1L2</v>
      </c>
      <c r="B586" s="1098">
        <f>A495</f>
        <v>0</v>
      </c>
      <c r="C586" s="1121"/>
      <c r="D586" s="1121"/>
      <c r="E586" s="1121"/>
      <c r="F586" s="1121"/>
      <c r="G586" s="1121"/>
      <c r="H586" s="1121"/>
      <c r="I586" s="1121"/>
      <c r="J586" s="1123"/>
      <c r="K586" s="1123"/>
      <c r="L586" s="1121"/>
      <c r="M586" s="1121"/>
      <c r="N586" s="1121"/>
      <c r="O586" s="1121"/>
      <c r="P586" s="1121"/>
      <c r="Q586" s="1121"/>
      <c r="R586" s="1121"/>
      <c r="S586" s="1121"/>
      <c r="T586" s="1121"/>
      <c r="U586" s="615"/>
      <c r="V586" s="617"/>
    </row>
    <row r="587" spans="1:22" ht="18" hidden="1" customHeight="1">
      <c r="A587" s="733">
        <f>A495</f>
        <v>0</v>
      </c>
      <c r="B587" s="1098" t="str">
        <f>B496</f>
        <v>CT Ratio:</v>
      </c>
      <c r="C587" s="1122"/>
      <c r="D587" s="1122"/>
      <c r="E587" s="1122"/>
      <c r="F587" s="1122"/>
      <c r="G587" s="1122"/>
      <c r="H587" s="1122"/>
      <c r="I587" s="1122"/>
      <c r="J587" s="1123"/>
      <c r="K587" s="1123"/>
      <c r="L587" s="1122"/>
      <c r="M587" s="1122"/>
      <c r="N587" s="1122"/>
      <c r="O587" s="1122"/>
      <c r="P587" s="1122"/>
      <c r="Q587" s="1122"/>
      <c r="R587" s="1122"/>
      <c r="S587" s="1122"/>
      <c r="T587" s="1122"/>
      <c r="U587" s="615"/>
      <c r="V587" s="61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T8:U8"/>
    <mergeCell ref="A9:B9"/>
    <mergeCell ref="C9:D9"/>
    <mergeCell ref="H9:I9"/>
    <mergeCell ref="J9:K9"/>
    <mergeCell ref="L9:M9"/>
    <mergeCell ref="T9:U9"/>
    <mergeCell ref="D8:E8"/>
    <mergeCell ref="B7:C7"/>
    <mergeCell ref="T7:U7"/>
    <mergeCell ref="B8:C8"/>
    <mergeCell ref="S29:T29"/>
    <mergeCell ref="AB13:AC13"/>
    <mergeCell ref="H14:I14"/>
    <mergeCell ref="J18:K18"/>
    <mergeCell ref="J19:K19"/>
    <mergeCell ref="J20:K20"/>
    <mergeCell ref="J21:K21"/>
    <mergeCell ref="H10:I10"/>
    <mergeCell ref="J10:K10"/>
    <mergeCell ref="L10:M10"/>
    <mergeCell ref="H11:I11"/>
    <mergeCell ref="H12:I12"/>
    <mergeCell ref="H13:I13"/>
    <mergeCell ref="O41:P41"/>
    <mergeCell ref="O46:P46"/>
    <mergeCell ref="U44:U45"/>
    <mergeCell ref="S50:T50"/>
    <mergeCell ref="S51:T51"/>
    <mergeCell ref="S52:T52"/>
    <mergeCell ref="S53:T53"/>
    <mergeCell ref="S54:T54"/>
    <mergeCell ref="S55:T55"/>
    <mergeCell ref="P44:P45"/>
    <mergeCell ref="Q44:Q45"/>
    <mergeCell ref="R44:R45"/>
    <mergeCell ref="S44:S45"/>
    <mergeCell ref="B104:C104"/>
    <mergeCell ref="T104:U104"/>
    <mergeCell ref="H105:I105"/>
    <mergeCell ref="J105:K105"/>
    <mergeCell ref="L105:M105"/>
    <mergeCell ref="T105:U105"/>
    <mergeCell ref="B103:C103"/>
    <mergeCell ref="D103:E104"/>
    <mergeCell ref="H103:M103"/>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O127:P127"/>
    <mergeCell ref="O128:P128"/>
    <mergeCell ref="O129:P129"/>
    <mergeCell ref="J131:K131"/>
    <mergeCell ref="J132:K132"/>
    <mergeCell ref="J133:K133"/>
    <mergeCell ref="J118:K118"/>
    <mergeCell ref="D123:E123"/>
    <mergeCell ref="O123:P123"/>
    <mergeCell ref="M125:N125"/>
    <mergeCell ref="P125:Q125"/>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S152:T152"/>
    <mergeCell ref="S153:T153"/>
    <mergeCell ref="S154:T154"/>
    <mergeCell ref="S155:T155"/>
    <mergeCell ref="S156:T156"/>
    <mergeCell ref="S157:T157"/>
    <mergeCell ref="P149:P150"/>
    <mergeCell ref="Q149:Q150"/>
    <mergeCell ref="R149:R150"/>
    <mergeCell ref="S149:S150"/>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D164:E164"/>
    <mergeCell ref="E167:F167"/>
    <mergeCell ref="H167:I167"/>
    <mergeCell ref="D171:E172"/>
    <mergeCell ref="F171:F172"/>
    <mergeCell ref="G171:H171"/>
    <mergeCell ref="I171:I172"/>
    <mergeCell ref="P162:P163"/>
    <mergeCell ref="Q162:Q163"/>
    <mergeCell ref="J171:K171"/>
    <mergeCell ref="G172:H172"/>
    <mergeCell ref="J172:K172"/>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H194:I194"/>
    <mergeCell ref="J194:K194"/>
    <mergeCell ref="L194:M194"/>
    <mergeCell ref="L195:M195"/>
    <mergeCell ref="L196:M196"/>
    <mergeCell ref="L197:M197"/>
    <mergeCell ref="H193:I193"/>
    <mergeCell ref="J193:K193"/>
    <mergeCell ref="L193:M193"/>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S240:T240"/>
    <mergeCell ref="S241:T241"/>
    <mergeCell ref="S242:T242"/>
    <mergeCell ref="S243:T243"/>
    <mergeCell ref="S244:T244"/>
    <mergeCell ref="S245:T245"/>
    <mergeCell ref="P237:P238"/>
    <mergeCell ref="Q237:Q238"/>
    <mergeCell ref="R237:R238"/>
    <mergeCell ref="S237:S238"/>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A320:B320"/>
    <mergeCell ref="D320:F320"/>
    <mergeCell ref="H320:N320"/>
    <mergeCell ref="O320:Q320"/>
    <mergeCell ref="R320:V320"/>
    <mergeCell ref="B322:C322"/>
    <mergeCell ref="D322:E323"/>
    <mergeCell ref="H322:M322"/>
    <mergeCell ref="T322:U322"/>
    <mergeCell ref="B323:C323"/>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O346:P346"/>
    <mergeCell ref="O347:P347"/>
    <mergeCell ref="O348:P348"/>
    <mergeCell ref="J350:K350"/>
    <mergeCell ref="J351:K351"/>
    <mergeCell ref="J352:K352"/>
    <mergeCell ref="J334:K334"/>
    <mergeCell ref="J335:K335"/>
    <mergeCell ref="J336:K336"/>
    <mergeCell ref="J337:K337"/>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S366:T366"/>
    <mergeCell ref="S367:T367"/>
    <mergeCell ref="S368:T368"/>
    <mergeCell ref="S369:T369"/>
    <mergeCell ref="S370:T370"/>
    <mergeCell ref="S371:T371"/>
    <mergeCell ref="P363:P364"/>
    <mergeCell ref="Q363:Q364"/>
    <mergeCell ref="R363:R364"/>
    <mergeCell ref="S363:S364"/>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D378:E378"/>
    <mergeCell ref="E381:F381"/>
    <mergeCell ref="H381:I381"/>
    <mergeCell ref="D385:E386"/>
    <mergeCell ref="F385:F386"/>
    <mergeCell ref="G385:H385"/>
    <mergeCell ref="I385:I386"/>
    <mergeCell ref="P376:P377"/>
    <mergeCell ref="Q376:Q377"/>
    <mergeCell ref="J385:K385"/>
    <mergeCell ref="G386:H386"/>
    <mergeCell ref="J386:K386"/>
    <mergeCell ref="F388:F389"/>
    <mergeCell ref="G388:H388"/>
    <mergeCell ref="I388:I389"/>
    <mergeCell ref="J388:K388"/>
    <mergeCell ref="G389:H389"/>
    <mergeCell ref="J389:K389"/>
    <mergeCell ref="T405:U405"/>
    <mergeCell ref="B406:C406"/>
    <mergeCell ref="T406:U406"/>
    <mergeCell ref="H407:I407"/>
    <mergeCell ref="J407:K407"/>
    <mergeCell ref="L407:M407"/>
    <mergeCell ref="T407:U407"/>
    <mergeCell ref="G391:H391"/>
    <mergeCell ref="F393:H393"/>
    <mergeCell ref="F394:H394"/>
    <mergeCell ref="B405:C405"/>
    <mergeCell ref="D405:E406"/>
    <mergeCell ref="H405:M405"/>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J433:K433"/>
    <mergeCell ref="J434:K434"/>
    <mergeCell ref="J435:K435"/>
    <mergeCell ref="O439:P439"/>
    <mergeCell ref="O440:P440"/>
    <mergeCell ref="O441:P441"/>
    <mergeCell ref="J420:K420"/>
    <mergeCell ref="D425:E425"/>
    <mergeCell ref="O425:P425"/>
    <mergeCell ref="O429:P429"/>
    <mergeCell ref="O430:P430"/>
    <mergeCell ref="O431:P431"/>
    <mergeCell ref="U451:U452"/>
    <mergeCell ref="B451:B452"/>
    <mergeCell ref="C451:C452"/>
    <mergeCell ref="G451:G452"/>
    <mergeCell ref="H451:H452"/>
    <mergeCell ref="I451:M451"/>
    <mergeCell ref="N451:N452"/>
    <mergeCell ref="I452:J452"/>
    <mergeCell ref="L452:M452"/>
    <mergeCell ref="S454:T454"/>
    <mergeCell ref="S455:T455"/>
    <mergeCell ref="S456:T456"/>
    <mergeCell ref="S457:T457"/>
    <mergeCell ref="S458:T458"/>
    <mergeCell ref="S459:T459"/>
    <mergeCell ref="O451:O452"/>
    <mergeCell ref="P451:P452"/>
    <mergeCell ref="Q451:Q452"/>
    <mergeCell ref="R451:R452"/>
    <mergeCell ref="S451:S452"/>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D466:E466"/>
    <mergeCell ref="E469:F469"/>
    <mergeCell ref="H469:I469"/>
    <mergeCell ref="D473:E474"/>
    <mergeCell ref="F473:F474"/>
    <mergeCell ref="G473:H473"/>
    <mergeCell ref="I473:I474"/>
    <mergeCell ref="P464:P465"/>
    <mergeCell ref="Q464:Q465"/>
    <mergeCell ref="J473:K473"/>
    <mergeCell ref="G474:H474"/>
    <mergeCell ref="J474:K474"/>
    <mergeCell ref="F476:F477"/>
    <mergeCell ref="G476:H476"/>
    <mergeCell ref="I476:I477"/>
    <mergeCell ref="J476:K476"/>
    <mergeCell ref="G477:H477"/>
    <mergeCell ref="J477:K477"/>
    <mergeCell ref="T493:U493"/>
    <mergeCell ref="B494:C494"/>
    <mergeCell ref="T494:U494"/>
    <mergeCell ref="H495:I495"/>
    <mergeCell ref="J495:K495"/>
    <mergeCell ref="L495:M495"/>
    <mergeCell ref="T495:U495"/>
    <mergeCell ref="G479:H479"/>
    <mergeCell ref="F481:H481"/>
    <mergeCell ref="F482:H482"/>
    <mergeCell ref="B493:C493"/>
    <mergeCell ref="D493:E494"/>
    <mergeCell ref="H493:M493"/>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J521:K521"/>
    <mergeCell ref="J522:K522"/>
    <mergeCell ref="J523:K523"/>
    <mergeCell ref="O527:P527"/>
    <mergeCell ref="O528:P528"/>
    <mergeCell ref="O529:P529"/>
    <mergeCell ref="J508:K508"/>
    <mergeCell ref="D513:E513"/>
    <mergeCell ref="O513:P513"/>
    <mergeCell ref="O517:P517"/>
    <mergeCell ref="O518:P518"/>
    <mergeCell ref="O519:P519"/>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U552:U553"/>
    <mergeCell ref="I553:J553"/>
    <mergeCell ref="L553:M553"/>
    <mergeCell ref="S548:T548"/>
    <mergeCell ref="S549:T549"/>
    <mergeCell ref="S550:T550"/>
    <mergeCell ref="I564:I565"/>
    <mergeCell ref="J564:K564"/>
    <mergeCell ref="G565:H565"/>
    <mergeCell ref="J565:K565"/>
    <mergeCell ref="J582:K584"/>
    <mergeCell ref="D554:E554"/>
    <mergeCell ref="E557:F557"/>
    <mergeCell ref="H557:I557"/>
    <mergeCell ref="D561:E562"/>
    <mergeCell ref="F561:F562"/>
    <mergeCell ref="G561:H561"/>
    <mergeCell ref="I561:I562"/>
    <mergeCell ref="O582:Q584"/>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O31:P31"/>
    <mergeCell ref="O32:P32"/>
    <mergeCell ref="O33:P33"/>
    <mergeCell ref="J35:K35"/>
    <mergeCell ref="J36:K36"/>
    <mergeCell ref="J37:K37"/>
    <mergeCell ref="J22:K22"/>
    <mergeCell ref="D27:E27"/>
    <mergeCell ref="O27:P27"/>
    <mergeCell ref="M29:N29"/>
    <mergeCell ref="P29:Q29"/>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285:P285"/>
    <mergeCell ref="Q285:R287"/>
    <mergeCell ref="S285:V285"/>
    <mergeCell ref="D286:E286"/>
    <mergeCell ref="K286:L286"/>
    <mergeCell ref="M286:N286"/>
    <mergeCell ref="O286:P286"/>
    <mergeCell ref="S286:V286"/>
    <mergeCell ref="D287:E287"/>
    <mergeCell ref="K287:L287"/>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59" t="s">
        <v>121</v>
      </c>
      <c r="E7" s="960"/>
      <c r="F7" s="468"/>
      <c r="H7" s="665" t="s">
        <v>518</v>
      </c>
      <c r="I7" s="665"/>
      <c r="J7" s="665"/>
      <c r="K7" s="665"/>
      <c r="L7" s="665"/>
      <c r="M7" s="665"/>
      <c r="P7" s="198"/>
      <c r="S7" s="199" t="s">
        <v>398</v>
      </c>
      <c r="T7" s="948" t="s">
        <v>519</v>
      </c>
      <c r="U7" s="949"/>
      <c r="V7" s="197"/>
    </row>
    <row r="8" spans="1:24" ht="18" customHeight="1">
      <c r="A8" s="469"/>
      <c r="F8" s="468"/>
      <c r="T8" s="948" t="s">
        <v>520</v>
      </c>
      <c r="U8" s="949"/>
      <c r="V8" s="197"/>
    </row>
    <row r="9" spans="1:24" ht="18" customHeight="1">
      <c r="A9" s="196"/>
      <c r="H9" s="666" t="s">
        <v>401</v>
      </c>
      <c r="I9" s="666"/>
      <c r="J9" s="667" t="s">
        <v>402</v>
      </c>
      <c r="K9" s="667"/>
      <c r="L9" s="667" t="s">
        <v>403</v>
      </c>
      <c r="M9" s="667"/>
      <c r="T9" s="948" t="s">
        <v>205</v>
      </c>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10</v>
      </c>
      <c r="I12" s="949"/>
      <c r="J12" s="204" t="s">
        <v>344</v>
      </c>
      <c r="V12" s="197"/>
    </row>
    <row r="13" spans="1:24" ht="18" customHeight="1">
      <c r="A13" s="196"/>
      <c r="B13" s="47" t="s">
        <v>409</v>
      </c>
      <c r="G13" s="120" t="s">
        <v>509</v>
      </c>
      <c r="H13" s="948">
        <v>325</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REF615</v>
      </c>
      <c r="H19" s="28"/>
      <c r="I19" s="101" t="s">
        <v>138</v>
      </c>
      <c r="J19" s="950">
        <f>'CT-VT Burdens'!Q55</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52">
        <f>'CT-VT Burdens'!Q92</f>
        <v>5.8000000000000003E-2</v>
      </c>
      <c r="K20" s="953"/>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4">
        <f>'CT-VT Burdens'!S22</f>
        <v>0.44875935000000006</v>
      </c>
      <c r="K21" s="955"/>
      <c r="L21" s="309" t="s">
        <v>168</v>
      </c>
      <c r="O21" s="27" t="s">
        <v>138</v>
      </c>
      <c r="P21" s="668">
        <f>P20*R20*T20</f>
        <v>10</v>
      </c>
      <c r="Q21" s="665"/>
      <c r="R21" s="27" t="s">
        <v>168</v>
      </c>
      <c r="V21" s="197"/>
    </row>
    <row r="22" spans="1:25" ht="18" customHeight="1">
      <c r="A22" s="196"/>
      <c r="B22" s="1" t="s">
        <v>424</v>
      </c>
      <c r="C22" s="2"/>
      <c r="D22" s="2"/>
      <c r="E22" s="2"/>
      <c r="F22" s="208"/>
      <c r="G22" s="208"/>
      <c r="H22" s="236" t="s">
        <v>523</v>
      </c>
      <c r="I22" s="195" t="s">
        <v>138</v>
      </c>
      <c r="J22" s="678">
        <f>SUM(J18:J21)</f>
        <v>0.54675935000000009</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R28" s="27" t="s">
        <v>138</v>
      </c>
      <c r="S28" s="665">
        <v>6</v>
      </c>
      <c r="T28" s="665"/>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S28*S30</f>
        <v>15000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2500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10</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0.54675935000000009</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15000</v>
      </c>
      <c r="G37" s="664"/>
      <c r="H37" s="665" t="s">
        <v>326</v>
      </c>
      <c r="I37" s="667">
        <f>S31</f>
        <v>1</v>
      </c>
      <c r="J37" s="667"/>
      <c r="K37" s="665" t="s">
        <v>326</v>
      </c>
      <c r="L37" s="665" t="s">
        <v>430</v>
      </c>
      <c r="M37" s="1164">
        <f>S33</f>
        <v>10</v>
      </c>
      <c r="N37" s="665" t="s">
        <v>358</v>
      </c>
      <c r="O37" s="668">
        <f>S34</f>
        <v>0.54675935000000009</v>
      </c>
      <c r="P37" s="665" t="s">
        <v>358</v>
      </c>
      <c r="Q37" s="872">
        <f>S35</f>
        <v>0.02</v>
      </c>
      <c r="R37" s="667"/>
      <c r="S37" s="667"/>
      <c r="T37" s="665" t="s">
        <v>361</v>
      </c>
      <c r="V37" s="197"/>
    </row>
    <row r="38" spans="1:25" ht="18" customHeight="1">
      <c r="A38" s="196"/>
      <c r="B38" s="665"/>
      <c r="C38" s="665"/>
      <c r="D38" s="664"/>
      <c r="E38" s="665"/>
      <c r="F38" s="664"/>
      <c r="G38" s="664"/>
      <c r="H38" s="665"/>
      <c r="I38" s="665">
        <f>S30</f>
        <v>2500</v>
      </c>
      <c r="J38" s="665"/>
      <c r="K38" s="665"/>
      <c r="L38" s="665"/>
      <c r="M38" s="1164"/>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95.11</v>
      </c>
      <c r="E40" s="94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46" t="s">
        <v>428</v>
      </c>
      <c r="C51" s="947"/>
      <c r="D51" s="947"/>
      <c r="E51" s="664">
        <v>20</v>
      </c>
      <c r="F51" s="664" t="s">
        <v>326</v>
      </c>
      <c r="G51" s="667" t="s">
        <v>492</v>
      </c>
      <c r="H51" s="667" t="s">
        <v>493</v>
      </c>
      <c r="I51" s="939"/>
      <c r="J51" s="664" t="s">
        <v>326</v>
      </c>
      <c r="K51" s="664" t="s">
        <v>430</v>
      </c>
      <c r="L51" s="664" t="s">
        <v>451</v>
      </c>
      <c r="M51" s="942" t="s">
        <v>358</v>
      </c>
      <c r="N51" s="664" t="s">
        <v>458</v>
      </c>
      <c r="O51" s="664" t="s">
        <v>358</v>
      </c>
      <c r="P51" s="943" t="s">
        <v>459</v>
      </c>
      <c r="Q51" s="943"/>
      <c r="R51" s="943"/>
      <c r="S51" s="944" t="s">
        <v>361</v>
      </c>
      <c r="T51" s="945" t="s">
        <v>433</v>
      </c>
      <c r="V51" s="197"/>
    </row>
    <row r="52" spans="1:25" ht="18" customHeight="1">
      <c r="A52" s="196"/>
      <c r="B52" s="947"/>
      <c r="C52" s="947"/>
      <c r="D52" s="947"/>
      <c r="E52" s="664"/>
      <c r="F52" s="664"/>
      <c r="G52" s="664"/>
      <c r="H52" s="665" t="s">
        <v>494</v>
      </c>
      <c r="I52" s="903"/>
      <c r="J52" s="664"/>
      <c r="K52" s="664"/>
      <c r="L52" s="664"/>
      <c r="M52" s="942"/>
      <c r="N52" s="664"/>
      <c r="O52" s="664"/>
      <c r="P52" s="28" t="s">
        <v>449</v>
      </c>
      <c r="Q52" s="28" t="s">
        <v>326</v>
      </c>
      <c r="R52" s="28" t="s">
        <v>449</v>
      </c>
      <c r="S52" s="944"/>
      <c r="T52" s="945"/>
      <c r="V52" s="112"/>
    </row>
    <row r="53" spans="1:25" ht="18" customHeight="1">
      <c r="A53" s="196"/>
      <c r="C53" s="28"/>
      <c r="D53" s="28"/>
      <c r="E53" s="28"/>
      <c r="F53" s="28"/>
      <c r="G53" s="28"/>
      <c r="H53" s="664"/>
      <c r="I53" s="936"/>
      <c r="J53" s="28"/>
      <c r="K53" s="28"/>
      <c r="L53" s="28"/>
      <c r="M53" s="28"/>
      <c r="N53" s="47"/>
      <c r="O53" s="28"/>
      <c r="V53" s="197"/>
    </row>
    <row r="54" spans="1:25" ht="18" customHeight="1">
      <c r="A54" s="196"/>
      <c r="C54" s="30" t="s">
        <v>537</v>
      </c>
      <c r="R54" s="27" t="s">
        <v>138</v>
      </c>
      <c r="S54" s="665">
        <v>1.2</v>
      </c>
      <c r="T54" s="665"/>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64">
        <f>S54*S56</f>
        <v>3000</v>
      </c>
      <c r="T55" s="664"/>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64">
        <f>H10</f>
        <v>2500</v>
      </c>
      <c r="T56" s="664"/>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64">
        <f>O10</f>
        <v>1</v>
      </c>
      <c r="T57" s="664"/>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41">
        <f>S32</f>
        <v>1</v>
      </c>
      <c r="T58" s="941"/>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69">
        <f>H12</f>
        <v>10</v>
      </c>
      <c r="T59" s="664"/>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69">
        <f>J22</f>
        <v>0.54675935000000009</v>
      </c>
      <c r="T60" s="664"/>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68">
        <f>J18</f>
        <v>0.02</v>
      </c>
      <c r="T61" s="664"/>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65" t="s">
        <v>428</v>
      </c>
      <c r="C63" s="665"/>
      <c r="D63" s="664">
        <f>E51</f>
        <v>20</v>
      </c>
      <c r="E63" s="665" t="s">
        <v>326</v>
      </c>
      <c r="F63" s="664">
        <f>S55</f>
        <v>3000</v>
      </c>
      <c r="G63" s="664"/>
      <c r="H63" s="665" t="s">
        <v>326</v>
      </c>
      <c r="I63" s="667">
        <f>S57</f>
        <v>1</v>
      </c>
      <c r="J63" s="667"/>
      <c r="K63" s="665" t="s">
        <v>326</v>
      </c>
      <c r="L63" s="665" t="s">
        <v>430</v>
      </c>
      <c r="M63" s="1164">
        <f>S59</f>
        <v>10</v>
      </c>
      <c r="N63" s="665" t="s">
        <v>358</v>
      </c>
      <c r="O63" s="668">
        <f>S60</f>
        <v>0.54675935000000009</v>
      </c>
      <c r="P63" s="665" t="s">
        <v>358</v>
      </c>
      <c r="Q63" s="872">
        <f>S61</f>
        <v>0.02</v>
      </c>
      <c r="R63" s="667"/>
      <c r="S63" s="667"/>
      <c r="T63" s="665" t="s">
        <v>361</v>
      </c>
      <c r="V63" s="197"/>
    </row>
    <row r="64" spans="1:25" ht="18" customHeight="1">
      <c r="A64" s="196"/>
      <c r="B64" s="665"/>
      <c r="C64" s="665"/>
      <c r="D64" s="664"/>
      <c r="E64" s="665"/>
      <c r="F64" s="664"/>
      <c r="G64" s="664"/>
      <c r="H64" s="665"/>
      <c r="I64" s="665">
        <f>S56</f>
        <v>2500</v>
      </c>
      <c r="J64" s="665"/>
      <c r="K64" s="665"/>
      <c r="L64" s="665"/>
      <c r="M64" s="1164"/>
      <c r="N64" s="665"/>
      <c r="O64" s="665"/>
      <c r="P64" s="665"/>
      <c r="Q64" s="517">
        <f>S58</f>
        <v>1</v>
      </c>
      <c r="R64" s="27" t="s">
        <v>326</v>
      </c>
      <c r="S64" s="517">
        <f>S58</f>
        <v>1</v>
      </c>
      <c r="T64" s="665"/>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40">
        <f>ROUNDUP(D63*F63*(I63/I64)*(M63+O63+(Q63/(Q64*S64))),2)</f>
        <v>253.60999999999999</v>
      </c>
      <c r="E66" s="94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max(95.11,253.61)</v>
      </c>
      <c r="V68" s="197"/>
      <c r="X68" s="30" t="s">
        <v>430</v>
      </c>
      <c r="Y68" s="30" t="s">
        <v>541</v>
      </c>
      <c r="Z68" s="30" t="s">
        <v>542</v>
      </c>
      <c r="AA68" s="30" t="s">
        <v>361</v>
      </c>
    </row>
    <row r="69" spans="1:27" ht="18" customHeight="1">
      <c r="A69" s="196"/>
      <c r="D69" s="14"/>
      <c r="E69"/>
      <c r="F69"/>
      <c r="G69" s="27"/>
      <c r="H69" s="14"/>
      <c r="I69"/>
      <c r="J69"/>
      <c r="K69"/>
      <c r="L69" s="30" t="s">
        <v>539</v>
      </c>
      <c r="M69" s="519" t="s">
        <v>540</v>
      </c>
      <c r="N69" s="668">
        <f>MAX(D66,D40)</f>
        <v>253.60999999999999</v>
      </c>
      <c r="O69" s="668"/>
      <c r="V69" s="197"/>
    </row>
    <row r="70" spans="1:27" ht="18" customHeight="1">
      <c r="A70" s="196"/>
      <c r="D70"/>
      <c r="E70" s="956"/>
      <c r="F70" s="665"/>
      <c r="G70" s="27"/>
      <c r="H70" s="668"/>
      <c r="I70" s="665"/>
      <c r="J70"/>
      <c r="K70"/>
      <c r="L70" s="308">
        <f>H13</f>
        <v>325</v>
      </c>
      <c r="M70" s="519" t="s">
        <v>540</v>
      </c>
      <c r="N70" s="668">
        <f>N69</f>
        <v>253.60999999999999</v>
      </c>
      <c r="O70" s="668"/>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08" t="str">
        <f>B7</f>
        <v>T1</v>
      </c>
      <c r="C105" s="709"/>
      <c r="D105" s="707" t="str">
        <f>D7</f>
        <v>Core3</v>
      </c>
      <c r="E105" s="733"/>
      <c r="F105" s="468"/>
      <c r="H105" s="665" t="str">
        <f>H7</f>
        <v>(OC+BCPU+FMS)</v>
      </c>
      <c r="I105" s="665"/>
      <c r="J105" s="665"/>
      <c r="K105" s="665"/>
      <c r="L105" s="665"/>
      <c r="M105" s="665"/>
      <c r="P105" s="198"/>
      <c r="S105" s="199" t="s">
        <v>398</v>
      </c>
      <c r="T105" s="705" t="str">
        <f>T7</f>
        <v>REC670</v>
      </c>
      <c r="U105" s="706"/>
      <c r="V105" s="197"/>
    </row>
    <row r="106" spans="1:23" ht="18" hidden="1" customHeight="1">
      <c r="A106" s="469"/>
      <c r="F106" s="468"/>
      <c r="T106" s="705" t="str">
        <f>T8</f>
        <v>REF615</v>
      </c>
      <c r="U106" s="706"/>
      <c r="V106" s="197"/>
    </row>
    <row r="107" spans="1:23" ht="18" hidden="1" customHeight="1">
      <c r="A107" s="196"/>
      <c r="H107" s="696" t="s">
        <v>401</v>
      </c>
      <c r="I107" s="696"/>
      <c r="J107" s="666" t="s">
        <v>402</v>
      </c>
      <c r="K107" s="666"/>
      <c r="L107" s="667" t="s">
        <v>403</v>
      </c>
      <c r="M107" s="667"/>
      <c r="T107" s="705" t="str">
        <f>T9</f>
        <v>FMS</v>
      </c>
      <c r="U107" s="706"/>
      <c r="V107" s="197"/>
    </row>
    <row r="108" spans="1:23" ht="18" hidden="1" customHeight="1">
      <c r="A108" s="196"/>
      <c r="B108" s="47" t="s">
        <v>404</v>
      </c>
      <c r="H108" s="708">
        <f>H10</f>
        <v>2500</v>
      </c>
      <c r="I108" s="709"/>
      <c r="J108" s="714" t="str">
        <f>J10</f>
        <v>-</v>
      </c>
      <c r="K108" s="715"/>
      <c r="L108" s="708" t="str">
        <f>L10</f>
        <v>-</v>
      </c>
      <c r="M108" s="709"/>
      <c r="N108" s="203" t="s">
        <v>353</v>
      </c>
      <c r="O108" s="268">
        <f>O10</f>
        <v>1</v>
      </c>
      <c r="P108" s="27" t="s">
        <v>9</v>
      </c>
      <c r="R108" s="267"/>
      <c r="S108" s="267"/>
      <c r="V108" s="197"/>
    </row>
    <row r="109" spans="1:23" ht="18" hidden="1" customHeight="1">
      <c r="A109" s="196"/>
      <c r="B109" s="47" t="s">
        <v>405</v>
      </c>
      <c r="J109" s="708" t="str">
        <f>H11</f>
        <v>PX</v>
      </c>
      <c r="K109" s="709"/>
      <c r="V109" s="197"/>
    </row>
    <row r="110" spans="1:23" ht="18" hidden="1" customHeight="1">
      <c r="A110" s="196"/>
      <c r="B110" s="47" t="s">
        <v>407</v>
      </c>
      <c r="I110" s="120" t="s">
        <v>508</v>
      </c>
      <c r="J110" s="948">
        <v>12</v>
      </c>
      <c r="K110" s="949"/>
      <c r="L110" s="204" t="s">
        <v>344</v>
      </c>
      <c r="V110" s="197"/>
    </row>
    <row r="111" spans="1:23" ht="18" hidden="1" customHeight="1">
      <c r="A111" s="196"/>
      <c r="B111" s="47" t="s">
        <v>409</v>
      </c>
      <c r="I111" s="120" t="s">
        <v>509</v>
      </c>
      <c r="J111" s="948">
        <v>1200</v>
      </c>
      <c r="K111" s="949"/>
      <c r="L111" s="14" t="s">
        <v>316</v>
      </c>
      <c r="T111" s="307"/>
      <c r="U111" s="18"/>
      <c r="V111" s="197"/>
      <c r="W111" s="30" t="e">
        <f>G159</f>
        <v>#VALUE!</v>
      </c>
    </row>
    <row r="112" spans="1:23" ht="18" hidden="1" customHeight="1">
      <c r="A112" s="196"/>
      <c r="B112" s="14" t="s">
        <v>412</v>
      </c>
      <c r="I112" s="120" t="s">
        <v>413</v>
      </c>
      <c r="J112" s="948">
        <v>50</v>
      </c>
      <c r="K112" s="949"/>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78">
        <f>J18</f>
        <v>0.02</v>
      </c>
      <c r="K116" s="679"/>
      <c r="L116" s="3" t="s">
        <v>168</v>
      </c>
      <c r="N116" s="209" t="s">
        <v>521</v>
      </c>
      <c r="V116" s="197"/>
    </row>
    <row r="117" spans="1:22" ht="18" hidden="1" customHeight="1">
      <c r="A117" s="196"/>
      <c r="B117" s="96" t="s">
        <v>416</v>
      </c>
      <c r="C117" s="14"/>
      <c r="D117" s="47" t="str">
        <f>T106</f>
        <v>REF615</v>
      </c>
      <c r="H117" s="28"/>
      <c r="I117" s="101" t="s">
        <v>138</v>
      </c>
      <c r="J117" s="678">
        <f>J19</f>
        <v>0.02</v>
      </c>
      <c r="K117" s="67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78">
        <f>J20</f>
        <v>5.8000000000000003E-2</v>
      </c>
      <c r="K118" s="67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701">
        <f>J21</f>
        <v>0.44875935000000006</v>
      </c>
      <c r="K119" s="702"/>
      <c r="L119" s="309" t="s">
        <v>168</v>
      </c>
      <c r="O119" s="27" t="s">
        <v>138</v>
      </c>
      <c r="P119" s="668">
        <f>P118*R118*T118</f>
        <v>12</v>
      </c>
      <c r="Q119" s="665"/>
      <c r="R119" s="27" t="s">
        <v>168</v>
      </c>
      <c r="V119" s="197"/>
    </row>
    <row r="120" spans="1:22" ht="18" hidden="1" customHeight="1">
      <c r="A120" s="196"/>
      <c r="B120" s="1" t="s">
        <v>424</v>
      </c>
      <c r="C120" s="2"/>
      <c r="D120" s="2"/>
      <c r="E120" s="2"/>
      <c r="F120" s="208"/>
      <c r="G120" s="208"/>
      <c r="H120" s="236" t="s">
        <v>523</v>
      </c>
      <c r="I120" s="195" t="s">
        <v>138</v>
      </c>
      <c r="J120" s="678">
        <f>SUM(J116:J119)</f>
        <v>0.54675935000000009</v>
      </c>
      <c r="K120" s="67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71" t="s">
        <v>547</v>
      </c>
      <c r="B122" s="972"/>
      <c r="C122" s="972"/>
      <c r="D122" s="972"/>
      <c r="E122" s="972"/>
      <c r="F122" s="972"/>
      <c r="G122" s="972"/>
      <c r="H122" s="972"/>
      <c r="I122" s="972"/>
      <c r="J122" s="972"/>
      <c r="K122" s="972"/>
      <c r="L122" s="972"/>
      <c r="M122" s="972"/>
      <c r="N122" s="972"/>
      <c r="O122" s="972"/>
      <c r="P122" s="972"/>
      <c r="Q122" s="972"/>
      <c r="R122" s="972"/>
      <c r="S122" s="972"/>
      <c r="T122" s="972"/>
      <c r="U122" s="972"/>
      <c r="V122" s="973"/>
    </row>
    <row r="123" spans="1:22" ht="18" hidden="1" customHeight="1">
      <c r="A123" s="974"/>
      <c r="B123" s="972"/>
      <c r="C123" s="972"/>
      <c r="D123" s="972"/>
      <c r="E123" s="972"/>
      <c r="F123" s="972"/>
      <c r="G123" s="972"/>
      <c r="H123" s="972"/>
      <c r="I123" s="972"/>
      <c r="J123" s="972"/>
      <c r="K123" s="972"/>
      <c r="L123" s="972"/>
      <c r="M123" s="972"/>
      <c r="N123" s="972"/>
      <c r="O123" s="972"/>
      <c r="P123" s="972"/>
      <c r="Q123" s="972"/>
      <c r="R123" s="972"/>
      <c r="S123" s="972"/>
      <c r="T123" s="972"/>
      <c r="U123" s="972"/>
      <c r="V123" s="973"/>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64" t="s">
        <v>484</v>
      </c>
      <c r="I127" s="93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64">
        <f>S29</f>
        <v>15000</v>
      </c>
      <c r="T129" s="664"/>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64" t="str">
        <f>J108</f>
        <v>-</v>
      </c>
      <c r="T130" s="664"/>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64">
        <f>J111</f>
        <v>1200</v>
      </c>
      <c r="T131" s="664"/>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69">
        <f>P119</f>
        <v>12</v>
      </c>
      <c r="T132" s="664"/>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69">
        <f>J120</f>
        <v>0.54675935000000009</v>
      </c>
      <c r="T133" s="664"/>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64">
        <f>O108</f>
        <v>1</v>
      </c>
      <c r="T134" s="664"/>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64">
        <v>20</v>
      </c>
      <c r="T135" s="664"/>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64" t="s">
        <v>484</v>
      </c>
      <c r="I138" s="93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64">
        <f>S131</f>
        <v>1200</v>
      </c>
      <c r="I139" s="936"/>
      <c r="J139" s="28" t="s">
        <v>326</v>
      </c>
      <c r="K139" s="28">
        <f>S134</f>
        <v>1</v>
      </c>
      <c r="L139" s="28" t="s">
        <v>552</v>
      </c>
      <c r="M139" s="28">
        <f>S135</f>
        <v>20</v>
      </c>
      <c r="N139" s="47" t="s">
        <v>553</v>
      </c>
      <c r="O139" s="516">
        <f>S132</f>
        <v>12</v>
      </c>
      <c r="V139" s="197"/>
    </row>
    <row r="140" spans="1:25" ht="18" hidden="1" customHeight="1">
      <c r="A140" s="196"/>
      <c r="D140" s="27" t="s">
        <v>138</v>
      </c>
      <c r="E140" s="665">
        <f>((F139*H139*K139)/M139)-O139</f>
        <v>66</v>
      </c>
      <c r="F140" s="665"/>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64" t="s">
        <v>555</v>
      </c>
      <c r="H149" s="664"/>
      <c r="I149" s="203" t="s">
        <v>353</v>
      </c>
      <c r="J149" s="665" t="s">
        <v>434</v>
      </c>
      <c r="K149" s="665"/>
      <c r="V149" s="197"/>
    </row>
    <row r="150" spans="1:22" ht="18" hidden="1" customHeight="1">
      <c r="A150" s="196"/>
      <c r="F150" s="27" t="s">
        <v>138</v>
      </c>
      <c r="G150" s="665">
        <f>S129</f>
        <v>15000</v>
      </c>
      <c r="H150" s="665"/>
      <c r="I150" s="203" t="s">
        <v>353</v>
      </c>
      <c r="J150" s="665" t="str">
        <f>S130</f>
        <v>-</v>
      </c>
      <c r="K150" s="665"/>
      <c r="V150" s="197"/>
    </row>
    <row r="151" spans="1:22" ht="18" hidden="1" customHeight="1">
      <c r="A151" s="196"/>
      <c r="F151" s="27" t="s">
        <v>138</v>
      </c>
      <c r="G151" s="668" t="e">
        <f>G150/J150</f>
        <v>#VALUE!</v>
      </c>
      <c r="H151" s="668"/>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0.54675935000000009</v>
      </c>
      <c r="P154" s="474" t="s">
        <v>361</v>
      </c>
      <c r="V154" s="197"/>
    </row>
    <row r="155" spans="1:22" ht="18" hidden="1" customHeight="1">
      <c r="A155" s="196"/>
      <c r="F155" s="27" t="s">
        <v>138</v>
      </c>
      <c r="G155" s="668">
        <f>G154*((I154+K154)/(M154+O154))</f>
        <v>124.33489449209846</v>
      </c>
      <c r="H155" s="668"/>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68">
        <f>G155</f>
        <v>124.33489449209846</v>
      </c>
      <c r="E158" s="668"/>
      <c r="F158" s="27" t="e">
        <f>F157</f>
        <v>#VALUE!</v>
      </c>
      <c r="G158" s="668" t="e">
        <f>G151</f>
        <v>#VALUE!</v>
      </c>
      <c r="H158" s="668"/>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08" t="str">
        <f>B105</f>
        <v>T1</v>
      </c>
      <c r="C193" s="709"/>
      <c r="D193" s="707" t="str">
        <f>D105</f>
        <v>Core3</v>
      </c>
      <c r="E193" s="733"/>
      <c r="F193" s="468"/>
      <c r="H193" s="665" t="str">
        <f>H105</f>
        <v>(OC+BCPU+FMS)</v>
      </c>
      <c r="I193" s="665"/>
      <c r="J193" s="665"/>
      <c r="K193" s="665"/>
      <c r="L193" s="665"/>
      <c r="M193" s="665"/>
      <c r="P193" s="198"/>
      <c r="S193" s="199" t="s">
        <v>398</v>
      </c>
      <c r="T193" s="705" t="str">
        <f>T105</f>
        <v>REC670</v>
      </c>
      <c r="U193" s="706"/>
      <c r="V193" s="197"/>
    </row>
    <row r="194" spans="1:23" ht="18" hidden="1" customHeight="1">
      <c r="A194" s="469"/>
      <c r="F194" s="468"/>
      <c r="T194" s="705" t="str">
        <f>T106</f>
        <v>REF615</v>
      </c>
      <c r="U194" s="706"/>
      <c r="V194" s="197"/>
    </row>
    <row r="195" spans="1:23" ht="18" hidden="1" customHeight="1">
      <c r="A195" s="196"/>
      <c r="H195" s="696" t="s">
        <v>401</v>
      </c>
      <c r="I195" s="696"/>
      <c r="J195" s="696" t="s">
        <v>402</v>
      </c>
      <c r="K195" s="696"/>
      <c r="L195" s="666" t="s">
        <v>403</v>
      </c>
      <c r="M195" s="666"/>
      <c r="T195" s="705" t="str">
        <f>T107</f>
        <v>FMS</v>
      </c>
      <c r="U195" s="706"/>
      <c r="V195" s="197"/>
    </row>
    <row r="196" spans="1:23" ht="18" hidden="1" customHeight="1">
      <c r="A196" s="196"/>
      <c r="B196" s="47" t="s">
        <v>404</v>
      </c>
      <c r="H196" s="708">
        <f>H108</f>
        <v>2500</v>
      </c>
      <c r="I196" s="709"/>
      <c r="J196" s="708" t="str">
        <f>J108</f>
        <v>-</v>
      </c>
      <c r="K196" s="709"/>
      <c r="L196" s="714" t="str">
        <f>L108</f>
        <v>-</v>
      </c>
      <c r="M196" s="715"/>
      <c r="N196" s="203" t="s">
        <v>353</v>
      </c>
      <c r="O196" s="268">
        <f>O108</f>
        <v>1</v>
      </c>
      <c r="P196" s="27" t="s">
        <v>9</v>
      </c>
      <c r="R196" s="267"/>
      <c r="S196" s="267"/>
      <c r="V196" s="197"/>
    </row>
    <row r="197" spans="1:23" ht="18" hidden="1" customHeight="1">
      <c r="A197" s="196"/>
      <c r="B197" s="47" t="s">
        <v>405</v>
      </c>
      <c r="L197" s="708" t="str">
        <f>J109</f>
        <v>PX</v>
      </c>
      <c r="M197" s="709"/>
      <c r="V197" s="197"/>
    </row>
    <row r="198" spans="1:23" ht="18" hidden="1" customHeight="1">
      <c r="A198" s="196"/>
      <c r="B198" s="47" t="s">
        <v>407</v>
      </c>
      <c r="K198" s="120" t="s">
        <v>508</v>
      </c>
      <c r="L198" s="948">
        <v>8</v>
      </c>
      <c r="M198" s="949"/>
      <c r="N198" s="204" t="s">
        <v>344</v>
      </c>
      <c r="V198" s="197"/>
    </row>
    <row r="199" spans="1:23" ht="18" hidden="1" customHeight="1">
      <c r="A199" s="196"/>
      <c r="B199" s="47" t="s">
        <v>409</v>
      </c>
      <c r="K199" s="120" t="s">
        <v>509</v>
      </c>
      <c r="L199" s="948">
        <v>800</v>
      </c>
      <c r="M199" s="949"/>
      <c r="N199" s="14" t="s">
        <v>316</v>
      </c>
      <c r="V199" s="197"/>
      <c r="W199" s="30" t="e">
        <f>G247</f>
        <v>#VALUE!</v>
      </c>
    </row>
    <row r="200" spans="1:23" ht="18" hidden="1" customHeight="1">
      <c r="A200" s="196"/>
      <c r="B200" s="14" t="s">
        <v>412</v>
      </c>
      <c r="K200" s="120" t="s">
        <v>413</v>
      </c>
      <c r="L200" s="948">
        <v>75</v>
      </c>
      <c r="M200" s="949"/>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78">
        <f>J116</f>
        <v>0.02</v>
      </c>
      <c r="K204" s="679"/>
      <c r="L204" s="3" t="s">
        <v>168</v>
      </c>
      <c r="N204" s="209" t="s">
        <v>521</v>
      </c>
      <c r="V204" s="197"/>
    </row>
    <row r="205" spans="1:23" ht="18" hidden="1" customHeight="1">
      <c r="A205" s="196"/>
      <c r="B205" s="96" t="s">
        <v>416</v>
      </c>
      <c r="C205" s="14"/>
      <c r="D205" s="47" t="str">
        <f>T194</f>
        <v>REF615</v>
      </c>
      <c r="H205" s="28"/>
      <c r="I205" s="101" t="s">
        <v>138</v>
      </c>
      <c r="J205" s="678">
        <f>J117</f>
        <v>0.02</v>
      </c>
      <c r="K205" s="67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78">
        <f>J118</f>
        <v>5.8000000000000003E-2</v>
      </c>
      <c r="K206" s="67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701">
        <f>J119</f>
        <v>0.44875935000000006</v>
      </c>
      <c r="K207" s="702"/>
      <c r="L207" s="309" t="s">
        <v>168</v>
      </c>
      <c r="O207" s="27" t="s">
        <v>138</v>
      </c>
      <c r="P207" s="668">
        <f>P206*R206*T206</f>
        <v>8</v>
      </c>
      <c r="Q207" s="665"/>
      <c r="R207" s="27" t="s">
        <v>168</v>
      </c>
      <c r="V207" s="197"/>
    </row>
    <row r="208" spans="1:23" ht="18" hidden="1" customHeight="1">
      <c r="A208" s="196"/>
      <c r="B208" s="1" t="s">
        <v>424</v>
      </c>
      <c r="C208" s="2"/>
      <c r="D208" s="2"/>
      <c r="E208" s="2"/>
      <c r="F208" s="208"/>
      <c r="G208" s="208"/>
      <c r="H208" s="236" t="s">
        <v>523</v>
      </c>
      <c r="I208" s="195" t="s">
        <v>138</v>
      </c>
      <c r="J208" s="678">
        <f>SUM(J204:J207)</f>
        <v>0.54675935000000009</v>
      </c>
      <c r="K208" s="67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71" t="s">
        <v>547</v>
      </c>
      <c r="B210" s="972"/>
      <c r="C210" s="972"/>
      <c r="D210" s="972"/>
      <c r="E210" s="972"/>
      <c r="F210" s="972"/>
      <c r="G210" s="972"/>
      <c r="H210" s="972"/>
      <c r="I210" s="972"/>
      <c r="J210" s="972"/>
      <c r="K210" s="972"/>
      <c r="L210" s="972"/>
      <c r="M210" s="972"/>
      <c r="N210" s="972"/>
      <c r="O210" s="972"/>
      <c r="P210" s="972"/>
      <c r="Q210" s="972"/>
      <c r="R210" s="972"/>
      <c r="S210" s="972"/>
      <c r="T210" s="972"/>
      <c r="U210" s="972"/>
      <c r="V210" s="973"/>
    </row>
    <row r="211" spans="1:25" ht="18" hidden="1" customHeight="1">
      <c r="A211" s="974"/>
      <c r="B211" s="972"/>
      <c r="C211" s="972"/>
      <c r="D211" s="972"/>
      <c r="E211" s="972"/>
      <c r="F211" s="972"/>
      <c r="G211" s="972"/>
      <c r="H211" s="972"/>
      <c r="I211" s="972"/>
      <c r="J211" s="972"/>
      <c r="K211" s="972"/>
      <c r="L211" s="972"/>
      <c r="M211" s="972"/>
      <c r="N211" s="972"/>
      <c r="O211" s="972"/>
      <c r="P211" s="972"/>
      <c r="Q211" s="972"/>
      <c r="R211" s="972"/>
      <c r="S211" s="972"/>
      <c r="T211" s="972"/>
      <c r="U211" s="972"/>
      <c r="V211" s="973"/>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64" t="s">
        <v>484</v>
      </c>
      <c r="I215" s="93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64">
        <f>S129</f>
        <v>15000</v>
      </c>
      <c r="T217" s="664"/>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64" t="str">
        <f>L196</f>
        <v>-</v>
      </c>
      <c r="T218" s="664"/>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64">
        <f>L199</f>
        <v>800</v>
      </c>
      <c r="T219" s="664"/>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69">
        <f>P207</f>
        <v>8</v>
      </c>
      <c r="T220" s="664"/>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69">
        <f>J208</f>
        <v>0.54675935000000009</v>
      </c>
      <c r="T221" s="664"/>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64">
        <f>O196</f>
        <v>1</v>
      </c>
      <c r="T222" s="664"/>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64">
        <v>20</v>
      </c>
      <c r="T223" s="664"/>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64" t="s">
        <v>484</v>
      </c>
      <c r="I226" s="93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64">
        <f>S219</f>
        <v>800</v>
      </c>
      <c r="I227" s="936"/>
      <c r="J227" s="28" t="s">
        <v>326</v>
      </c>
      <c r="K227" s="28">
        <f>S222</f>
        <v>1</v>
      </c>
      <c r="L227" s="28" t="s">
        <v>552</v>
      </c>
      <c r="M227" s="28">
        <f>S223</f>
        <v>20</v>
      </c>
      <c r="N227" s="47" t="s">
        <v>553</v>
      </c>
      <c r="O227" s="516">
        <f>S220</f>
        <v>8</v>
      </c>
      <c r="V227" s="197"/>
    </row>
    <row r="228" spans="1:22" ht="18" hidden="1" customHeight="1">
      <c r="A228" s="196"/>
      <c r="D228" s="27" t="s">
        <v>138</v>
      </c>
      <c r="E228" s="665">
        <f>((F227*H227*K227)/M227)-O227</f>
        <v>44</v>
      </c>
      <c r="F228" s="665"/>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64" t="s">
        <v>555</v>
      </c>
      <c r="H237" s="664"/>
      <c r="I237" s="203" t="s">
        <v>353</v>
      </c>
      <c r="J237" s="665" t="s">
        <v>434</v>
      </c>
      <c r="K237" s="665"/>
      <c r="V237" s="197"/>
    </row>
    <row r="238" spans="1:22" ht="18" hidden="1" customHeight="1">
      <c r="A238" s="196"/>
      <c r="F238" s="27" t="s">
        <v>138</v>
      </c>
      <c r="G238" s="665">
        <f>S217</f>
        <v>15000</v>
      </c>
      <c r="H238" s="665"/>
      <c r="I238" s="203" t="s">
        <v>353</v>
      </c>
      <c r="J238" s="665" t="str">
        <f>S218</f>
        <v>-</v>
      </c>
      <c r="K238" s="665"/>
      <c r="V238" s="197"/>
    </row>
    <row r="239" spans="1:22" ht="18" hidden="1" customHeight="1">
      <c r="A239" s="196"/>
      <c r="F239" s="27" t="s">
        <v>138</v>
      </c>
      <c r="G239" s="668" t="e">
        <f>G238/J238</f>
        <v>#VALUE!</v>
      </c>
      <c r="H239" s="668"/>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0.54675935000000009</v>
      </c>
      <c r="P242" s="474" t="s">
        <v>361</v>
      </c>
      <c r="V242" s="197"/>
    </row>
    <row r="243" spans="1:22" ht="18" hidden="1" customHeight="1">
      <c r="A243" s="196"/>
      <c r="F243" s="27" t="s">
        <v>138</v>
      </c>
      <c r="G243" s="668">
        <f>G242*((I242+K242)/(M242+O242))</f>
        <v>121.68354781160417</v>
      </c>
      <c r="H243" s="668"/>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68">
        <f>G243</f>
        <v>121.68354781160417</v>
      </c>
      <c r="E246" s="668"/>
      <c r="F246" s="27" t="e">
        <f>F245</f>
        <v>#VALUE!</v>
      </c>
      <c r="G246" s="668" t="e">
        <f>G239</f>
        <v>#VALUE!</v>
      </c>
      <c r="H246" s="668"/>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800" t="s">
        <v>97</v>
      </c>
      <c r="B282" s="800"/>
      <c r="C282" s="728"/>
      <c r="D282" s="800" t="s">
        <v>98</v>
      </c>
      <c r="E282" s="800"/>
      <c r="F282" s="800"/>
      <c r="G282" s="800" t="s">
        <v>99</v>
      </c>
      <c r="H282" s="800"/>
      <c r="I282" s="800" t="s">
        <v>100</v>
      </c>
      <c r="J282" s="800"/>
      <c r="K282" s="800" t="s">
        <v>513</v>
      </c>
      <c r="L282" s="800"/>
      <c r="M282" s="800" t="s">
        <v>514</v>
      </c>
      <c r="N282" s="800"/>
      <c r="O282" s="800" t="s">
        <v>515</v>
      </c>
      <c r="P282" s="800"/>
      <c r="Q282" s="800" t="s">
        <v>516</v>
      </c>
      <c r="R282" s="800"/>
      <c r="S282" s="800" t="s">
        <v>105</v>
      </c>
      <c r="T282" s="800"/>
      <c r="U282" s="800"/>
      <c r="V282" s="800"/>
    </row>
    <row r="283" spans="1:22" customFormat="1"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customFormat="1"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customFormat="1" ht="18" customHeight="1">
      <c r="A285" s="800"/>
      <c r="B285" s="800"/>
      <c r="C285" s="728"/>
      <c r="D285" s="800"/>
      <c r="E285" s="800"/>
      <c r="F285" s="800"/>
      <c r="G285" s="800"/>
      <c r="H285" s="800"/>
      <c r="I285" s="800"/>
      <c r="J285" s="800"/>
      <c r="K285" s="800"/>
      <c r="L285" s="800"/>
      <c r="M285" s="800"/>
      <c r="N285" s="800"/>
      <c r="O285" s="800"/>
      <c r="P285" s="800"/>
      <c r="Q285" s="800"/>
      <c r="R285" s="800"/>
      <c r="S285" s="800"/>
      <c r="T285" s="800"/>
      <c r="U285" s="800"/>
      <c r="V285" s="800"/>
    </row>
    <row r="286" spans="1:22" customFormat="1" ht="18" customHeight="1">
      <c r="A286" s="733" t="str">
        <f>B7</f>
        <v>T1</v>
      </c>
      <c r="B286" s="733" t="str">
        <f>D7</f>
        <v>Core3</v>
      </c>
      <c r="C286" s="733"/>
      <c r="D286" s="732">
        <f>H10</f>
        <v>2500</v>
      </c>
      <c r="E286" s="732"/>
      <c r="F286" s="734">
        <f>O10</f>
        <v>1</v>
      </c>
      <c r="G286" s="732">
        <f>'CT-VT Burdens'!S19</f>
        <v>50</v>
      </c>
      <c r="H286" s="794">
        <f>'CT-VT Burdens'!S28</f>
        <v>2.5</v>
      </c>
      <c r="I286" s="794" t="str">
        <f>H11</f>
        <v>PX</v>
      </c>
      <c r="J286" s="794"/>
      <c r="K286" s="728">
        <f>H12</f>
        <v>10</v>
      </c>
      <c r="L286" s="728"/>
      <c r="M286" s="728">
        <f>H13</f>
        <v>325</v>
      </c>
      <c r="N286" s="728"/>
      <c r="O286" s="732">
        <f>H14</f>
        <v>50</v>
      </c>
      <c r="P286" s="732"/>
      <c r="Q286" s="739" t="str">
        <f>CONCATENATE(T7,T8,T9)</f>
        <v>REC670REF615FMS</v>
      </c>
      <c r="R286" s="739"/>
      <c r="S286" s="799" t="s">
        <v>544</v>
      </c>
      <c r="T286" s="732"/>
      <c r="U286" s="732"/>
      <c r="V286" s="732"/>
    </row>
    <row r="287" spans="1:22" customFormat="1" ht="18" customHeight="1">
      <c r="A287" s="733"/>
      <c r="B287" s="733"/>
      <c r="C287" s="733"/>
      <c r="D287" s="799" t="s">
        <v>7</v>
      </c>
      <c r="E287" s="732"/>
      <c r="F287" s="735"/>
      <c r="G287" s="732"/>
      <c r="H287" s="732"/>
      <c r="I287" s="794"/>
      <c r="J287" s="794"/>
      <c r="K287" s="801" t="s">
        <v>7</v>
      </c>
      <c r="L287" s="728"/>
      <c r="M287" s="801" t="s">
        <v>7</v>
      </c>
      <c r="N287" s="728"/>
      <c r="O287" s="799" t="s">
        <v>7</v>
      </c>
      <c r="P287" s="732"/>
      <c r="Q287" s="739"/>
      <c r="R287" s="739"/>
      <c r="S287" s="799" t="s">
        <v>7</v>
      </c>
      <c r="T287" s="732"/>
      <c r="U287" s="732"/>
      <c r="V287" s="732"/>
    </row>
    <row r="288" spans="1:22" customFormat="1" ht="18" customHeight="1">
      <c r="A288" s="733"/>
      <c r="B288" s="733"/>
      <c r="C288" s="733"/>
      <c r="D288" s="799" t="s">
        <v>7</v>
      </c>
      <c r="E288" s="732"/>
      <c r="F288" s="736"/>
      <c r="G288" s="732"/>
      <c r="H288" s="732"/>
      <c r="I288" s="794"/>
      <c r="J288" s="794"/>
      <c r="K288" s="801" t="s">
        <v>7</v>
      </c>
      <c r="L288" s="728"/>
      <c r="M288" s="801" t="s">
        <v>7</v>
      </c>
      <c r="N288" s="728"/>
      <c r="O288" s="799" t="s">
        <v>7</v>
      </c>
      <c r="P288" s="732"/>
      <c r="Q288" s="739"/>
      <c r="R288" s="739"/>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N69:O69"/>
    <mergeCell ref="N70:O70"/>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125</v>
      </c>
      <c r="E7" s="661"/>
      <c r="F7" s="267"/>
      <c r="H7" s="665" t="s">
        <v>715</v>
      </c>
      <c r="I7" s="665"/>
      <c r="J7" s="665"/>
      <c r="K7" s="665"/>
      <c r="L7" s="665"/>
      <c r="M7" s="665"/>
      <c r="P7" s="198"/>
      <c r="R7" s="267"/>
      <c r="S7" s="199" t="s">
        <v>398</v>
      </c>
      <c r="T7" s="1126" t="s">
        <v>716</v>
      </c>
      <c r="U7" s="1127"/>
      <c r="V7" s="197"/>
    </row>
    <row r="8" spans="1:24" ht="18" customHeight="1">
      <c r="A8" s="196"/>
      <c r="B8" s="657"/>
      <c r="C8" s="658"/>
      <c r="D8" s="662"/>
      <c r="E8" s="663"/>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578</v>
      </c>
      <c r="I11" s="654"/>
      <c r="T11" s="1049"/>
      <c r="U11" s="1049"/>
      <c r="V11" s="197"/>
    </row>
    <row r="12" spans="1:24" ht="18" customHeight="1">
      <c r="A12" s="196"/>
      <c r="B12" s="47" t="s">
        <v>407</v>
      </c>
      <c r="G12" s="120" t="s">
        <v>508</v>
      </c>
      <c r="H12" s="653">
        <v>10</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10</v>
      </c>
      <c r="Q22" s="665"/>
      <c r="R22" s="27" t="s">
        <v>168</v>
      </c>
      <c r="S22" s="27"/>
      <c r="T22" s="27"/>
      <c r="V22" s="197"/>
    </row>
    <row r="23" spans="1:31" ht="18" customHeight="1">
      <c r="A23" s="196"/>
      <c r="B23" s="1" t="s">
        <v>424</v>
      </c>
      <c r="C23" s="2"/>
      <c r="D23" s="2"/>
      <c r="E23" s="2"/>
      <c r="F23" s="208"/>
      <c r="G23" s="208"/>
      <c r="H23" s="236" t="s">
        <v>523</v>
      </c>
      <c r="I23" s="195" t="s">
        <v>138</v>
      </c>
      <c r="J23" s="678">
        <f>SUM(J18:K22)</f>
        <v>0.45675935000000006</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10</v>
      </c>
      <c r="Q26" s="989"/>
      <c r="R26" s="316" t="s">
        <v>168</v>
      </c>
      <c r="V26" s="197"/>
    </row>
    <row r="27" spans="1:31" ht="18" customHeight="1">
      <c r="A27" s="196"/>
      <c r="B27" s="47" t="s">
        <v>559</v>
      </c>
      <c r="C27" s="47"/>
      <c r="D27" s="47"/>
      <c r="E27" s="47"/>
      <c r="H27" s="27"/>
      <c r="I27" s="28"/>
      <c r="J27" s="211"/>
      <c r="L27" s="47"/>
      <c r="N27" s="120" t="s">
        <v>584</v>
      </c>
      <c r="O27" s="28" t="s">
        <v>138</v>
      </c>
      <c r="P27" s="940">
        <f>J23</f>
        <v>0.45675935000000006</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5</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0.45675935000000006</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0.45675935000000006</v>
      </c>
      <c r="S38" s="308" t="s">
        <v>361</v>
      </c>
      <c r="V38" s="197"/>
    </row>
    <row r="39" spans="1:22" ht="18" customHeight="1">
      <c r="A39" s="196"/>
      <c r="I39" s="27" t="s">
        <v>138</v>
      </c>
      <c r="J39" s="680">
        <f>J38*((L38+N38)/(P38+R38))</f>
        <v>9.5631922522918149</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0.45675935000000006</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9.5631922522918149</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Core4</v>
      </c>
      <c r="E50" s="684"/>
      <c r="F50" s="267"/>
      <c r="H50" s="665" t="str">
        <f>H7</f>
        <v>(Main Tariff Meter)</v>
      </c>
      <c r="I50" s="665"/>
      <c r="J50" s="665"/>
      <c r="K50" s="665"/>
      <c r="L50" s="665"/>
      <c r="M50" s="665"/>
      <c r="P50" s="198"/>
      <c r="R50" s="267"/>
      <c r="S50" s="199" t="s">
        <v>398</v>
      </c>
      <c r="T50" s="1047" t="str">
        <f>T7</f>
        <v>EMH</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2500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697">
        <f t="shared" si="0"/>
        <v>0</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0.45675935000000006</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0.45675935000000006</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0.45675935000000006</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0.45675935000000006</v>
      </c>
      <c r="S81" s="308" t="s">
        <v>361</v>
      </c>
      <c r="V81" s="197"/>
    </row>
    <row r="82" spans="1:22" ht="18" hidden="1" customHeight="1">
      <c r="A82" s="196"/>
      <c r="I82" s="27" t="s">
        <v>138</v>
      </c>
      <c r="J82" s="680">
        <f>J81*((L81+N81)/(P81+R81))</f>
        <v>18.32589520371647</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0.45675935000000006</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18.32589520371647</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Core4</v>
      </c>
      <c r="E95" s="711"/>
      <c r="F95" s="267"/>
      <c r="H95" s="665" t="str">
        <f>H50</f>
        <v>(Main Tariff Meter)</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2500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f>D62</f>
        <v>0</v>
      </c>
      <c r="I107" s="189" t="s">
        <v>138</v>
      </c>
      <c r="J107" s="697">
        <f t="shared" si="1"/>
        <v>0</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0.45675935000000006</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0.45675935000000006</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0.45675935000000006</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Core4</v>
      </c>
      <c r="C144" s="733"/>
      <c r="D144" s="732">
        <f>H98</f>
        <v>2500</v>
      </c>
      <c r="E144" s="732"/>
      <c r="F144" s="734">
        <f>O98</f>
        <v>1</v>
      </c>
      <c r="G144" s="737">
        <f>'CT-VT Burdens'!S19</f>
        <v>50</v>
      </c>
      <c r="H144" s="740">
        <f>'CT-VT Burdens'!S10</f>
        <v>6</v>
      </c>
      <c r="I144" s="794" t="str">
        <f>L99</f>
        <v>0.2FS5</v>
      </c>
      <c r="J144" s="794"/>
      <c r="K144" s="728">
        <f>H12</f>
        <v>10</v>
      </c>
      <c r="L144" s="728"/>
      <c r="M144" s="728">
        <f>H14</f>
        <v>10</v>
      </c>
      <c r="N144" s="728"/>
      <c r="O144" s="732" t="s">
        <v>7</v>
      </c>
      <c r="P144" s="732"/>
      <c r="Q144" s="739" t="str">
        <f>CONCATENATE(T7," ",T8," ",T9," ",T10)</f>
        <v xml:space="preserve">EMH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124</v>
      </c>
      <c r="E7" s="661"/>
      <c r="F7" s="267"/>
      <c r="H7" s="665" t="s">
        <v>717</v>
      </c>
      <c r="I7" s="665"/>
      <c r="J7" s="665"/>
      <c r="K7" s="665"/>
      <c r="L7" s="665"/>
      <c r="M7" s="665"/>
      <c r="P7" s="198"/>
      <c r="R7" s="267"/>
      <c r="S7" s="199" t="s">
        <v>398</v>
      </c>
      <c r="T7" s="1047" t="s">
        <v>255</v>
      </c>
      <c r="U7" s="1048"/>
      <c r="V7" s="197"/>
    </row>
    <row r="8" spans="1:24" ht="18" customHeight="1">
      <c r="A8" s="196"/>
      <c r="B8" s="657"/>
      <c r="C8" s="658"/>
      <c r="D8" s="662"/>
      <c r="E8" s="663"/>
      <c r="F8" s="267"/>
      <c r="T8" s="1047" t="s">
        <v>577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578</v>
      </c>
      <c r="I11" s="654"/>
      <c r="T11" s="1049"/>
      <c r="U11" s="1049"/>
      <c r="V11" s="197"/>
    </row>
    <row r="12" spans="1:24" ht="18" customHeight="1">
      <c r="A12" s="196"/>
      <c r="B12" s="47" t="s">
        <v>407</v>
      </c>
      <c r="G12" s="120" t="s">
        <v>508</v>
      </c>
      <c r="H12" s="653">
        <v>10</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72">
        <f>'CT-VT Burdens'!Q97</f>
        <v>1.25</v>
      </c>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10</v>
      </c>
      <c r="Q22" s="665"/>
      <c r="R22" s="27" t="s">
        <v>168</v>
      </c>
      <c r="S22" s="27"/>
      <c r="T22" s="27"/>
      <c r="V22" s="197"/>
    </row>
    <row r="23" spans="1:31" ht="18" customHeight="1">
      <c r="A23" s="196"/>
      <c r="B23" s="1" t="s">
        <v>424</v>
      </c>
      <c r="C23" s="2"/>
      <c r="D23" s="2"/>
      <c r="E23" s="2"/>
      <c r="F23" s="208"/>
      <c r="G23" s="208"/>
      <c r="H23" s="236" t="s">
        <v>523</v>
      </c>
      <c r="I23" s="195" t="s">
        <v>138</v>
      </c>
      <c r="J23" s="678">
        <f>SUM(J18:K22)</f>
        <v>1.70675935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10</v>
      </c>
      <c r="Q26" s="989"/>
      <c r="R26" s="316" t="s">
        <v>168</v>
      </c>
      <c r="V26" s="197"/>
    </row>
    <row r="27" spans="1:31" ht="18" customHeight="1">
      <c r="A27" s="196"/>
      <c r="B27" s="47" t="s">
        <v>559</v>
      </c>
      <c r="C27" s="47"/>
      <c r="D27" s="47"/>
      <c r="E27" s="47"/>
      <c r="H27" s="27"/>
      <c r="I27" s="28"/>
      <c r="J27" s="211"/>
      <c r="L27" s="47"/>
      <c r="N27" s="120" t="s">
        <v>584</v>
      </c>
      <c r="O27" s="28" t="s">
        <v>138</v>
      </c>
      <c r="P27" s="940">
        <f>J23</f>
        <v>1.70675935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f>H13</f>
        <v>5</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1.70675935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1.70675935</v>
      </c>
      <c r="S38" s="308" t="s">
        <v>361</v>
      </c>
      <c r="V38" s="197"/>
    </row>
    <row r="39" spans="1:22" ht="18" customHeight="1">
      <c r="A39" s="196"/>
      <c r="I39" s="27" t="s">
        <v>138</v>
      </c>
      <c r="J39" s="680">
        <f>J38*((L38+N38)/(P38+R38))</f>
        <v>8.542073601265237</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1.70675935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8.542073601265237</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Core5</v>
      </c>
      <c r="E50" s="684"/>
      <c r="F50" s="267"/>
      <c r="H50" s="665" t="str">
        <f>H7</f>
        <v>(Check Tariff Meter + Ammeters)</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2500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697">
        <f t="shared" si="0"/>
        <v>1.25</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1.70675935</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1.70675935</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1.70675935</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1.70675935</v>
      </c>
      <c r="S81" s="308" t="s">
        <v>361</v>
      </c>
      <c r="V81" s="197"/>
    </row>
    <row r="82" spans="1:22" ht="18" hidden="1" customHeight="1">
      <c r="A82" s="196"/>
      <c r="I82" s="27" t="s">
        <v>138</v>
      </c>
      <c r="J82" s="680">
        <f>J81*((L81+N81)/(P81+R81))</f>
        <v>14.910330724778426</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1.70675935</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14.910330724778426</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Core5</v>
      </c>
      <c r="E95" s="711"/>
      <c r="F95" s="267"/>
      <c r="H95" s="665" t="str">
        <f>H50</f>
        <v>(Check Tariff Meter + Ammeters)</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2500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POINTER</v>
      </c>
      <c r="I107" s="189" t="s">
        <v>138</v>
      </c>
      <c r="J107" s="697">
        <f t="shared" si="1"/>
        <v>1.25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1.70675935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1.70675935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1.70675935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Core5</v>
      </c>
      <c r="C144" s="733"/>
      <c r="D144" s="732">
        <f>H98</f>
        <v>2500</v>
      </c>
      <c r="E144" s="732"/>
      <c r="F144" s="734">
        <f>O98</f>
        <v>1</v>
      </c>
      <c r="G144" s="737">
        <f>'CT-VT Burdens'!S19</f>
        <v>50</v>
      </c>
      <c r="H144" s="740">
        <f>'CT-VT Burdens'!S10</f>
        <v>6</v>
      </c>
      <c r="I144" s="794" t="str">
        <f>L99</f>
        <v>0.2FS5</v>
      </c>
      <c r="J144" s="794"/>
      <c r="K144" s="728">
        <f>H12</f>
        <v>10</v>
      </c>
      <c r="L144" s="728"/>
      <c r="M144" s="728">
        <f>H14</f>
        <v>10</v>
      </c>
      <c r="N144" s="728"/>
      <c r="O144" s="732" t="s">
        <v>7</v>
      </c>
      <c r="P144" s="732"/>
      <c r="Q144" s="739" t="str">
        <f>CONCATENATE(T7," ",T8," ",T9," ",T10)</f>
        <v xml:space="preserve">XC-RACK POINTER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718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59" t="s">
        <v>396</v>
      </c>
      <c r="E7" s="960"/>
      <c r="F7" s="468"/>
      <c r="H7" s="665" t="s">
        <v>518</v>
      </c>
      <c r="I7" s="665"/>
      <c r="J7" s="665"/>
      <c r="K7" s="665"/>
      <c r="L7" s="665"/>
      <c r="M7" s="665"/>
      <c r="P7" s="198"/>
      <c r="S7" s="199" t="s">
        <v>398</v>
      </c>
      <c r="T7" s="948" t="s">
        <v>519</v>
      </c>
      <c r="U7" s="949"/>
      <c r="V7" s="197"/>
    </row>
    <row r="8" spans="1:24" ht="18" customHeight="1">
      <c r="A8" s="469"/>
      <c r="F8" s="468"/>
      <c r="T8" s="948" t="s">
        <v>520</v>
      </c>
      <c r="U8" s="949"/>
      <c r="V8" s="197"/>
    </row>
    <row r="9" spans="1:24" ht="18" customHeight="1">
      <c r="A9" s="196"/>
      <c r="H9" s="666" t="s">
        <v>401</v>
      </c>
      <c r="I9" s="666"/>
      <c r="J9" s="667" t="s">
        <v>402</v>
      </c>
      <c r="K9" s="667"/>
      <c r="L9" s="667" t="s">
        <v>403</v>
      </c>
      <c r="M9" s="667"/>
      <c r="T9" s="948" t="s">
        <v>205</v>
      </c>
      <c r="U9" s="949"/>
      <c r="V9" s="197"/>
    </row>
    <row r="10" spans="1:24" ht="18" customHeight="1">
      <c r="A10" s="196"/>
      <c r="B10" s="47" t="s">
        <v>404</v>
      </c>
      <c r="H10" s="957">
        <v>100</v>
      </c>
      <c r="I10" s="958"/>
      <c r="J10" s="948" t="s">
        <v>7</v>
      </c>
      <c r="K10" s="949"/>
      <c r="L10" s="948" t="s">
        <v>7</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0.32</v>
      </c>
      <c r="I12" s="949"/>
      <c r="J12" s="204" t="s">
        <v>344</v>
      </c>
      <c r="V12" s="197"/>
    </row>
    <row r="13" spans="1:24" ht="18" customHeight="1">
      <c r="A13" s="196"/>
      <c r="B13" s="47" t="s">
        <v>409</v>
      </c>
      <c r="G13" s="120" t="s">
        <v>509</v>
      </c>
      <c r="H13" s="948">
        <v>145</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REF615</v>
      </c>
      <c r="H19" s="28"/>
      <c r="I19" s="101" t="s">
        <v>138</v>
      </c>
      <c r="J19" s="950">
        <f>'CT-VT Burdens'!Q55</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50">
        <f>'CT-VT Burdens'!Q92</f>
        <v>5.8000000000000003E-2</v>
      </c>
      <c r="K20" s="951"/>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954">
        <f>'CT-VT Burdens'!S22</f>
        <v>0.44875935000000006</v>
      </c>
      <c r="K21" s="955"/>
      <c r="L21" s="309" t="s">
        <v>168</v>
      </c>
      <c r="O21" s="27" t="s">
        <v>138</v>
      </c>
      <c r="P21" s="668">
        <f>P20*R20*T20</f>
        <v>0.32</v>
      </c>
      <c r="Q21" s="665"/>
      <c r="R21" s="27" t="s">
        <v>168</v>
      </c>
      <c r="V21" s="197"/>
    </row>
    <row r="22" spans="1:25" ht="18" customHeight="1">
      <c r="A22" s="196"/>
      <c r="B22" s="1" t="s">
        <v>424</v>
      </c>
      <c r="C22" s="2"/>
      <c r="D22" s="2"/>
      <c r="E22" s="2"/>
      <c r="F22" s="208"/>
      <c r="G22" s="208"/>
      <c r="H22" s="236" t="s">
        <v>523</v>
      </c>
      <c r="I22" s="195" t="s">
        <v>138</v>
      </c>
      <c r="J22" s="678">
        <f>SUM(J18:J21)</f>
        <v>0.54675935000000009</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R28" s="27" t="s">
        <v>138</v>
      </c>
      <c r="S28" s="665">
        <v>6</v>
      </c>
      <c r="T28" s="665"/>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S28*S30</f>
        <v>600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100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0.32</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0.54675935000000009</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600</v>
      </c>
      <c r="G37" s="664"/>
      <c r="H37" s="665" t="s">
        <v>326</v>
      </c>
      <c r="I37" s="667">
        <f>S31</f>
        <v>1</v>
      </c>
      <c r="J37" s="667"/>
      <c r="K37" s="665" t="s">
        <v>326</v>
      </c>
      <c r="L37" s="665" t="s">
        <v>430</v>
      </c>
      <c r="M37" s="668">
        <f>S33</f>
        <v>0.32</v>
      </c>
      <c r="N37" s="665" t="s">
        <v>358</v>
      </c>
      <c r="O37" s="668">
        <f>S34</f>
        <v>0.54675935000000009</v>
      </c>
      <c r="P37" s="665" t="s">
        <v>358</v>
      </c>
      <c r="Q37" s="872">
        <f>S35</f>
        <v>0.02</v>
      </c>
      <c r="R37" s="667"/>
      <c r="S37" s="667"/>
      <c r="T37" s="665" t="s">
        <v>361</v>
      </c>
      <c r="V37" s="197"/>
    </row>
    <row r="38" spans="1:25" ht="18" customHeight="1">
      <c r="A38" s="196"/>
      <c r="B38" s="665"/>
      <c r="C38" s="665"/>
      <c r="D38" s="664"/>
      <c r="E38" s="665"/>
      <c r="F38" s="664"/>
      <c r="G38" s="664"/>
      <c r="H38" s="665"/>
      <c r="I38" s="665">
        <f>S30</f>
        <v>100</v>
      </c>
      <c r="J38" s="665"/>
      <c r="K38" s="665"/>
      <c r="L38" s="665"/>
      <c r="M38" s="665"/>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7.99</v>
      </c>
      <c r="E40" s="94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46" t="s">
        <v>428</v>
      </c>
      <c r="C51" s="947"/>
      <c r="D51" s="947"/>
      <c r="E51" s="664">
        <v>20</v>
      </c>
      <c r="F51" s="664" t="s">
        <v>326</v>
      </c>
      <c r="G51" s="667" t="s">
        <v>492</v>
      </c>
      <c r="H51" s="667" t="s">
        <v>493</v>
      </c>
      <c r="I51" s="939"/>
      <c r="J51" s="664" t="s">
        <v>326</v>
      </c>
      <c r="K51" s="664" t="s">
        <v>430</v>
      </c>
      <c r="L51" s="664" t="s">
        <v>451</v>
      </c>
      <c r="M51" s="942" t="s">
        <v>358</v>
      </c>
      <c r="N51" s="664" t="s">
        <v>458</v>
      </c>
      <c r="O51" s="664" t="s">
        <v>358</v>
      </c>
      <c r="P51" s="943" t="s">
        <v>459</v>
      </c>
      <c r="Q51" s="943"/>
      <c r="R51" s="943"/>
      <c r="S51" s="944" t="s">
        <v>361</v>
      </c>
      <c r="T51" s="945" t="s">
        <v>433</v>
      </c>
      <c r="V51" s="197"/>
    </row>
    <row r="52" spans="1:25" ht="18" customHeight="1">
      <c r="A52" s="196"/>
      <c r="B52" s="947"/>
      <c r="C52" s="947"/>
      <c r="D52" s="947"/>
      <c r="E52" s="664"/>
      <c r="F52" s="664"/>
      <c r="G52" s="664"/>
      <c r="H52" s="665" t="s">
        <v>494</v>
      </c>
      <c r="I52" s="903"/>
      <c r="J52" s="664"/>
      <c r="K52" s="664"/>
      <c r="L52" s="664"/>
      <c r="M52" s="942"/>
      <c r="N52" s="664"/>
      <c r="O52" s="664"/>
      <c r="P52" s="28" t="s">
        <v>449</v>
      </c>
      <c r="Q52" s="28" t="s">
        <v>326</v>
      </c>
      <c r="R52" s="28" t="s">
        <v>449</v>
      </c>
      <c r="S52" s="944"/>
      <c r="T52" s="945"/>
      <c r="V52" s="112"/>
    </row>
    <row r="53" spans="1:25" ht="18" customHeight="1">
      <c r="A53" s="196"/>
      <c r="C53" s="28"/>
      <c r="D53" s="28"/>
      <c r="E53" s="28"/>
      <c r="F53" s="28"/>
      <c r="G53" s="28"/>
      <c r="H53" s="664"/>
      <c r="I53" s="936"/>
      <c r="J53" s="28"/>
      <c r="K53" s="28"/>
      <c r="L53" s="28"/>
      <c r="M53" s="28"/>
      <c r="N53" s="47"/>
      <c r="O53" s="28"/>
      <c r="V53" s="197"/>
    </row>
    <row r="54" spans="1:25" ht="18" customHeight="1">
      <c r="A54" s="196"/>
      <c r="C54" s="30" t="s">
        <v>537</v>
      </c>
      <c r="R54" s="27" t="s">
        <v>138</v>
      </c>
      <c r="S54" s="665">
        <v>1.2</v>
      </c>
      <c r="T54" s="665"/>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64">
        <f>S54*S56</f>
        <v>120</v>
      </c>
      <c r="T55" s="664"/>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64">
        <f>H10</f>
        <v>100</v>
      </c>
      <c r="T56" s="664"/>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64">
        <f>O10</f>
        <v>1</v>
      </c>
      <c r="T57" s="664"/>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41">
        <f>S32</f>
        <v>1</v>
      </c>
      <c r="T58" s="941"/>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69">
        <f>H12</f>
        <v>0.32</v>
      </c>
      <c r="T59" s="664"/>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69">
        <f>J22</f>
        <v>0.54675935000000009</v>
      </c>
      <c r="T60" s="664"/>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68">
        <f>J18</f>
        <v>0.02</v>
      </c>
      <c r="T61" s="664"/>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65" t="s">
        <v>428</v>
      </c>
      <c r="C63" s="665"/>
      <c r="D63" s="664">
        <f>E51</f>
        <v>20</v>
      </c>
      <c r="E63" s="665" t="s">
        <v>326</v>
      </c>
      <c r="F63" s="664">
        <f>S55</f>
        <v>120</v>
      </c>
      <c r="G63" s="664"/>
      <c r="H63" s="665" t="s">
        <v>326</v>
      </c>
      <c r="I63" s="667">
        <f>S57</f>
        <v>1</v>
      </c>
      <c r="J63" s="667"/>
      <c r="K63" s="665" t="s">
        <v>326</v>
      </c>
      <c r="L63" s="665" t="s">
        <v>430</v>
      </c>
      <c r="M63" s="668">
        <f>S59</f>
        <v>0.32</v>
      </c>
      <c r="N63" s="665" t="s">
        <v>358</v>
      </c>
      <c r="O63" s="668">
        <f>S60</f>
        <v>0.54675935000000009</v>
      </c>
      <c r="P63" s="665" t="s">
        <v>358</v>
      </c>
      <c r="Q63" s="872">
        <f>S61</f>
        <v>0.02</v>
      </c>
      <c r="R63" s="667"/>
      <c r="S63" s="667"/>
      <c r="T63" s="665" t="s">
        <v>361</v>
      </c>
      <c r="V63" s="197"/>
    </row>
    <row r="64" spans="1:25" ht="18" customHeight="1">
      <c r="A64" s="196"/>
      <c r="B64" s="665"/>
      <c r="C64" s="665"/>
      <c r="D64" s="664"/>
      <c r="E64" s="665"/>
      <c r="F64" s="664"/>
      <c r="G64" s="664"/>
      <c r="H64" s="665"/>
      <c r="I64" s="665">
        <f>S56</f>
        <v>100</v>
      </c>
      <c r="J64" s="665"/>
      <c r="K64" s="665"/>
      <c r="L64" s="665"/>
      <c r="M64" s="665"/>
      <c r="N64" s="665"/>
      <c r="O64" s="665"/>
      <c r="P64" s="665"/>
      <c r="Q64" s="517">
        <f>S58</f>
        <v>1</v>
      </c>
      <c r="R64" s="27" t="s">
        <v>326</v>
      </c>
      <c r="S64" s="517">
        <f>S58</f>
        <v>1</v>
      </c>
      <c r="T64" s="665"/>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40">
        <f>ROUNDUP(D63*F63*(I63/I64)*(M63+O63+(Q63/(Q64*S64))),2)</f>
        <v>21.290000000000003</v>
      </c>
      <c r="E66" s="94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max(7.99,21.29)</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21.290000000000003</v>
      </c>
      <c r="V69" s="197"/>
    </row>
    <row r="70" spans="1:27" ht="18" customHeight="1">
      <c r="A70" s="196"/>
      <c r="D70"/>
      <c r="E70" s="956"/>
      <c r="F70" s="665"/>
      <c r="G70" s="27"/>
      <c r="H70" s="668"/>
      <c r="I70" s="665"/>
      <c r="J70"/>
      <c r="K70"/>
      <c r="L70" s="308">
        <f>H13</f>
        <v>145</v>
      </c>
      <c r="M70" s="519" t="s">
        <v>540</v>
      </c>
      <c r="N70" s="489">
        <f>N69</f>
        <v>21.290000000000003</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08" t="str">
        <f>B7</f>
        <v>T1</v>
      </c>
      <c r="C105" s="709"/>
      <c r="D105" s="707" t="str">
        <f>D7</f>
        <v>Core1</v>
      </c>
      <c r="E105" s="733"/>
      <c r="F105" s="468"/>
      <c r="H105" s="665" t="str">
        <f>H7</f>
        <v>(OC+BCPU+FMS)</v>
      </c>
      <c r="I105" s="665"/>
      <c r="J105" s="665"/>
      <c r="K105" s="665"/>
      <c r="L105" s="665"/>
      <c r="M105" s="665"/>
      <c r="P105" s="198"/>
      <c r="S105" s="199" t="s">
        <v>398</v>
      </c>
      <c r="T105" s="705" t="str">
        <f>T7</f>
        <v>REC670</v>
      </c>
      <c r="U105" s="706"/>
      <c r="V105" s="197"/>
    </row>
    <row r="106" spans="1:23" ht="18" hidden="1" customHeight="1">
      <c r="A106" s="469"/>
      <c r="F106" s="468"/>
      <c r="T106" s="705" t="str">
        <f>T8</f>
        <v>REF615</v>
      </c>
      <c r="U106" s="706"/>
      <c r="V106" s="197"/>
    </row>
    <row r="107" spans="1:23" ht="18" hidden="1" customHeight="1">
      <c r="A107" s="196"/>
      <c r="H107" s="696" t="s">
        <v>401</v>
      </c>
      <c r="I107" s="696"/>
      <c r="J107" s="666" t="s">
        <v>402</v>
      </c>
      <c r="K107" s="666"/>
      <c r="L107" s="667" t="s">
        <v>403</v>
      </c>
      <c r="M107" s="667"/>
      <c r="T107" s="705" t="str">
        <f>T9</f>
        <v>FMS</v>
      </c>
      <c r="U107" s="706"/>
      <c r="V107" s="197"/>
    </row>
    <row r="108" spans="1:23" ht="18" hidden="1" customHeight="1">
      <c r="A108" s="196"/>
      <c r="B108" s="47" t="s">
        <v>404</v>
      </c>
      <c r="H108" s="708">
        <f>H10</f>
        <v>100</v>
      </c>
      <c r="I108" s="709"/>
      <c r="J108" s="714" t="str">
        <f>J10</f>
        <v>-</v>
      </c>
      <c r="K108" s="715"/>
      <c r="L108" s="708" t="str">
        <f>L10</f>
        <v>-</v>
      </c>
      <c r="M108" s="709"/>
      <c r="N108" s="203" t="s">
        <v>353</v>
      </c>
      <c r="O108" s="268">
        <f>O10</f>
        <v>1</v>
      </c>
      <c r="P108" s="27" t="s">
        <v>9</v>
      </c>
      <c r="R108" s="267"/>
      <c r="S108" s="267"/>
      <c r="V108" s="197"/>
    </row>
    <row r="109" spans="1:23" ht="18" hidden="1" customHeight="1">
      <c r="A109" s="196"/>
      <c r="B109" s="47" t="s">
        <v>405</v>
      </c>
      <c r="J109" s="708" t="str">
        <f>H11</f>
        <v>PX</v>
      </c>
      <c r="K109" s="709"/>
      <c r="V109" s="197"/>
    </row>
    <row r="110" spans="1:23" ht="18" hidden="1" customHeight="1">
      <c r="A110" s="196"/>
      <c r="B110" s="47" t="s">
        <v>407</v>
      </c>
      <c r="I110" s="120" t="s">
        <v>508</v>
      </c>
      <c r="J110" s="948">
        <v>12</v>
      </c>
      <c r="K110" s="949"/>
      <c r="L110" s="204" t="s">
        <v>344</v>
      </c>
      <c r="V110" s="197"/>
    </row>
    <row r="111" spans="1:23" ht="18" hidden="1" customHeight="1">
      <c r="A111" s="196"/>
      <c r="B111" s="47" t="s">
        <v>409</v>
      </c>
      <c r="I111" s="120" t="s">
        <v>509</v>
      </c>
      <c r="J111" s="948">
        <v>1200</v>
      </c>
      <c r="K111" s="949"/>
      <c r="L111" s="14" t="s">
        <v>316</v>
      </c>
      <c r="T111" s="307"/>
      <c r="U111" s="18"/>
      <c r="V111" s="197"/>
      <c r="W111" s="30" t="e">
        <f>G159</f>
        <v>#VALUE!</v>
      </c>
    </row>
    <row r="112" spans="1:23" ht="18" hidden="1" customHeight="1">
      <c r="A112" s="196"/>
      <c r="B112" s="14" t="s">
        <v>412</v>
      </c>
      <c r="I112" s="120" t="s">
        <v>413</v>
      </c>
      <c r="J112" s="948">
        <v>50</v>
      </c>
      <c r="K112" s="949"/>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78">
        <f>J18</f>
        <v>0.02</v>
      </c>
      <c r="K116" s="679"/>
      <c r="L116" s="3" t="s">
        <v>168</v>
      </c>
      <c r="N116" s="209" t="s">
        <v>521</v>
      </c>
      <c r="V116" s="197"/>
    </row>
    <row r="117" spans="1:22" ht="18" hidden="1" customHeight="1">
      <c r="A117" s="196"/>
      <c r="B117" s="96" t="s">
        <v>416</v>
      </c>
      <c r="C117" s="14"/>
      <c r="D117" s="47" t="str">
        <f>T106</f>
        <v>REF615</v>
      </c>
      <c r="H117" s="28"/>
      <c r="I117" s="101" t="s">
        <v>138</v>
      </c>
      <c r="J117" s="678">
        <f>J19</f>
        <v>0.02</v>
      </c>
      <c r="K117" s="67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78">
        <f>J20</f>
        <v>5.8000000000000003E-2</v>
      </c>
      <c r="K118" s="67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701">
        <f>J21</f>
        <v>0.44875935000000006</v>
      </c>
      <c r="K119" s="702"/>
      <c r="L119" s="309" t="s">
        <v>168</v>
      </c>
      <c r="O119" s="27" t="s">
        <v>138</v>
      </c>
      <c r="P119" s="668">
        <f>P118*R118*T118</f>
        <v>12</v>
      </c>
      <c r="Q119" s="665"/>
      <c r="R119" s="27" t="s">
        <v>168</v>
      </c>
      <c r="V119" s="197"/>
    </row>
    <row r="120" spans="1:22" ht="18" hidden="1" customHeight="1">
      <c r="A120" s="196"/>
      <c r="B120" s="1" t="s">
        <v>424</v>
      </c>
      <c r="C120" s="2"/>
      <c r="D120" s="2"/>
      <c r="E120" s="2"/>
      <c r="F120" s="208"/>
      <c r="G120" s="208"/>
      <c r="H120" s="236" t="s">
        <v>523</v>
      </c>
      <c r="I120" s="195" t="s">
        <v>138</v>
      </c>
      <c r="J120" s="678">
        <f>SUM(J116:J119)</f>
        <v>0.54675935000000009</v>
      </c>
      <c r="K120" s="67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71" t="s">
        <v>547</v>
      </c>
      <c r="B122" s="972"/>
      <c r="C122" s="972"/>
      <c r="D122" s="972"/>
      <c r="E122" s="972"/>
      <c r="F122" s="972"/>
      <c r="G122" s="972"/>
      <c r="H122" s="972"/>
      <c r="I122" s="972"/>
      <c r="J122" s="972"/>
      <c r="K122" s="972"/>
      <c r="L122" s="972"/>
      <c r="M122" s="972"/>
      <c r="N122" s="972"/>
      <c r="O122" s="972"/>
      <c r="P122" s="972"/>
      <c r="Q122" s="972"/>
      <c r="R122" s="972"/>
      <c r="S122" s="972"/>
      <c r="T122" s="972"/>
      <c r="U122" s="972"/>
      <c r="V122" s="973"/>
    </row>
    <row r="123" spans="1:22" ht="18" hidden="1" customHeight="1">
      <c r="A123" s="974"/>
      <c r="B123" s="972"/>
      <c r="C123" s="972"/>
      <c r="D123" s="972"/>
      <c r="E123" s="972"/>
      <c r="F123" s="972"/>
      <c r="G123" s="972"/>
      <c r="H123" s="972"/>
      <c r="I123" s="972"/>
      <c r="J123" s="972"/>
      <c r="K123" s="972"/>
      <c r="L123" s="972"/>
      <c r="M123" s="972"/>
      <c r="N123" s="972"/>
      <c r="O123" s="972"/>
      <c r="P123" s="972"/>
      <c r="Q123" s="972"/>
      <c r="R123" s="972"/>
      <c r="S123" s="972"/>
      <c r="T123" s="972"/>
      <c r="U123" s="972"/>
      <c r="V123" s="973"/>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64" t="s">
        <v>484</v>
      </c>
      <c r="I127" s="93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64">
        <f>S29</f>
        <v>600</v>
      </c>
      <c r="T129" s="664"/>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64" t="str">
        <f>J108</f>
        <v>-</v>
      </c>
      <c r="T130" s="664"/>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64">
        <f>J111</f>
        <v>1200</v>
      </c>
      <c r="T131" s="664"/>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69">
        <f>P119</f>
        <v>12</v>
      </c>
      <c r="T132" s="664"/>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69">
        <f>J120</f>
        <v>0.54675935000000009</v>
      </c>
      <c r="T133" s="664"/>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64">
        <f>O108</f>
        <v>1</v>
      </c>
      <c r="T134" s="664"/>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64">
        <v>20</v>
      </c>
      <c r="T135" s="664"/>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64" t="s">
        <v>484</v>
      </c>
      <c r="I138" s="93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64">
        <f>S131</f>
        <v>1200</v>
      </c>
      <c r="I139" s="936"/>
      <c r="J139" s="28" t="s">
        <v>326</v>
      </c>
      <c r="K139" s="28">
        <f>S134</f>
        <v>1</v>
      </c>
      <c r="L139" s="28" t="s">
        <v>552</v>
      </c>
      <c r="M139" s="28">
        <f>S135</f>
        <v>20</v>
      </c>
      <c r="N139" s="47" t="s">
        <v>553</v>
      </c>
      <c r="O139" s="516">
        <f>S132</f>
        <v>12</v>
      </c>
      <c r="V139" s="197"/>
    </row>
    <row r="140" spans="1:25" ht="18" hidden="1" customHeight="1">
      <c r="A140" s="196"/>
      <c r="D140" s="27" t="s">
        <v>138</v>
      </c>
      <c r="E140" s="665">
        <f>((F139*H139*K139)/M139)-O139</f>
        <v>66</v>
      </c>
      <c r="F140" s="665"/>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64" t="s">
        <v>555</v>
      </c>
      <c r="H149" s="664"/>
      <c r="I149" s="203" t="s">
        <v>353</v>
      </c>
      <c r="J149" s="665" t="s">
        <v>434</v>
      </c>
      <c r="K149" s="665"/>
      <c r="V149" s="197"/>
    </row>
    <row r="150" spans="1:22" ht="18" hidden="1" customHeight="1">
      <c r="A150" s="196"/>
      <c r="F150" s="27" t="s">
        <v>138</v>
      </c>
      <c r="G150" s="665">
        <f>S129</f>
        <v>600</v>
      </c>
      <c r="H150" s="665"/>
      <c r="I150" s="203" t="s">
        <v>353</v>
      </c>
      <c r="J150" s="665" t="str">
        <f>S130</f>
        <v>-</v>
      </c>
      <c r="K150" s="665"/>
      <c r="V150" s="197"/>
    </row>
    <row r="151" spans="1:22" ht="18" hidden="1" customHeight="1">
      <c r="A151" s="196"/>
      <c r="F151" s="27" t="s">
        <v>138</v>
      </c>
      <c r="G151" s="668" t="e">
        <f>G150/J150</f>
        <v>#VALUE!</v>
      </c>
      <c r="H151" s="668"/>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0.54675935000000009</v>
      </c>
      <c r="P154" s="474" t="s">
        <v>361</v>
      </c>
      <c r="V154" s="197"/>
    </row>
    <row r="155" spans="1:22" ht="18" hidden="1" customHeight="1">
      <c r="A155" s="196"/>
      <c r="F155" s="27" t="s">
        <v>138</v>
      </c>
      <c r="G155" s="668">
        <f>G154*((I154+K154)/(M154+O154))</f>
        <v>124.33489449209846</v>
      </c>
      <c r="H155" s="668"/>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68">
        <f>G155</f>
        <v>124.33489449209846</v>
      </c>
      <c r="E158" s="668"/>
      <c r="F158" s="27" t="e">
        <f>F157</f>
        <v>#VALUE!</v>
      </c>
      <c r="G158" s="668" t="e">
        <f>G151</f>
        <v>#VALUE!</v>
      </c>
      <c r="H158" s="668"/>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08" t="str">
        <f>B105</f>
        <v>T1</v>
      </c>
      <c r="C193" s="709"/>
      <c r="D193" s="707" t="str">
        <f>D105</f>
        <v>Core1</v>
      </c>
      <c r="E193" s="733"/>
      <c r="F193" s="468"/>
      <c r="H193" s="665" t="str">
        <f>H105</f>
        <v>(OC+BCPU+FMS)</v>
      </c>
      <c r="I193" s="665"/>
      <c r="J193" s="665"/>
      <c r="K193" s="665"/>
      <c r="L193" s="665"/>
      <c r="M193" s="665"/>
      <c r="P193" s="198"/>
      <c r="S193" s="199" t="s">
        <v>398</v>
      </c>
      <c r="T193" s="705" t="str">
        <f>T105</f>
        <v>REC670</v>
      </c>
      <c r="U193" s="706"/>
      <c r="V193" s="197"/>
    </row>
    <row r="194" spans="1:23" ht="18" hidden="1" customHeight="1">
      <c r="A194" s="469"/>
      <c r="F194" s="468"/>
      <c r="T194" s="705" t="str">
        <f>T106</f>
        <v>REF615</v>
      </c>
      <c r="U194" s="706"/>
      <c r="V194" s="197"/>
    </row>
    <row r="195" spans="1:23" ht="18" hidden="1" customHeight="1">
      <c r="A195" s="196"/>
      <c r="H195" s="696" t="s">
        <v>401</v>
      </c>
      <c r="I195" s="696"/>
      <c r="J195" s="696" t="s">
        <v>402</v>
      </c>
      <c r="K195" s="696"/>
      <c r="L195" s="666" t="s">
        <v>403</v>
      </c>
      <c r="M195" s="666"/>
      <c r="T195" s="705" t="str">
        <f>T107</f>
        <v>FMS</v>
      </c>
      <c r="U195" s="706"/>
      <c r="V195" s="197"/>
    </row>
    <row r="196" spans="1:23" ht="18" hidden="1" customHeight="1">
      <c r="A196" s="196"/>
      <c r="B196" s="47" t="s">
        <v>404</v>
      </c>
      <c r="H196" s="708">
        <f>H108</f>
        <v>100</v>
      </c>
      <c r="I196" s="709"/>
      <c r="J196" s="708" t="str">
        <f>J108</f>
        <v>-</v>
      </c>
      <c r="K196" s="709"/>
      <c r="L196" s="714" t="str">
        <f>L108</f>
        <v>-</v>
      </c>
      <c r="M196" s="715"/>
      <c r="N196" s="203" t="s">
        <v>353</v>
      </c>
      <c r="O196" s="268">
        <f>O108</f>
        <v>1</v>
      </c>
      <c r="P196" s="27" t="s">
        <v>9</v>
      </c>
      <c r="R196" s="267"/>
      <c r="S196" s="267"/>
      <c r="V196" s="197"/>
    </row>
    <row r="197" spans="1:23" ht="18" hidden="1" customHeight="1">
      <c r="A197" s="196"/>
      <c r="B197" s="47" t="s">
        <v>405</v>
      </c>
      <c r="L197" s="708" t="str">
        <f>J109</f>
        <v>PX</v>
      </c>
      <c r="M197" s="709"/>
      <c r="V197" s="197"/>
    </row>
    <row r="198" spans="1:23" ht="18" hidden="1" customHeight="1">
      <c r="A198" s="196"/>
      <c r="B198" s="47" t="s">
        <v>407</v>
      </c>
      <c r="K198" s="120" t="s">
        <v>508</v>
      </c>
      <c r="L198" s="948">
        <v>8</v>
      </c>
      <c r="M198" s="949"/>
      <c r="N198" s="204" t="s">
        <v>344</v>
      </c>
      <c r="V198" s="197"/>
    </row>
    <row r="199" spans="1:23" ht="18" hidden="1" customHeight="1">
      <c r="A199" s="196"/>
      <c r="B199" s="47" t="s">
        <v>409</v>
      </c>
      <c r="K199" s="120" t="s">
        <v>509</v>
      </c>
      <c r="L199" s="948">
        <v>800</v>
      </c>
      <c r="M199" s="949"/>
      <c r="N199" s="14" t="s">
        <v>316</v>
      </c>
      <c r="V199" s="197"/>
      <c r="W199" s="30" t="e">
        <f>G247</f>
        <v>#VALUE!</v>
      </c>
    </row>
    <row r="200" spans="1:23" ht="18" hidden="1" customHeight="1">
      <c r="A200" s="196"/>
      <c r="B200" s="14" t="s">
        <v>412</v>
      </c>
      <c r="K200" s="120" t="s">
        <v>413</v>
      </c>
      <c r="L200" s="948">
        <v>75</v>
      </c>
      <c r="M200" s="949"/>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78">
        <f>J116</f>
        <v>0.02</v>
      </c>
      <c r="K204" s="679"/>
      <c r="L204" s="3" t="s">
        <v>168</v>
      </c>
      <c r="N204" s="209" t="s">
        <v>521</v>
      </c>
      <c r="V204" s="197"/>
    </row>
    <row r="205" spans="1:23" ht="18" hidden="1" customHeight="1">
      <c r="A205" s="196"/>
      <c r="B205" s="96" t="s">
        <v>416</v>
      </c>
      <c r="C205" s="14"/>
      <c r="D205" s="47" t="str">
        <f>T194</f>
        <v>REF615</v>
      </c>
      <c r="H205" s="28"/>
      <c r="I205" s="101" t="s">
        <v>138</v>
      </c>
      <c r="J205" s="678">
        <f>J117</f>
        <v>0.02</v>
      </c>
      <c r="K205" s="67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78">
        <f>J118</f>
        <v>5.8000000000000003E-2</v>
      </c>
      <c r="K206" s="67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701">
        <f>J119</f>
        <v>0.44875935000000006</v>
      </c>
      <c r="K207" s="702"/>
      <c r="L207" s="309" t="s">
        <v>168</v>
      </c>
      <c r="O207" s="27" t="s">
        <v>138</v>
      </c>
      <c r="P207" s="668">
        <f>P206*R206*T206</f>
        <v>8</v>
      </c>
      <c r="Q207" s="665"/>
      <c r="R207" s="27" t="s">
        <v>168</v>
      </c>
      <c r="V207" s="197"/>
    </row>
    <row r="208" spans="1:23" ht="18" hidden="1" customHeight="1">
      <c r="A208" s="196"/>
      <c r="B208" s="1" t="s">
        <v>424</v>
      </c>
      <c r="C208" s="2"/>
      <c r="D208" s="2"/>
      <c r="E208" s="2"/>
      <c r="F208" s="208"/>
      <c r="G208" s="208"/>
      <c r="H208" s="236" t="s">
        <v>523</v>
      </c>
      <c r="I208" s="195" t="s">
        <v>138</v>
      </c>
      <c r="J208" s="678">
        <f>SUM(J204:J207)</f>
        <v>0.54675935000000009</v>
      </c>
      <c r="K208" s="67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71" t="s">
        <v>547</v>
      </c>
      <c r="B210" s="972"/>
      <c r="C210" s="972"/>
      <c r="D210" s="972"/>
      <c r="E210" s="972"/>
      <c r="F210" s="972"/>
      <c r="G210" s="972"/>
      <c r="H210" s="972"/>
      <c r="I210" s="972"/>
      <c r="J210" s="972"/>
      <c r="K210" s="972"/>
      <c r="L210" s="972"/>
      <c r="M210" s="972"/>
      <c r="N210" s="972"/>
      <c r="O210" s="972"/>
      <c r="P210" s="972"/>
      <c r="Q210" s="972"/>
      <c r="R210" s="972"/>
      <c r="S210" s="972"/>
      <c r="T210" s="972"/>
      <c r="U210" s="972"/>
      <c r="V210" s="973"/>
    </row>
    <row r="211" spans="1:25" ht="18" hidden="1" customHeight="1">
      <c r="A211" s="974"/>
      <c r="B211" s="972"/>
      <c r="C211" s="972"/>
      <c r="D211" s="972"/>
      <c r="E211" s="972"/>
      <c r="F211" s="972"/>
      <c r="G211" s="972"/>
      <c r="H211" s="972"/>
      <c r="I211" s="972"/>
      <c r="J211" s="972"/>
      <c r="K211" s="972"/>
      <c r="L211" s="972"/>
      <c r="M211" s="972"/>
      <c r="N211" s="972"/>
      <c r="O211" s="972"/>
      <c r="P211" s="972"/>
      <c r="Q211" s="972"/>
      <c r="R211" s="972"/>
      <c r="S211" s="972"/>
      <c r="T211" s="972"/>
      <c r="U211" s="972"/>
      <c r="V211" s="973"/>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64" t="s">
        <v>484</v>
      </c>
      <c r="I215" s="93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64">
        <f>S129</f>
        <v>600</v>
      </c>
      <c r="T217" s="664"/>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64" t="str">
        <f>L196</f>
        <v>-</v>
      </c>
      <c r="T218" s="664"/>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64">
        <f>L199</f>
        <v>800</v>
      </c>
      <c r="T219" s="664"/>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69">
        <f>P207</f>
        <v>8</v>
      </c>
      <c r="T220" s="664"/>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69">
        <f>J208</f>
        <v>0.54675935000000009</v>
      </c>
      <c r="T221" s="664"/>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64">
        <f>O196</f>
        <v>1</v>
      </c>
      <c r="T222" s="664"/>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64">
        <v>20</v>
      </c>
      <c r="T223" s="664"/>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64" t="s">
        <v>484</v>
      </c>
      <c r="I226" s="93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64">
        <f>S219</f>
        <v>800</v>
      </c>
      <c r="I227" s="936"/>
      <c r="J227" s="28" t="s">
        <v>326</v>
      </c>
      <c r="K227" s="28">
        <f>S222</f>
        <v>1</v>
      </c>
      <c r="L227" s="28" t="s">
        <v>552</v>
      </c>
      <c r="M227" s="28">
        <f>S223</f>
        <v>20</v>
      </c>
      <c r="N227" s="47" t="s">
        <v>553</v>
      </c>
      <c r="O227" s="516">
        <f>S220</f>
        <v>8</v>
      </c>
      <c r="V227" s="197"/>
    </row>
    <row r="228" spans="1:22" ht="18" hidden="1" customHeight="1">
      <c r="A228" s="196"/>
      <c r="D228" s="27" t="s">
        <v>138</v>
      </c>
      <c r="E228" s="665">
        <f>((F227*H227*K227)/M227)-O227</f>
        <v>44</v>
      </c>
      <c r="F228" s="665"/>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64" t="s">
        <v>555</v>
      </c>
      <c r="H237" s="664"/>
      <c r="I237" s="203" t="s">
        <v>353</v>
      </c>
      <c r="J237" s="665" t="s">
        <v>434</v>
      </c>
      <c r="K237" s="665"/>
      <c r="V237" s="197"/>
    </row>
    <row r="238" spans="1:22" ht="18" hidden="1" customHeight="1">
      <c r="A238" s="196"/>
      <c r="F238" s="27" t="s">
        <v>138</v>
      </c>
      <c r="G238" s="665">
        <f>S217</f>
        <v>600</v>
      </c>
      <c r="H238" s="665"/>
      <c r="I238" s="203" t="s">
        <v>353</v>
      </c>
      <c r="J238" s="665" t="str">
        <f>S218</f>
        <v>-</v>
      </c>
      <c r="K238" s="665"/>
      <c r="V238" s="197"/>
    </row>
    <row r="239" spans="1:22" ht="18" hidden="1" customHeight="1">
      <c r="A239" s="196"/>
      <c r="F239" s="27" t="s">
        <v>138</v>
      </c>
      <c r="G239" s="668" t="e">
        <f>G238/J238</f>
        <v>#VALUE!</v>
      </c>
      <c r="H239" s="668"/>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0.54675935000000009</v>
      </c>
      <c r="P242" s="474" t="s">
        <v>361</v>
      </c>
      <c r="V242" s="197"/>
    </row>
    <row r="243" spans="1:22" ht="18" hidden="1" customHeight="1">
      <c r="A243" s="196"/>
      <c r="F243" s="27" t="s">
        <v>138</v>
      </c>
      <c r="G243" s="668">
        <f>G242*((I242+K242)/(M242+O242))</f>
        <v>121.68354781160417</v>
      </c>
      <c r="H243" s="668"/>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68">
        <f>G243</f>
        <v>121.68354781160417</v>
      </c>
      <c r="E246" s="668"/>
      <c r="F246" s="27" t="e">
        <f>F245</f>
        <v>#VALUE!</v>
      </c>
      <c r="G246" s="668" t="e">
        <f>G239</f>
        <v>#VALUE!</v>
      </c>
      <c r="H246" s="668"/>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800" t="s">
        <v>97</v>
      </c>
      <c r="B282" s="800"/>
      <c r="C282" s="728"/>
      <c r="D282" s="800" t="s">
        <v>98</v>
      </c>
      <c r="E282" s="800"/>
      <c r="F282" s="800"/>
      <c r="G282" s="800" t="s">
        <v>99</v>
      </c>
      <c r="H282" s="800"/>
      <c r="I282" s="800" t="s">
        <v>100</v>
      </c>
      <c r="J282" s="800"/>
      <c r="K282" s="800" t="s">
        <v>513</v>
      </c>
      <c r="L282" s="800"/>
      <c r="M282" s="800" t="s">
        <v>514</v>
      </c>
      <c r="N282" s="800"/>
      <c r="O282" s="800" t="s">
        <v>515</v>
      </c>
      <c r="P282" s="800"/>
      <c r="Q282" s="800" t="s">
        <v>516</v>
      </c>
      <c r="R282" s="800"/>
      <c r="S282" s="800" t="s">
        <v>105</v>
      </c>
      <c r="T282" s="800"/>
      <c r="U282" s="800"/>
      <c r="V282" s="800"/>
    </row>
    <row r="283" spans="1:22" customFormat="1"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customFormat="1"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customFormat="1" ht="18" customHeight="1">
      <c r="A285" s="800"/>
      <c r="B285" s="800"/>
      <c r="C285" s="728"/>
      <c r="D285" s="800"/>
      <c r="E285" s="800"/>
      <c r="F285" s="800"/>
      <c r="G285" s="800"/>
      <c r="H285" s="800"/>
      <c r="I285" s="800"/>
      <c r="J285" s="800"/>
      <c r="K285" s="800"/>
      <c r="L285" s="800"/>
      <c r="M285" s="800"/>
      <c r="N285" s="800"/>
      <c r="O285" s="800"/>
      <c r="P285" s="800"/>
      <c r="Q285" s="800"/>
      <c r="R285" s="800"/>
      <c r="S285" s="800"/>
      <c r="T285" s="800"/>
      <c r="U285" s="800"/>
      <c r="V285" s="800"/>
    </row>
    <row r="286" spans="1:22" customFormat="1" ht="18" customHeight="1">
      <c r="A286" s="733" t="str">
        <f>B7</f>
        <v>T1</v>
      </c>
      <c r="B286" s="733" t="str">
        <f>D7</f>
        <v>Core1</v>
      </c>
      <c r="C286" s="733"/>
      <c r="D286" s="732">
        <f>H10</f>
        <v>100</v>
      </c>
      <c r="E286" s="732"/>
      <c r="F286" s="734">
        <f>O10</f>
        <v>1</v>
      </c>
      <c r="G286" s="732">
        <f>'CT-VT Burdens'!S19</f>
        <v>50</v>
      </c>
      <c r="H286" s="794">
        <f>'CT-VT Burdens'!S10</f>
        <v>6</v>
      </c>
      <c r="I286" s="794" t="str">
        <f>H11</f>
        <v>PX</v>
      </c>
      <c r="J286" s="794"/>
      <c r="K286" s="728">
        <f>H12</f>
        <v>0.32</v>
      </c>
      <c r="L286" s="728"/>
      <c r="M286" s="728">
        <f>H13</f>
        <v>145</v>
      </c>
      <c r="N286" s="728"/>
      <c r="O286" s="732">
        <f>H14</f>
        <v>50</v>
      </c>
      <c r="P286" s="732"/>
      <c r="Q286" s="739" t="str">
        <f>CONCATENATE(T7,T8,T9)</f>
        <v>REC670REF615FMS</v>
      </c>
      <c r="R286" s="739"/>
      <c r="S286" s="799" t="s">
        <v>544</v>
      </c>
      <c r="T286" s="732"/>
      <c r="U286" s="732"/>
      <c r="V286" s="732"/>
    </row>
    <row r="287" spans="1:22" customFormat="1" ht="18" customHeight="1">
      <c r="A287" s="733"/>
      <c r="B287" s="733"/>
      <c r="C287" s="733"/>
      <c r="D287" s="799" t="s">
        <v>7</v>
      </c>
      <c r="E287" s="732"/>
      <c r="F287" s="735"/>
      <c r="G287" s="732"/>
      <c r="H287" s="732"/>
      <c r="I287" s="794"/>
      <c r="J287" s="794"/>
      <c r="K287" s="801" t="s">
        <v>7</v>
      </c>
      <c r="L287" s="728"/>
      <c r="M287" s="801" t="s">
        <v>7</v>
      </c>
      <c r="N287" s="728"/>
      <c r="O287" s="799" t="s">
        <v>7</v>
      </c>
      <c r="P287" s="732"/>
      <c r="Q287" s="739"/>
      <c r="R287" s="739"/>
      <c r="S287" s="799" t="s">
        <v>7</v>
      </c>
      <c r="T287" s="732"/>
      <c r="U287" s="732"/>
      <c r="V287" s="732"/>
    </row>
    <row r="288" spans="1:22" customFormat="1" ht="18" customHeight="1">
      <c r="A288" s="733"/>
      <c r="B288" s="733"/>
      <c r="C288" s="733"/>
      <c r="D288" s="799" t="s">
        <v>7</v>
      </c>
      <c r="E288" s="732"/>
      <c r="F288" s="736"/>
      <c r="G288" s="732"/>
      <c r="H288" s="732"/>
      <c r="I288" s="794"/>
      <c r="J288" s="794"/>
      <c r="K288" s="801" t="s">
        <v>7</v>
      </c>
      <c r="L288" s="728"/>
      <c r="M288" s="801" t="s">
        <v>7</v>
      </c>
      <c r="N288" s="728"/>
      <c r="O288" s="799" t="s">
        <v>7</v>
      </c>
      <c r="P288" s="732"/>
      <c r="Q288" s="739"/>
      <c r="R288" s="739"/>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718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517</v>
      </c>
      <c r="E7" s="661"/>
      <c r="F7" s="267"/>
      <c r="H7" s="665" t="s">
        <v>576</v>
      </c>
      <c r="I7" s="665"/>
      <c r="J7" s="665"/>
      <c r="K7" s="665"/>
      <c r="L7" s="665"/>
      <c r="M7" s="665"/>
      <c r="P7" s="198"/>
      <c r="R7" s="267"/>
      <c r="S7" s="199" t="s">
        <v>398</v>
      </c>
      <c r="T7" s="1047" t="s">
        <v>255</v>
      </c>
      <c r="U7" s="1048"/>
      <c r="V7" s="197"/>
    </row>
    <row r="8" spans="1:24" ht="18" customHeight="1">
      <c r="A8" s="196"/>
      <c r="B8" s="657"/>
      <c r="C8" s="658"/>
      <c r="D8" s="662"/>
      <c r="E8" s="663"/>
      <c r="F8" s="267"/>
      <c r="T8" s="1047" t="s">
        <v>577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100</v>
      </c>
      <c r="I10" s="652"/>
      <c r="J10" s="653" t="s">
        <v>7</v>
      </c>
      <c r="K10" s="654"/>
      <c r="L10" s="653" t="s">
        <v>7</v>
      </c>
      <c r="M10" s="654"/>
      <c r="N10" s="203" t="s">
        <v>353</v>
      </c>
      <c r="O10" s="125">
        <v>1</v>
      </c>
      <c r="P10" s="27" t="s">
        <v>9</v>
      </c>
      <c r="T10" s="1047"/>
      <c r="U10" s="1048"/>
      <c r="V10" s="197"/>
    </row>
    <row r="11" spans="1:24" ht="18" customHeight="1">
      <c r="A11" s="196"/>
      <c r="B11" s="47" t="s">
        <v>405</v>
      </c>
      <c r="H11" s="653" t="s">
        <v>719</v>
      </c>
      <c r="I11" s="654"/>
      <c r="T11" s="1049"/>
      <c r="U11" s="1049"/>
      <c r="V11" s="197"/>
    </row>
    <row r="12" spans="1:24" ht="18" customHeight="1">
      <c r="A12" s="196"/>
      <c r="B12" s="47" t="s">
        <v>407</v>
      </c>
      <c r="G12" s="120" t="s">
        <v>508</v>
      </c>
      <c r="H12" s="653">
        <v>1</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5</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72">
        <f>'CT-VT Burdens'!Q97</f>
        <v>1.25</v>
      </c>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1</v>
      </c>
      <c r="Q22" s="665"/>
      <c r="R22" s="27" t="s">
        <v>168</v>
      </c>
      <c r="S22" s="27"/>
      <c r="T22" s="27"/>
      <c r="V22" s="197"/>
    </row>
    <row r="23" spans="1:31" ht="18" customHeight="1">
      <c r="A23" s="196"/>
      <c r="B23" s="1" t="s">
        <v>424</v>
      </c>
      <c r="C23" s="2"/>
      <c r="D23" s="2"/>
      <c r="E23" s="2"/>
      <c r="F23" s="208"/>
      <c r="G23" s="208"/>
      <c r="H23" s="236" t="s">
        <v>523</v>
      </c>
      <c r="I23" s="195" t="s">
        <v>138</v>
      </c>
      <c r="J23" s="678">
        <f>SUM(J18:K22)</f>
        <v>1.70675935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100</v>
      </c>
      <c r="Q25" s="989"/>
      <c r="R25" s="204" t="s">
        <v>9</v>
      </c>
      <c r="V25" s="197"/>
    </row>
    <row r="26" spans="1:31" ht="18" customHeight="1">
      <c r="A26" s="196"/>
      <c r="B26" s="47" t="s">
        <v>558</v>
      </c>
      <c r="C26" s="47"/>
      <c r="D26" s="47"/>
      <c r="E26" s="47"/>
      <c r="H26" s="27"/>
      <c r="I26" s="28"/>
      <c r="J26" s="211"/>
      <c r="L26" s="47"/>
      <c r="N26" s="120" t="s">
        <v>583</v>
      </c>
      <c r="O26" s="28" t="s">
        <v>138</v>
      </c>
      <c r="P26" s="989">
        <f>H12</f>
        <v>1</v>
      </c>
      <c r="Q26" s="989"/>
      <c r="R26" s="316" t="s">
        <v>168</v>
      </c>
      <c r="V26" s="197"/>
    </row>
    <row r="27" spans="1:31" ht="18" customHeight="1">
      <c r="A27" s="196"/>
      <c r="B27" s="47" t="s">
        <v>559</v>
      </c>
      <c r="C27" s="47"/>
      <c r="D27" s="47"/>
      <c r="E27" s="47"/>
      <c r="H27" s="27"/>
      <c r="I27" s="28"/>
      <c r="J27" s="211"/>
      <c r="L27" s="47"/>
      <c r="N27" s="120" t="s">
        <v>584</v>
      </c>
      <c r="O27" s="28" t="s">
        <v>138</v>
      </c>
      <c r="P27" s="940">
        <f>J23</f>
        <v>1.70675935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f>H13</f>
        <v>5</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1.70675935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1.70675935</v>
      </c>
      <c r="S38" s="308" t="s">
        <v>361</v>
      </c>
      <c r="V38" s="197"/>
    </row>
    <row r="39" spans="1:22" ht="18" customHeight="1">
      <c r="A39" s="196"/>
      <c r="I39" s="27" t="s">
        <v>138</v>
      </c>
      <c r="J39" s="680">
        <f>J38*((L38+N38)/(P38+R38))</f>
        <v>11.083364319033386</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5</v>
      </c>
      <c r="H43" s="665"/>
      <c r="I43" s="27" t="str">
        <f>IF(G43&gt;J43,"&gt;","&lt;")</f>
        <v>&gt;</v>
      </c>
      <c r="J43" s="668">
        <f>J35</f>
        <v>1.70675935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11.083364319033386</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Core2</v>
      </c>
      <c r="E50" s="684"/>
      <c r="F50" s="267"/>
      <c r="H50" s="665" t="str">
        <f>H7</f>
        <v>(Metering + Ammeter)</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100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0.5FS5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697">
        <f t="shared" si="0"/>
        <v>1.25</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1.70675935</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1.70675935</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1.70675935</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1.70675935</v>
      </c>
      <c r="S81" s="308" t="s">
        <v>361</v>
      </c>
      <c r="V81" s="197"/>
    </row>
    <row r="82" spans="1:22" ht="18" hidden="1" customHeight="1">
      <c r="A82" s="196"/>
      <c r="I82" s="27" t="s">
        <v>138</v>
      </c>
      <c r="J82" s="680">
        <f>J81*((L81+N81)/(P81+R81))</f>
        <v>14.910330724778426</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1.70675935</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14.910330724778426</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Core2</v>
      </c>
      <c r="E95" s="711"/>
      <c r="F95" s="267"/>
      <c r="H95" s="665" t="str">
        <f>H50</f>
        <v>(Metering + Ammeter)</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100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0.5FS5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POINTER</v>
      </c>
      <c r="I107" s="189" t="s">
        <v>138</v>
      </c>
      <c r="J107" s="697">
        <f t="shared" si="1"/>
        <v>1.25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1.70675935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1.70675935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1.70675935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Core2</v>
      </c>
      <c r="C144" s="733"/>
      <c r="D144" s="732">
        <f>H98</f>
        <v>100</v>
      </c>
      <c r="E144" s="732"/>
      <c r="F144" s="734">
        <f>O98</f>
        <v>1</v>
      </c>
      <c r="G144" s="737">
        <f>'CT-VT Burdens'!S19</f>
        <v>50</v>
      </c>
      <c r="H144" s="740">
        <f>'CT-VT Burdens'!S10</f>
        <v>6</v>
      </c>
      <c r="I144" s="794" t="str">
        <f>L99</f>
        <v>0.5FS5</v>
      </c>
      <c r="J144" s="794"/>
      <c r="K144" s="728">
        <f>H12</f>
        <v>1</v>
      </c>
      <c r="L144" s="728"/>
      <c r="M144" s="728">
        <f>H14</f>
        <v>5</v>
      </c>
      <c r="N144" s="728"/>
      <c r="O144" s="732" t="s">
        <v>7</v>
      </c>
      <c r="P144" s="732"/>
      <c r="Q144" s="739" t="str">
        <f>CONCATENATE(T7," ",T8," ",T9," ",T10)</f>
        <v xml:space="preserve">XC-RACK POINTER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720</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59" t="s">
        <v>396</v>
      </c>
      <c r="E7" s="960"/>
      <c r="F7" s="468"/>
      <c r="H7" s="665" t="s">
        <v>518</v>
      </c>
      <c r="I7" s="665"/>
      <c r="J7" s="665"/>
      <c r="K7" s="665"/>
      <c r="L7" s="665"/>
      <c r="M7" s="665"/>
      <c r="P7" s="198"/>
      <c r="S7" s="199" t="s">
        <v>398</v>
      </c>
      <c r="T7" s="948" t="s">
        <v>519</v>
      </c>
      <c r="U7" s="949"/>
      <c r="V7" s="197"/>
    </row>
    <row r="8" spans="1:24" ht="18" customHeight="1">
      <c r="A8" s="469"/>
      <c r="F8" s="468"/>
      <c r="T8" s="948" t="s">
        <v>520</v>
      </c>
      <c r="U8" s="949"/>
      <c r="V8" s="197"/>
    </row>
    <row r="9" spans="1:24" ht="18" customHeight="1">
      <c r="A9" s="196"/>
      <c r="H9" s="666" t="s">
        <v>401</v>
      </c>
      <c r="I9" s="666"/>
      <c r="J9" s="667" t="s">
        <v>402</v>
      </c>
      <c r="K9" s="667"/>
      <c r="L9" s="667" t="s">
        <v>403</v>
      </c>
      <c r="M9" s="667"/>
      <c r="T9" s="948" t="s">
        <v>205</v>
      </c>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10</v>
      </c>
      <c r="I12" s="949"/>
      <c r="J12" s="204" t="s">
        <v>344</v>
      </c>
      <c r="V12" s="197"/>
    </row>
    <row r="13" spans="1:24" ht="18" customHeight="1">
      <c r="A13" s="196"/>
      <c r="B13" s="47" t="s">
        <v>409</v>
      </c>
      <c r="G13" s="120" t="s">
        <v>509</v>
      </c>
      <c r="H13" s="948">
        <v>325</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REF615</v>
      </c>
      <c r="H19" s="28"/>
      <c r="I19" s="101" t="s">
        <v>138</v>
      </c>
      <c r="J19" s="950">
        <f>'CT-VT Burdens'!Q55</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50">
        <f>'CT-VT Burdens'!Q92</f>
        <v>5.8000000000000003E-2</v>
      </c>
      <c r="K20" s="951"/>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4">
        <f>'CT-VT Burdens'!S22</f>
        <v>0.44875935000000006</v>
      </c>
      <c r="K21" s="955"/>
      <c r="L21" s="309" t="s">
        <v>168</v>
      </c>
      <c r="O21" s="27" t="s">
        <v>138</v>
      </c>
      <c r="P21" s="668">
        <f>P20*R20*T20</f>
        <v>10</v>
      </c>
      <c r="Q21" s="665"/>
      <c r="R21" s="27" t="s">
        <v>168</v>
      </c>
      <c r="V21" s="197"/>
    </row>
    <row r="22" spans="1:25" ht="18" customHeight="1">
      <c r="A22" s="196"/>
      <c r="B22" s="1" t="s">
        <v>424</v>
      </c>
      <c r="C22" s="2"/>
      <c r="D22" s="2"/>
      <c r="E22" s="2"/>
      <c r="F22" s="208"/>
      <c r="G22" s="208"/>
      <c r="H22" s="236" t="s">
        <v>523</v>
      </c>
      <c r="I22" s="195" t="s">
        <v>138</v>
      </c>
      <c r="J22" s="678">
        <f>SUM(J18:J21)</f>
        <v>0.54675935000000009</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R28" s="27" t="s">
        <v>138</v>
      </c>
      <c r="S28" s="665">
        <v>6</v>
      </c>
      <c r="T28" s="665"/>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S28*S30</f>
        <v>15000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2500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10</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0.54675935000000009</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15000</v>
      </c>
      <c r="G37" s="664"/>
      <c r="H37" s="665" t="s">
        <v>326</v>
      </c>
      <c r="I37" s="667">
        <f>S31</f>
        <v>1</v>
      </c>
      <c r="J37" s="667"/>
      <c r="K37" s="665" t="s">
        <v>326</v>
      </c>
      <c r="L37" s="665" t="s">
        <v>430</v>
      </c>
      <c r="M37" s="1166">
        <f>S33</f>
        <v>10</v>
      </c>
      <c r="N37" s="665" t="s">
        <v>358</v>
      </c>
      <c r="O37" s="668">
        <f>S34</f>
        <v>0.54675935000000009</v>
      </c>
      <c r="P37" s="665" t="s">
        <v>358</v>
      </c>
      <c r="Q37" s="872">
        <f>S35</f>
        <v>0.02</v>
      </c>
      <c r="R37" s="667"/>
      <c r="S37" s="667"/>
      <c r="T37" s="665" t="s">
        <v>361</v>
      </c>
      <c r="V37" s="197"/>
    </row>
    <row r="38" spans="1:25" ht="18" customHeight="1">
      <c r="A38" s="196"/>
      <c r="B38" s="665"/>
      <c r="C38" s="665"/>
      <c r="D38" s="664"/>
      <c r="E38" s="665"/>
      <c r="F38" s="664"/>
      <c r="G38" s="664"/>
      <c r="H38" s="665"/>
      <c r="I38" s="665">
        <f>S30</f>
        <v>2500</v>
      </c>
      <c r="J38" s="665"/>
      <c r="K38" s="665"/>
      <c r="L38" s="665"/>
      <c r="M38" s="1166"/>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95.11</v>
      </c>
      <c r="E40" s="94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946" t="s">
        <v>428</v>
      </c>
      <c r="C52" s="947"/>
      <c r="D52" s="947"/>
      <c r="E52" s="664">
        <v>20</v>
      </c>
      <c r="F52" s="664" t="s">
        <v>326</v>
      </c>
      <c r="G52" s="667" t="s">
        <v>492</v>
      </c>
      <c r="H52" s="667" t="s">
        <v>493</v>
      </c>
      <c r="I52" s="939"/>
      <c r="J52" s="664" t="s">
        <v>326</v>
      </c>
      <c r="K52" s="664" t="s">
        <v>430</v>
      </c>
      <c r="L52" s="664" t="s">
        <v>451</v>
      </c>
      <c r="M52" s="942" t="s">
        <v>358</v>
      </c>
      <c r="N52" s="664" t="s">
        <v>458</v>
      </c>
      <c r="O52" s="664" t="s">
        <v>358</v>
      </c>
      <c r="P52" s="943" t="s">
        <v>459</v>
      </c>
      <c r="Q52" s="943"/>
      <c r="R52" s="943"/>
      <c r="S52" s="944" t="s">
        <v>361</v>
      </c>
      <c r="T52" s="945" t="s">
        <v>433</v>
      </c>
      <c r="V52" s="197"/>
    </row>
    <row r="53" spans="1:25" ht="18" customHeight="1">
      <c r="A53" s="196"/>
      <c r="B53" s="947"/>
      <c r="C53" s="947"/>
      <c r="D53" s="947"/>
      <c r="E53" s="664"/>
      <c r="F53" s="664"/>
      <c r="G53" s="664"/>
      <c r="H53" s="665" t="s">
        <v>494</v>
      </c>
      <c r="I53" s="903"/>
      <c r="J53" s="664"/>
      <c r="K53" s="664"/>
      <c r="L53" s="664"/>
      <c r="M53" s="942"/>
      <c r="N53" s="664"/>
      <c r="O53" s="664"/>
      <c r="P53" s="28" t="s">
        <v>449</v>
      </c>
      <c r="Q53" s="28" t="s">
        <v>326</v>
      </c>
      <c r="R53" s="28" t="s">
        <v>449</v>
      </c>
      <c r="S53" s="944"/>
      <c r="T53" s="945"/>
      <c r="V53" s="112"/>
    </row>
    <row r="54" spans="1:25" ht="18" customHeight="1">
      <c r="A54" s="196"/>
      <c r="C54" s="28"/>
      <c r="D54" s="28"/>
      <c r="E54" s="28"/>
      <c r="F54" s="28"/>
      <c r="G54" s="28"/>
      <c r="H54" s="664"/>
      <c r="I54" s="936"/>
      <c r="J54" s="28"/>
      <c r="K54" s="28"/>
      <c r="L54" s="28"/>
      <c r="M54" s="28"/>
      <c r="N54" s="47"/>
      <c r="O54" s="28"/>
      <c r="V54" s="197"/>
    </row>
    <row r="55" spans="1:25" ht="18" customHeight="1">
      <c r="A55" s="196"/>
      <c r="C55" s="30" t="s">
        <v>537</v>
      </c>
      <c r="R55" s="27" t="s">
        <v>138</v>
      </c>
      <c r="S55" s="665">
        <v>1.2</v>
      </c>
      <c r="T55" s="665"/>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664">
        <f>S55*S57</f>
        <v>3000</v>
      </c>
      <c r="T56" s="664"/>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664">
        <f>H10</f>
        <v>2500</v>
      </c>
      <c r="T57" s="664"/>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664">
        <f>O10</f>
        <v>1</v>
      </c>
      <c r="T58" s="664"/>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41">
        <f>S32</f>
        <v>1</v>
      </c>
      <c r="T59" s="941"/>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669">
        <f>H12</f>
        <v>10</v>
      </c>
      <c r="T60" s="664"/>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669">
        <f>J22</f>
        <v>0.54675935000000009</v>
      </c>
      <c r="T61" s="664"/>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668">
        <f>J18</f>
        <v>0.02</v>
      </c>
      <c r="T62" s="664"/>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665" t="s">
        <v>428</v>
      </c>
      <c r="C64" s="665"/>
      <c r="D64" s="664">
        <f>E52</f>
        <v>20</v>
      </c>
      <c r="E64" s="665" t="s">
        <v>326</v>
      </c>
      <c r="F64" s="664">
        <f>S56</f>
        <v>3000</v>
      </c>
      <c r="G64" s="664"/>
      <c r="H64" s="665" t="s">
        <v>326</v>
      </c>
      <c r="I64" s="667">
        <f>S58</f>
        <v>1</v>
      </c>
      <c r="J64" s="667"/>
      <c r="K64" s="665" t="s">
        <v>326</v>
      </c>
      <c r="L64" s="665" t="s">
        <v>430</v>
      </c>
      <c r="M64" s="1164">
        <f>S60</f>
        <v>10</v>
      </c>
      <c r="N64" s="665" t="s">
        <v>358</v>
      </c>
      <c r="O64" s="668">
        <f>S61</f>
        <v>0.54675935000000009</v>
      </c>
      <c r="P64" s="665" t="s">
        <v>358</v>
      </c>
      <c r="Q64" s="872">
        <f>S62</f>
        <v>0.02</v>
      </c>
      <c r="R64" s="667"/>
      <c r="S64" s="667"/>
      <c r="T64" s="665" t="s">
        <v>361</v>
      </c>
      <c r="V64" s="197"/>
    </row>
    <row r="65" spans="1:27" ht="18" customHeight="1">
      <c r="A65" s="196"/>
      <c r="B65" s="665"/>
      <c r="C65" s="665"/>
      <c r="D65" s="664"/>
      <c r="E65" s="665"/>
      <c r="F65" s="664"/>
      <c r="G65" s="664"/>
      <c r="H65" s="665"/>
      <c r="I65" s="665">
        <f>S57</f>
        <v>2500</v>
      </c>
      <c r="J65" s="665"/>
      <c r="K65" s="665"/>
      <c r="L65" s="665"/>
      <c r="M65" s="1164"/>
      <c r="N65" s="665"/>
      <c r="O65" s="665"/>
      <c r="P65" s="665"/>
      <c r="Q65" s="517">
        <f>S59</f>
        <v>1</v>
      </c>
      <c r="R65" s="27" t="s">
        <v>326</v>
      </c>
      <c r="S65" s="517">
        <f>S59</f>
        <v>1</v>
      </c>
      <c r="T65" s="665"/>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40">
        <f>ROUNDUP(D64*F64*(I64/I65)*(M64+O64+(Q64/(Q65*S65))),2)</f>
        <v>253.60999999999999</v>
      </c>
      <c r="E67" s="940"/>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max(95.11,253.61)</v>
      </c>
      <c r="V69" s="197"/>
      <c r="X69" s="30" t="s">
        <v>430</v>
      </c>
      <c r="Y69" s="30" t="s">
        <v>541</v>
      </c>
      <c r="Z69" s="30" t="s">
        <v>542</v>
      </c>
      <c r="AA69" s="30" t="s">
        <v>361</v>
      </c>
    </row>
    <row r="70" spans="1:27" ht="18" customHeight="1">
      <c r="A70" s="196"/>
      <c r="D70" s="14"/>
      <c r="E70"/>
      <c r="F70"/>
      <c r="G70" s="27"/>
      <c r="H70" s="14"/>
      <c r="I70"/>
      <c r="J70"/>
      <c r="K70"/>
      <c r="L70" s="30" t="s">
        <v>539</v>
      </c>
      <c r="M70" s="519" t="s">
        <v>540</v>
      </c>
      <c r="N70" s="668">
        <f>MAX(D67,D40)</f>
        <v>253.60999999999999</v>
      </c>
      <c r="O70" s="668"/>
      <c r="V70" s="197"/>
    </row>
    <row r="71" spans="1:27" ht="18" customHeight="1">
      <c r="A71" s="196"/>
      <c r="D71"/>
      <c r="E71" s="956"/>
      <c r="F71" s="665"/>
      <c r="G71" s="27"/>
      <c r="H71" s="668"/>
      <c r="I71" s="665"/>
      <c r="J71"/>
      <c r="K71"/>
      <c r="L71" s="308">
        <f>H13</f>
        <v>325</v>
      </c>
      <c r="M71" s="519" t="s">
        <v>540</v>
      </c>
      <c r="N71" s="668">
        <f>N70</f>
        <v>253.60999999999999</v>
      </c>
      <c r="O71" s="668"/>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08" t="str">
        <f>B7</f>
        <v>T1</v>
      </c>
      <c r="C105" s="709"/>
      <c r="D105" s="707" t="str">
        <f>D7</f>
        <v>Core1</v>
      </c>
      <c r="E105" s="733"/>
      <c r="F105" s="468"/>
      <c r="H105" s="665" t="str">
        <f>H7</f>
        <v>(OC+BCPU+FMS)</v>
      </c>
      <c r="I105" s="665"/>
      <c r="J105" s="665"/>
      <c r="K105" s="665"/>
      <c r="L105" s="665"/>
      <c r="M105" s="665"/>
      <c r="P105" s="198"/>
      <c r="S105" s="199" t="s">
        <v>398</v>
      </c>
      <c r="T105" s="705" t="str">
        <f>T7</f>
        <v>REC670</v>
      </c>
      <c r="U105" s="706"/>
      <c r="V105" s="197"/>
    </row>
    <row r="106" spans="1:23" ht="18" hidden="1" customHeight="1">
      <c r="A106" s="469"/>
      <c r="F106" s="468"/>
      <c r="T106" s="705" t="str">
        <f>T8</f>
        <v>REF615</v>
      </c>
      <c r="U106" s="706"/>
      <c r="V106" s="197"/>
    </row>
    <row r="107" spans="1:23" ht="18" hidden="1" customHeight="1">
      <c r="A107" s="196"/>
      <c r="H107" s="696" t="s">
        <v>401</v>
      </c>
      <c r="I107" s="696"/>
      <c r="J107" s="666" t="s">
        <v>402</v>
      </c>
      <c r="K107" s="666"/>
      <c r="L107" s="667" t="s">
        <v>403</v>
      </c>
      <c r="M107" s="667"/>
      <c r="T107" s="705" t="str">
        <f>T9</f>
        <v>FMS</v>
      </c>
      <c r="U107" s="706"/>
      <c r="V107" s="197"/>
    </row>
    <row r="108" spans="1:23" ht="18" hidden="1" customHeight="1">
      <c r="A108" s="196"/>
      <c r="B108" s="47" t="s">
        <v>404</v>
      </c>
      <c r="H108" s="708">
        <f>H10</f>
        <v>2500</v>
      </c>
      <c r="I108" s="709"/>
      <c r="J108" s="714" t="str">
        <f>J10</f>
        <v>-</v>
      </c>
      <c r="K108" s="715"/>
      <c r="L108" s="708" t="str">
        <f>L10</f>
        <v>-</v>
      </c>
      <c r="M108" s="709"/>
      <c r="N108" s="203" t="s">
        <v>353</v>
      </c>
      <c r="O108" s="268">
        <f>O10</f>
        <v>1</v>
      </c>
      <c r="P108" s="27" t="s">
        <v>9</v>
      </c>
      <c r="R108" s="267"/>
      <c r="S108" s="267"/>
      <c r="V108" s="197"/>
    </row>
    <row r="109" spans="1:23" ht="18" hidden="1" customHeight="1">
      <c r="A109" s="196"/>
      <c r="B109" s="47" t="s">
        <v>405</v>
      </c>
      <c r="J109" s="708" t="str">
        <f>H11</f>
        <v>PX</v>
      </c>
      <c r="K109" s="709"/>
      <c r="V109" s="197"/>
    </row>
    <row r="110" spans="1:23" ht="18" hidden="1" customHeight="1">
      <c r="A110" s="196"/>
      <c r="B110" s="47" t="s">
        <v>407</v>
      </c>
      <c r="I110" s="120" t="s">
        <v>508</v>
      </c>
      <c r="J110" s="948">
        <v>12</v>
      </c>
      <c r="K110" s="949"/>
      <c r="L110" s="204" t="s">
        <v>344</v>
      </c>
      <c r="V110" s="197"/>
    </row>
    <row r="111" spans="1:23" ht="18" hidden="1" customHeight="1">
      <c r="A111" s="196"/>
      <c r="B111" s="47" t="s">
        <v>409</v>
      </c>
      <c r="I111" s="120" t="s">
        <v>509</v>
      </c>
      <c r="J111" s="948">
        <v>1200</v>
      </c>
      <c r="K111" s="949"/>
      <c r="L111" s="14" t="s">
        <v>316</v>
      </c>
      <c r="T111" s="307"/>
      <c r="U111" s="18"/>
      <c r="V111" s="197"/>
      <c r="W111" s="30" t="e">
        <f>G159</f>
        <v>#VALUE!</v>
      </c>
    </row>
    <row r="112" spans="1:23" ht="18" hidden="1" customHeight="1">
      <c r="A112" s="196"/>
      <c r="B112" s="14" t="s">
        <v>412</v>
      </c>
      <c r="I112" s="120" t="s">
        <v>413</v>
      </c>
      <c r="J112" s="948">
        <v>50</v>
      </c>
      <c r="K112" s="949"/>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78">
        <f>J18</f>
        <v>0.02</v>
      </c>
      <c r="K116" s="679"/>
      <c r="L116" s="3" t="s">
        <v>168</v>
      </c>
      <c r="N116" s="209" t="s">
        <v>521</v>
      </c>
      <c r="V116" s="197"/>
    </row>
    <row r="117" spans="1:22" ht="18" hidden="1" customHeight="1">
      <c r="A117" s="196"/>
      <c r="B117" s="96" t="s">
        <v>416</v>
      </c>
      <c r="C117" s="14"/>
      <c r="D117" s="47" t="str">
        <f>T106</f>
        <v>REF615</v>
      </c>
      <c r="H117" s="28"/>
      <c r="I117" s="101" t="s">
        <v>138</v>
      </c>
      <c r="J117" s="678">
        <f>J19</f>
        <v>0.02</v>
      </c>
      <c r="K117" s="67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78">
        <f>J20</f>
        <v>5.8000000000000003E-2</v>
      </c>
      <c r="K118" s="67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701">
        <f>J21</f>
        <v>0.44875935000000006</v>
      </c>
      <c r="K119" s="702"/>
      <c r="L119" s="309" t="s">
        <v>168</v>
      </c>
      <c r="O119" s="27" t="s">
        <v>138</v>
      </c>
      <c r="P119" s="668">
        <f>P118*R118*T118</f>
        <v>12</v>
      </c>
      <c r="Q119" s="665"/>
      <c r="R119" s="27" t="s">
        <v>168</v>
      </c>
      <c r="V119" s="197"/>
    </row>
    <row r="120" spans="1:22" ht="18" hidden="1" customHeight="1">
      <c r="A120" s="196"/>
      <c r="B120" s="1" t="s">
        <v>424</v>
      </c>
      <c r="C120" s="2"/>
      <c r="D120" s="2"/>
      <c r="E120" s="2"/>
      <c r="F120" s="208"/>
      <c r="G120" s="208"/>
      <c r="H120" s="236" t="s">
        <v>523</v>
      </c>
      <c r="I120" s="195" t="s">
        <v>138</v>
      </c>
      <c r="J120" s="678">
        <f>SUM(J116:J119)</f>
        <v>0.54675935000000009</v>
      </c>
      <c r="K120" s="67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71" t="s">
        <v>547</v>
      </c>
      <c r="B122" s="972"/>
      <c r="C122" s="972"/>
      <c r="D122" s="972"/>
      <c r="E122" s="972"/>
      <c r="F122" s="972"/>
      <c r="G122" s="972"/>
      <c r="H122" s="972"/>
      <c r="I122" s="972"/>
      <c r="J122" s="972"/>
      <c r="K122" s="972"/>
      <c r="L122" s="972"/>
      <c r="M122" s="972"/>
      <c r="N122" s="972"/>
      <c r="O122" s="972"/>
      <c r="P122" s="972"/>
      <c r="Q122" s="972"/>
      <c r="R122" s="972"/>
      <c r="S122" s="972"/>
      <c r="T122" s="972"/>
      <c r="U122" s="972"/>
      <c r="V122" s="973"/>
    </row>
    <row r="123" spans="1:22" ht="18" hidden="1" customHeight="1">
      <c r="A123" s="974"/>
      <c r="B123" s="972"/>
      <c r="C123" s="972"/>
      <c r="D123" s="972"/>
      <c r="E123" s="972"/>
      <c r="F123" s="972"/>
      <c r="G123" s="972"/>
      <c r="H123" s="972"/>
      <c r="I123" s="972"/>
      <c r="J123" s="972"/>
      <c r="K123" s="972"/>
      <c r="L123" s="972"/>
      <c r="M123" s="972"/>
      <c r="N123" s="972"/>
      <c r="O123" s="972"/>
      <c r="P123" s="972"/>
      <c r="Q123" s="972"/>
      <c r="R123" s="972"/>
      <c r="S123" s="972"/>
      <c r="T123" s="972"/>
      <c r="U123" s="972"/>
      <c r="V123" s="973"/>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64" t="s">
        <v>484</v>
      </c>
      <c r="I127" s="93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64">
        <f>S29</f>
        <v>15000</v>
      </c>
      <c r="T129" s="664"/>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64" t="str">
        <f>J108</f>
        <v>-</v>
      </c>
      <c r="T130" s="664"/>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64">
        <f>J111</f>
        <v>1200</v>
      </c>
      <c r="T131" s="664"/>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69">
        <f>P119</f>
        <v>12</v>
      </c>
      <c r="T132" s="664"/>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69">
        <f>J120</f>
        <v>0.54675935000000009</v>
      </c>
      <c r="T133" s="664"/>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64">
        <f>O108</f>
        <v>1</v>
      </c>
      <c r="T134" s="664"/>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64">
        <v>20</v>
      </c>
      <c r="T135" s="664"/>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64" t="s">
        <v>484</v>
      </c>
      <c r="I138" s="93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64">
        <f>S131</f>
        <v>1200</v>
      </c>
      <c r="I139" s="936"/>
      <c r="J139" s="28" t="s">
        <v>326</v>
      </c>
      <c r="K139" s="28">
        <f>S134</f>
        <v>1</v>
      </c>
      <c r="L139" s="28" t="s">
        <v>552</v>
      </c>
      <c r="M139" s="28">
        <f>S135</f>
        <v>20</v>
      </c>
      <c r="N139" s="47" t="s">
        <v>553</v>
      </c>
      <c r="O139" s="516">
        <f>S132</f>
        <v>12</v>
      </c>
      <c r="V139" s="197"/>
    </row>
    <row r="140" spans="1:25" ht="18" hidden="1" customHeight="1">
      <c r="A140" s="196"/>
      <c r="D140" s="27" t="s">
        <v>138</v>
      </c>
      <c r="E140" s="665">
        <f>((F139*H139*K139)/M139)-O139</f>
        <v>66</v>
      </c>
      <c r="F140" s="665"/>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64" t="s">
        <v>555</v>
      </c>
      <c r="H149" s="664"/>
      <c r="I149" s="203" t="s">
        <v>353</v>
      </c>
      <c r="J149" s="665" t="s">
        <v>434</v>
      </c>
      <c r="K149" s="665"/>
      <c r="V149" s="197"/>
    </row>
    <row r="150" spans="1:22" ht="18" hidden="1" customHeight="1">
      <c r="A150" s="196"/>
      <c r="F150" s="27" t="s">
        <v>138</v>
      </c>
      <c r="G150" s="665">
        <f>S129</f>
        <v>15000</v>
      </c>
      <c r="H150" s="665"/>
      <c r="I150" s="203" t="s">
        <v>353</v>
      </c>
      <c r="J150" s="665" t="str">
        <f>S130</f>
        <v>-</v>
      </c>
      <c r="K150" s="665"/>
      <c r="V150" s="197"/>
    </row>
    <row r="151" spans="1:22" ht="18" hidden="1" customHeight="1">
      <c r="A151" s="196"/>
      <c r="F151" s="27" t="s">
        <v>138</v>
      </c>
      <c r="G151" s="668" t="e">
        <f>G150/J150</f>
        <v>#VALUE!</v>
      </c>
      <c r="H151" s="668"/>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0.54675935000000009</v>
      </c>
      <c r="P154" s="474" t="s">
        <v>361</v>
      </c>
      <c r="V154" s="197"/>
    </row>
    <row r="155" spans="1:22" ht="18" hidden="1" customHeight="1">
      <c r="A155" s="196"/>
      <c r="F155" s="27" t="s">
        <v>138</v>
      </c>
      <c r="G155" s="668">
        <f>G154*((I154+K154)/(M154+O154))</f>
        <v>124.33489449209846</v>
      </c>
      <c r="H155" s="668"/>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68">
        <f>G155</f>
        <v>124.33489449209846</v>
      </c>
      <c r="E158" s="668"/>
      <c r="F158" s="27" t="e">
        <f>F157</f>
        <v>#VALUE!</v>
      </c>
      <c r="G158" s="668" t="e">
        <f>G151</f>
        <v>#VALUE!</v>
      </c>
      <c r="H158" s="668"/>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08" t="str">
        <f>B105</f>
        <v>T1</v>
      </c>
      <c r="C193" s="709"/>
      <c r="D193" s="707" t="str">
        <f>D105</f>
        <v>Core1</v>
      </c>
      <c r="E193" s="733"/>
      <c r="F193" s="468"/>
      <c r="H193" s="665" t="str">
        <f>H105</f>
        <v>(OC+BCPU+FMS)</v>
      </c>
      <c r="I193" s="665"/>
      <c r="J193" s="665"/>
      <c r="K193" s="665"/>
      <c r="L193" s="665"/>
      <c r="M193" s="665"/>
      <c r="P193" s="198"/>
      <c r="S193" s="199" t="s">
        <v>398</v>
      </c>
      <c r="T193" s="705" t="str">
        <f>T105</f>
        <v>REC670</v>
      </c>
      <c r="U193" s="706"/>
      <c r="V193" s="197"/>
    </row>
    <row r="194" spans="1:23" ht="18" hidden="1" customHeight="1">
      <c r="A194" s="469"/>
      <c r="F194" s="468"/>
      <c r="T194" s="705" t="str">
        <f>T106</f>
        <v>REF615</v>
      </c>
      <c r="U194" s="706"/>
      <c r="V194" s="197"/>
    </row>
    <row r="195" spans="1:23" ht="18" hidden="1" customHeight="1">
      <c r="A195" s="196"/>
      <c r="H195" s="696" t="s">
        <v>401</v>
      </c>
      <c r="I195" s="696"/>
      <c r="J195" s="696" t="s">
        <v>402</v>
      </c>
      <c r="K195" s="696"/>
      <c r="L195" s="666" t="s">
        <v>403</v>
      </c>
      <c r="M195" s="666"/>
      <c r="T195" s="705" t="str">
        <f>T107</f>
        <v>FMS</v>
      </c>
      <c r="U195" s="706"/>
      <c r="V195" s="197"/>
    </row>
    <row r="196" spans="1:23" ht="18" hidden="1" customHeight="1">
      <c r="A196" s="196"/>
      <c r="B196" s="47" t="s">
        <v>404</v>
      </c>
      <c r="H196" s="708">
        <f>H108</f>
        <v>2500</v>
      </c>
      <c r="I196" s="709"/>
      <c r="J196" s="708" t="str">
        <f>J108</f>
        <v>-</v>
      </c>
      <c r="K196" s="709"/>
      <c r="L196" s="714" t="str">
        <f>L108</f>
        <v>-</v>
      </c>
      <c r="M196" s="715"/>
      <c r="N196" s="203" t="s">
        <v>353</v>
      </c>
      <c r="O196" s="268">
        <f>O108</f>
        <v>1</v>
      </c>
      <c r="P196" s="27" t="s">
        <v>9</v>
      </c>
      <c r="R196" s="267"/>
      <c r="S196" s="267"/>
      <c r="V196" s="197"/>
    </row>
    <row r="197" spans="1:23" ht="18" hidden="1" customHeight="1">
      <c r="A197" s="196"/>
      <c r="B197" s="47" t="s">
        <v>405</v>
      </c>
      <c r="L197" s="708" t="str">
        <f>J109</f>
        <v>PX</v>
      </c>
      <c r="M197" s="709"/>
      <c r="V197" s="197"/>
    </row>
    <row r="198" spans="1:23" ht="18" hidden="1" customHeight="1">
      <c r="A198" s="196"/>
      <c r="B198" s="47" t="s">
        <v>407</v>
      </c>
      <c r="K198" s="120" t="s">
        <v>508</v>
      </c>
      <c r="L198" s="948">
        <v>8</v>
      </c>
      <c r="M198" s="949"/>
      <c r="N198" s="204" t="s">
        <v>344</v>
      </c>
      <c r="V198" s="197"/>
    </row>
    <row r="199" spans="1:23" ht="18" hidden="1" customHeight="1">
      <c r="A199" s="196"/>
      <c r="B199" s="47" t="s">
        <v>409</v>
      </c>
      <c r="K199" s="120" t="s">
        <v>509</v>
      </c>
      <c r="L199" s="948">
        <v>800</v>
      </c>
      <c r="M199" s="949"/>
      <c r="N199" s="14" t="s">
        <v>316</v>
      </c>
      <c r="V199" s="197"/>
      <c r="W199" s="30" t="e">
        <f>G247</f>
        <v>#VALUE!</v>
      </c>
    </row>
    <row r="200" spans="1:23" ht="18" hidden="1" customHeight="1">
      <c r="A200" s="196"/>
      <c r="B200" s="14" t="s">
        <v>412</v>
      </c>
      <c r="K200" s="120" t="s">
        <v>413</v>
      </c>
      <c r="L200" s="948">
        <v>75</v>
      </c>
      <c r="M200" s="949"/>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78">
        <f>J116</f>
        <v>0.02</v>
      </c>
      <c r="K204" s="679"/>
      <c r="L204" s="3" t="s">
        <v>168</v>
      </c>
      <c r="N204" s="209" t="s">
        <v>521</v>
      </c>
      <c r="V204" s="197"/>
    </row>
    <row r="205" spans="1:23" ht="18" hidden="1" customHeight="1">
      <c r="A205" s="196"/>
      <c r="B205" s="96" t="s">
        <v>416</v>
      </c>
      <c r="C205" s="14"/>
      <c r="D205" s="47" t="str">
        <f>T194</f>
        <v>REF615</v>
      </c>
      <c r="H205" s="28"/>
      <c r="I205" s="101" t="s">
        <v>138</v>
      </c>
      <c r="J205" s="678">
        <f>J117</f>
        <v>0.02</v>
      </c>
      <c r="K205" s="67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78">
        <f>J118</f>
        <v>5.8000000000000003E-2</v>
      </c>
      <c r="K206" s="67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701">
        <f>J119</f>
        <v>0.44875935000000006</v>
      </c>
      <c r="K207" s="702"/>
      <c r="L207" s="309" t="s">
        <v>168</v>
      </c>
      <c r="O207" s="27" t="s">
        <v>138</v>
      </c>
      <c r="P207" s="668">
        <f>P206*R206*T206</f>
        <v>8</v>
      </c>
      <c r="Q207" s="665"/>
      <c r="R207" s="27" t="s">
        <v>168</v>
      </c>
      <c r="V207" s="197"/>
    </row>
    <row r="208" spans="1:23" ht="18" hidden="1" customHeight="1">
      <c r="A208" s="196"/>
      <c r="B208" s="1" t="s">
        <v>424</v>
      </c>
      <c r="C208" s="2"/>
      <c r="D208" s="2"/>
      <c r="E208" s="2"/>
      <c r="F208" s="208"/>
      <c r="G208" s="208"/>
      <c r="H208" s="236" t="s">
        <v>523</v>
      </c>
      <c r="I208" s="195" t="s">
        <v>138</v>
      </c>
      <c r="J208" s="678">
        <f>SUM(J204:J207)</f>
        <v>0.54675935000000009</v>
      </c>
      <c r="K208" s="67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71" t="s">
        <v>547</v>
      </c>
      <c r="B210" s="972"/>
      <c r="C210" s="972"/>
      <c r="D210" s="972"/>
      <c r="E210" s="972"/>
      <c r="F210" s="972"/>
      <c r="G210" s="972"/>
      <c r="H210" s="972"/>
      <c r="I210" s="972"/>
      <c r="J210" s="972"/>
      <c r="K210" s="972"/>
      <c r="L210" s="972"/>
      <c r="M210" s="972"/>
      <c r="N210" s="972"/>
      <c r="O210" s="972"/>
      <c r="P210" s="972"/>
      <c r="Q210" s="972"/>
      <c r="R210" s="972"/>
      <c r="S210" s="972"/>
      <c r="T210" s="972"/>
      <c r="U210" s="972"/>
      <c r="V210" s="973"/>
    </row>
    <row r="211" spans="1:25" ht="18" hidden="1" customHeight="1">
      <c r="A211" s="974"/>
      <c r="B211" s="972"/>
      <c r="C211" s="972"/>
      <c r="D211" s="972"/>
      <c r="E211" s="972"/>
      <c r="F211" s="972"/>
      <c r="G211" s="972"/>
      <c r="H211" s="972"/>
      <c r="I211" s="972"/>
      <c r="J211" s="972"/>
      <c r="K211" s="972"/>
      <c r="L211" s="972"/>
      <c r="M211" s="972"/>
      <c r="N211" s="972"/>
      <c r="O211" s="972"/>
      <c r="P211" s="972"/>
      <c r="Q211" s="972"/>
      <c r="R211" s="972"/>
      <c r="S211" s="972"/>
      <c r="T211" s="972"/>
      <c r="U211" s="972"/>
      <c r="V211" s="973"/>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64" t="s">
        <v>484</v>
      </c>
      <c r="I215" s="93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64">
        <f>S129</f>
        <v>15000</v>
      </c>
      <c r="T217" s="664"/>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64" t="str">
        <f>L196</f>
        <v>-</v>
      </c>
      <c r="T218" s="664"/>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64">
        <f>L199</f>
        <v>800</v>
      </c>
      <c r="T219" s="664"/>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69">
        <f>P207</f>
        <v>8</v>
      </c>
      <c r="T220" s="664"/>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69">
        <f>J208</f>
        <v>0.54675935000000009</v>
      </c>
      <c r="T221" s="664"/>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64">
        <f>O196</f>
        <v>1</v>
      </c>
      <c r="T222" s="664"/>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64">
        <v>20</v>
      </c>
      <c r="T223" s="664"/>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64" t="s">
        <v>484</v>
      </c>
      <c r="I226" s="93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64">
        <f>S219</f>
        <v>800</v>
      </c>
      <c r="I227" s="936"/>
      <c r="J227" s="28" t="s">
        <v>326</v>
      </c>
      <c r="K227" s="28">
        <f>S222</f>
        <v>1</v>
      </c>
      <c r="L227" s="28" t="s">
        <v>552</v>
      </c>
      <c r="M227" s="28">
        <f>S223</f>
        <v>20</v>
      </c>
      <c r="N227" s="47" t="s">
        <v>553</v>
      </c>
      <c r="O227" s="516">
        <f>S220</f>
        <v>8</v>
      </c>
      <c r="V227" s="197"/>
    </row>
    <row r="228" spans="1:22" ht="18" hidden="1" customHeight="1">
      <c r="A228" s="196"/>
      <c r="D228" s="27" t="s">
        <v>138</v>
      </c>
      <c r="E228" s="665">
        <f>((F227*H227*K227)/M227)-O227</f>
        <v>44</v>
      </c>
      <c r="F228" s="665"/>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64" t="s">
        <v>555</v>
      </c>
      <c r="H237" s="664"/>
      <c r="I237" s="203" t="s">
        <v>353</v>
      </c>
      <c r="J237" s="665" t="s">
        <v>434</v>
      </c>
      <c r="K237" s="665"/>
      <c r="V237" s="197"/>
    </row>
    <row r="238" spans="1:22" ht="18" hidden="1" customHeight="1">
      <c r="A238" s="196"/>
      <c r="F238" s="27" t="s">
        <v>138</v>
      </c>
      <c r="G238" s="665">
        <f>S217</f>
        <v>15000</v>
      </c>
      <c r="H238" s="665"/>
      <c r="I238" s="203" t="s">
        <v>353</v>
      </c>
      <c r="J238" s="665" t="str">
        <f>S218</f>
        <v>-</v>
      </c>
      <c r="K238" s="665"/>
      <c r="V238" s="197"/>
    </row>
    <row r="239" spans="1:22" ht="18" hidden="1" customHeight="1">
      <c r="A239" s="196"/>
      <c r="F239" s="27" t="s">
        <v>138</v>
      </c>
      <c r="G239" s="668" t="e">
        <f>G238/J238</f>
        <v>#VALUE!</v>
      </c>
      <c r="H239" s="668"/>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0.54675935000000009</v>
      </c>
      <c r="P242" s="474" t="s">
        <v>361</v>
      </c>
      <c r="V242" s="197"/>
    </row>
    <row r="243" spans="1:22" ht="18" hidden="1" customHeight="1">
      <c r="A243" s="196"/>
      <c r="F243" s="27" t="s">
        <v>138</v>
      </c>
      <c r="G243" s="668">
        <f>G242*((I242+K242)/(M242+O242))</f>
        <v>121.68354781160417</v>
      </c>
      <c r="H243" s="668"/>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68">
        <f>G243</f>
        <v>121.68354781160417</v>
      </c>
      <c r="E246" s="668"/>
      <c r="F246" s="27" t="e">
        <f>F245</f>
        <v>#VALUE!</v>
      </c>
      <c r="G246" s="668" t="e">
        <f>G239</f>
        <v>#VALUE!</v>
      </c>
      <c r="H246" s="668"/>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800" t="s">
        <v>97</v>
      </c>
      <c r="B282" s="800"/>
      <c r="C282" s="728"/>
      <c r="D282" s="800" t="s">
        <v>98</v>
      </c>
      <c r="E282" s="800"/>
      <c r="F282" s="800"/>
      <c r="G282" s="800" t="s">
        <v>99</v>
      </c>
      <c r="H282" s="800"/>
      <c r="I282" s="800" t="s">
        <v>100</v>
      </c>
      <c r="J282" s="800"/>
      <c r="K282" s="800" t="s">
        <v>513</v>
      </c>
      <c r="L282" s="800"/>
      <c r="M282" s="800" t="s">
        <v>514</v>
      </c>
      <c r="N282" s="800"/>
      <c r="O282" s="800" t="s">
        <v>515</v>
      </c>
      <c r="P282" s="800"/>
      <c r="Q282" s="800" t="s">
        <v>516</v>
      </c>
      <c r="R282" s="800"/>
      <c r="S282" s="800" t="s">
        <v>105</v>
      </c>
      <c r="T282" s="800"/>
      <c r="U282" s="800"/>
      <c r="V282" s="800"/>
    </row>
    <row r="283" spans="1:22" customFormat="1"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customFormat="1"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customFormat="1" ht="18" customHeight="1">
      <c r="A285" s="800"/>
      <c r="B285" s="800"/>
      <c r="C285" s="728"/>
      <c r="D285" s="800"/>
      <c r="E285" s="800"/>
      <c r="F285" s="800"/>
      <c r="G285" s="800"/>
      <c r="H285" s="800"/>
      <c r="I285" s="800"/>
      <c r="J285" s="800"/>
      <c r="K285" s="800"/>
      <c r="L285" s="800"/>
      <c r="M285" s="800"/>
      <c r="N285" s="800"/>
      <c r="O285" s="800"/>
      <c r="P285" s="800"/>
      <c r="Q285" s="800"/>
      <c r="R285" s="800"/>
      <c r="S285" s="800"/>
      <c r="T285" s="800"/>
      <c r="U285" s="800"/>
      <c r="V285" s="800"/>
    </row>
    <row r="286" spans="1:22" customFormat="1" ht="18" customHeight="1">
      <c r="A286" s="733" t="str">
        <f>B7</f>
        <v>T1</v>
      </c>
      <c r="B286" s="733" t="str">
        <f>D7</f>
        <v>Core1</v>
      </c>
      <c r="C286" s="733"/>
      <c r="D286" s="732">
        <f>H10</f>
        <v>2500</v>
      </c>
      <c r="E286" s="732"/>
      <c r="F286" s="734">
        <f>O10</f>
        <v>1</v>
      </c>
      <c r="G286" s="732">
        <f>'CT-VT Burdens'!S19</f>
        <v>50</v>
      </c>
      <c r="H286" s="794">
        <f>'CT-VT Burdens'!S28</f>
        <v>2.5</v>
      </c>
      <c r="I286" s="794" t="str">
        <f>H11</f>
        <v>PX</v>
      </c>
      <c r="J286" s="794"/>
      <c r="K286" s="728">
        <f>H12</f>
        <v>10</v>
      </c>
      <c r="L286" s="728"/>
      <c r="M286" s="728">
        <f>H13</f>
        <v>325</v>
      </c>
      <c r="N286" s="728"/>
      <c r="O286" s="732">
        <f>H14</f>
        <v>50</v>
      </c>
      <c r="P286" s="732"/>
      <c r="Q286" s="739" t="str">
        <f>CONCATENATE(T7,T8,T9)</f>
        <v>REC670REF615FMS</v>
      </c>
      <c r="R286" s="739"/>
      <c r="S286" s="799" t="s">
        <v>544</v>
      </c>
      <c r="T286" s="732"/>
      <c r="U286" s="732"/>
      <c r="V286" s="732"/>
    </row>
    <row r="287" spans="1:22" customFormat="1" ht="18" customHeight="1">
      <c r="A287" s="733"/>
      <c r="B287" s="733"/>
      <c r="C287" s="733"/>
      <c r="D287" s="799" t="s">
        <v>7</v>
      </c>
      <c r="E287" s="732"/>
      <c r="F287" s="735"/>
      <c r="G287" s="732"/>
      <c r="H287" s="732"/>
      <c r="I287" s="794"/>
      <c r="J287" s="794"/>
      <c r="K287" s="801" t="s">
        <v>7</v>
      </c>
      <c r="L287" s="728"/>
      <c r="M287" s="801" t="s">
        <v>7</v>
      </c>
      <c r="N287" s="728"/>
      <c r="O287" s="799" t="s">
        <v>7</v>
      </c>
      <c r="P287" s="732"/>
      <c r="Q287" s="739"/>
      <c r="R287" s="739"/>
      <c r="S287" s="799" t="s">
        <v>7</v>
      </c>
      <c r="T287" s="732"/>
      <c r="U287" s="732"/>
      <c r="V287" s="732"/>
    </row>
    <row r="288" spans="1:22" customFormat="1" ht="18" customHeight="1">
      <c r="A288" s="733"/>
      <c r="B288" s="733"/>
      <c r="C288" s="733"/>
      <c r="D288" s="799" t="s">
        <v>7</v>
      </c>
      <c r="E288" s="732"/>
      <c r="F288" s="736"/>
      <c r="G288" s="732"/>
      <c r="H288" s="732"/>
      <c r="I288" s="794"/>
      <c r="J288" s="794"/>
      <c r="K288" s="801" t="s">
        <v>7</v>
      </c>
      <c r="L288" s="728"/>
      <c r="M288" s="801" t="s">
        <v>7</v>
      </c>
      <c r="N288" s="728"/>
      <c r="O288" s="799" t="s">
        <v>7</v>
      </c>
      <c r="P288" s="732"/>
      <c r="Q288" s="739"/>
      <c r="R288" s="739"/>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2:D53"/>
    <mergeCell ref="E52:E53"/>
    <mergeCell ref="F52:F53"/>
    <mergeCell ref="G52:G53"/>
    <mergeCell ref="H52:I52"/>
    <mergeCell ref="J52:J53"/>
    <mergeCell ref="K37:K38"/>
    <mergeCell ref="L37:L38"/>
    <mergeCell ref="S52:S53"/>
    <mergeCell ref="T52:T53"/>
    <mergeCell ref="H53:I53"/>
    <mergeCell ref="H54:I54"/>
    <mergeCell ref="S56:T56"/>
    <mergeCell ref="S57:T57"/>
    <mergeCell ref="K52:K53"/>
    <mergeCell ref="L52:L53"/>
    <mergeCell ref="M52:M53"/>
    <mergeCell ref="N52:N53"/>
    <mergeCell ref="O52:O53"/>
    <mergeCell ref="P52:R52"/>
    <mergeCell ref="S55:T55"/>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D67:E67"/>
    <mergeCell ref="E71:F71"/>
    <mergeCell ref="H71:I71"/>
    <mergeCell ref="I64:J64"/>
    <mergeCell ref="K64:K65"/>
    <mergeCell ref="L64:L65"/>
    <mergeCell ref="M64:M65"/>
    <mergeCell ref="N64:N65"/>
    <mergeCell ref="O64:O65"/>
    <mergeCell ref="N70:O70"/>
    <mergeCell ref="N71:O71"/>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720</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517</v>
      </c>
      <c r="E7" s="661"/>
      <c r="F7" s="267"/>
      <c r="H7" s="665" t="s">
        <v>576</v>
      </c>
      <c r="I7" s="665"/>
      <c r="J7" s="665"/>
      <c r="K7" s="665"/>
      <c r="L7" s="665"/>
      <c r="M7" s="665"/>
      <c r="P7" s="198"/>
      <c r="R7" s="267"/>
      <c r="S7" s="199" t="s">
        <v>398</v>
      </c>
      <c r="T7" s="1047" t="s">
        <v>255</v>
      </c>
      <c r="U7" s="1048"/>
      <c r="V7" s="197"/>
    </row>
    <row r="8" spans="1:24" ht="18" customHeight="1">
      <c r="A8" s="196"/>
      <c r="B8" s="657"/>
      <c r="C8" s="658"/>
      <c r="D8" s="662"/>
      <c r="E8" s="663"/>
      <c r="F8" s="267"/>
      <c r="T8" s="1047" t="s">
        <v>577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719</v>
      </c>
      <c r="I11" s="654"/>
      <c r="T11" s="1049"/>
      <c r="U11" s="1049"/>
      <c r="V11" s="197"/>
    </row>
    <row r="12" spans="1:24" ht="18" customHeight="1">
      <c r="A12" s="196"/>
      <c r="B12" s="47" t="s">
        <v>407</v>
      </c>
      <c r="G12" s="120" t="s">
        <v>508</v>
      </c>
      <c r="H12" s="653">
        <v>10</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7.5</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72">
        <f>'CT-VT Burdens'!Q97</f>
        <v>1.25</v>
      </c>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10</v>
      </c>
      <c r="Q22" s="665"/>
      <c r="R22" s="27" t="s">
        <v>168</v>
      </c>
      <c r="S22" s="27"/>
      <c r="T22" s="27"/>
      <c r="V22" s="197"/>
    </row>
    <row r="23" spans="1:31" ht="18" customHeight="1">
      <c r="A23" s="196"/>
      <c r="B23" s="1" t="s">
        <v>424</v>
      </c>
      <c r="C23" s="2"/>
      <c r="D23" s="2"/>
      <c r="E23" s="2"/>
      <c r="F23" s="208"/>
      <c r="G23" s="208"/>
      <c r="H23" s="236" t="s">
        <v>523</v>
      </c>
      <c r="I23" s="195" t="s">
        <v>138</v>
      </c>
      <c r="J23" s="678">
        <f>SUM(J18:K22)</f>
        <v>1.70675935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10</v>
      </c>
      <c r="Q26" s="989"/>
      <c r="R26" s="316" t="s">
        <v>168</v>
      </c>
      <c r="V26" s="197"/>
    </row>
    <row r="27" spans="1:31" ht="18" customHeight="1">
      <c r="A27" s="196"/>
      <c r="B27" s="47" t="s">
        <v>559</v>
      </c>
      <c r="C27" s="47"/>
      <c r="D27" s="47"/>
      <c r="E27" s="47"/>
      <c r="H27" s="27"/>
      <c r="I27" s="28"/>
      <c r="J27" s="211"/>
      <c r="L27" s="47"/>
      <c r="N27" s="120" t="s">
        <v>584</v>
      </c>
      <c r="O27" s="28" t="s">
        <v>138</v>
      </c>
      <c r="P27" s="940">
        <f>J23</f>
        <v>1.70675935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1.70675935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1.70675935</v>
      </c>
      <c r="S38" s="308" t="s">
        <v>361</v>
      </c>
      <c r="V38" s="197"/>
    </row>
    <row r="39" spans="1:22" ht="18" customHeight="1">
      <c r="A39" s="196"/>
      <c r="I39" s="27" t="s">
        <v>138</v>
      </c>
      <c r="J39" s="680">
        <f>J38*((L38+N38)/(P38+R38))</f>
        <v>7.4743144011070832</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7.5</v>
      </c>
      <c r="H43" s="665"/>
      <c r="I43" s="27" t="str">
        <f>IF(G43&gt;J43,"&gt;","&lt;")</f>
        <v>&gt;</v>
      </c>
      <c r="J43" s="668">
        <f>J35</f>
        <v>1.70675935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7.4743144011070832</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Core2</v>
      </c>
      <c r="E50" s="684"/>
      <c r="F50" s="267"/>
      <c r="H50" s="665" t="str">
        <f>H7</f>
        <v>(Metering + Ammeter)</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2500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0.5FS5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697">
        <f t="shared" si="0"/>
        <v>1.25</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1.70675935</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1.70675935</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1.70675935</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1.70675935</v>
      </c>
      <c r="S81" s="308" t="s">
        <v>361</v>
      </c>
      <c r="V81" s="197"/>
    </row>
    <row r="82" spans="1:22" ht="18" hidden="1" customHeight="1">
      <c r="A82" s="196"/>
      <c r="I82" s="27" t="s">
        <v>138</v>
      </c>
      <c r="J82" s="680">
        <f>J81*((L81+N81)/(P81+R81))</f>
        <v>14.910330724778426</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1.70675935</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14.910330724778426</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Core2</v>
      </c>
      <c r="E95" s="711"/>
      <c r="F95" s="267"/>
      <c r="H95" s="665" t="str">
        <f>H50</f>
        <v>(Metering + Ammeter)</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2500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0.5FS5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POINTER</v>
      </c>
      <c r="I107" s="189" t="s">
        <v>138</v>
      </c>
      <c r="J107" s="697">
        <f t="shared" si="1"/>
        <v>1.25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1.70675935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1.70675935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1.70675935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Core2</v>
      </c>
      <c r="C144" s="733"/>
      <c r="D144" s="732">
        <f>H98</f>
        <v>2500</v>
      </c>
      <c r="E144" s="732"/>
      <c r="F144" s="734">
        <f>O98</f>
        <v>1</v>
      </c>
      <c r="G144" s="737">
        <f>'CT-VT Burdens'!S19</f>
        <v>50</v>
      </c>
      <c r="H144" s="740">
        <f>'CT-VT Burdens'!S10</f>
        <v>6</v>
      </c>
      <c r="I144" s="794" t="str">
        <f>L99</f>
        <v>0.5FS5</v>
      </c>
      <c r="J144" s="794"/>
      <c r="K144" s="728">
        <f>H12</f>
        <v>10</v>
      </c>
      <c r="L144" s="728"/>
      <c r="M144" s="728">
        <f>H14</f>
        <v>7.5</v>
      </c>
      <c r="N144" s="728"/>
      <c r="O144" s="732" t="s">
        <v>7</v>
      </c>
      <c r="P144" s="732"/>
      <c r="Q144" s="739" t="str">
        <f>CONCATENATE(T7," ",T8," ",T9," ",T10)</f>
        <v xml:space="preserve">XC-RACK POINTER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79"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79"/>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9"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9" ht="18" customHeight="1">
      <c r="A5" s="618" t="str">
        <f>[4]Title!A5</f>
        <v>Prep. By</v>
      </c>
      <c r="B5" s="619"/>
      <c r="C5" s="25" t="str">
        <f>[4]Title!C5</f>
        <v>AP</v>
      </c>
      <c r="D5" s="618" t="str">
        <f>[4]Title!D5</f>
        <v>Checked By</v>
      </c>
      <c r="E5" s="620"/>
      <c r="F5" s="619"/>
      <c r="G5" s="25" t="str">
        <f>[4]Title!G5</f>
        <v>RB</v>
      </c>
      <c r="H5" s="621" t="s">
        <v>927</v>
      </c>
      <c r="I5" s="622"/>
      <c r="J5" s="622"/>
      <c r="K5" s="622"/>
      <c r="L5" s="622"/>
      <c r="M5" s="622"/>
      <c r="N5" s="623"/>
      <c r="O5" s="624" t="str">
        <f>[4]Title!O5</f>
        <v>Contractor</v>
      </c>
      <c r="P5" s="625"/>
      <c r="Q5" s="626"/>
      <c r="R5" s="615" t="str">
        <f>Title!R5</f>
        <v>HITACHI</v>
      </c>
      <c r="S5" s="616"/>
      <c r="T5" s="616"/>
      <c r="U5" s="616"/>
      <c r="V5" s="617"/>
      <c r="W5" s="14"/>
      <c r="X5" s="14"/>
    </row>
    <row r="6" spans="1:29" ht="18" customHeight="1">
      <c r="A6" s="196"/>
      <c r="V6" s="197"/>
    </row>
    <row r="7" spans="1:29" ht="18" customHeight="1">
      <c r="A7" s="196"/>
      <c r="B7" s="948" t="s">
        <v>120</v>
      </c>
      <c r="C7" s="949"/>
      <c r="D7" s="948" t="s">
        <v>517</v>
      </c>
      <c r="E7" s="949"/>
      <c r="F7" s="1168" t="s">
        <v>871</v>
      </c>
      <c r="G7" s="1168"/>
      <c r="H7" s="664" t="s">
        <v>872</v>
      </c>
      <c r="I7" s="664"/>
      <c r="J7" s="664"/>
      <c r="K7" s="664"/>
      <c r="L7" s="664"/>
      <c r="M7" s="664"/>
      <c r="P7" s="198"/>
      <c r="S7" s="199" t="s">
        <v>398</v>
      </c>
      <c r="T7" s="948" t="s">
        <v>920</v>
      </c>
      <c r="U7" s="949"/>
      <c r="V7" s="197"/>
    </row>
    <row r="8" spans="1:29" ht="18" customHeight="1">
      <c r="A8" s="196"/>
      <c r="B8" s="571"/>
      <c r="C8" s="571"/>
      <c r="D8" s="571"/>
      <c r="E8" s="571"/>
      <c r="F8" s="468"/>
      <c r="T8" s="948"/>
      <c r="U8" s="949"/>
      <c r="V8" s="197"/>
    </row>
    <row r="9" spans="1:29" ht="18" customHeight="1">
      <c r="A9" s="196"/>
      <c r="H9" s="666" t="s">
        <v>401</v>
      </c>
      <c r="I9" s="666"/>
      <c r="J9" s="667" t="s">
        <v>402</v>
      </c>
      <c r="K9" s="667"/>
      <c r="L9" s="667" t="s">
        <v>403</v>
      </c>
      <c r="M9" s="667"/>
      <c r="T9" s="948"/>
      <c r="U9" s="949"/>
      <c r="V9" s="197"/>
    </row>
    <row r="10" spans="1:29" ht="18" customHeight="1">
      <c r="A10" s="196"/>
      <c r="B10" s="47" t="s">
        <v>404</v>
      </c>
      <c r="H10" s="957">
        <v>2500</v>
      </c>
      <c r="I10" s="958"/>
      <c r="J10" s="948" t="s">
        <v>7</v>
      </c>
      <c r="K10" s="949"/>
      <c r="L10" s="948" t="s">
        <v>7</v>
      </c>
      <c r="M10" s="949"/>
      <c r="N10" s="203" t="s">
        <v>353</v>
      </c>
      <c r="O10" s="515">
        <v>1</v>
      </c>
      <c r="P10" s="27" t="s">
        <v>9</v>
      </c>
      <c r="V10" s="197"/>
    </row>
    <row r="11" spans="1:29" ht="18" customHeight="1">
      <c r="A11" s="196"/>
      <c r="B11" s="47" t="s">
        <v>405</v>
      </c>
      <c r="H11" s="948" t="s">
        <v>850</v>
      </c>
      <c r="I11" s="949"/>
      <c r="V11" s="197"/>
    </row>
    <row r="12" spans="1:29" ht="18" customHeight="1">
      <c r="A12" s="196"/>
      <c r="B12" s="47" t="s">
        <v>407</v>
      </c>
      <c r="G12" s="120" t="s">
        <v>508</v>
      </c>
      <c r="H12" s="948">
        <v>5</v>
      </c>
      <c r="I12" s="949"/>
      <c r="J12" s="204" t="s">
        <v>344</v>
      </c>
      <c r="V12" s="197"/>
    </row>
    <row r="13" spans="1:29" ht="18" customHeight="1">
      <c r="A13" s="196"/>
      <c r="B13" s="47" t="s">
        <v>409</v>
      </c>
      <c r="G13" s="120" t="s">
        <v>509</v>
      </c>
      <c r="H13" s="948">
        <v>3750</v>
      </c>
      <c r="I13" s="949"/>
      <c r="J13" s="14" t="s">
        <v>316</v>
      </c>
      <c r="V13" s="197"/>
      <c r="W13" s="30" t="s">
        <v>411</v>
      </c>
      <c r="AB13" s="1022">
        <f>M118</f>
        <v>792.97010575000002</v>
      </c>
      <c r="AC13" s="1023"/>
    </row>
    <row r="14" spans="1:29" ht="18" customHeight="1">
      <c r="A14" s="196"/>
      <c r="B14" s="14" t="s">
        <v>412</v>
      </c>
      <c r="G14" s="120" t="s">
        <v>413</v>
      </c>
      <c r="H14" s="948">
        <v>60</v>
      </c>
      <c r="I14" s="949"/>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0.44875935000000006</v>
      </c>
      <c r="K21" s="1172"/>
      <c r="L21" s="439" t="s">
        <v>168</v>
      </c>
      <c r="V21" s="197"/>
    </row>
    <row r="22" spans="1:22" ht="18" customHeight="1">
      <c r="A22" s="196"/>
      <c r="B22" s="217" t="s">
        <v>424</v>
      </c>
      <c r="C22" s="218"/>
      <c r="D22" s="218"/>
      <c r="E22" s="218"/>
      <c r="F22" s="219"/>
      <c r="G22" s="219"/>
      <c r="H22" s="202" t="s">
        <v>420</v>
      </c>
      <c r="I22" s="220" t="s">
        <v>138</v>
      </c>
      <c r="J22" s="896">
        <f>SUM(J19:K21)</f>
        <v>0.44875935000000006</v>
      </c>
      <c r="K22" s="860"/>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0.44875935000000006</v>
      </c>
      <c r="P26" s="561" t="s">
        <v>421</v>
      </c>
      <c r="Q26" s="257">
        <f>O10</f>
        <v>1</v>
      </c>
      <c r="R26" s="257" t="s">
        <v>326</v>
      </c>
      <c r="S26" s="257">
        <f>O10</f>
        <v>1</v>
      </c>
      <c r="T26" s="254" t="s">
        <v>361</v>
      </c>
      <c r="V26" s="197"/>
    </row>
    <row r="27" spans="1:22" ht="18" customHeight="1">
      <c r="A27" s="196"/>
      <c r="B27" s="560"/>
      <c r="C27" s="257" t="s">
        <v>138</v>
      </c>
      <c r="D27" s="680">
        <f>D26/(F26*H26)</f>
        <v>0.02</v>
      </c>
      <c r="E27" s="680"/>
      <c r="F27" s="562" t="s">
        <v>344</v>
      </c>
      <c r="G27" s="254"/>
      <c r="H27" s="254"/>
      <c r="I27" s="254"/>
      <c r="J27" s="516"/>
      <c r="K27" s="254"/>
      <c r="L27" s="560"/>
      <c r="M27" s="254"/>
      <c r="N27" s="257" t="s">
        <v>138</v>
      </c>
      <c r="O27" s="680">
        <f>O26/(Q26*S26)</f>
        <v>0.44875935000000006</v>
      </c>
      <c r="P27" s="68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80">
        <f>D27</f>
        <v>0.02</v>
      </c>
      <c r="N29" s="680"/>
      <c r="O29" s="257" t="s">
        <v>358</v>
      </c>
      <c r="P29" s="680">
        <f>O27</f>
        <v>0.44875935000000006</v>
      </c>
      <c r="Q29" s="680"/>
      <c r="R29" s="555" t="s">
        <v>138</v>
      </c>
      <c r="S29" s="680">
        <f>M29+P29</f>
        <v>0.46875935000000007</v>
      </c>
      <c r="T29" s="68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18" t="s">
        <v>879</v>
      </c>
      <c r="B35" s="972"/>
      <c r="C35" s="972"/>
      <c r="D35" s="972"/>
      <c r="E35" s="972"/>
      <c r="F35" s="972"/>
      <c r="G35" s="972"/>
      <c r="H35" s="972"/>
      <c r="I35" s="972"/>
      <c r="J35" s="972"/>
      <c r="K35" s="972"/>
      <c r="L35" s="972"/>
      <c r="M35" s="972"/>
      <c r="N35" s="972"/>
      <c r="O35" s="972"/>
      <c r="P35" s="972"/>
      <c r="Q35" s="972"/>
      <c r="R35" s="972"/>
      <c r="S35" s="972"/>
      <c r="T35" s="972"/>
      <c r="U35" s="972"/>
      <c r="V35" s="973"/>
      <c r="AA35" s="209"/>
    </row>
    <row r="36" spans="1:27" s="291" customFormat="1" ht="18" customHeight="1">
      <c r="A36" s="974"/>
      <c r="B36" s="972"/>
      <c r="C36" s="972"/>
      <c r="D36" s="972"/>
      <c r="E36" s="972"/>
      <c r="F36" s="972"/>
      <c r="G36" s="972"/>
      <c r="H36" s="972"/>
      <c r="I36" s="972"/>
      <c r="J36" s="972"/>
      <c r="K36" s="972"/>
      <c r="L36" s="972"/>
      <c r="M36" s="972"/>
      <c r="N36" s="972"/>
      <c r="O36" s="972"/>
      <c r="P36" s="972"/>
      <c r="Q36" s="972"/>
      <c r="R36" s="972"/>
      <c r="S36" s="972"/>
      <c r="T36" s="972"/>
      <c r="U36" s="972"/>
      <c r="V36" s="973"/>
    </row>
    <row r="37" spans="1:27" s="291" customFormat="1" ht="18" customHeight="1">
      <c r="A37" s="921">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921"/>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664" t="s">
        <v>882</v>
      </c>
      <c r="E39" s="987"/>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64" t="s">
        <v>882</v>
      </c>
      <c r="K41" s="987"/>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64" t="s">
        <v>882</v>
      </c>
      <c r="K47" s="987"/>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664" t="s">
        <v>882</v>
      </c>
      <c r="E51" s="987"/>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64" t="s">
        <v>882</v>
      </c>
      <c r="K53" s="987"/>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664" t="s">
        <v>882</v>
      </c>
      <c r="K55" s="987"/>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665">
        <f>'Parameters &amp; Fault Cal. (4)'!Q10 *1000</f>
        <v>50000</v>
      </c>
      <c r="U58" s="665"/>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665">
        <f>H10</f>
        <v>2500</v>
      </c>
      <c r="U59" s="665"/>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668">
        <f>T58/T59</f>
        <v>20</v>
      </c>
      <c r="U60" s="668"/>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665">
        <f>H12</f>
        <v>5</v>
      </c>
      <c r="U61" s="665"/>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668">
        <f>S29</f>
        <v>0.46875935000000007</v>
      </c>
      <c r="U62" s="668"/>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665">
        <f>O10</f>
        <v>1</v>
      </c>
      <c r="U63" s="665"/>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6">
        <f>'Parameters &amp; Fault Cal. (4)'!Q11</f>
        <v>15</v>
      </c>
      <c r="U64" s="1177"/>
      <c r="V64" s="197"/>
    </row>
    <row r="65" spans="1:22" ht="18" customHeight="1">
      <c r="A65" s="337"/>
      <c r="B65" s="14" t="s">
        <v>893</v>
      </c>
      <c r="F65" s="14"/>
      <c r="G65" s="166"/>
      <c r="H65" s="102"/>
      <c r="I65" s="28"/>
      <c r="J65" s="27"/>
      <c r="K65" s="14"/>
      <c r="O65" s="47"/>
      <c r="P65" s="14"/>
      <c r="Q65" s="14"/>
      <c r="R65" s="14"/>
      <c r="S65" s="120"/>
      <c r="T65" s="948">
        <v>100</v>
      </c>
      <c r="U65" s="949"/>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664" t="s">
        <v>882</v>
      </c>
      <c r="C68" s="664"/>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669">
        <f>T60</f>
        <v>20</v>
      </c>
      <c r="C69" s="669"/>
      <c r="D69" s="28" t="s">
        <v>326</v>
      </c>
      <c r="E69" s="28">
        <f>T64</f>
        <v>15</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41">
        <f>B69*E69</f>
        <v>300</v>
      </c>
      <c r="E70" s="1161"/>
      <c r="F70" s="14"/>
      <c r="G70" s="166" t="s">
        <v>710</v>
      </c>
      <c r="H70" s="102"/>
      <c r="I70" s="664">
        <f>I69*K69</f>
        <v>600</v>
      </c>
      <c r="J70" s="665"/>
      <c r="K70" s="14"/>
      <c r="O70" s="47"/>
      <c r="P70" s="14"/>
      <c r="Q70" s="14"/>
      <c r="R70" s="14"/>
      <c r="S70" s="120" t="s">
        <v>895</v>
      </c>
      <c r="T70" s="1175" t="b">
        <f>IF(D70&lt;=I70,TRUE,FALSE)</f>
        <v>1</v>
      </c>
      <c r="U70" s="1175"/>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664" t="s">
        <v>882</v>
      </c>
      <c r="J73" s="987"/>
      <c r="K73" s="28" t="s">
        <v>326</v>
      </c>
      <c r="L73" s="28" t="s">
        <v>352</v>
      </c>
      <c r="M73" s="47" t="s">
        <v>361</v>
      </c>
      <c r="N73" s="196"/>
      <c r="O73" s="47" t="s">
        <v>897</v>
      </c>
      <c r="P73" s="27"/>
      <c r="Q73" s="28" t="s">
        <v>138</v>
      </c>
      <c r="R73" s="668">
        <f>MAX(E75,E76)</f>
        <v>145</v>
      </c>
      <c r="S73" s="665"/>
      <c r="V73" s="197"/>
    </row>
    <row r="74" spans="1:22" ht="18" customHeight="1">
      <c r="A74" s="196"/>
      <c r="B74" s="14"/>
      <c r="C74" s="28"/>
      <c r="D74" s="28" t="s">
        <v>540</v>
      </c>
      <c r="E74" s="28">
        <v>40</v>
      </c>
      <c r="F74" s="28" t="s">
        <v>358</v>
      </c>
      <c r="G74" s="233" t="str">
        <f>IF(T65=150,"0.07","0.35")</f>
        <v>0.35</v>
      </c>
      <c r="H74" s="28" t="s">
        <v>683</v>
      </c>
      <c r="I74" s="669">
        <f>T60</f>
        <v>20</v>
      </c>
      <c r="J74" s="987"/>
      <c r="K74" s="28" t="s">
        <v>326</v>
      </c>
      <c r="L74" s="28">
        <f>T64</f>
        <v>15</v>
      </c>
      <c r="M74" s="47" t="s">
        <v>361</v>
      </c>
      <c r="N74" s="196"/>
      <c r="V74" s="197"/>
    </row>
    <row r="75" spans="1:22" ht="18" customHeight="1">
      <c r="A75" s="196"/>
      <c r="B75" s="14"/>
      <c r="C75" s="28"/>
      <c r="D75" s="28" t="s">
        <v>540</v>
      </c>
      <c r="E75" s="669">
        <f>E74+(G74*(I74*L74))</f>
        <v>145</v>
      </c>
      <c r="F75" s="669"/>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664" t="s">
        <v>882</v>
      </c>
      <c r="I78" s="987"/>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669">
        <f>T60</f>
        <v>20</v>
      </c>
      <c r="I79" s="987"/>
      <c r="J79" s="28" t="s">
        <v>326</v>
      </c>
      <c r="K79" s="28">
        <f>T64</f>
        <v>15</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8">
        <f>B79*D79</f>
        <v>600</v>
      </c>
      <c r="D80" s="1178"/>
      <c r="E80" s="261"/>
      <c r="F80" s="28" t="s">
        <v>886</v>
      </c>
      <c r="G80" s="14"/>
      <c r="H80" s="14"/>
      <c r="I80" s="941">
        <f>H79*K79</f>
        <v>300</v>
      </c>
      <c r="J80" s="941"/>
      <c r="K80" s="14"/>
      <c r="L80" s="14"/>
      <c r="M80" s="166" t="s">
        <v>710</v>
      </c>
      <c r="N80" s="102"/>
      <c r="O80" s="991">
        <f>O79*Q79</f>
        <v>1600</v>
      </c>
      <c r="P80" s="987"/>
      <c r="Q80" s="14"/>
      <c r="R80" s="14"/>
      <c r="S80" s="120" t="s">
        <v>895</v>
      </c>
      <c r="T80" s="1175" t="b">
        <f>IF(AND(C80&lt;I80,I80&lt;=O80)=TRUE,TRUE,FALSE)</f>
        <v>0</v>
      </c>
      <c r="U80" s="1175"/>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f>IF(T70=TRUE,R73,IF(T80=TRUE,K82,))</f>
        <v>145</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T82</f>
        <v>145</v>
      </c>
      <c r="G89" s="27" t="s">
        <v>326</v>
      </c>
      <c r="H89" s="27">
        <f>T63</f>
        <v>1</v>
      </c>
      <c r="I89" s="27" t="s">
        <v>383</v>
      </c>
      <c r="J89" s="27">
        <f>T61</f>
        <v>5</v>
      </c>
      <c r="K89" s="27" t="s">
        <v>358</v>
      </c>
      <c r="L89" s="223">
        <f>T62</f>
        <v>0.46875935000000007</v>
      </c>
      <c r="M89" s="30" t="s">
        <v>361</v>
      </c>
      <c r="V89" s="197"/>
    </row>
    <row r="90" spans="1:22" ht="18.600000000000001" customHeight="1">
      <c r="A90" s="196"/>
      <c r="B90" s="14"/>
      <c r="D90" s="14"/>
      <c r="E90" s="27" t="s">
        <v>540</v>
      </c>
      <c r="F90" s="926">
        <f>F89*H89*(J89+L89)</f>
        <v>792.97010575000002</v>
      </c>
      <c r="G90" s="92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65">
        <f>H13</f>
        <v>3750</v>
      </c>
      <c r="E92" s="665"/>
      <c r="F92" s="27" t="str">
        <f>F91</f>
        <v>&gt;</v>
      </c>
      <c r="G92" s="816">
        <f>F90</f>
        <v>792.97010575000002</v>
      </c>
      <c r="H92" s="816"/>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71" t="s">
        <v>901</v>
      </c>
      <c r="B96" s="1074"/>
      <c r="C96" s="1074"/>
      <c r="D96" s="1074"/>
      <c r="E96" s="1074"/>
      <c r="F96" s="1074"/>
      <c r="G96" s="1074"/>
      <c r="H96" s="1074"/>
      <c r="I96" s="1074"/>
      <c r="J96" s="1074"/>
      <c r="K96" s="1074"/>
      <c r="L96" s="1074"/>
      <c r="M96" s="1074"/>
      <c r="N96" s="1074"/>
      <c r="O96" s="1074"/>
      <c r="P96" s="1074"/>
      <c r="Q96" s="1074"/>
      <c r="R96" s="1074"/>
      <c r="S96" s="1074"/>
      <c r="T96" s="1074"/>
      <c r="U96" s="1074"/>
      <c r="V96" s="1075"/>
    </row>
    <row r="97" spans="1:22" ht="18" customHeight="1">
      <c r="A97" s="205"/>
      <c r="B97" s="14"/>
      <c r="F97" s="14" t="s">
        <v>902</v>
      </c>
      <c r="G97" s="14" t="s">
        <v>138</v>
      </c>
      <c r="H97" s="1166">
        <f>'Parameters &amp; Fault Cal. (4)'!E52</f>
        <v>1.3850447572013791</v>
      </c>
      <c r="I97" s="1166"/>
      <c r="J97" s="120"/>
      <c r="K97" s="14" t="str">
        <f>IF(H97&gt;2,"Since SIR is &gt;2, the below calculation is not applicable","")</f>
        <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76" t="s">
        <v>903</v>
      </c>
      <c r="I99" s="976"/>
      <c r="J99" s="27" t="s">
        <v>326</v>
      </c>
      <c r="K99" s="976" t="s">
        <v>855</v>
      </c>
      <c r="L99" s="976"/>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76" t="s">
        <v>903</v>
      </c>
      <c r="H101" s="976"/>
      <c r="I101" s="230" t="s">
        <v>138</v>
      </c>
      <c r="J101" s="216" t="s">
        <v>905</v>
      </c>
      <c r="K101" s="14"/>
      <c r="L101" s="14"/>
      <c r="M101" s="14"/>
      <c r="N101" s="14"/>
      <c r="O101" s="120"/>
      <c r="P101" s="120"/>
      <c r="Q101" s="14"/>
      <c r="R101" s="14"/>
      <c r="S101" s="28" t="s">
        <v>138</v>
      </c>
      <c r="T101" s="47">
        <v>1.4</v>
      </c>
      <c r="U101" s="14"/>
      <c r="V101" s="97"/>
    </row>
    <row r="102" spans="1:22" ht="18" customHeight="1">
      <c r="A102" s="205"/>
      <c r="G102" s="976" t="s">
        <v>855</v>
      </c>
      <c r="H102" s="976"/>
      <c r="I102" s="230" t="s">
        <v>138</v>
      </c>
      <c r="J102" s="216" t="s">
        <v>906</v>
      </c>
      <c r="K102" s="14"/>
      <c r="L102" s="14"/>
      <c r="M102" s="14"/>
      <c r="N102" s="14"/>
      <c r="O102" s="120"/>
      <c r="P102" s="120"/>
      <c r="Q102" s="14"/>
      <c r="R102" s="14"/>
      <c r="S102" s="28" t="s">
        <v>138</v>
      </c>
      <c r="T102" s="993">
        <f>T60</f>
        <v>20</v>
      </c>
      <c r="U102" s="991"/>
      <c r="V102" s="97" t="s">
        <v>9</v>
      </c>
    </row>
    <row r="103" spans="1:22" ht="18" customHeight="1">
      <c r="A103" s="205"/>
      <c r="U103" s="14"/>
      <c r="V103" s="97"/>
    </row>
    <row r="104" spans="1:22" ht="18" customHeight="1">
      <c r="A104" s="205"/>
      <c r="F104" s="30" t="s">
        <v>484</v>
      </c>
      <c r="G104" s="27" t="s">
        <v>540</v>
      </c>
      <c r="H104" s="976" t="s">
        <v>903</v>
      </c>
      <c r="I104" s="976"/>
      <c r="J104" s="27" t="s">
        <v>326</v>
      </c>
      <c r="K104" s="976" t="s">
        <v>855</v>
      </c>
      <c r="L104" s="976"/>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76">
        <f>T101</f>
        <v>1.4</v>
      </c>
      <c r="I105" s="976"/>
      <c r="J105" s="27" t="s">
        <v>326</v>
      </c>
      <c r="K105" s="680">
        <f>T102</f>
        <v>20</v>
      </c>
      <c r="L105" s="976"/>
      <c r="M105" s="27" t="s">
        <v>326</v>
      </c>
      <c r="N105" s="256" t="s">
        <v>430</v>
      </c>
      <c r="O105" s="27">
        <f>T61</f>
        <v>5</v>
      </c>
      <c r="P105" s="27" t="s">
        <v>358</v>
      </c>
      <c r="Q105" s="223">
        <f>T62</f>
        <v>0.46875935000000007</v>
      </c>
      <c r="R105" s="30" t="s">
        <v>361</v>
      </c>
      <c r="V105" s="97"/>
    </row>
    <row r="106" spans="1:22" ht="18" customHeight="1">
      <c r="A106" s="196"/>
      <c r="F106" s="30" t="s">
        <v>484</v>
      </c>
      <c r="G106" s="27" t="s">
        <v>540</v>
      </c>
      <c r="H106" s="1179">
        <f>H105*K105*(O105+Q105)</f>
        <v>153.1252618</v>
      </c>
      <c r="I106" s="1180"/>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88" t="s">
        <v>909</v>
      </c>
      <c r="F109" s="788"/>
      <c r="G109" s="27" t="s">
        <v>326</v>
      </c>
      <c r="H109" s="788" t="s">
        <v>910</v>
      </c>
      <c r="I109" s="78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88" t="s">
        <v>909</v>
      </c>
      <c r="E111" s="976"/>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88" t="s">
        <v>910</v>
      </c>
      <c r="E112" s="976"/>
      <c r="F112" s="230" t="s">
        <v>138</v>
      </c>
      <c r="G112" s="269" t="s">
        <v>913</v>
      </c>
      <c r="H112" s="14"/>
      <c r="I112" s="14"/>
      <c r="J112" s="14"/>
      <c r="K112" s="14"/>
      <c r="L112" s="120"/>
      <c r="M112" s="120"/>
      <c r="N112" s="14"/>
      <c r="O112" s="14"/>
      <c r="S112" s="28" t="s">
        <v>138</v>
      </c>
      <c r="T112" s="993">
        <f>'Parameters &amp; Fault Cal. (4)'!M110/T59</f>
        <v>12.646631506761608</v>
      </c>
      <c r="U112" s="991"/>
      <c r="V112" s="97" t="s">
        <v>9</v>
      </c>
    </row>
    <row r="113" spans="1:22" ht="18" customHeight="1">
      <c r="A113" s="96"/>
      <c r="B113" s="47"/>
      <c r="C113" s="120"/>
      <c r="S113" s="14"/>
      <c r="T113" s="14"/>
      <c r="U113" s="14"/>
      <c r="V113" s="97"/>
    </row>
    <row r="114" spans="1:22" ht="18" customHeight="1">
      <c r="A114" s="196"/>
      <c r="C114" s="30" t="s">
        <v>484</v>
      </c>
      <c r="D114" s="27" t="s">
        <v>540</v>
      </c>
      <c r="E114" s="788" t="s">
        <v>909</v>
      </c>
      <c r="F114" s="788"/>
      <c r="G114" s="27" t="s">
        <v>326</v>
      </c>
      <c r="H114" s="788" t="s">
        <v>910</v>
      </c>
      <c r="I114" s="78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88">
        <f>T111</f>
        <v>0.6</v>
      </c>
      <c r="F115" s="788"/>
      <c r="G115" s="27" t="s">
        <v>326</v>
      </c>
      <c r="H115" s="1080">
        <f>T112</f>
        <v>12.646631506761608</v>
      </c>
      <c r="I115" s="788"/>
      <c r="J115" s="28" t="s">
        <v>683</v>
      </c>
      <c r="K115" s="27">
        <v>1</v>
      </c>
      <c r="L115" s="14" t="s">
        <v>358</v>
      </c>
      <c r="M115" s="28">
        <f>T64</f>
        <v>15</v>
      </c>
      <c r="N115" s="14" t="s">
        <v>911</v>
      </c>
      <c r="O115" s="27">
        <f>T61</f>
        <v>5</v>
      </c>
      <c r="P115" s="27" t="s">
        <v>358</v>
      </c>
      <c r="Q115" s="223">
        <f>T62</f>
        <v>0.46875935000000007</v>
      </c>
      <c r="R115" s="30" t="s">
        <v>361</v>
      </c>
      <c r="V115" s="97"/>
    </row>
    <row r="116" spans="1:22" ht="18" customHeight="1">
      <c r="A116" s="196"/>
      <c r="C116" s="30" t="s">
        <v>484</v>
      </c>
      <c r="D116" s="27" t="s">
        <v>540</v>
      </c>
      <c r="E116" s="1181">
        <f>E115*H115*((K115+M115)*(O115+Q115))</f>
        <v>663.9492892666284</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26">
        <f>MAX(F90,H106,E116)</f>
        <v>792.97010575000002</v>
      </c>
      <c r="N118" s="92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65">
        <f>H13</f>
        <v>3750</v>
      </c>
      <c r="E121" s="665"/>
      <c r="F121" s="27" t="str">
        <f>F120</f>
        <v>&gt;</v>
      </c>
      <c r="G121" s="816">
        <f>M118</f>
        <v>792.97010575000002</v>
      </c>
      <c r="H121" s="816"/>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800" t="s">
        <v>97</v>
      </c>
      <c r="B127" s="800"/>
      <c r="C127" s="728"/>
      <c r="D127" s="800" t="s">
        <v>98</v>
      </c>
      <c r="E127" s="800"/>
      <c r="F127" s="800"/>
      <c r="G127" s="800" t="s">
        <v>99</v>
      </c>
      <c r="H127" s="800"/>
      <c r="I127" s="800" t="s">
        <v>100</v>
      </c>
      <c r="J127" s="800"/>
      <c r="K127" s="716" t="s">
        <v>101</v>
      </c>
      <c r="L127" s="717"/>
      <c r="M127" s="716" t="s">
        <v>102</v>
      </c>
      <c r="N127" s="717"/>
      <c r="O127" s="716" t="s">
        <v>103</v>
      </c>
      <c r="P127" s="717"/>
      <c r="Q127" s="716" t="s">
        <v>104</v>
      </c>
      <c r="R127" s="717"/>
      <c r="S127" s="800" t="s">
        <v>105</v>
      </c>
      <c r="T127" s="800"/>
      <c r="U127" s="800"/>
      <c r="V127" s="800"/>
    </row>
    <row r="128" spans="1:22" customFormat="1" ht="18" customHeight="1">
      <c r="A128" s="728" t="str">
        <f>B7</f>
        <v>T1</v>
      </c>
      <c r="B128" s="733" t="str">
        <f>D7</f>
        <v>Core2</v>
      </c>
      <c r="C128" s="733"/>
      <c r="D128" s="732">
        <f>H10</f>
        <v>2500</v>
      </c>
      <c r="E128" s="732"/>
      <c r="F128" s="734">
        <f>O10</f>
        <v>1</v>
      </c>
      <c r="G128" s="732">
        <f>'CT-VT Burdens'!S19</f>
        <v>50</v>
      </c>
      <c r="H128" s="794">
        <f>'CT-VT Burdens'!S10</f>
        <v>6</v>
      </c>
      <c r="I128" s="794" t="str">
        <f>H11</f>
        <v>PX-A</v>
      </c>
      <c r="J128" s="794"/>
      <c r="K128" s="728">
        <f>H12</f>
        <v>5</v>
      </c>
      <c r="L128" s="728"/>
      <c r="M128" s="728">
        <f>H13</f>
        <v>3750</v>
      </c>
      <c r="N128" s="728"/>
      <c r="O128" s="732">
        <f>H14</f>
        <v>60</v>
      </c>
      <c r="P128" s="732"/>
      <c r="Q128" s="739" t="str">
        <f>IF(T8="",T7,IF(T9="",T7&amp;"+"&amp;T8,T7&amp;"+"&amp;T8&amp;"+"&amp;T9))</f>
        <v>P545</v>
      </c>
      <c r="R128" s="739"/>
      <c r="S128" s="738" t="str">
        <f>G93</f>
        <v>Suitably Dimensioned</v>
      </c>
      <c r="T128" s="738"/>
      <c r="U128" s="738"/>
      <c r="V128" s="738"/>
    </row>
    <row r="129" spans="1:22" customFormat="1" ht="18" customHeight="1">
      <c r="A129" s="728"/>
      <c r="B129" s="733"/>
      <c r="C129" s="733"/>
      <c r="D129" s="732" t="str">
        <f>J10</f>
        <v>-</v>
      </c>
      <c r="E129" s="732"/>
      <c r="F129" s="735"/>
      <c r="G129" s="732"/>
      <c r="H129" s="732"/>
      <c r="I129" s="794"/>
      <c r="J129" s="794"/>
      <c r="K129" s="801" t="s">
        <v>7</v>
      </c>
      <c r="L129" s="728"/>
      <c r="M129" s="801" t="s">
        <v>7</v>
      </c>
      <c r="N129" s="728"/>
      <c r="O129" s="799" t="s">
        <v>7</v>
      </c>
      <c r="P129" s="732"/>
      <c r="Q129" s="739"/>
      <c r="R129" s="739"/>
      <c r="S129" s="799" t="s">
        <v>7</v>
      </c>
      <c r="T129" s="732"/>
      <c r="U129" s="732"/>
      <c r="V129" s="732"/>
    </row>
    <row r="130" spans="1:22" customFormat="1" ht="18" customHeight="1">
      <c r="A130" s="728"/>
      <c r="B130" s="733"/>
      <c r="C130" s="733"/>
      <c r="D130" s="732" t="str">
        <f>L10</f>
        <v>-</v>
      </c>
      <c r="E130" s="732"/>
      <c r="F130" s="736"/>
      <c r="G130" s="732"/>
      <c r="H130" s="732"/>
      <c r="I130" s="794"/>
      <c r="J130" s="794"/>
      <c r="K130" s="801" t="s">
        <v>7</v>
      </c>
      <c r="L130" s="728"/>
      <c r="M130" s="801" t="s">
        <v>7</v>
      </c>
      <c r="N130" s="728"/>
      <c r="O130" s="799" t="s">
        <v>7</v>
      </c>
      <c r="P130" s="732"/>
      <c r="Q130" s="739"/>
      <c r="R130" s="739"/>
      <c r="S130" s="799" t="s">
        <v>7</v>
      </c>
      <c r="T130" s="732"/>
      <c r="U130" s="732"/>
      <c r="V130" s="732"/>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 ref="O129:P129"/>
    <mergeCell ref="A127:C127"/>
    <mergeCell ref="D127:F127"/>
    <mergeCell ref="G127:H127"/>
    <mergeCell ref="I127:J127"/>
    <mergeCell ref="K127:L127"/>
    <mergeCell ref="M127:N127"/>
    <mergeCell ref="E116:F116"/>
    <mergeCell ref="M118:N118"/>
    <mergeCell ref="D121:E121"/>
    <mergeCell ref="G121:H121"/>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I73:J73"/>
    <mergeCell ref="R73:S73"/>
    <mergeCell ref="I74:J74"/>
    <mergeCell ref="E75:F75"/>
    <mergeCell ref="H78:I78"/>
    <mergeCell ref="H79:I79"/>
    <mergeCell ref="T63:U63"/>
    <mergeCell ref="T64:U64"/>
    <mergeCell ref="T65:U65"/>
    <mergeCell ref="B68:C68"/>
    <mergeCell ref="B69:C69"/>
    <mergeCell ref="D70:E70"/>
    <mergeCell ref="I70:J70"/>
    <mergeCell ref="T70:U70"/>
    <mergeCell ref="J55:K55"/>
    <mergeCell ref="T58:U58"/>
    <mergeCell ref="T59:U59"/>
    <mergeCell ref="T60:U60"/>
    <mergeCell ref="T61:U61"/>
    <mergeCell ref="T62:U62"/>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927</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196"/>
      <c r="V6" s="197"/>
    </row>
    <row r="7" spans="1:24" ht="18" customHeight="1">
      <c r="A7" s="196"/>
      <c r="B7" s="959" t="s">
        <v>120</v>
      </c>
      <c r="C7" s="959"/>
      <c r="D7" s="578" t="s">
        <v>121</v>
      </c>
      <c r="E7" s="581"/>
      <c r="F7" s="267"/>
      <c r="H7" s="582"/>
      <c r="I7" s="582"/>
      <c r="J7" s="582"/>
      <c r="K7" s="582"/>
      <c r="L7" s="582"/>
      <c r="M7" s="582"/>
      <c r="P7" s="198"/>
      <c r="S7" s="199" t="s">
        <v>398</v>
      </c>
      <c r="T7" s="961" t="s">
        <v>928</v>
      </c>
      <c r="U7" s="962"/>
      <c r="V7" s="197"/>
    </row>
    <row r="8" spans="1:24" ht="18" customHeight="1">
      <c r="A8" s="196"/>
      <c r="B8" s="963"/>
      <c r="C8" s="963"/>
      <c r="D8" s="580"/>
      <c r="E8" s="580"/>
      <c r="F8" s="267"/>
      <c r="T8" s="961" t="s">
        <v>519</v>
      </c>
      <c r="U8" s="962"/>
      <c r="V8" s="197"/>
    </row>
    <row r="9" spans="1:24" ht="18" customHeight="1">
      <c r="A9" s="196"/>
      <c r="H9" s="666" t="s">
        <v>401</v>
      </c>
      <c r="I9" s="666"/>
      <c r="J9" s="667" t="s">
        <v>402</v>
      </c>
      <c r="K9" s="667"/>
      <c r="L9" s="667" t="s">
        <v>403</v>
      </c>
      <c r="M9" s="667"/>
      <c r="T9" s="961" t="s">
        <v>929</v>
      </c>
      <c r="U9" s="962"/>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c r="I13" s="949"/>
      <c r="J13" s="14" t="s">
        <v>316</v>
      </c>
      <c r="T13" s="307"/>
      <c r="U13" s="18"/>
      <c r="V13" s="197"/>
      <c r="W13" s="30" t="str">
        <f>G61</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t="str">
        <f>T9</f>
        <v>IDM+9</v>
      </c>
      <c r="E20" s="14"/>
      <c r="G20" s="211"/>
      <c r="H20" s="27"/>
      <c r="I20" s="101" t="s">
        <v>138</v>
      </c>
      <c r="J20" s="964">
        <f>'CT-VT Burdens'!Q92</f>
        <v>5.8000000000000003E-2</v>
      </c>
      <c r="K20" s="965"/>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4">
        <f>'CT-VT Burdens'!S22</f>
        <v>0.44875935000000006</v>
      </c>
      <c r="K21" s="95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78">
        <f>SUM(J18:J21)</f>
        <v>0.54675935000000009</v>
      </c>
      <c r="K22" s="679"/>
      <c r="L22" s="3" t="s">
        <v>168</v>
      </c>
      <c r="O22" s="27" t="s">
        <v>138</v>
      </c>
      <c r="P22" s="668">
        <f>P21*R21*T21</f>
        <v>5</v>
      </c>
      <c r="Q22" s="665"/>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c r="W24" s="30" t="s">
        <v>547</v>
      </c>
    </row>
    <row r="25" spans="1:23"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(4)'!Q32</f>
        <v>50000</v>
      </c>
      <c r="T31" s="664"/>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0.54675935000000009</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v>30</v>
      </c>
      <c r="T38" s="665"/>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788" t="s">
        <v>484</v>
      </c>
      <c r="I40" s="975"/>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76">
        <f>S33</f>
        <v>0</v>
      </c>
      <c r="I41" s="977"/>
      <c r="J41" s="257" t="s">
        <v>326</v>
      </c>
      <c r="K41" s="257">
        <f>S36</f>
        <v>1</v>
      </c>
      <c r="L41" s="257" t="s">
        <v>552</v>
      </c>
      <c r="M41" s="257">
        <f>S37</f>
        <v>20</v>
      </c>
      <c r="N41" s="474" t="s">
        <v>553</v>
      </c>
      <c r="O41" s="516">
        <f>S34</f>
        <v>5</v>
      </c>
      <c r="V41" s="197"/>
    </row>
    <row r="42" spans="1:25" ht="18" hidden="1" customHeight="1">
      <c r="A42" s="196"/>
      <c r="D42" s="27" t="s">
        <v>138</v>
      </c>
      <c r="E42" s="665">
        <f>((F41*H41)/(K41*M41))-O41</f>
        <v>-5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64" t="s">
        <v>555</v>
      </c>
      <c r="H51" s="664"/>
      <c r="I51" s="203" t="s">
        <v>353</v>
      </c>
      <c r="J51" s="665" t="s">
        <v>434</v>
      </c>
      <c r="K51" s="665"/>
      <c r="V51" s="197"/>
    </row>
    <row r="52" spans="1:22" ht="18" customHeight="1">
      <c r="A52" s="196"/>
      <c r="F52" s="27" t="s">
        <v>138</v>
      </c>
      <c r="G52" s="665">
        <f>S31</f>
        <v>50000</v>
      </c>
      <c r="H52" s="665"/>
      <c r="I52" s="203" t="s">
        <v>353</v>
      </c>
      <c r="J52" s="665">
        <f>S32</f>
        <v>2500</v>
      </c>
      <c r="K52" s="665"/>
      <c r="V52" s="197"/>
    </row>
    <row r="53" spans="1:22" ht="18" customHeight="1">
      <c r="A53" s="196"/>
      <c r="F53" s="27" t="s">
        <v>138</v>
      </c>
      <c r="G53" s="668">
        <f>G52/J52</f>
        <v>20</v>
      </c>
      <c r="H53" s="668"/>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0.54675935000000009</v>
      </c>
      <c r="P56" s="27" t="s">
        <v>361</v>
      </c>
      <c r="V56" s="197"/>
    </row>
    <row r="57" spans="1:22" ht="18" customHeight="1">
      <c r="A57" s="196"/>
      <c r="F57" s="27" t="s">
        <v>138</v>
      </c>
      <c r="G57" s="680">
        <f>G56*((I56+K56)/(M56+O56))</f>
        <v>126.19981431139607</v>
      </c>
      <c r="H57" s="68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68">
        <f>G57</f>
        <v>126.19981431139607</v>
      </c>
      <c r="E60" s="668"/>
      <c r="F60" s="27" t="str">
        <f>F59</f>
        <v>&gt;</v>
      </c>
      <c r="G60" s="668">
        <f>G53</f>
        <v>20</v>
      </c>
      <c r="H60" s="668"/>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08" t="str">
        <f>B7</f>
        <v>T1</v>
      </c>
      <c r="C92" s="709"/>
      <c r="D92" s="710" t="str">
        <f>D7</f>
        <v>Core3</v>
      </c>
      <c r="E92" s="711"/>
      <c r="F92" s="267"/>
      <c r="H92" s="665">
        <f>H7</f>
        <v>0</v>
      </c>
      <c r="I92" s="665"/>
      <c r="J92" s="665"/>
      <c r="K92" s="665"/>
      <c r="L92" s="665"/>
      <c r="M92" s="665"/>
      <c r="P92" s="198"/>
      <c r="S92" s="199" t="s">
        <v>398</v>
      </c>
      <c r="T92" s="705" t="str">
        <f>T7</f>
        <v>REF650</v>
      </c>
      <c r="U92" s="706"/>
      <c r="V92" s="197"/>
    </row>
    <row r="93" spans="1:22" ht="18" hidden="1" customHeight="1">
      <c r="A93" s="196"/>
      <c r="B93" s="707">
        <f>B8</f>
        <v>0</v>
      </c>
      <c r="C93" s="707"/>
      <c r="D93" s="712"/>
      <c r="E93" s="713"/>
      <c r="F93" s="267"/>
      <c r="T93" s="705" t="str">
        <f>T8</f>
        <v>REC670</v>
      </c>
      <c r="U93" s="706"/>
      <c r="V93" s="197"/>
    </row>
    <row r="94" spans="1:22" ht="18" hidden="1" customHeight="1">
      <c r="A94" s="196"/>
      <c r="H94" s="696" t="s">
        <v>401</v>
      </c>
      <c r="I94" s="696"/>
      <c r="J94" s="666" t="s">
        <v>402</v>
      </c>
      <c r="K94" s="666"/>
      <c r="L94" s="667" t="s">
        <v>403</v>
      </c>
      <c r="M94" s="667"/>
      <c r="T94" s="705" t="str">
        <f>T9</f>
        <v>IDM+9</v>
      </c>
      <c r="U94" s="706"/>
      <c r="V94" s="197"/>
    </row>
    <row r="95" spans="1:22" ht="18" hidden="1" customHeight="1">
      <c r="A95" s="196"/>
      <c r="B95" s="47" t="s">
        <v>404</v>
      </c>
      <c r="H95" s="708">
        <f>H10</f>
        <v>2500</v>
      </c>
      <c r="I95" s="709"/>
      <c r="J95" s="714" t="str">
        <f>J10</f>
        <v>-</v>
      </c>
      <c r="K95" s="715"/>
      <c r="L95" s="708" t="str">
        <f>L10</f>
        <v>-</v>
      </c>
      <c r="M95" s="709"/>
      <c r="N95" s="203" t="s">
        <v>353</v>
      </c>
      <c r="O95" s="268">
        <f>O10</f>
        <v>1</v>
      </c>
      <c r="P95" s="27" t="s">
        <v>9</v>
      </c>
      <c r="R95" s="267"/>
      <c r="S95" s="267"/>
      <c r="V95" s="197"/>
    </row>
    <row r="96" spans="1:22" ht="18" hidden="1" customHeight="1">
      <c r="A96" s="196"/>
      <c r="B96" s="47" t="s">
        <v>405</v>
      </c>
      <c r="H96" s="14"/>
      <c r="I96" s="14"/>
      <c r="J96" s="708" t="str">
        <f>H11</f>
        <v>5P20</v>
      </c>
      <c r="K96" s="709"/>
      <c r="L96" s="14"/>
      <c r="M96" s="14"/>
      <c r="V96" s="197"/>
    </row>
    <row r="97" spans="1:23" ht="18" hidden="1" customHeight="1">
      <c r="A97" s="196"/>
      <c r="B97" s="47" t="s">
        <v>407</v>
      </c>
      <c r="I97" s="120" t="s">
        <v>508</v>
      </c>
      <c r="J97" s="948" t="s">
        <v>7</v>
      </c>
      <c r="K97" s="949"/>
      <c r="L97" s="204" t="s">
        <v>344</v>
      </c>
      <c r="V97" s="197"/>
    </row>
    <row r="98" spans="1:23" ht="18" hidden="1" customHeight="1">
      <c r="A98" s="196"/>
      <c r="B98" s="47" t="s">
        <v>409</v>
      </c>
      <c r="I98" s="120" t="s">
        <v>509</v>
      </c>
      <c r="J98" s="948" t="s">
        <v>7</v>
      </c>
      <c r="K98" s="949"/>
      <c r="L98" s="14" t="s">
        <v>316</v>
      </c>
      <c r="T98" s="307"/>
      <c r="U98" s="18"/>
      <c r="V98" s="197"/>
      <c r="W98" s="30" t="e">
        <f>G146</f>
        <v>#VALUE!</v>
      </c>
    </row>
    <row r="99" spans="1:23" ht="18" hidden="1" customHeight="1">
      <c r="A99" s="196"/>
      <c r="B99" s="14" t="s">
        <v>412</v>
      </c>
      <c r="I99" s="120" t="s">
        <v>413</v>
      </c>
      <c r="J99" s="948" t="s">
        <v>7</v>
      </c>
      <c r="K99" s="949"/>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678">
        <f>J18</f>
        <v>0.02</v>
      </c>
      <c r="K103" s="679"/>
      <c r="L103" s="3" t="s">
        <v>168</v>
      </c>
      <c r="N103" s="209" t="s">
        <v>521</v>
      </c>
      <c r="V103" s="197"/>
    </row>
    <row r="104" spans="1:23" ht="18" hidden="1" customHeight="1">
      <c r="A104" s="196"/>
      <c r="B104" s="96" t="s">
        <v>416</v>
      </c>
      <c r="D104" s="308" t="str">
        <f>T93</f>
        <v>REC670</v>
      </c>
      <c r="I104" s="189" t="s">
        <v>138</v>
      </c>
      <c r="J104" s="697">
        <f>J19</f>
        <v>0.02</v>
      </c>
      <c r="K104" s="698"/>
      <c r="L104" s="210" t="s">
        <v>168</v>
      </c>
      <c r="P104" s="256"/>
      <c r="V104" s="197"/>
    </row>
    <row r="105" spans="1:23" ht="18" hidden="1" customHeight="1">
      <c r="A105" s="196"/>
      <c r="B105" s="96" t="s">
        <v>416</v>
      </c>
      <c r="C105" s="14"/>
      <c r="D105" s="47" t="str">
        <f>T94</f>
        <v>IDM+9</v>
      </c>
      <c r="E105" s="14"/>
      <c r="G105" s="211"/>
      <c r="H105" s="27"/>
      <c r="I105" s="101" t="s">
        <v>138</v>
      </c>
      <c r="J105" s="699">
        <f>J20</f>
        <v>5.8000000000000003E-2</v>
      </c>
      <c r="K105" s="700"/>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701">
        <f>J21</f>
        <v>0.44875935000000006</v>
      </c>
      <c r="K106" s="702"/>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678">
        <f>SUM(J103:J106)</f>
        <v>0.54675935000000009</v>
      </c>
      <c r="K107" s="679"/>
      <c r="L107" s="3" t="s">
        <v>168</v>
      </c>
      <c r="O107" s="27" t="s">
        <v>138</v>
      </c>
      <c r="P107" s="668" t="e">
        <f>P106*R106*T106</f>
        <v>#VALUE!</v>
      </c>
      <c r="Q107" s="665"/>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71" t="s">
        <v>547</v>
      </c>
      <c r="B109" s="972"/>
      <c r="C109" s="972"/>
      <c r="D109" s="972"/>
      <c r="E109" s="972"/>
      <c r="F109" s="972"/>
      <c r="G109" s="972"/>
      <c r="H109" s="972"/>
      <c r="I109" s="972"/>
      <c r="J109" s="972"/>
      <c r="K109" s="972"/>
      <c r="L109" s="972"/>
      <c r="M109" s="972"/>
      <c r="N109" s="972"/>
      <c r="O109" s="972"/>
      <c r="P109" s="972"/>
      <c r="Q109" s="972"/>
      <c r="R109" s="972"/>
      <c r="S109" s="972"/>
      <c r="T109" s="972"/>
      <c r="U109" s="972"/>
      <c r="V109" s="973"/>
    </row>
    <row r="110" spans="1:23" ht="18" hidden="1" customHeight="1">
      <c r="A110" s="974"/>
      <c r="B110" s="972"/>
      <c r="C110" s="972"/>
      <c r="D110" s="972"/>
      <c r="E110" s="972"/>
      <c r="F110" s="972"/>
      <c r="G110" s="972"/>
      <c r="H110" s="972"/>
      <c r="I110" s="972"/>
      <c r="J110" s="972"/>
      <c r="K110" s="972"/>
      <c r="L110" s="972"/>
      <c r="M110" s="972"/>
      <c r="N110" s="972"/>
      <c r="O110" s="972"/>
      <c r="P110" s="972"/>
      <c r="Q110" s="972"/>
      <c r="R110" s="972"/>
      <c r="S110" s="972"/>
      <c r="T110" s="972"/>
      <c r="U110" s="972"/>
      <c r="V110" s="973"/>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664" t="s">
        <v>484</v>
      </c>
      <c r="I114" s="936"/>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664">
        <f>S31</f>
        <v>50000</v>
      </c>
      <c r="T116" s="664"/>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664" t="str">
        <f>J95</f>
        <v>-</v>
      </c>
      <c r="T117" s="664"/>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664" t="str">
        <f>J98</f>
        <v>-</v>
      </c>
      <c r="T118" s="664"/>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669" t="e">
        <f>P107</f>
        <v>#VALUE!</v>
      </c>
      <c r="T119" s="664"/>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669">
        <f>J107</f>
        <v>0.54675935000000009</v>
      </c>
      <c r="T120" s="664"/>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664">
        <f>O95</f>
        <v>1</v>
      </c>
      <c r="T121" s="664"/>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664">
        <v>20</v>
      </c>
      <c r="T122" s="664"/>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788" t="s">
        <v>484</v>
      </c>
      <c r="I125" s="975"/>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76" t="str">
        <f>S118</f>
        <v>-</v>
      </c>
      <c r="I126" s="977"/>
      <c r="J126" s="257" t="s">
        <v>326</v>
      </c>
      <c r="K126" s="257">
        <f>S121</f>
        <v>1</v>
      </c>
      <c r="L126" s="257" t="s">
        <v>552</v>
      </c>
      <c r="M126" s="257">
        <f>S122</f>
        <v>20</v>
      </c>
      <c r="N126" s="474" t="s">
        <v>553</v>
      </c>
      <c r="O126" s="516" t="e">
        <f>S119</f>
        <v>#VALUE!</v>
      </c>
      <c r="V126" s="197"/>
    </row>
    <row r="127" spans="1:25" ht="18" hidden="1" customHeight="1">
      <c r="A127" s="196"/>
      <c r="D127" s="27" t="s">
        <v>138</v>
      </c>
      <c r="E127" s="665" t="e">
        <f>((F126*H126)/(K126*M126))-O126</f>
        <v>#VALUE!</v>
      </c>
      <c r="F127" s="665"/>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664" t="s">
        <v>555</v>
      </c>
      <c r="H136" s="664"/>
      <c r="I136" s="203" t="s">
        <v>353</v>
      </c>
      <c r="J136" s="665" t="s">
        <v>434</v>
      </c>
      <c r="K136" s="665"/>
      <c r="V136" s="197"/>
    </row>
    <row r="137" spans="1:22" ht="18" hidden="1" customHeight="1">
      <c r="A137" s="196"/>
      <c r="F137" s="27" t="s">
        <v>138</v>
      </c>
      <c r="G137" s="665">
        <f>S116</f>
        <v>50000</v>
      </c>
      <c r="H137" s="665"/>
      <c r="I137" s="203" t="s">
        <v>353</v>
      </c>
      <c r="J137" s="665" t="str">
        <f>S117</f>
        <v>-</v>
      </c>
      <c r="K137" s="665"/>
      <c r="V137" s="197"/>
    </row>
    <row r="138" spans="1:22" ht="18" hidden="1" customHeight="1">
      <c r="A138" s="196"/>
      <c r="F138" s="27" t="s">
        <v>138</v>
      </c>
      <c r="G138" s="668" t="e">
        <f>G137/J137</f>
        <v>#VALUE!</v>
      </c>
      <c r="H138" s="668"/>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0.54675935000000009</v>
      </c>
      <c r="P141" s="27" t="s">
        <v>361</v>
      </c>
      <c r="V141" s="197"/>
    </row>
    <row r="142" spans="1:22" ht="18" hidden="1" customHeight="1">
      <c r="A142" s="196"/>
      <c r="F142" s="27" t="s">
        <v>138</v>
      </c>
      <c r="G142" s="680" t="e">
        <f>G141*((I141+K141)/(M141+O141))</f>
        <v>#VALUE!</v>
      </c>
      <c r="H142" s="680"/>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668" t="e">
        <f>G142</f>
        <v>#VALUE!</v>
      </c>
      <c r="E145" s="668"/>
      <c r="F145" s="27" t="e">
        <f>F144</f>
        <v>#VALUE!</v>
      </c>
      <c r="G145" s="668" t="e">
        <f>G138</f>
        <v>#VALUE!</v>
      </c>
      <c r="H145" s="668"/>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08" t="str">
        <f>B92</f>
        <v>T1</v>
      </c>
      <c r="C180" s="709"/>
      <c r="D180" s="710" t="str">
        <f>D92</f>
        <v>Core3</v>
      </c>
      <c r="E180" s="711"/>
      <c r="F180" s="267"/>
      <c r="H180" s="665">
        <f>H92</f>
        <v>0</v>
      </c>
      <c r="I180" s="665"/>
      <c r="J180" s="665"/>
      <c r="K180" s="665"/>
      <c r="L180" s="665"/>
      <c r="M180" s="665"/>
      <c r="P180" s="198"/>
      <c r="S180" s="199" t="s">
        <v>398</v>
      </c>
      <c r="T180" s="705" t="str">
        <f>T92</f>
        <v>REF650</v>
      </c>
      <c r="U180" s="706"/>
      <c r="V180" s="197"/>
    </row>
    <row r="181" spans="1:23" ht="18" hidden="1" customHeight="1">
      <c r="A181" s="196"/>
      <c r="B181" s="707">
        <f>B93</f>
        <v>0</v>
      </c>
      <c r="C181" s="707"/>
      <c r="D181" s="712"/>
      <c r="E181" s="713"/>
      <c r="F181" s="267"/>
      <c r="T181" s="705" t="str">
        <f>T93</f>
        <v>REC670</v>
      </c>
      <c r="U181" s="706"/>
      <c r="V181" s="197"/>
    </row>
    <row r="182" spans="1:23" ht="18" hidden="1" customHeight="1">
      <c r="A182" s="196"/>
      <c r="H182" s="696" t="s">
        <v>401</v>
      </c>
      <c r="I182" s="696"/>
      <c r="J182" s="696" t="s">
        <v>402</v>
      </c>
      <c r="K182" s="696"/>
      <c r="L182" s="666" t="s">
        <v>403</v>
      </c>
      <c r="M182" s="666"/>
      <c r="T182" s="705" t="str">
        <f>T94</f>
        <v>IDM+9</v>
      </c>
      <c r="U182" s="706"/>
      <c r="V182" s="197"/>
    </row>
    <row r="183" spans="1:23" ht="18" hidden="1" customHeight="1">
      <c r="A183" s="196"/>
      <c r="B183" s="47" t="s">
        <v>404</v>
      </c>
      <c r="H183" s="708">
        <f>H95</f>
        <v>2500</v>
      </c>
      <c r="I183" s="709"/>
      <c r="J183" s="708" t="str">
        <f>J95</f>
        <v>-</v>
      </c>
      <c r="K183" s="709"/>
      <c r="L183" s="714" t="str">
        <f>L95</f>
        <v>-</v>
      </c>
      <c r="M183" s="715"/>
      <c r="N183" s="203" t="s">
        <v>353</v>
      </c>
      <c r="O183" s="268">
        <f>O95</f>
        <v>1</v>
      </c>
      <c r="P183" s="27" t="s">
        <v>9</v>
      </c>
      <c r="R183" s="267"/>
      <c r="S183" s="267"/>
      <c r="V183" s="197"/>
    </row>
    <row r="184" spans="1:23" ht="18" hidden="1" customHeight="1">
      <c r="A184" s="196"/>
      <c r="B184" s="47" t="s">
        <v>405</v>
      </c>
      <c r="H184" s="14"/>
      <c r="I184" s="14"/>
      <c r="L184" s="708" t="str">
        <f>J96</f>
        <v>5P20</v>
      </c>
      <c r="M184" s="709"/>
      <c r="V184" s="197"/>
    </row>
    <row r="185" spans="1:23" ht="18" hidden="1" customHeight="1">
      <c r="A185" s="196"/>
      <c r="B185" s="47" t="s">
        <v>407</v>
      </c>
      <c r="K185" s="120" t="s">
        <v>508</v>
      </c>
      <c r="L185" s="948" t="s">
        <v>7</v>
      </c>
      <c r="M185" s="949"/>
      <c r="N185" s="204" t="s">
        <v>344</v>
      </c>
      <c r="V185" s="197"/>
    </row>
    <row r="186" spans="1:23" ht="18" hidden="1" customHeight="1">
      <c r="A186" s="196"/>
      <c r="B186" s="47" t="s">
        <v>409</v>
      </c>
      <c r="K186" s="120" t="s">
        <v>509</v>
      </c>
      <c r="L186" s="948" t="s">
        <v>7</v>
      </c>
      <c r="M186" s="949"/>
      <c r="N186" s="14" t="s">
        <v>316</v>
      </c>
      <c r="T186" s="307"/>
      <c r="U186" s="18"/>
      <c r="V186" s="197"/>
      <c r="W186" s="30" t="e">
        <f>G234</f>
        <v>#VALUE!</v>
      </c>
    </row>
    <row r="187" spans="1:23" ht="18" hidden="1" customHeight="1">
      <c r="A187" s="196"/>
      <c r="B187" s="14" t="s">
        <v>412</v>
      </c>
      <c r="K187" s="120" t="s">
        <v>413</v>
      </c>
      <c r="L187" s="948" t="s">
        <v>7</v>
      </c>
      <c r="M187" s="949"/>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678">
        <f>J103</f>
        <v>0.02</v>
      </c>
      <c r="K191" s="679"/>
      <c r="L191" s="3" t="s">
        <v>168</v>
      </c>
      <c r="N191" s="209" t="s">
        <v>521</v>
      </c>
      <c r="V191" s="197"/>
    </row>
    <row r="192" spans="1:23" ht="18" hidden="1" customHeight="1">
      <c r="A192" s="196"/>
      <c r="B192" s="96" t="s">
        <v>416</v>
      </c>
      <c r="D192" s="308" t="str">
        <f>T181</f>
        <v>REC670</v>
      </c>
      <c r="I192" s="189" t="s">
        <v>138</v>
      </c>
      <c r="J192" s="697">
        <f>J104</f>
        <v>0.02</v>
      </c>
      <c r="K192" s="698"/>
      <c r="L192" s="210" t="s">
        <v>168</v>
      </c>
      <c r="P192" s="256"/>
      <c r="V192" s="197"/>
    </row>
    <row r="193" spans="1:25" ht="18" hidden="1" customHeight="1">
      <c r="A193" s="196"/>
      <c r="B193" s="96" t="s">
        <v>416</v>
      </c>
      <c r="C193" s="14"/>
      <c r="D193" s="47" t="str">
        <f>T182</f>
        <v>IDM+9</v>
      </c>
      <c r="E193" s="14"/>
      <c r="G193" s="211"/>
      <c r="H193" s="27"/>
      <c r="I193" s="101" t="s">
        <v>138</v>
      </c>
      <c r="J193" s="699">
        <f>J105</f>
        <v>5.8000000000000003E-2</v>
      </c>
      <c r="K193" s="700"/>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701">
        <f>J106</f>
        <v>0.44875935000000006</v>
      </c>
      <c r="K194" s="702"/>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678">
        <f>SUM(J191:J194)</f>
        <v>0.54675935000000009</v>
      </c>
      <c r="K195" s="679"/>
      <c r="L195" s="3" t="s">
        <v>168</v>
      </c>
      <c r="O195" s="27" t="s">
        <v>138</v>
      </c>
      <c r="P195" s="668" t="e">
        <f>P194*R194*T194</f>
        <v>#VALUE!</v>
      </c>
      <c r="Q195" s="665"/>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71" t="s">
        <v>547</v>
      </c>
      <c r="B197" s="972"/>
      <c r="C197" s="972"/>
      <c r="D197" s="972"/>
      <c r="E197" s="972"/>
      <c r="F197" s="972"/>
      <c r="G197" s="972"/>
      <c r="H197" s="972"/>
      <c r="I197" s="972"/>
      <c r="J197" s="972"/>
      <c r="K197" s="972"/>
      <c r="L197" s="972"/>
      <c r="M197" s="972"/>
      <c r="N197" s="972"/>
      <c r="O197" s="972"/>
      <c r="P197" s="972"/>
      <c r="Q197" s="972"/>
      <c r="R197" s="972"/>
      <c r="S197" s="972"/>
      <c r="T197" s="972"/>
      <c r="U197" s="972"/>
      <c r="V197" s="973"/>
    </row>
    <row r="198" spans="1:25" ht="18" hidden="1" customHeight="1">
      <c r="A198" s="974"/>
      <c r="B198" s="972"/>
      <c r="C198" s="972"/>
      <c r="D198" s="972"/>
      <c r="E198" s="972"/>
      <c r="F198" s="972"/>
      <c r="G198" s="972"/>
      <c r="H198" s="972"/>
      <c r="I198" s="972"/>
      <c r="J198" s="972"/>
      <c r="K198" s="972"/>
      <c r="L198" s="972"/>
      <c r="M198" s="972"/>
      <c r="N198" s="972"/>
      <c r="O198" s="972"/>
      <c r="P198" s="972"/>
      <c r="Q198" s="972"/>
      <c r="R198" s="972"/>
      <c r="S198" s="972"/>
      <c r="T198" s="972"/>
      <c r="U198" s="972"/>
      <c r="V198" s="973"/>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664" t="s">
        <v>484</v>
      </c>
      <c r="I202" s="936"/>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664">
        <f>S116</f>
        <v>50000</v>
      </c>
      <c r="T204" s="664"/>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664" t="str">
        <f>L183</f>
        <v>-</v>
      </c>
      <c r="T205" s="664"/>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664" t="str">
        <f>L186</f>
        <v>-</v>
      </c>
      <c r="T206" s="664"/>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669" t="e">
        <f>P195</f>
        <v>#VALUE!</v>
      </c>
      <c r="T207" s="664"/>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669">
        <f>J195</f>
        <v>0.54675935000000009</v>
      </c>
      <c r="T208" s="664"/>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664">
        <f>O183</f>
        <v>1</v>
      </c>
      <c r="T209" s="664"/>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664">
        <v>20</v>
      </c>
      <c r="T210" s="664"/>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788" t="s">
        <v>484</v>
      </c>
      <c r="I213" s="975"/>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76" t="str">
        <f>S206</f>
        <v>-</v>
      </c>
      <c r="I214" s="977"/>
      <c r="J214" s="257" t="s">
        <v>326</v>
      </c>
      <c r="K214" s="257">
        <f>S209</f>
        <v>1</v>
      </c>
      <c r="L214" s="257" t="s">
        <v>552</v>
      </c>
      <c r="M214" s="257">
        <f>S210</f>
        <v>20</v>
      </c>
      <c r="N214" s="474" t="s">
        <v>553</v>
      </c>
      <c r="O214" s="516" t="e">
        <f>S207</f>
        <v>#VALUE!</v>
      </c>
      <c r="V214" s="197"/>
    </row>
    <row r="215" spans="1:25" ht="18" hidden="1" customHeight="1">
      <c r="A215" s="196"/>
      <c r="D215" s="27" t="s">
        <v>138</v>
      </c>
      <c r="E215" s="665" t="e">
        <f>((F214*H214)/(K214*M214))-O214</f>
        <v>#VALUE!</v>
      </c>
      <c r="F215" s="665"/>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664" t="s">
        <v>555</v>
      </c>
      <c r="H224" s="664"/>
      <c r="I224" s="203" t="s">
        <v>353</v>
      </c>
      <c r="J224" s="665" t="s">
        <v>434</v>
      </c>
      <c r="K224" s="665"/>
      <c r="V224" s="197"/>
    </row>
    <row r="225" spans="1:22" ht="18" hidden="1" customHeight="1">
      <c r="A225" s="196"/>
      <c r="F225" s="27" t="s">
        <v>138</v>
      </c>
      <c r="G225" s="665">
        <f>S204</f>
        <v>50000</v>
      </c>
      <c r="H225" s="665"/>
      <c r="I225" s="203" t="s">
        <v>353</v>
      </c>
      <c r="J225" s="665" t="str">
        <f>S205</f>
        <v>-</v>
      </c>
      <c r="K225" s="665"/>
      <c r="V225" s="197"/>
    </row>
    <row r="226" spans="1:22" ht="18" hidden="1" customHeight="1">
      <c r="A226" s="196"/>
      <c r="F226" s="27" t="s">
        <v>138</v>
      </c>
      <c r="G226" s="668" t="e">
        <f>G225/J225</f>
        <v>#VALUE!</v>
      </c>
      <c r="H226" s="668"/>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0.54675935000000009</v>
      </c>
      <c r="P229" s="27" t="s">
        <v>361</v>
      </c>
      <c r="V229" s="197"/>
    </row>
    <row r="230" spans="1:22" ht="18" hidden="1" customHeight="1">
      <c r="A230" s="196"/>
      <c r="F230" s="27" t="s">
        <v>138</v>
      </c>
      <c r="G230" s="680" t="e">
        <f>G229*((I229+K229)/(M229+O229))</f>
        <v>#VALUE!</v>
      </c>
      <c r="H230" s="680"/>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668" t="e">
        <f>G230</f>
        <v>#VALUE!</v>
      </c>
      <c r="E233" s="668"/>
      <c r="F233" s="27" t="e">
        <f>F232</f>
        <v>#VALUE!</v>
      </c>
      <c r="G233" s="668" t="e">
        <f>G226</f>
        <v>#VALUE!</v>
      </c>
      <c r="H233" s="668"/>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16" t="s">
        <v>97</v>
      </c>
      <c r="B270" s="729"/>
      <c r="C270" s="717"/>
      <c r="D270" s="716" t="s">
        <v>98</v>
      </c>
      <c r="E270" s="729"/>
      <c r="F270" s="717"/>
      <c r="G270" s="716" t="s">
        <v>99</v>
      </c>
      <c r="H270" s="717"/>
      <c r="I270" s="716" t="s">
        <v>100</v>
      </c>
      <c r="J270" s="717"/>
      <c r="K270" s="716" t="s">
        <v>513</v>
      </c>
      <c r="L270" s="717"/>
      <c r="M270" s="716" t="s">
        <v>102</v>
      </c>
      <c r="N270" s="717"/>
      <c r="O270" s="716" t="s">
        <v>103</v>
      </c>
      <c r="P270" s="717"/>
      <c r="Q270" s="716" t="s">
        <v>104</v>
      </c>
      <c r="R270" s="717"/>
      <c r="S270" s="716" t="s">
        <v>105</v>
      </c>
      <c r="T270" s="729"/>
      <c r="U270" s="729"/>
      <c r="V270" s="717"/>
    </row>
    <row r="271" spans="1:22" ht="18" customHeight="1">
      <c r="A271" s="718"/>
      <c r="B271" s="730"/>
      <c r="C271" s="719"/>
      <c r="D271" s="718"/>
      <c r="E271" s="730"/>
      <c r="F271" s="719"/>
      <c r="G271" s="718"/>
      <c r="H271" s="719"/>
      <c r="I271" s="718"/>
      <c r="J271" s="719"/>
      <c r="K271" s="718"/>
      <c r="L271" s="719"/>
      <c r="M271" s="718"/>
      <c r="N271" s="719"/>
      <c r="O271" s="718"/>
      <c r="P271" s="719"/>
      <c r="Q271" s="718"/>
      <c r="R271" s="719"/>
      <c r="S271" s="718"/>
      <c r="T271" s="730"/>
      <c r="U271" s="730"/>
      <c r="V271" s="719"/>
    </row>
    <row r="272" spans="1:22" ht="18" customHeight="1">
      <c r="A272" s="718"/>
      <c r="B272" s="730"/>
      <c r="C272" s="719"/>
      <c r="D272" s="718"/>
      <c r="E272" s="730"/>
      <c r="F272" s="719"/>
      <c r="G272" s="718"/>
      <c r="H272" s="719"/>
      <c r="I272" s="718"/>
      <c r="J272" s="719"/>
      <c r="K272" s="718"/>
      <c r="L272" s="719"/>
      <c r="M272" s="718"/>
      <c r="N272" s="719"/>
      <c r="O272" s="718"/>
      <c r="P272" s="719"/>
      <c r="Q272" s="718"/>
      <c r="R272" s="719"/>
      <c r="S272" s="718"/>
      <c r="T272" s="730"/>
      <c r="U272" s="730"/>
      <c r="V272" s="719"/>
    </row>
    <row r="273" spans="1:22" ht="18" customHeight="1">
      <c r="A273" s="720"/>
      <c r="B273" s="731"/>
      <c r="C273" s="721"/>
      <c r="D273" s="720"/>
      <c r="E273" s="731"/>
      <c r="F273" s="721"/>
      <c r="G273" s="720"/>
      <c r="H273" s="721"/>
      <c r="I273" s="720"/>
      <c r="J273" s="721"/>
      <c r="K273" s="720"/>
      <c r="L273" s="721"/>
      <c r="M273" s="720"/>
      <c r="N273" s="721"/>
      <c r="O273" s="720"/>
      <c r="P273" s="721"/>
      <c r="Q273" s="720"/>
      <c r="R273" s="721"/>
      <c r="S273" s="720"/>
      <c r="T273" s="731"/>
      <c r="U273" s="731"/>
      <c r="V273" s="721"/>
    </row>
    <row r="274" spans="1:22" ht="18" customHeight="1">
      <c r="A274" s="733" t="str">
        <f>B7</f>
        <v>T1</v>
      </c>
      <c r="B274" s="733" t="str">
        <f>D7</f>
        <v>Core3</v>
      </c>
      <c r="C274" s="733"/>
      <c r="D274" s="732">
        <f>H10</f>
        <v>2500</v>
      </c>
      <c r="E274" s="732"/>
      <c r="F274" s="734">
        <f>O10</f>
        <v>1</v>
      </c>
      <c r="G274" s="732">
        <f>'CT-VT Burdens'!S19</f>
        <v>50</v>
      </c>
      <c r="H274" s="794">
        <f>'CT-VT Burdens'!S10</f>
        <v>6</v>
      </c>
      <c r="I274" s="794" t="str">
        <f>H11</f>
        <v>5P20</v>
      </c>
      <c r="J274" s="794" t="e">
        <f>#REF!</f>
        <v>#REF!</v>
      </c>
      <c r="K274" s="728">
        <f>H12</f>
        <v>5</v>
      </c>
      <c r="L274" s="728"/>
      <c r="M274" s="801" t="s">
        <v>7</v>
      </c>
      <c r="N274" s="728"/>
      <c r="O274" s="799" t="s">
        <v>7</v>
      </c>
      <c r="P274" s="732"/>
      <c r="Q274" s="739" t="str">
        <f>IF(T8="",T7,IF(T9="",T7&amp;" "&amp;T8,T7&amp;" "&amp;T8&amp;" "&amp;T9))</f>
        <v>REF650 REC670 IDM+9</v>
      </c>
      <c r="R274" s="739"/>
      <c r="S274" s="738" t="str">
        <f>G61</f>
        <v>Suitably Dimentioned</v>
      </c>
      <c r="T274" s="738"/>
      <c r="U274" s="738"/>
      <c r="V274" s="738"/>
    </row>
    <row r="275" spans="1:22" ht="18" customHeight="1">
      <c r="A275" s="733"/>
      <c r="B275" s="733"/>
      <c r="C275" s="733"/>
      <c r="D275" s="799" t="s">
        <v>7</v>
      </c>
      <c r="E275" s="732"/>
      <c r="F275" s="735"/>
      <c r="G275" s="732"/>
      <c r="H275" s="732"/>
      <c r="I275" s="794"/>
      <c r="J275" s="794"/>
      <c r="K275" s="801" t="s">
        <v>7</v>
      </c>
      <c r="L275" s="728"/>
      <c r="M275" s="801" t="s">
        <v>7</v>
      </c>
      <c r="N275" s="728"/>
      <c r="O275" s="799" t="s">
        <v>7</v>
      </c>
      <c r="P275" s="732"/>
      <c r="Q275" s="739"/>
      <c r="R275" s="739"/>
      <c r="S275" s="978" t="s">
        <v>7</v>
      </c>
      <c r="T275" s="738"/>
      <c r="U275" s="738"/>
      <c r="V275" s="738"/>
    </row>
    <row r="276" spans="1:22" ht="18" customHeight="1">
      <c r="A276" s="733"/>
      <c r="B276" s="733"/>
      <c r="C276" s="733"/>
      <c r="D276" s="799" t="s">
        <v>7</v>
      </c>
      <c r="E276" s="732"/>
      <c r="F276" s="736"/>
      <c r="G276" s="732"/>
      <c r="H276" s="732"/>
      <c r="I276" s="794"/>
      <c r="J276" s="794"/>
      <c r="K276" s="801" t="s">
        <v>7</v>
      </c>
      <c r="L276" s="728"/>
      <c r="M276" s="801" t="s">
        <v>7</v>
      </c>
      <c r="N276" s="728"/>
      <c r="O276" s="799" t="s">
        <v>7</v>
      </c>
      <c r="P276" s="732"/>
      <c r="Q276" s="739"/>
      <c r="R276" s="739"/>
      <c r="S276" s="738" t="s">
        <v>7</v>
      </c>
      <c r="T276" s="738"/>
      <c r="U276" s="738"/>
      <c r="V276" s="738"/>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 ref="A274:A276"/>
    <mergeCell ref="B274:C276"/>
    <mergeCell ref="D274:E274"/>
    <mergeCell ref="F274:F276"/>
    <mergeCell ref="G274:G276"/>
    <mergeCell ref="H274:H276"/>
    <mergeCell ref="I274:J276"/>
    <mergeCell ref="A270:C273"/>
    <mergeCell ref="D270:F273"/>
    <mergeCell ref="G270:H273"/>
    <mergeCell ref="I270:J273"/>
    <mergeCell ref="D276:E276"/>
    <mergeCell ref="G225:H225"/>
    <mergeCell ref="J225:K225"/>
    <mergeCell ref="G226:H226"/>
    <mergeCell ref="G230:H230"/>
    <mergeCell ref="D233:E233"/>
    <mergeCell ref="G233:H233"/>
    <mergeCell ref="S210:T210"/>
    <mergeCell ref="H213:I213"/>
    <mergeCell ref="H214:I214"/>
    <mergeCell ref="E215:F215"/>
    <mergeCell ref="G224:H224"/>
    <mergeCell ref="J224:K224"/>
    <mergeCell ref="S204:T204"/>
    <mergeCell ref="S205:T205"/>
    <mergeCell ref="S206:T206"/>
    <mergeCell ref="S207:T207"/>
    <mergeCell ref="S208:T208"/>
    <mergeCell ref="S209:T209"/>
    <mergeCell ref="J193:K193"/>
    <mergeCell ref="J194:K194"/>
    <mergeCell ref="J195:K195"/>
    <mergeCell ref="P195:Q195"/>
    <mergeCell ref="A197:V198"/>
    <mergeCell ref="H202:I202"/>
    <mergeCell ref="L184:M184"/>
    <mergeCell ref="L185:M185"/>
    <mergeCell ref="L186:M186"/>
    <mergeCell ref="L187:M187"/>
    <mergeCell ref="J191:K191"/>
    <mergeCell ref="J192:K192"/>
    <mergeCell ref="H182:I182"/>
    <mergeCell ref="J182:K182"/>
    <mergeCell ref="L182:M182"/>
    <mergeCell ref="T182:U182"/>
    <mergeCell ref="H183:I183"/>
    <mergeCell ref="J183:K183"/>
    <mergeCell ref="L183:M183"/>
    <mergeCell ref="B180:C180"/>
    <mergeCell ref="D180:E181"/>
    <mergeCell ref="H180:M180"/>
    <mergeCell ref="T180:U180"/>
    <mergeCell ref="B181:C181"/>
    <mergeCell ref="T181:U181"/>
    <mergeCell ref="G137:H137"/>
    <mergeCell ref="J137:K137"/>
    <mergeCell ref="G138:H138"/>
    <mergeCell ref="G142:H142"/>
    <mergeCell ref="D145:E145"/>
    <mergeCell ref="G145:H145"/>
    <mergeCell ref="S122:T122"/>
    <mergeCell ref="H125:I125"/>
    <mergeCell ref="H126:I126"/>
    <mergeCell ref="E127:F127"/>
    <mergeCell ref="G136:H136"/>
    <mergeCell ref="J136:K136"/>
    <mergeCell ref="S116:T116"/>
    <mergeCell ref="S117:T117"/>
    <mergeCell ref="S118:T118"/>
    <mergeCell ref="S119:T119"/>
    <mergeCell ref="S120:T120"/>
    <mergeCell ref="S121:T121"/>
    <mergeCell ref="J105:K105"/>
    <mergeCell ref="J106:K106"/>
    <mergeCell ref="J107:K107"/>
    <mergeCell ref="P107:Q107"/>
    <mergeCell ref="A109:V110"/>
    <mergeCell ref="H114:I114"/>
    <mergeCell ref="J96:K96"/>
    <mergeCell ref="J97:K97"/>
    <mergeCell ref="J98:K98"/>
    <mergeCell ref="J99:K99"/>
    <mergeCell ref="J103:K103"/>
    <mergeCell ref="J104:K104"/>
    <mergeCell ref="H94:I94"/>
    <mergeCell ref="J94:K94"/>
    <mergeCell ref="L94:M94"/>
    <mergeCell ref="T94:U94"/>
    <mergeCell ref="H95:I95"/>
    <mergeCell ref="J95:K95"/>
    <mergeCell ref="L95:M95"/>
    <mergeCell ref="B92:C92"/>
    <mergeCell ref="D92:E93"/>
    <mergeCell ref="H92:M92"/>
    <mergeCell ref="T92:U92"/>
    <mergeCell ref="B93:C93"/>
    <mergeCell ref="T93:U93"/>
    <mergeCell ref="G52:H52"/>
    <mergeCell ref="J52:K52"/>
    <mergeCell ref="G53:H53"/>
    <mergeCell ref="G57:H57"/>
    <mergeCell ref="D60:E60"/>
    <mergeCell ref="G60:H60"/>
    <mergeCell ref="S37:T37"/>
    <mergeCell ref="S38:T38"/>
    <mergeCell ref="H40:I40"/>
    <mergeCell ref="H41:I41"/>
    <mergeCell ref="E42:F42"/>
    <mergeCell ref="G51:H51"/>
    <mergeCell ref="J51:K51"/>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1055" t="str">
        <f>Title!R3</f>
        <v>-</v>
      </c>
      <c r="S3" s="1056"/>
      <c r="T3" s="1056"/>
      <c r="U3" s="1056"/>
      <c r="V3" s="105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927</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48" t="s">
        <v>125</v>
      </c>
      <c r="E7" s="949"/>
      <c r="F7" s="267"/>
      <c r="H7" s="14"/>
      <c r="I7" s="14"/>
      <c r="J7" s="14"/>
      <c r="K7" s="14"/>
      <c r="L7" s="14"/>
      <c r="M7" s="14"/>
      <c r="P7" s="198"/>
      <c r="S7" s="199" t="s">
        <v>398</v>
      </c>
      <c r="T7" s="948" t="s">
        <v>928</v>
      </c>
      <c r="U7" s="949"/>
      <c r="V7" s="197"/>
    </row>
    <row r="8" spans="1:24" ht="18" customHeight="1">
      <c r="A8" s="196"/>
      <c r="B8"/>
      <c r="C8"/>
      <c r="D8"/>
      <c r="E8"/>
      <c r="F8" s="267"/>
      <c r="T8"/>
      <c r="U8"/>
      <c r="V8" s="197"/>
    </row>
    <row r="9" spans="1:24" ht="18" customHeight="1">
      <c r="A9" s="196"/>
      <c r="H9" s="666" t="s">
        <v>401</v>
      </c>
      <c r="I9" s="666"/>
      <c r="J9" s="667" t="s">
        <v>402</v>
      </c>
      <c r="K9" s="667"/>
      <c r="L9" s="667" t="s">
        <v>403</v>
      </c>
      <c r="M9" s="667"/>
      <c r="T9"/>
      <c r="U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V13" s="197"/>
      <c r="W13" s="30" t="str">
        <f>G58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52">
        <f>'CT-VT Burdens'!Q48</f>
        <v>0.02</v>
      </c>
      <c r="K18" s="953"/>
      <c r="L18" s="3" t="s">
        <v>168</v>
      </c>
      <c r="N18" s="209" t="s">
        <v>521</v>
      </c>
      <c r="V18" s="197"/>
    </row>
    <row r="19" spans="1:22" ht="18" customHeight="1">
      <c r="A19" s="196"/>
      <c r="B19" s="96" t="s">
        <v>416</v>
      </c>
      <c r="D19" s="308">
        <f>T8</f>
        <v>0</v>
      </c>
      <c r="I19" s="189" t="s">
        <v>138</v>
      </c>
      <c r="J19" s="969"/>
      <c r="K19" s="970"/>
      <c r="L19" s="210" t="s">
        <v>168</v>
      </c>
      <c r="P19" s="256"/>
      <c r="V19" s="197"/>
    </row>
    <row r="20" spans="1:22" ht="18" customHeight="1">
      <c r="A20" s="196"/>
      <c r="B20" s="96" t="s">
        <v>416</v>
      </c>
      <c r="C20" s="14"/>
      <c r="D20" s="47">
        <f>T9</f>
        <v>0</v>
      </c>
      <c r="E20" s="14"/>
      <c r="G20" s="211"/>
      <c r="H20" s="27"/>
      <c r="I20" s="101" t="s">
        <v>138</v>
      </c>
      <c r="J20" s="964"/>
      <c r="K20" s="965"/>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4">
        <f>'CT-VT Burdens'!S39</f>
        <v>2.7035014500000001</v>
      </c>
      <c r="K21" s="95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78">
        <f>SUM(J18:J21)</f>
        <v>2.7235014500000001</v>
      </c>
      <c r="K22" s="679"/>
      <c r="L22" s="3" t="s">
        <v>168</v>
      </c>
      <c r="O22" s="27" t="s">
        <v>138</v>
      </c>
      <c r="P22" s="668">
        <f>P21*R21*T21</f>
        <v>5</v>
      </c>
      <c r="Q22" s="665"/>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(4)'!Q10 *1000</f>
        <v>50000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750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2.7235014500000001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f>E42</f>
        <v>43.75</v>
      </c>
      <c r="T38" s="665"/>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88" t="s">
        <v>484</v>
      </c>
      <c r="I40" s="975"/>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76">
        <f>S33</f>
        <v>750</v>
      </c>
      <c r="I41" s="977"/>
      <c r="J41" s="257" t="s">
        <v>326</v>
      </c>
      <c r="K41" s="257">
        <f>S36</f>
        <v>1</v>
      </c>
      <c r="L41" s="257" t="s">
        <v>552</v>
      </c>
      <c r="M41" s="257">
        <f>S37</f>
        <v>20</v>
      </c>
      <c r="N41" s="474" t="s">
        <v>553</v>
      </c>
      <c r="O41" s="516">
        <f>S34</f>
        <v>5</v>
      </c>
      <c r="V41" s="197"/>
    </row>
    <row r="42" spans="1:25" ht="18" customHeight="1">
      <c r="A42" s="196"/>
      <c r="D42" s="27" t="s">
        <v>138</v>
      </c>
      <c r="E42" s="665">
        <f>((F41*H41)/(K41*M41))-O41</f>
        <v>43.75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64" t="s">
        <v>555</v>
      </c>
      <c r="H48" s="664"/>
      <c r="I48" s="203" t="s">
        <v>353</v>
      </c>
      <c r="J48" s="665" t="s">
        <v>434</v>
      </c>
      <c r="K48" s="665"/>
      <c r="V48" s="197"/>
    </row>
    <row r="49" spans="1:22" ht="18" customHeight="1">
      <c r="A49" s="196"/>
      <c r="F49" s="27" t="s">
        <v>138</v>
      </c>
      <c r="G49" s="665">
        <f>S31</f>
        <v>50000</v>
      </c>
      <c r="H49" s="665"/>
      <c r="I49" s="203" t="s">
        <v>353</v>
      </c>
      <c r="J49" s="665">
        <f>S32</f>
        <v>2500</v>
      </c>
      <c r="K49" s="665"/>
      <c r="V49" s="197"/>
    </row>
    <row r="50" spans="1:22" ht="18" customHeight="1">
      <c r="A50" s="196"/>
      <c r="F50" s="27" t="s">
        <v>138</v>
      </c>
      <c r="G50" s="668">
        <f>G49/J49</f>
        <v>20</v>
      </c>
      <c r="H50" s="668"/>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80">
        <f>G53*((I53+K53)/(M53+O53))</f>
        <v>126.23808078653238</v>
      </c>
      <c r="H54" s="68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68">
        <f>G54</f>
        <v>126.23808078653238</v>
      </c>
      <c r="E57" s="668"/>
      <c r="F57" s="27" t="str">
        <f>F56</f>
        <v>&gt;</v>
      </c>
      <c r="G57" s="668">
        <f>G50</f>
        <v>20</v>
      </c>
      <c r="H57" s="668"/>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800" t="s">
        <v>97</v>
      </c>
      <c r="B90" s="800"/>
      <c r="C90" s="728"/>
      <c r="D90" s="800" t="s">
        <v>98</v>
      </c>
      <c r="E90" s="800"/>
      <c r="F90" s="800"/>
      <c r="G90" s="800" t="s">
        <v>99</v>
      </c>
      <c r="H90" s="800"/>
      <c r="I90" s="800" t="s">
        <v>100</v>
      </c>
      <c r="J90" s="800"/>
      <c r="K90" s="716" t="s">
        <v>101</v>
      </c>
      <c r="L90" s="717"/>
      <c r="M90" s="716" t="s">
        <v>102</v>
      </c>
      <c r="N90" s="717"/>
      <c r="O90" s="716" t="s">
        <v>103</v>
      </c>
      <c r="P90" s="717"/>
      <c r="Q90" s="716" t="s">
        <v>104</v>
      </c>
      <c r="R90" s="717"/>
      <c r="S90" s="800" t="s">
        <v>105</v>
      </c>
      <c r="T90" s="800"/>
      <c r="U90" s="800"/>
      <c r="V90" s="800"/>
    </row>
    <row r="91" spans="1:22" ht="18" customHeight="1">
      <c r="A91" s="728" t="str">
        <f>B7</f>
        <v>T1</v>
      </c>
      <c r="B91" s="733" t="str">
        <f>D7</f>
        <v>Core4</v>
      </c>
      <c r="C91" s="733"/>
      <c r="D91" s="732">
        <f>H10</f>
        <v>2500</v>
      </c>
      <c r="E91" s="732"/>
      <c r="F91" s="734">
        <f>O10</f>
        <v>1</v>
      </c>
      <c r="G91" s="737">
        <f>'CT-VT Burdens'!S19</f>
        <v>50</v>
      </c>
      <c r="H91" s="794">
        <f>'CT-VT Burdens'!S10</f>
        <v>6</v>
      </c>
      <c r="I91" s="794" t="str">
        <f>H11</f>
        <v>PX-B</v>
      </c>
      <c r="J91" s="794"/>
      <c r="K91" s="728">
        <f>H12</f>
        <v>5</v>
      </c>
      <c r="L91" s="728"/>
      <c r="M91" s="728">
        <f>H13</f>
        <v>750</v>
      </c>
      <c r="N91" s="728"/>
      <c r="O91" s="732">
        <f>H14</f>
        <v>60</v>
      </c>
      <c r="P91" s="732"/>
      <c r="Q91" s="739" t="str">
        <f>T7</f>
        <v>REF650</v>
      </c>
      <c r="R91" s="739"/>
      <c r="S91" s="738" t="str">
        <f>G58</f>
        <v>Suitably Dimentioned</v>
      </c>
      <c r="T91" s="738"/>
      <c r="U91" s="738"/>
      <c r="V91" s="738"/>
    </row>
    <row r="92" spans="1:22" ht="18" customHeight="1">
      <c r="A92" s="728"/>
      <c r="B92" s="733"/>
      <c r="C92" s="733"/>
      <c r="D92" s="732" t="s">
        <v>7</v>
      </c>
      <c r="E92" s="732"/>
      <c r="F92" s="735"/>
      <c r="G92" s="737"/>
      <c r="H92" s="732"/>
      <c r="I92" s="794"/>
      <c r="J92" s="794"/>
      <c r="K92" s="728" t="s">
        <v>7</v>
      </c>
      <c r="L92" s="728"/>
      <c r="M92" s="728" t="s">
        <v>7</v>
      </c>
      <c r="N92" s="728"/>
      <c r="O92" s="732" t="s">
        <v>7</v>
      </c>
      <c r="P92" s="732"/>
      <c r="Q92" s="739"/>
      <c r="R92" s="739"/>
      <c r="S92" s="738" t="s">
        <v>7</v>
      </c>
      <c r="T92" s="738"/>
      <c r="U92" s="738"/>
      <c r="V92" s="738"/>
    </row>
    <row r="93" spans="1:22" ht="18" customHeight="1">
      <c r="A93" s="728"/>
      <c r="B93" s="733"/>
      <c r="C93" s="733"/>
      <c r="D93" s="732" t="s">
        <v>7</v>
      </c>
      <c r="E93" s="732"/>
      <c r="F93" s="736"/>
      <c r="G93" s="737"/>
      <c r="H93" s="732"/>
      <c r="I93" s="794"/>
      <c r="J93" s="794"/>
      <c r="K93" s="728" t="s">
        <v>7</v>
      </c>
      <c r="L93" s="728"/>
      <c r="M93" s="728" t="s">
        <v>7</v>
      </c>
      <c r="N93" s="728"/>
      <c r="O93" s="732" t="s">
        <v>7</v>
      </c>
      <c r="P93" s="732"/>
      <c r="Q93" s="739"/>
      <c r="R93" s="739"/>
      <c r="S93" s="738" t="s">
        <v>7</v>
      </c>
      <c r="T93" s="738"/>
      <c r="U93" s="738"/>
      <c r="V93" s="73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H40:I40"/>
    <mergeCell ref="H41:I41"/>
    <mergeCell ref="E42:F42"/>
    <mergeCell ref="G48:H48"/>
    <mergeCell ref="J48:K48"/>
    <mergeCell ref="O90:P90"/>
    <mergeCell ref="Q90:R90"/>
    <mergeCell ref="S90:V90"/>
    <mergeCell ref="K90:L90"/>
    <mergeCell ref="M90:N90"/>
    <mergeCell ref="G49:H49"/>
    <mergeCell ref="J49:K49"/>
    <mergeCell ref="G50:H50"/>
    <mergeCell ref="G54:H54"/>
    <mergeCell ref="H91:H93"/>
    <mergeCell ref="I91:J93"/>
    <mergeCell ref="K93:L93"/>
    <mergeCell ref="A90:C90"/>
    <mergeCell ref="D90:F90"/>
    <mergeCell ref="G90:H90"/>
    <mergeCell ref="I90:J90"/>
    <mergeCell ref="D93:E93"/>
    <mergeCell ref="D92:E92"/>
    <mergeCell ref="A91:A93"/>
    <mergeCell ref="B91:C93"/>
    <mergeCell ref="D91:E91"/>
    <mergeCell ref="F91:F93"/>
    <mergeCell ref="G91:G93"/>
    <mergeCell ref="M93:N93"/>
    <mergeCell ref="O93:P93"/>
    <mergeCell ref="S93:V93"/>
    <mergeCell ref="K91:L91"/>
    <mergeCell ref="M91:N91"/>
    <mergeCell ref="O91:P91"/>
    <mergeCell ref="Q91:R93"/>
    <mergeCell ref="S91:V91"/>
    <mergeCell ref="K92:L92"/>
    <mergeCell ref="M92:N92"/>
    <mergeCell ref="O92:P92"/>
    <mergeCell ref="S92:V92"/>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927</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H6" s="30" t="s">
        <v>930</v>
      </c>
      <c r="V6" s="197"/>
    </row>
    <row r="7" spans="1:24" ht="18" customHeight="1">
      <c r="A7" s="196"/>
      <c r="B7" s="653" t="s">
        <v>120</v>
      </c>
      <c r="C7" s="654"/>
      <c r="D7" s="890" t="s">
        <v>124</v>
      </c>
      <c r="E7" s="985"/>
      <c r="F7" s="468"/>
      <c r="H7" s="664"/>
      <c r="I7" s="665"/>
      <c r="J7" s="665"/>
      <c r="K7" s="665"/>
      <c r="L7" s="665"/>
      <c r="M7" s="665"/>
      <c r="P7" s="198"/>
      <c r="S7" s="199" t="s">
        <v>398</v>
      </c>
      <c r="T7" s="653" t="s">
        <v>190</v>
      </c>
      <c r="U7" s="654"/>
      <c r="V7" s="197"/>
    </row>
    <row r="8" spans="1:24" ht="18" customHeight="1">
      <c r="A8" s="469"/>
      <c r="F8" s="468"/>
      <c r="T8" s="653" t="s">
        <v>917</v>
      </c>
      <c r="U8" s="654"/>
      <c r="V8" s="197"/>
    </row>
    <row r="9" spans="1:24" ht="18" customHeight="1">
      <c r="A9" s="196"/>
      <c r="H9" s="666" t="s">
        <v>401</v>
      </c>
      <c r="I9" s="666"/>
      <c r="J9" s="667" t="s">
        <v>402</v>
      </c>
      <c r="K9" s="667"/>
      <c r="L9" s="667" t="s">
        <v>403</v>
      </c>
      <c r="M9" s="667"/>
      <c r="T9" s="963"/>
      <c r="U9" s="963"/>
      <c r="V9" s="197"/>
    </row>
    <row r="10" spans="1:24" ht="18" customHeight="1">
      <c r="A10" s="196"/>
      <c r="B10" s="47" t="s">
        <v>404</v>
      </c>
      <c r="H10" s="651">
        <v>2500</v>
      </c>
      <c r="I10" s="652"/>
      <c r="J10" s="653"/>
      <c r="K10" s="654"/>
      <c r="L10" s="653" t="s">
        <v>7</v>
      </c>
      <c r="M10" s="654"/>
      <c r="N10" s="203" t="s">
        <v>353</v>
      </c>
      <c r="O10" s="125">
        <v>1</v>
      </c>
      <c r="P10" s="27" t="s">
        <v>9</v>
      </c>
      <c r="R10" s="267"/>
      <c r="S10" s="267"/>
      <c r="V10" s="197"/>
    </row>
    <row r="11" spans="1:24" ht="18" customHeight="1">
      <c r="A11" s="196"/>
      <c r="B11" s="47" t="s">
        <v>405</v>
      </c>
      <c r="H11" s="653" t="s">
        <v>849</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t="str">
        <f>T8</f>
        <v>P743</v>
      </c>
      <c r="H19" s="28"/>
      <c r="I19" s="101" t="s">
        <v>138</v>
      </c>
      <c r="J19" s="670">
        <f>'CT-VT Burdens'!Q98</f>
        <v>0.1</v>
      </c>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0.44875935000000006</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0.5587593500000001</v>
      </c>
      <c r="K22" s="67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f>'Parameters &amp; Fault Cal. (4)'!Q10 *1000</f>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400</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0.5587593500000001</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664" t="s">
        <v>734</v>
      </c>
      <c r="J36" s="664" t="s">
        <v>138</v>
      </c>
      <c r="K36" s="885" t="s">
        <v>725</v>
      </c>
      <c r="L36" s="885"/>
      <c r="M36" s="27"/>
      <c r="N36" s="308"/>
      <c r="O36" s="234"/>
      <c r="V36" s="197"/>
    </row>
    <row r="37" spans="1:25" ht="18" customHeight="1">
      <c r="A37" s="196"/>
      <c r="D37" s="27"/>
      <c r="G37" s="27"/>
      <c r="I37" s="664"/>
      <c r="J37" s="664"/>
      <c r="K37" s="988" t="s">
        <v>735</v>
      </c>
      <c r="L37" s="988"/>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788">
        <f>S25</f>
        <v>50000</v>
      </c>
      <c r="F49" s="788"/>
      <c r="G49" s="14"/>
      <c r="H49" s="14"/>
      <c r="I49" s="102"/>
      <c r="J49" s="47"/>
      <c r="K49" s="47"/>
      <c r="L49" s="14"/>
      <c r="M49" s="14"/>
      <c r="N49" s="14"/>
      <c r="O49" s="14"/>
      <c r="P49" s="14"/>
      <c r="Q49" s="14"/>
      <c r="R49" s="14"/>
      <c r="S49" s="14"/>
      <c r="T49" s="14"/>
      <c r="U49" s="14"/>
      <c r="V49" s="197"/>
    </row>
    <row r="50" spans="1:22" ht="18" customHeight="1">
      <c r="A50" s="96"/>
      <c r="B50" s="14"/>
      <c r="C50" s="120"/>
      <c r="D50" s="28"/>
      <c r="E50" s="786" t="str">
        <f>"5 x "&amp;S26&amp;""</f>
        <v>5 x 2500</v>
      </c>
      <c r="F50" s="786"/>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86">
        <f>S25/5/S26</f>
        <v>4</v>
      </c>
      <c r="F52" s="678"/>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664" t="s">
        <v>747</v>
      </c>
      <c r="F55" s="664">
        <v>1</v>
      </c>
      <c r="G55" s="664"/>
      <c r="H55" s="664" t="s">
        <v>323</v>
      </c>
      <c r="I55" s="472" t="s">
        <v>323</v>
      </c>
      <c r="J55" s="120"/>
      <c r="K55" s="28"/>
      <c r="L55" s="120"/>
      <c r="M55" s="28"/>
      <c r="N55" s="120"/>
      <c r="O55" s="28"/>
      <c r="P55" s="120"/>
      <c r="Q55" s="308"/>
      <c r="V55" s="197"/>
    </row>
    <row r="56" spans="1:22" ht="18" customHeight="1">
      <c r="A56" s="96"/>
      <c r="C56" s="14"/>
      <c r="D56" s="14"/>
      <c r="E56" s="987"/>
      <c r="F56" s="285"/>
      <c r="G56" s="286" t="s">
        <v>748</v>
      </c>
      <c r="H56" s="664"/>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696">
        <v>1</v>
      </c>
      <c r="G58" s="696"/>
      <c r="H58" s="696"/>
      <c r="I58" s="27"/>
      <c r="J58" s="664" t="s">
        <v>326</v>
      </c>
      <c r="K58" s="991">
        <v>15</v>
      </c>
      <c r="L58" s="120"/>
      <c r="M58" s="28"/>
      <c r="N58" s="120"/>
      <c r="O58" s="28"/>
      <c r="P58" s="120"/>
      <c r="Q58" s="308"/>
      <c r="V58" s="197"/>
    </row>
    <row r="59" spans="1:22" ht="18" customHeight="1">
      <c r="A59" s="96"/>
      <c r="C59" s="120"/>
      <c r="D59" s="120" t="s">
        <v>749</v>
      </c>
      <c r="E59" s="102" t="s">
        <v>138</v>
      </c>
      <c r="F59" s="30" t="s">
        <v>750</v>
      </c>
      <c r="I59" s="27"/>
      <c r="J59" s="665"/>
      <c r="K59" s="989"/>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92">
        <f>1*K58/(2*3.14*50)</f>
        <v>4.7770700636942678E-2</v>
      </c>
      <c r="G61" s="992"/>
      <c r="H61" s="28" t="s">
        <v>751</v>
      </c>
      <c r="I61" s="27"/>
      <c r="J61" s="120"/>
      <c r="K61" s="28"/>
      <c r="L61" s="120"/>
      <c r="M61" s="28"/>
      <c r="N61" s="120"/>
      <c r="O61" s="28"/>
      <c r="P61" s="120"/>
      <c r="Q61" s="308"/>
      <c r="V61" s="197"/>
    </row>
    <row r="62" spans="1:22" ht="17.399999999999999" customHeight="1">
      <c r="A62" s="96"/>
      <c r="C62" s="120"/>
      <c r="D62" s="120" t="s">
        <v>749</v>
      </c>
      <c r="E62" s="230" t="s">
        <v>138</v>
      </c>
      <c r="F62" s="993">
        <f>F61*1000</f>
        <v>47.770700636942678</v>
      </c>
      <c r="G62" s="993"/>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669">
        <f>S29</f>
        <v>5</v>
      </c>
      <c r="G74" s="669"/>
      <c r="H74" s="102" t="s">
        <v>358</v>
      </c>
      <c r="I74" s="230">
        <f>S30</f>
        <v>0.5587593500000001</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55.687593499999998</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89">
        <f>0.8*D75</f>
        <v>44.550074800000004</v>
      </c>
      <c r="O78" s="989"/>
      <c r="V78" s="197"/>
    </row>
    <row r="79" spans="1:22" ht="17.399999999999999" customHeight="1">
      <c r="A79" s="196"/>
      <c r="B79" s="7"/>
      <c r="E79" s="14"/>
      <c r="F79" s="14" t="s">
        <v>763</v>
      </c>
      <c r="G79" s="7"/>
      <c r="L79" s="28" t="s">
        <v>138</v>
      </c>
      <c r="N79" s="940">
        <f>N78*1.2</f>
        <v>53.460089760000002</v>
      </c>
      <c r="O79" s="940"/>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668">
        <f>S28</f>
        <v>750</v>
      </c>
      <c r="J81" s="668"/>
      <c r="K81" s="27"/>
      <c r="L81" s="27" t="str">
        <f>IF(I81&gt;=M81,"&gt;","&lt;")</f>
        <v>&gt;</v>
      </c>
      <c r="M81" s="668">
        <f>N79</f>
        <v>53.460089760000002</v>
      </c>
      <c r="N81" s="668"/>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681" t="str">
        <f>B7</f>
        <v>T1</v>
      </c>
      <c r="C88" s="682"/>
      <c r="D88" s="695" t="str">
        <f>D7</f>
        <v>Core5</v>
      </c>
      <c r="E88" s="990"/>
      <c r="F88" s="468"/>
      <c r="H88" s="665">
        <f>H7</f>
        <v>0</v>
      </c>
      <c r="I88" s="665"/>
      <c r="J88" s="665"/>
      <c r="K88" s="665"/>
      <c r="L88" s="665"/>
      <c r="M88" s="665"/>
      <c r="P88" s="198"/>
      <c r="S88" s="199" t="s">
        <v>398</v>
      </c>
      <c r="T88" s="681" t="str">
        <f>T7</f>
        <v>REB500</v>
      </c>
      <c r="U88" s="682"/>
      <c r="V88" s="197"/>
    </row>
    <row r="89" spans="1:23" ht="18" hidden="1" customHeight="1">
      <c r="A89" s="469"/>
      <c r="F89" s="468"/>
      <c r="T89" s="994" t="str">
        <f>T8</f>
        <v>P743</v>
      </c>
      <c r="U89" s="995"/>
      <c r="V89" s="197"/>
      <c r="W89" s="30" t="str">
        <f>M161</f>
        <v>Required Vk</v>
      </c>
    </row>
    <row r="90" spans="1:23" ht="18" hidden="1" customHeight="1">
      <c r="A90" s="196"/>
      <c r="H90" s="696" t="s">
        <v>401</v>
      </c>
      <c r="I90" s="696"/>
      <c r="J90" s="666" t="s">
        <v>402</v>
      </c>
      <c r="K90" s="666"/>
      <c r="L90" s="667" t="s">
        <v>403</v>
      </c>
      <c r="M90" s="667"/>
      <c r="T90" s="994">
        <f>T9</f>
        <v>0</v>
      </c>
      <c r="U90" s="995"/>
      <c r="V90" s="197"/>
    </row>
    <row r="91" spans="1:23" ht="18" hidden="1" customHeight="1">
      <c r="A91" s="196"/>
      <c r="B91" s="47" t="s">
        <v>404</v>
      </c>
      <c r="H91" s="681">
        <f>H10</f>
        <v>2500</v>
      </c>
      <c r="I91" s="682"/>
      <c r="J91" s="681">
        <f>J10</f>
        <v>0</v>
      </c>
      <c r="K91" s="682"/>
      <c r="L91" s="681" t="str">
        <f>L10</f>
        <v>-</v>
      </c>
      <c r="M91" s="682"/>
      <c r="N91" s="203" t="s">
        <v>353</v>
      </c>
      <c r="O91" s="501">
        <f>O10</f>
        <v>1</v>
      </c>
      <c r="P91" s="27" t="s">
        <v>9</v>
      </c>
      <c r="R91" s="267"/>
      <c r="S91" s="267"/>
      <c r="V91" s="197"/>
    </row>
    <row r="92" spans="1:23" ht="18" hidden="1" customHeight="1">
      <c r="A92" s="196"/>
      <c r="B92" s="47" t="s">
        <v>405</v>
      </c>
      <c r="H92" s="14"/>
      <c r="I92" s="14"/>
      <c r="J92" s="681" t="str">
        <f>H11</f>
        <v>PX-B</v>
      </c>
      <c r="K92" s="682"/>
      <c r="L92" s="14"/>
      <c r="M92" s="14"/>
      <c r="V92" s="197"/>
    </row>
    <row r="93" spans="1:23" ht="18" hidden="1" customHeight="1">
      <c r="A93" s="196"/>
      <c r="B93" s="47" t="s">
        <v>407</v>
      </c>
      <c r="I93" s="120" t="s">
        <v>508</v>
      </c>
      <c r="J93" s="653">
        <v>9.3000000000000007</v>
      </c>
      <c r="K93" s="654"/>
      <c r="L93" s="204" t="s">
        <v>344</v>
      </c>
      <c r="V93" s="197"/>
    </row>
    <row r="94" spans="1:23" ht="18" hidden="1" customHeight="1">
      <c r="A94" s="196"/>
      <c r="B94" s="47" t="s">
        <v>409</v>
      </c>
      <c r="I94" s="120" t="s">
        <v>509</v>
      </c>
      <c r="J94" s="653">
        <v>500</v>
      </c>
      <c r="K94" s="654"/>
      <c r="L94" s="14" t="s">
        <v>316</v>
      </c>
      <c r="T94" s="307"/>
      <c r="U94" s="18"/>
      <c r="V94" s="197"/>
    </row>
    <row r="95" spans="1:23" ht="18" hidden="1" customHeight="1">
      <c r="A95" s="196"/>
      <c r="B95" s="14" t="s">
        <v>412</v>
      </c>
      <c r="I95" s="120" t="s">
        <v>413</v>
      </c>
      <c r="J95" s="653">
        <v>60</v>
      </c>
      <c r="K95" s="654"/>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678">
        <f>J18</f>
        <v>0.01</v>
      </c>
      <c r="K99" s="679"/>
      <c r="L99" s="3" t="s">
        <v>168</v>
      </c>
      <c r="N99" s="209" t="s">
        <v>521</v>
      </c>
      <c r="V99" s="197"/>
    </row>
    <row r="100" spans="1:25" ht="18" hidden="1" customHeight="1">
      <c r="A100" s="196"/>
      <c r="B100" s="96" t="s">
        <v>416</v>
      </c>
      <c r="C100" s="14"/>
      <c r="D100" s="47" t="str">
        <f>T89</f>
        <v>P743</v>
      </c>
      <c r="H100" s="28"/>
      <c r="I100" s="101" t="s">
        <v>138</v>
      </c>
      <c r="J100" s="678">
        <f>J19</f>
        <v>0.1</v>
      </c>
      <c r="K100" s="679"/>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678">
        <f>J20</f>
        <v>0</v>
      </c>
      <c r="K101" s="679"/>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701">
        <f>J21</f>
        <v>0.44875935000000006</v>
      </c>
      <c r="K102" s="702"/>
      <c r="L102" s="309" t="s">
        <v>168</v>
      </c>
      <c r="O102" s="27" t="s">
        <v>138</v>
      </c>
      <c r="P102" s="668">
        <f>P101*R101*T101</f>
        <v>9.3000000000000007</v>
      </c>
      <c r="Q102" s="665"/>
      <c r="R102" s="27" t="s">
        <v>168</v>
      </c>
      <c r="V102" s="197"/>
    </row>
    <row r="103" spans="1:25" ht="18" hidden="1" customHeight="1">
      <c r="A103" s="196"/>
      <c r="B103" s="1" t="s">
        <v>424</v>
      </c>
      <c r="C103" s="2"/>
      <c r="D103" s="2"/>
      <c r="E103" s="2"/>
      <c r="F103" s="208"/>
      <c r="G103" s="208"/>
      <c r="H103" s="236" t="s">
        <v>523</v>
      </c>
      <c r="I103" s="195" t="s">
        <v>138</v>
      </c>
      <c r="J103" s="678">
        <f>SUM(J99:J102)</f>
        <v>0.5587593500000001</v>
      </c>
      <c r="K103" s="679"/>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664">
        <v>31500</v>
      </c>
      <c r="T106" s="664"/>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664">
        <f>J91</f>
        <v>0</v>
      </c>
      <c r="T107" s="664"/>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664">
        <v>33</v>
      </c>
      <c r="T108" s="664"/>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664">
        <f>J94</f>
        <v>500</v>
      </c>
      <c r="T109" s="664"/>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669">
        <f>P102</f>
        <v>9.3000000000000007</v>
      </c>
      <c r="T110" s="664"/>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669">
        <f>J103</f>
        <v>0.5587593500000001</v>
      </c>
      <c r="T111" s="664"/>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664">
        <f>O91</f>
        <v>1</v>
      </c>
      <c r="T112" s="664"/>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664">
        <v>50</v>
      </c>
      <c r="T113" s="664"/>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664" t="s">
        <v>734</v>
      </c>
      <c r="J117" s="664" t="s">
        <v>138</v>
      </c>
      <c r="K117" s="885" t="s">
        <v>725</v>
      </c>
      <c r="L117" s="885"/>
      <c r="M117" s="27"/>
      <c r="N117" s="308"/>
      <c r="O117" s="234"/>
      <c r="V117" s="197"/>
    </row>
    <row r="118" spans="1:22" ht="18" hidden="1" customHeight="1">
      <c r="A118" s="180"/>
      <c r="D118" s="27"/>
      <c r="G118" s="27"/>
      <c r="I118" s="664"/>
      <c r="J118" s="664"/>
      <c r="K118" s="988" t="s">
        <v>735</v>
      </c>
      <c r="L118" s="988"/>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788">
        <f>S106</f>
        <v>31500</v>
      </c>
      <c r="F131" s="788"/>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786" t="str">
        <f>"5 x "&amp;S107&amp;""</f>
        <v>5 x 0</v>
      </c>
      <c r="F132" s="786"/>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86" t="e">
        <f>S106/5/S107</f>
        <v>#DIV/0!</v>
      </c>
      <c r="F134" s="678"/>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664" t="s">
        <v>747</v>
      </c>
      <c r="F137" s="664">
        <v>1</v>
      </c>
      <c r="G137" s="664"/>
      <c r="H137" s="664" t="s">
        <v>323</v>
      </c>
      <c r="I137" s="472" t="s">
        <v>323</v>
      </c>
      <c r="J137" s="120"/>
      <c r="K137" s="28"/>
      <c r="L137" s="120"/>
      <c r="M137" s="28"/>
      <c r="N137" s="120"/>
      <c r="O137" s="28"/>
      <c r="P137" s="120"/>
      <c r="Q137" s="308"/>
      <c r="V137" s="197"/>
    </row>
    <row r="138" spans="1:22" ht="18" hidden="1" customHeight="1">
      <c r="A138" s="96"/>
      <c r="C138" s="14"/>
      <c r="D138" s="14"/>
      <c r="E138" s="987"/>
      <c r="F138" s="285"/>
      <c r="G138" s="286" t="s">
        <v>748</v>
      </c>
      <c r="H138" s="664"/>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696">
        <v>1</v>
      </c>
      <c r="G142" s="696"/>
      <c r="H142" s="696"/>
      <c r="I142" s="27"/>
      <c r="J142" s="664" t="s">
        <v>326</v>
      </c>
      <c r="K142" s="991" t="e">
        <f>O140</f>
        <v>#REF!</v>
      </c>
      <c r="L142" s="120"/>
      <c r="M142" s="28"/>
      <c r="N142" s="120"/>
      <c r="O142" s="28"/>
      <c r="P142" s="120"/>
      <c r="Q142" s="308"/>
      <c r="V142" s="197"/>
    </row>
    <row r="143" spans="1:22" ht="18" hidden="1" customHeight="1">
      <c r="A143" s="196"/>
      <c r="C143" s="120"/>
      <c r="D143" s="120" t="s">
        <v>749</v>
      </c>
      <c r="E143" s="102" t="s">
        <v>138</v>
      </c>
      <c r="F143" s="14" t="s">
        <v>750</v>
      </c>
      <c r="I143" s="27"/>
      <c r="J143" s="665"/>
      <c r="K143" s="989"/>
      <c r="L143" s="120"/>
      <c r="M143" s="28"/>
      <c r="N143" s="120"/>
      <c r="O143" s="28"/>
      <c r="P143" s="120"/>
      <c r="Q143" s="308"/>
      <c r="V143" s="197"/>
    </row>
    <row r="144" spans="1:22" ht="18" hidden="1" customHeight="1">
      <c r="A144" s="196"/>
      <c r="C144" s="120"/>
      <c r="D144" s="28"/>
      <c r="E144" s="230" t="s">
        <v>138</v>
      </c>
      <c r="F144" s="992" t="e">
        <f>1*O140/(2*3.14*50)</f>
        <v>#REF!</v>
      </c>
      <c r="G144" s="992"/>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93" t="e">
        <f>F144*1000</f>
        <v>#REF!</v>
      </c>
      <c r="G145" s="993"/>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93" t="e">
        <f>MAX(E134,F146)</f>
        <v>#DIV/0!</v>
      </c>
      <c r="F151" s="993"/>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669">
        <f>S110</f>
        <v>9.3000000000000007</v>
      </c>
      <c r="G155" s="669"/>
      <c r="H155" s="102" t="s">
        <v>358</v>
      </c>
      <c r="I155" s="230">
        <f>S111</f>
        <v>0.5587593500000001</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89" t="e">
        <f>0.8*D156</f>
        <v>#DIV/0!</v>
      </c>
      <c r="O159" s="989"/>
      <c r="V159" s="197"/>
    </row>
    <row r="160" spans="1:22" ht="18" hidden="1" customHeight="1">
      <c r="A160" s="196"/>
      <c r="B160" s="7"/>
      <c r="E160" s="14"/>
      <c r="F160" s="14" t="s">
        <v>763</v>
      </c>
      <c r="G160" s="7"/>
      <c r="L160" s="28" t="s">
        <v>138</v>
      </c>
      <c r="N160" s="940" t="e">
        <f>N159*1.2</f>
        <v>#DIV/0!</v>
      </c>
      <c r="O160" s="940"/>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668">
        <f>S109</f>
        <v>500</v>
      </c>
      <c r="K162" s="668"/>
      <c r="L162" s="27" t="e">
        <f>IF(J162&gt;=M162,"&gt;","&lt;")</f>
        <v>#DIV/0!</v>
      </c>
      <c r="M162" s="668" t="e">
        <f>N160</f>
        <v>#DIV/0!</v>
      </c>
      <c r="N162" s="668"/>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08" t="str">
        <f>B88</f>
        <v>T1</v>
      </c>
      <c r="C170" s="709"/>
      <c r="D170" s="708" t="str">
        <f>D88</f>
        <v>Core5</v>
      </c>
      <c r="E170" s="709"/>
      <c r="F170" s="468"/>
      <c r="H170" s="665">
        <f>H88</f>
        <v>0</v>
      </c>
      <c r="I170" s="665"/>
      <c r="J170" s="665"/>
      <c r="K170" s="665"/>
      <c r="L170" s="665"/>
      <c r="M170" s="665"/>
      <c r="P170" s="198"/>
      <c r="S170" s="199" t="s">
        <v>398</v>
      </c>
      <c r="T170" s="708" t="str">
        <f>T88</f>
        <v>REB500</v>
      </c>
      <c r="U170" s="709"/>
      <c r="V170" s="197"/>
    </row>
    <row r="171" spans="1:23" ht="18" hidden="1" customHeight="1">
      <c r="A171" s="469"/>
      <c r="F171" s="468"/>
      <c r="T171" s="708" t="str">
        <f>T89</f>
        <v>P743</v>
      </c>
      <c r="U171" s="709"/>
      <c r="V171" s="197"/>
      <c r="W171" s="30" t="e">
        <f>G236</f>
        <v>#VALUE!</v>
      </c>
    </row>
    <row r="172" spans="1:23" ht="18" hidden="1" customHeight="1">
      <c r="A172" s="196"/>
      <c r="H172" s="696" t="s">
        <v>401</v>
      </c>
      <c r="I172" s="696"/>
      <c r="J172" s="696" t="s">
        <v>402</v>
      </c>
      <c r="K172" s="696"/>
      <c r="L172" s="666" t="s">
        <v>403</v>
      </c>
      <c r="M172" s="666"/>
      <c r="T172" s="708">
        <f>T90</f>
        <v>0</v>
      </c>
      <c r="U172" s="709"/>
      <c r="V172" s="197"/>
    </row>
    <row r="173" spans="1:23" ht="18" hidden="1" customHeight="1">
      <c r="A173" s="196"/>
      <c r="B173" s="47" t="s">
        <v>404</v>
      </c>
      <c r="H173" s="708">
        <f>H91</f>
        <v>2500</v>
      </c>
      <c r="I173" s="709"/>
      <c r="J173" s="708">
        <f>J91</f>
        <v>0</v>
      </c>
      <c r="K173" s="709"/>
      <c r="L173" s="714" t="str">
        <f>L91</f>
        <v>-</v>
      </c>
      <c r="M173" s="715"/>
      <c r="N173" s="203" t="s">
        <v>353</v>
      </c>
      <c r="O173" s="268">
        <f>O91</f>
        <v>1</v>
      </c>
      <c r="P173" s="27" t="s">
        <v>9</v>
      </c>
      <c r="R173" s="267"/>
      <c r="S173" s="267"/>
      <c r="V173" s="197"/>
    </row>
    <row r="174" spans="1:23" ht="18" hidden="1" customHeight="1">
      <c r="A174" s="196"/>
      <c r="B174" s="47" t="s">
        <v>405</v>
      </c>
      <c r="H174" s="14"/>
      <c r="K174" s="14"/>
      <c r="L174" s="708" t="str">
        <f>J92</f>
        <v>PX-B</v>
      </c>
      <c r="M174" s="709"/>
      <c r="N174" s="14"/>
      <c r="V174" s="197"/>
    </row>
    <row r="175" spans="1:23" ht="18" hidden="1" customHeight="1">
      <c r="A175" s="196"/>
      <c r="B175" s="47" t="s">
        <v>407</v>
      </c>
      <c r="K175" s="120" t="s">
        <v>508</v>
      </c>
      <c r="L175" s="653" t="s">
        <v>7</v>
      </c>
      <c r="M175" s="654"/>
      <c r="N175" s="204" t="s">
        <v>344</v>
      </c>
      <c r="V175" s="197"/>
    </row>
    <row r="176" spans="1:23" ht="18" hidden="1" customHeight="1">
      <c r="A176" s="196"/>
      <c r="B176" s="47" t="s">
        <v>409</v>
      </c>
      <c r="K176" s="120" t="s">
        <v>509</v>
      </c>
      <c r="L176" s="653" t="s">
        <v>7</v>
      </c>
      <c r="M176" s="654"/>
      <c r="N176" s="14" t="s">
        <v>316</v>
      </c>
      <c r="V176" s="197"/>
    </row>
    <row r="177" spans="1:25" ht="18" hidden="1" customHeight="1">
      <c r="A177" s="196"/>
      <c r="B177" s="14" t="s">
        <v>412</v>
      </c>
      <c r="K177" s="120" t="s">
        <v>413</v>
      </c>
      <c r="L177" s="653" t="s">
        <v>7</v>
      </c>
      <c r="M177" s="654"/>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678">
        <f>J99</f>
        <v>0.01</v>
      </c>
      <c r="K181" s="679"/>
      <c r="L181" s="3" t="s">
        <v>168</v>
      </c>
      <c r="N181" s="209" t="s">
        <v>521</v>
      </c>
      <c r="V181" s="197"/>
    </row>
    <row r="182" spans="1:25" ht="18" hidden="1" customHeight="1">
      <c r="A182" s="196"/>
      <c r="B182" s="96" t="s">
        <v>416</v>
      </c>
      <c r="C182" s="14"/>
      <c r="D182" s="47" t="str">
        <f>T171</f>
        <v>P743</v>
      </c>
      <c r="H182" s="28"/>
      <c r="I182" s="101" t="s">
        <v>138</v>
      </c>
      <c r="J182" s="678">
        <f>J100</f>
        <v>0.1</v>
      </c>
      <c r="K182" s="679"/>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678">
        <f>J101</f>
        <v>0</v>
      </c>
      <c r="K183" s="679"/>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701">
        <f>J102</f>
        <v>0.44875935000000006</v>
      </c>
      <c r="K184" s="702"/>
      <c r="L184" s="309" t="s">
        <v>168</v>
      </c>
      <c r="O184" s="27" t="s">
        <v>138</v>
      </c>
      <c r="P184" s="668" t="e">
        <f>P183*R183*T183</f>
        <v>#VALUE!</v>
      </c>
      <c r="Q184" s="665"/>
      <c r="R184" s="27" t="s">
        <v>168</v>
      </c>
      <c r="V184" s="197"/>
    </row>
    <row r="185" spans="1:25" ht="18" hidden="1" customHeight="1">
      <c r="A185" s="196"/>
      <c r="B185" s="1" t="s">
        <v>424</v>
      </c>
      <c r="C185" s="2"/>
      <c r="D185" s="2"/>
      <c r="E185" s="2"/>
      <c r="F185" s="208"/>
      <c r="G185" s="208"/>
      <c r="H185" s="236" t="s">
        <v>523</v>
      </c>
      <c r="I185" s="195" t="s">
        <v>138</v>
      </c>
      <c r="J185" s="678">
        <f>SUM(J181:J184)</f>
        <v>0.5587593500000001</v>
      </c>
      <c r="K185" s="679"/>
      <c r="L185" s="3" t="s">
        <v>168</v>
      </c>
      <c r="V185" s="197"/>
    </row>
    <row r="186" spans="1:25" ht="18" hidden="1" customHeight="1">
      <c r="A186" s="196"/>
      <c r="B186" s="47"/>
      <c r="C186" s="47"/>
      <c r="D186" s="47"/>
      <c r="E186" s="47"/>
      <c r="H186" s="27"/>
      <c r="I186" s="28"/>
      <c r="J186" s="211"/>
      <c r="L186" s="47"/>
      <c r="S186" s="27"/>
      <c r="V186" s="197"/>
    </row>
    <row r="187" spans="1:25" ht="18" hidden="1" customHeight="1">
      <c r="A187" s="971" t="s">
        <v>547</v>
      </c>
      <c r="B187" s="972"/>
      <c r="C187" s="972"/>
      <c r="D187" s="972"/>
      <c r="E187" s="972"/>
      <c r="F187" s="972"/>
      <c r="G187" s="972"/>
      <c r="H187" s="972"/>
      <c r="I187" s="972"/>
      <c r="J187" s="972"/>
      <c r="K187" s="972"/>
      <c r="L187" s="972"/>
      <c r="M187" s="972"/>
      <c r="N187" s="972"/>
      <c r="O187" s="972"/>
      <c r="P187" s="972"/>
      <c r="Q187" s="972"/>
      <c r="R187" s="972"/>
      <c r="S187" s="972"/>
      <c r="T187" s="972"/>
      <c r="U187" s="972"/>
      <c r="V187" s="973"/>
    </row>
    <row r="188" spans="1:25" ht="18" hidden="1" customHeight="1">
      <c r="A188" s="974"/>
      <c r="B188" s="972"/>
      <c r="C188" s="972"/>
      <c r="D188" s="972"/>
      <c r="E188" s="972"/>
      <c r="F188" s="972"/>
      <c r="G188" s="972"/>
      <c r="H188" s="972"/>
      <c r="I188" s="972"/>
      <c r="J188" s="972"/>
      <c r="K188" s="972"/>
      <c r="L188" s="972"/>
      <c r="M188" s="972"/>
      <c r="N188" s="972"/>
      <c r="O188" s="972"/>
      <c r="P188" s="972"/>
      <c r="Q188" s="972"/>
      <c r="R188" s="972"/>
      <c r="S188" s="972"/>
      <c r="T188" s="972"/>
      <c r="U188" s="972"/>
      <c r="V188" s="973"/>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664" t="s">
        <v>484</v>
      </c>
      <c r="I192" s="936"/>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664">
        <f>S112</f>
        <v>1</v>
      </c>
      <c r="T194" s="664"/>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664" t="str">
        <f>L173</f>
        <v>-</v>
      </c>
      <c r="T195" s="664"/>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664" t="str">
        <f>L176</f>
        <v>-</v>
      </c>
      <c r="T196" s="664"/>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669" t="e">
        <f>P184</f>
        <v>#VALUE!</v>
      </c>
      <c r="T197" s="664"/>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669">
        <f>J185</f>
        <v>0.5587593500000001</v>
      </c>
      <c r="T198" s="664"/>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664">
        <f>O173</f>
        <v>1</v>
      </c>
      <c r="T199" s="664"/>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664">
        <v>20</v>
      </c>
      <c r="T200" s="664"/>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664" t="s">
        <v>484</v>
      </c>
      <c r="I203" s="936"/>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665" t="str">
        <f>S196</f>
        <v>-</v>
      </c>
      <c r="I204" s="987"/>
      <c r="J204" s="27" t="s">
        <v>326</v>
      </c>
      <c r="K204" s="27">
        <f>S199</f>
        <v>1</v>
      </c>
      <c r="L204" s="27" t="s">
        <v>552</v>
      </c>
      <c r="M204" s="27">
        <f>S200</f>
        <v>20</v>
      </c>
      <c r="N204" s="308" t="s">
        <v>553</v>
      </c>
      <c r="O204" s="234" t="e">
        <f>S197</f>
        <v>#VALUE!</v>
      </c>
      <c r="V204" s="197"/>
    </row>
    <row r="205" spans="1:25" ht="18" hidden="1" customHeight="1">
      <c r="A205" s="196"/>
      <c r="D205" s="27" t="s">
        <v>138</v>
      </c>
      <c r="E205" s="665" t="e">
        <f>((F204*H204*K204)/M204)-O204</f>
        <v>#VALUE!</v>
      </c>
      <c r="F205" s="665"/>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665" t="s">
        <v>436</v>
      </c>
      <c r="N222" s="665"/>
      <c r="O222" s="27" t="s">
        <v>780</v>
      </c>
      <c r="P222" s="27">
        <v>5</v>
      </c>
      <c r="Q222" s="28" t="s">
        <v>326</v>
      </c>
      <c r="R222" s="665" t="s">
        <v>434</v>
      </c>
      <c r="S222" s="665"/>
      <c r="T222" s="14" t="s">
        <v>361</v>
      </c>
      <c r="U222" s="14"/>
      <c r="V222" s="197"/>
    </row>
    <row r="223" spans="1:22" ht="18" hidden="1" customHeight="1">
      <c r="A223" s="96"/>
      <c r="B223" s="14"/>
      <c r="C223" s="14"/>
      <c r="L223" s="27" t="s">
        <v>138</v>
      </c>
      <c r="M223" s="665">
        <f>S194</f>
        <v>1</v>
      </c>
      <c r="N223" s="665"/>
      <c r="O223" s="27" t="s">
        <v>780</v>
      </c>
      <c r="P223" s="27">
        <v>5</v>
      </c>
      <c r="Q223" s="28" t="s">
        <v>326</v>
      </c>
      <c r="R223" s="665" t="str">
        <f>S195</f>
        <v>-</v>
      </c>
      <c r="S223" s="665"/>
      <c r="T223" s="14" t="s">
        <v>361</v>
      </c>
      <c r="U223" s="14"/>
      <c r="V223" s="197"/>
    </row>
    <row r="224" spans="1:22" ht="18" hidden="1" customHeight="1">
      <c r="A224" s="96"/>
      <c r="B224" s="14"/>
      <c r="C224" s="14"/>
      <c r="D224" s="14"/>
      <c r="E224" s="120"/>
      <c r="F224" s="28"/>
      <c r="L224" s="27" t="s">
        <v>138</v>
      </c>
      <c r="M224" s="664" t="e">
        <f>M223/(P223*R223)</f>
        <v>#VALUE!</v>
      </c>
      <c r="N224" s="665"/>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669" t="e">
        <f>'[2]Parameters &amp; Fault Cal.'!Q184</f>
        <v>#REF!</v>
      </c>
      <c r="I226" s="665"/>
      <c r="J226" s="30" t="s">
        <v>542</v>
      </c>
      <c r="K226" s="28" t="s">
        <v>771</v>
      </c>
      <c r="L226" s="230" t="s">
        <v>138</v>
      </c>
      <c r="M226" s="669" t="e">
        <f>IF(H226&lt;=120,M219,M220)</f>
        <v>#REF!</v>
      </c>
      <c r="N226" s="665"/>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0.5587593500000001</v>
      </c>
      <c r="Q229" s="474" t="s">
        <v>361</v>
      </c>
      <c r="V229" s="197"/>
    </row>
    <row r="230" spans="1:22" ht="18" hidden="1" customHeight="1">
      <c r="A230" s="196"/>
      <c r="G230" s="27" t="s">
        <v>138</v>
      </c>
      <c r="H230" s="668" t="e">
        <f>H229*((J229+L229)/(N229+P229))</f>
        <v>#VALUE!</v>
      </c>
      <c r="I230" s="668"/>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668" t="e">
        <f>H230</f>
        <v>#VALUE!</v>
      </c>
      <c r="E234" s="665"/>
      <c r="F234" s="27" t="e">
        <f>IF(D234&gt;=G234,"&gt;","&lt;")</f>
        <v>#VALUE!</v>
      </c>
      <c r="G234" s="668" t="e">
        <f>M224</f>
        <v>#VALUE!</v>
      </c>
      <c r="H234" s="665"/>
      <c r="I234" s="18"/>
      <c r="J234" s="280" t="s">
        <v>769</v>
      </c>
      <c r="V234" s="197"/>
    </row>
    <row r="235" spans="1:22" ht="18" hidden="1" customHeight="1">
      <c r="A235" s="196"/>
      <c r="D235" s="668" t="e">
        <f>H230</f>
        <v>#VALUE!</v>
      </c>
      <c r="E235" s="665"/>
      <c r="F235" s="27" t="e">
        <f>IF(D235&gt;=G235,"&gt;","&lt;")</f>
        <v>#VALUE!</v>
      </c>
      <c r="G235" s="668" t="e">
        <f>M226</f>
        <v>#REF!</v>
      </c>
      <c r="H235" s="665"/>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664">
        <f>H10</f>
        <v>2500</v>
      </c>
      <c r="T256" s="664"/>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83">
        <f>'Parameters &amp; Fault Cal. (4)'!Q10 *1000</f>
        <v>50000</v>
      </c>
      <c r="T257" s="984"/>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669">
        <f>S257/S26*O10</f>
        <v>20</v>
      </c>
      <c r="T258" s="669"/>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669">
        <f>J22/O10*O10</f>
        <v>0.5587593500000001</v>
      </c>
      <c r="T259" s="669"/>
      <c r="U259" s="204" t="s">
        <v>344</v>
      </c>
      <c r="V259" s="197"/>
      <c r="X259" s="291"/>
      <c r="Y259" s="291"/>
    </row>
    <row r="260" spans="1:25" ht="18" customHeight="1">
      <c r="A260" s="180"/>
      <c r="B260" s="5"/>
      <c r="C260" s="47" t="s">
        <v>857</v>
      </c>
      <c r="Q260" s="120" t="s">
        <v>858</v>
      </c>
      <c r="R260" s="28" t="s">
        <v>138</v>
      </c>
      <c r="S260" s="983">
        <f>20*S26</f>
        <v>50000</v>
      </c>
      <c r="T260" s="984"/>
      <c r="U260" s="14" t="s">
        <v>9</v>
      </c>
      <c r="V260" s="197"/>
      <c r="X260" s="291"/>
      <c r="Y260" s="291"/>
    </row>
    <row r="261" spans="1:25" ht="18" customHeight="1">
      <c r="A261" s="311"/>
      <c r="B261" s="291"/>
      <c r="C261" s="47" t="s">
        <v>859</v>
      </c>
      <c r="Q261" s="256" t="s">
        <v>860</v>
      </c>
      <c r="R261" s="28" t="s">
        <v>138</v>
      </c>
      <c r="S261" s="668">
        <f>S260/S26</f>
        <v>20</v>
      </c>
      <c r="T261" s="668"/>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664" t="s">
        <v>484</v>
      </c>
      <c r="C267" s="664"/>
      <c r="D267" s="28" t="s">
        <v>862</v>
      </c>
      <c r="E267" s="28">
        <v>0.5</v>
      </c>
      <c r="F267" s="28" t="s">
        <v>326</v>
      </c>
      <c r="G267" s="664" t="s">
        <v>855</v>
      </c>
      <c r="H267" s="664"/>
      <c r="I267" s="28" t="s">
        <v>683</v>
      </c>
      <c r="J267" s="664" t="s">
        <v>431</v>
      </c>
      <c r="K267" s="664"/>
      <c r="L267" s="28" t="s">
        <v>358</v>
      </c>
      <c r="M267" s="664" t="s">
        <v>700</v>
      </c>
      <c r="N267" s="664"/>
      <c r="O267" s="14" t="s">
        <v>361</v>
      </c>
      <c r="P267" s="14"/>
      <c r="Q267" s="14"/>
      <c r="R267" s="14"/>
      <c r="T267" s="14"/>
      <c r="U267" s="14"/>
      <c r="V267" s="197"/>
    </row>
    <row r="268" spans="1:25" ht="18" customHeight="1">
      <c r="A268" s="196"/>
      <c r="B268" s="14"/>
      <c r="C268" s="14"/>
      <c r="D268" s="102" t="s">
        <v>138</v>
      </c>
      <c r="E268" s="28">
        <v>0.5</v>
      </c>
      <c r="F268" s="28" t="s">
        <v>326</v>
      </c>
      <c r="G268" s="669">
        <f>S258</f>
        <v>20</v>
      </c>
      <c r="H268" s="664"/>
      <c r="I268" s="28" t="s">
        <v>683</v>
      </c>
      <c r="J268" s="669">
        <f>S29</f>
        <v>5</v>
      </c>
      <c r="K268" s="664"/>
      <c r="L268" s="28" t="s">
        <v>358</v>
      </c>
      <c r="M268" s="669">
        <f>S259</f>
        <v>0.5587593500000001</v>
      </c>
      <c r="N268" s="664"/>
      <c r="O268" s="14" t="s">
        <v>361</v>
      </c>
      <c r="S268" s="14"/>
      <c r="T268" s="14"/>
      <c r="U268" s="14"/>
      <c r="V268" s="197"/>
    </row>
    <row r="269" spans="1:25" ht="18" customHeight="1">
      <c r="A269" s="196"/>
      <c r="B269" s="14"/>
      <c r="C269" s="14"/>
      <c r="D269" s="102" t="s">
        <v>138</v>
      </c>
      <c r="E269" s="669">
        <f>E268*G268*(J268+M268)</f>
        <v>55.587593499999997</v>
      </c>
      <c r="F269" s="669"/>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664" t="s">
        <v>484</v>
      </c>
      <c r="C273" s="664"/>
      <c r="D273" s="28" t="s">
        <v>862</v>
      </c>
      <c r="E273" s="664" t="s">
        <v>860</v>
      </c>
      <c r="F273" s="664"/>
      <c r="G273" s="28" t="s">
        <v>683</v>
      </c>
      <c r="H273" s="664" t="s">
        <v>431</v>
      </c>
      <c r="I273" s="664"/>
      <c r="J273" s="28" t="s">
        <v>358</v>
      </c>
      <c r="K273" s="664" t="s">
        <v>700</v>
      </c>
      <c r="L273" s="664"/>
      <c r="M273" s="14" t="s">
        <v>361</v>
      </c>
      <c r="P273" s="14"/>
      <c r="Q273" s="14"/>
      <c r="R273" s="14"/>
      <c r="V273" s="197"/>
    </row>
    <row r="274" spans="1:22" ht="18" customHeight="1">
      <c r="A274" s="196"/>
      <c r="B274" s="14"/>
      <c r="C274" s="14"/>
      <c r="D274" s="102" t="s">
        <v>138</v>
      </c>
      <c r="E274" s="669">
        <f>S261</f>
        <v>20</v>
      </c>
      <c r="F274" s="664"/>
      <c r="G274" s="28" t="s">
        <v>683</v>
      </c>
      <c r="H274" s="669">
        <f>S29</f>
        <v>5</v>
      </c>
      <c r="I274" s="664"/>
      <c r="J274" s="28" t="s">
        <v>358</v>
      </c>
      <c r="K274" s="669">
        <f>S259</f>
        <v>0.5587593500000001</v>
      </c>
      <c r="L274" s="664"/>
      <c r="M274" s="14" t="s">
        <v>361</v>
      </c>
      <c r="N274" s="14"/>
      <c r="O274" s="14"/>
      <c r="P274" s="14"/>
      <c r="Q274" s="14"/>
      <c r="R274" s="14"/>
      <c r="V274" s="197"/>
    </row>
    <row r="275" spans="1:22" ht="18" customHeight="1">
      <c r="A275" s="196"/>
      <c r="B275" s="14"/>
      <c r="C275" s="14"/>
      <c r="D275" s="102" t="s">
        <v>138</v>
      </c>
      <c r="E275" s="669">
        <f>E274*(H274+K274)</f>
        <v>111.17518699999999</v>
      </c>
      <c r="F275" s="669"/>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41">
        <f>H13</f>
        <v>750</v>
      </c>
      <c r="F281" s="941"/>
      <c r="G281" s="28" t="str">
        <f>G280</f>
        <v>&gt;</v>
      </c>
      <c r="H281" s="669">
        <f>E269</f>
        <v>55.587593499999997</v>
      </c>
      <c r="I281" s="669"/>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41">
        <f>H13</f>
        <v>750</v>
      </c>
      <c r="F285" s="941"/>
      <c r="G285" s="28" t="str">
        <f>G284</f>
        <v>&gt;</v>
      </c>
      <c r="H285" s="669">
        <f>E275</f>
        <v>111.17518699999999</v>
      </c>
      <c r="I285" s="669"/>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16" t="s">
        <v>97</v>
      </c>
      <c r="B293" s="729"/>
      <c r="C293" s="717"/>
      <c r="D293" s="716" t="s">
        <v>98</v>
      </c>
      <c r="E293" s="729"/>
      <c r="F293" s="717"/>
      <c r="G293" s="716" t="s">
        <v>99</v>
      </c>
      <c r="H293" s="717"/>
      <c r="I293" s="716" t="s">
        <v>100</v>
      </c>
      <c r="J293" s="717"/>
      <c r="K293" s="716" t="s">
        <v>513</v>
      </c>
      <c r="L293" s="717"/>
      <c r="M293" s="716" t="s">
        <v>514</v>
      </c>
      <c r="N293" s="717"/>
      <c r="O293" s="716" t="s">
        <v>515</v>
      </c>
      <c r="P293" s="717"/>
      <c r="Q293" s="716" t="s">
        <v>516</v>
      </c>
      <c r="R293" s="717"/>
      <c r="S293" s="716" t="s">
        <v>105</v>
      </c>
      <c r="T293" s="729"/>
      <c r="U293" s="729"/>
      <c r="V293" s="717"/>
    </row>
    <row r="294" spans="1:22" ht="18" customHeight="1">
      <c r="A294" s="718"/>
      <c r="B294" s="730"/>
      <c r="C294" s="719"/>
      <c r="D294" s="718"/>
      <c r="E294" s="730"/>
      <c r="F294" s="719"/>
      <c r="G294" s="718"/>
      <c r="H294" s="719"/>
      <c r="I294" s="718"/>
      <c r="J294" s="719"/>
      <c r="K294" s="718"/>
      <c r="L294" s="719"/>
      <c r="M294" s="718"/>
      <c r="N294" s="719"/>
      <c r="O294" s="718"/>
      <c r="P294" s="719"/>
      <c r="Q294" s="718"/>
      <c r="R294" s="719"/>
      <c r="S294" s="718"/>
      <c r="T294" s="730"/>
      <c r="U294" s="730"/>
      <c r="V294" s="719"/>
    </row>
    <row r="295" spans="1:22" ht="18" customHeight="1">
      <c r="A295" s="718"/>
      <c r="B295" s="730"/>
      <c r="C295" s="719"/>
      <c r="D295" s="718"/>
      <c r="E295" s="730"/>
      <c r="F295" s="719"/>
      <c r="G295" s="718"/>
      <c r="H295" s="719"/>
      <c r="I295" s="718"/>
      <c r="J295" s="719"/>
      <c r="K295" s="718"/>
      <c r="L295" s="719"/>
      <c r="M295" s="718"/>
      <c r="N295" s="719"/>
      <c r="O295" s="718"/>
      <c r="P295" s="719"/>
      <c r="Q295" s="718"/>
      <c r="R295" s="719"/>
      <c r="S295" s="718"/>
      <c r="T295" s="730"/>
      <c r="U295" s="730"/>
      <c r="V295" s="719"/>
    </row>
    <row r="296" spans="1:22" ht="18" customHeight="1">
      <c r="A296" s="720"/>
      <c r="B296" s="731"/>
      <c r="C296" s="721"/>
      <c r="D296" s="720"/>
      <c r="E296" s="731"/>
      <c r="F296" s="721"/>
      <c r="G296" s="720"/>
      <c r="H296" s="721"/>
      <c r="I296" s="720"/>
      <c r="J296" s="721"/>
      <c r="K296" s="720"/>
      <c r="L296" s="721"/>
      <c r="M296" s="720"/>
      <c r="N296" s="721"/>
      <c r="O296" s="720"/>
      <c r="P296" s="721"/>
      <c r="Q296" s="720"/>
      <c r="R296" s="721"/>
      <c r="S296" s="720"/>
      <c r="T296" s="731"/>
      <c r="U296" s="731"/>
      <c r="V296" s="721"/>
    </row>
    <row r="297" spans="1:22" ht="18" customHeight="1">
      <c r="A297" s="733" t="str">
        <f>B7</f>
        <v>T1</v>
      </c>
      <c r="B297" s="733" t="str">
        <f>D7</f>
        <v>Core5</v>
      </c>
      <c r="C297" s="733"/>
      <c r="D297" s="732">
        <f>H10</f>
        <v>2500</v>
      </c>
      <c r="E297" s="732"/>
      <c r="F297" s="734">
        <f>O10</f>
        <v>1</v>
      </c>
      <c r="G297" s="732">
        <f>'CT-VT Burdens'!S19</f>
        <v>50</v>
      </c>
      <c r="H297" s="794">
        <f>'CT-VT Burdens'!S10</f>
        <v>6</v>
      </c>
      <c r="I297" s="794" t="str">
        <f>H11</f>
        <v>PX-B</v>
      </c>
      <c r="J297" s="794" t="e">
        <f>#REF!</f>
        <v>#REF!</v>
      </c>
      <c r="K297" s="728">
        <f>H12</f>
        <v>5</v>
      </c>
      <c r="L297" s="728"/>
      <c r="M297" s="728">
        <f>H13</f>
        <v>750</v>
      </c>
      <c r="N297" s="728"/>
      <c r="O297" s="732">
        <f>H14</f>
        <v>60</v>
      </c>
      <c r="P297" s="732"/>
      <c r="Q297" s="739" t="str">
        <f>IF(T8="",T7,IF(T9="",T7&amp;" "&amp;T8,T7&amp;" "&amp;T8&amp;" "&amp;T9))</f>
        <v>REB500 P743</v>
      </c>
      <c r="R297" s="739"/>
      <c r="S297" s="738" t="str">
        <f>M82</f>
        <v>Suitable Dimensions</v>
      </c>
      <c r="T297" s="738"/>
      <c r="U297" s="738"/>
      <c r="V297" s="738"/>
    </row>
    <row r="298" spans="1:22" ht="18" customHeight="1">
      <c r="A298" s="733"/>
      <c r="B298" s="733"/>
      <c r="C298" s="733"/>
      <c r="D298" s="732">
        <f>J10</f>
        <v>0</v>
      </c>
      <c r="E298" s="732"/>
      <c r="F298" s="735"/>
      <c r="G298" s="732"/>
      <c r="H298" s="732"/>
      <c r="I298" s="794"/>
      <c r="J298" s="794"/>
      <c r="K298" s="801" t="s">
        <v>7</v>
      </c>
      <c r="L298" s="728"/>
      <c r="M298" s="801" t="s">
        <v>7</v>
      </c>
      <c r="N298" s="728"/>
      <c r="O298" s="799" t="s">
        <v>7</v>
      </c>
      <c r="P298" s="732"/>
      <c r="Q298" s="739"/>
      <c r="R298" s="739"/>
      <c r="S298" s="978" t="str">
        <f>H288</f>
        <v>Suitably Dimentioned</v>
      </c>
      <c r="T298" s="738"/>
      <c r="U298" s="738"/>
      <c r="V298" s="738"/>
    </row>
    <row r="299" spans="1:22" ht="18" customHeight="1">
      <c r="A299" s="733"/>
      <c r="B299" s="733"/>
      <c r="C299" s="733"/>
      <c r="D299" s="732" t="str">
        <f>L10</f>
        <v>-</v>
      </c>
      <c r="E299" s="732"/>
      <c r="F299" s="736"/>
      <c r="G299" s="732"/>
      <c r="H299" s="732"/>
      <c r="I299" s="794"/>
      <c r="J299" s="794"/>
      <c r="K299" s="728" t="str">
        <f>L175</f>
        <v>-</v>
      </c>
      <c r="L299" s="728"/>
      <c r="M299" s="728" t="str">
        <f>L176</f>
        <v>-</v>
      </c>
      <c r="N299" s="728"/>
      <c r="O299" s="732" t="str">
        <f>L177</f>
        <v>-</v>
      </c>
      <c r="P299" s="732"/>
      <c r="Q299" s="739"/>
      <c r="R299" s="739"/>
      <c r="S299" s="738" t="s">
        <v>7</v>
      </c>
      <c r="T299" s="738"/>
      <c r="U299" s="738"/>
      <c r="V299" s="738"/>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49:F49"/>
    <mergeCell ref="E50:F50"/>
    <mergeCell ref="E52:F52"/>
    <mergeCell ref="E55:E56"/>
    <mergeCell ref="F55:G55"/>
    <mergeCell ref="H55:H56"/>
    <mergeCell ref="S30:T30"/>
    <mergeCell ref="S31:T31"/>
    <mergeCell ref="S32:T32"/>
    <mergeCell ref="I36:I37"/>
    <mergeCell ref="J36:J37"/>
    <mergeCell ref="K36:L36"/>
    <mergeCell ref="K37:L37"/>
    <mergeCell ref="N78:O78"/>
    <mergeCell ref="N79:O79"/>
    <mergeCell ref="I81:J81"/>
    <mergeCell ref="M81:N81"/>
    <mergeCell ref="B88:C88"/>
    <mergeCell ref="D88:E88"/>
    <mergeCell ref="H88:M88"/>
    <mergeCell ref="F58:H58"/>
    <mergeCell ref="J58:J59"/>
    <mergeCell ref="K58:K59"/>
    <mergeCell ref="F61:G61"/>
    <mergeCell ref="F62:G62"/>
    <mergeCell ref="F74:G74"/>
    <mergeCell ref="H91:I91"/>
    <mergeCell ref="J91:K91"/>
    <mergeCell ref="L91:M91"/>
    <mergeCell ref="J92:K92"/>
    <mergeCell ref="J93:K93"/>
    <mergeCell ref="J94:K94"/>
    <mergeCell ref="T88:U88"/>
    <mergeCell ref="T89:U89"/>
    <mergeCell ref="H90:I90"/>
    <mergeCell ref="J90:K90"/>
    <mergeCell ref="L90:M90"/>
    <mergeCell ref="T90:U90"/>
    <mergeCell ref="J103:K103"/>
    <mergeCell ref="S106:T106"/>
    <mergeCell ref="S107:T107"/>
    <mergeCell ref="S108:T108"/>
    <mergeCell ref="S109:T109"/>
    <mergeCell ref="S110:T110"/>
    <mergeCell ref="J95:K95"/>
    <mergeCell ref="J99:K99"/>
    <mergeCell ref="J100:K100"/>
    <mergeCell ref="J101:K101"/>
    <mergeCell ref="J102:K102"/>
    <mergeCell ref="P102:Q102"/>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H173:I173"/>
    <mergeCell ref="J173:K173"/>
    <mergeCell ref="L173:M173"/>
    <mergeCell ref="L174:M174"/>
    <mergeCell ref="L175:M175"/>
    <mergeCell ref="L176:M176"/>
    <mergeCell ref="T170:U170"/>
    <mergeCell ref="T171:U171"/>
    <mergeCell ref="H172:I172"/>
    <mergeCell ref="J172:K172"/>
    <mergeCell ref="L172:M172"/>
    <mergeCell ref="T172:U172"/>
    <mergeCell ref="J185:K185"/>
    <mergeCell ref="A187:V188"/>
    <mergeCell ref="H192:I192"/>
    <mergeCell ref="S194:T194"/>
    <mergeCell ref="S195:T195"/>
    <mergeCell ref="S196:T196"/>
    <mergeCell ref="L177:M177"/>
    <mergeCell ref="J181:K181"/>
    <mergeCell ref="J182:K182"/>
    <mergeCell ref="J183:K183"/>
    <mergeCell ref="J184:K184"/>
    <mergeCell ref="P184:Q184"/>
    <mergeCell ref="R222:S222"/>
    <mergeCell ref="M223:N223"/>
    <mergeCell ref="R223:S223"/>
    <mergeCell ref="M224:N224"/>
    <mergeCell ref="S197:T197"/>
    <mergeCell ref="S198:T198"/>
    <mergeCell ref="S199:T199"/>
    <mergeCell ref="S200:T200"/>
    <mergeCell ref="H203:I203"/>
    <mergeCell ref="H204:I204"/>
    <mergeCell ref="H226:I226"/>
    <mergeCell ref="M226:N226"/>
    <mergeCell ref="H230:I230"/>
    <mergeCell ref="D234:E234"/>
    <mergeCell ref="G234:H234"/>
    <mergeCell ref="D235:E235"/>
    <mergeCell ref="G235:H235"/>
    <mergeCell ref="E205:F205"/>
    <mergeCell ref="M222:N222"/>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M297:N297"/>
    <mergeCell ref="O297:P297"/>
    <mergeCell ref="Q297:R299"/>
    <mergeCell ref="S297:V297"/>
    <mergeCell ref="D298:E298"/>
    <mergeCell ref="K298:L298"/>
    <mergeCell ref="M298:N298"/>
    <mergeCell ref="O298:P298"/>
    <mergeCell ref="S298:V298"/>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[4]Title!R1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[4]Title!R2</f>
        <v>45925</v>
      </c>
      <c r="S2" s="616"/>
      <c r="T2" s="616"/>
      <c r="U2" s="616"/>
      <c r="V2" s="617"/>
      <c r="W2" s="14"/>
      <c r="X2" s="14"/>
    </row>
    <row r="3" spans="1:24" ht="18" customHeight="1">
      <c r="A3" s="630"/>
      <c r="B3" s="631"/>
      <c r="C3" s="631"/>
      <c r="D3" s="631"/>
      <c r="E3" s="631"/>
      <c r="F3" s="631"/>
      <c r="G3" s="632"/>
      <c r="H3" s="645" t="str">
        <f>[4]Title!H3</f>
        <v>33kV DF5W SS</v>
      </c>
      <c r="I3" s="646"/>
      <c r="J3" s="646"/>
      <c r="K3" s="646"/>
      <c r="L3" s="646"/>
      <c r="M3" s="646"/>
      <c r="N3" s="647"/>
      <c r="O3" s="612" t="str">
        <f>[4]Title!O3</f>
        <v>Document No.</v>
      </c>
      <c r="P3" s="613"/>
      <c r="Q3" s="614"/>
      <c r="R3" s="615" t="str">
        <f>[4]Title!R3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[4]Title!R4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395</v>
      </c>
      <c r="I5" s="622"/>
      <c r="J5" s="622"/>
      <c r="K5" s="622"/>
      <c r="L5" s="622"/>
      <c r="M5" s="622"/>
      <c r="N5" s="623"/>
      <c r="O5" s="624" t="str">
        <f>[4]Title!O5</f>
        <v>Contractor</v>
      </c>
      <c r="P5" s="625"/>
      <c r="Q5" s="626"/>
      <c r="R5" s="615" t="str">
        <f>[4]Title!R5</f>
        <v>HITACHI</v>
      </c>
      <c r="S5" s="616"/>
      <c r="T5" s="616"/>
      <c r="U5" s="616"/>
      <c r="V5" s="617"/>
      <c r="W5" s="14"/>
      <c r="X5" s="14"/>
    </row>
    <row r="6" spans="1:24" ht="18" customHeight="1">
      <c r="A6" s="196"/>
      <c r="V6" s="197"/>
    </row>
    <row r="7" spans="1:24" ht="18" customHeight="1">
      <c r="A7" s="196"/>
      <c r="B7" s="948" t="s">
        <v>120</v>
      </c>
      <c r="C7" s="949"/>
      <c r="D7" s="959" t="s">
        <v>124</v>
      </c>
      <c r="E7" s="960"/>
      <c r="F7" s="468"/>
      <c r="H7" s="665" t="s">
        <v>722</v>
      </c>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1500</v>
      </c>
      <c r="I10" s="958"/>
      <c r="J10" s="948"/>
      <c r="K10" s="949"/>
      <c r="L10" s="948"/>
      <c r="M10" s="949"/>
      <c r="N10" s="203" t="s">
        <v>353</v>
      </c>
      <c r="O10" s="515">
        <v>1</v>
      </c>
      <c r="P10" s="27" t="s">
        <v>9</v>
      </c>
      <c r="R10" s="267"/>
      <c r="S10" s="267"/>
      <c r="V10" s="197"/>
    </row>
    <row r="11" spans="1:24" ht="18" customHeight="1">
      <c r="A11" s="196"/>
      <c r="B11" s="47" t="s">
        <v>405</v>
      </c>
      <c r="H11" s="948" t="s">
        <v>323</v>
      </c>
      <c r="I11" s="949"/>
      <c r="V11" s="197"/>
    </row>
    <row r="12" spans="1:24" ht="18" customHeight="1">
      <c r="A12" s="196"/>
      <c r="B12" s="47" t="s">
        <v>407</v>
      </c>
      <c r="G12" s="120" t="s">
        <v>508</v>
      </c>
      <c r="H12" s="981">
        <v>6</v>
      </c>
      <c r="I12" s="982"/>
      <c r="J12" s="204" t="s">
        <v>344</v>
      </c>
      <c r="V12" s="197"/>
    </row>
    <row r="13" spans="1:24" ht="18" customHeight="1">
      <c r="A13" s="196"/>
      <c r="B13" s="47" t="s">
        <v>409</v>
      </c>
      <c r="G13" s="120" t="s">
        <v>509</v>
      </c>
      <c r="H13" s="948">
        <v>500</v>
      </c>
      <c r="I13" s="949"/>
      <c r="J13" s="14" t="s">
        <v>316</v>
      </c>
      <c r="U13" s="18"/>
      <c r="V13" s="197"/>
      <c r="W13" s="30" t="str">
        <f>H57</f>
        <v>Suitably Dimentioned</v>
      </c>
    </row>
    <row r="14" spans="1:24" ht="18" customHeight="1">
      <c r="A14" s="196"/>
      <c r="B14" s="14" t="s">
        <v>412</v>
      </c>
      <c r="G14" s="120" t="s">
        <v>413</v>
      </c>
      <c r="H14" s="948">
        <v>10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'[6]CT-VT Burdens'!Q64</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'[6]CT-VT Burdens'!S23</f>
        <v>0.56186130000000001</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0.66186129999999999</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'[6]Fault Calc'!Q31</f>
        <v>55677</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1500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37.118000000000002</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0.66186129999999999</v>
      </c>
      <c r="T27" s="669"/>
      <c r="U27" s="204" t="s">
        <v>344</v>
      </c>
      <c r="V27" s="197"/>
      <c r="X27" s="291"/>
      <c r="Y27" s="291"/>
    </row>
    <row r="28" spans="1:25" ht="18" customHeight="1">
      <c r="A28" s="180"/>
      <c r="B28" s="5"/>
      <c r="C28" s="47" t="s">
        <v>857</v>
      </c>
      <c r="Q28" s="120" t="s">
        <v>858</v>
      </c>
      <c r="R28" s="28" t="s">
        <v>138</v>
      </c>
      <c r="S28" s="983">
        <f>20*S25</f>
        <v>30000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37.118000000000002</v>
      </c>
      <c r="H36" s="664"/>
      <c r="I36" s="28" t="s">
        <v>683</v>
      </c>
      <c r="J36" s="664">
        <f>H12</f>
        <v>6</v>
      </c>
      <c r="K36" s="664"/>
      <c r="L36" s="28" t="s">
        <v>358</v>
      </c>
      <c r="M36" s="669">
        <f>S27</f>
        <v>0.66186129999999999</v>
      </c>
      <c r="N36" s="664"/>
      <c r="O36" s="14" t="s">
        <v>361</v>
      </c>
      <c r="S36" s="14"/>
      <c r="T36" s="14"/>
      <c r="U36" s="14"/>
      <c r="V36" s="197"/>
    </row>
    <row r="37" spans="1:22" ht="18" customHeight="1">
      <c r="A37" s="196"/>
      <c r="B37" s="14"/>
      <c r="C37" s="14"/>
      <c r="D37" s="102" t="s">
        <v>138</v>
      </c>
      <c r="E37" s="669">
        <f>E36*G36*(J36+M36)</f>
        <v>123.63748386670001</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6</v>
      </c>
      <c r="I42" s="664"/>
      <c r="J42" s="28" t="s">
        <v>358</v>
      </c>
      <c r="K42" s="669">
        <f>S27</f>
        <v>0.66186129999999999</v>
      </c>
      <c r="L42" s="664"/>
      <c r="M42" s="14" t="s">
        <v>361</v>
      </c>
      <c r="N42" s="14"/>
      <c r="O42" s="14"/>
      <c r="P42" s="14"/>
      <c r="Q42" s="14"/>
      <c r="R42" s="14"/>
      <c r="V42" s="197"/>
    </row>
    <row r="43" spans="1:22" ht="18" customHeight="1">
      <c r="A43" s="196"/>
      <c r="B43" s="14"/>
      <c r="C43" s="14"/>
      <c r="D43" s="102" t="s">
        <v>138</v>
      </c>
      <c r="E43" s="669">
        <f>E42*(H42+K42)</f>
        <v>133.23722599999999</v>
      </c>
      <c r="F43" s="669"/>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41">
        <f>H13</f>
        <v>500</v>
      </c>
      <c r="F50" s="941"/>
      <c r="G50" s="28" t="str">
        <f>G49</f>
        <v>&gt;</v>
      </c>
      <c r="H50" s="669">
        <f>E37</f>
        <v>123.63748386670001</v>
      </c>
      <c r="I50" s="669"/>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41">
        <f>H13</f>
        <v>500</v>
      </c>
      <c r="F54" s="941"/>
      <c r="G54" s="28" t="str">
        <f>G53</f>
        <v>&gt;</v>
      </c>
      <c r="H54" s="669">
        <f>E43</f>
        <v>133.23722599999999</v>
      </c>
      <c r="I54" s="669"/>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08" t="str">
        <f>B7</f>
        <v>T1</v>
      </c>
      <c r="C90" s="709"/>
      <c r="D90" s="708" t="str">
        <f>D7</f>
        <v>Core5</v>
      </c>
      <c r="E90" s="709"/>
      <c r="F90" s="468"/>
      <c r="H90" s="665" t="s">
        <v>722</v>
      </c>
      <c r="I90" s="665"/>
      <c r="J90" s="665"/>
      <c r="K90" s="665"/>
      <c r="L90" s="665"/>
      <c r="M90" s="665"/>
      <c r="P90" s="198"/>
      <c r="S90" s="199" t="s">
        <v>398</v>
      </c>
      <c r="T90" s="708" t="str">
        <f>T7</f>
        <v>P743</v>
      </c>
      <c r="U90" s="709"/>
      <c r="V90" s="197"/>
    </row>
    <row r="91" spans="1:23" ht="18" hidden="1" customHeight="1">
      <c r="A91" s="469"/>
      <c r="F91" s="468"/>
      <c r="T91" s="708">
        <f>T8</f>
        <v>0</v>
      </c>
      <c r="U91" s="709"/>
      <c r="V91" s="197"/>
    </row>
    <row r="92" spans="1:23" ht="18" hidden="1" customHeight="1">
      <c r="A92" s="196"/>
      <c r="H92" s="696" t="s">
        <v>401</v>
      </c>
      <c r="I92" s="696"/>
      <c r="J92" s="666" t="s">
        <v>402</v>
      </c>
      <c r="K92" s="666"/>
      <c r="L92" s="667" t="s">
        <v>403</v>
      </c>
      <c r="M92" s="667"/>
      <c r="T92" s="708">
        <f>T9</f>
        <v>0</v>
      </c>
      <c r="U92" s="709"/>
      <c r="V92" s="197"/>
    </row>
    <row r="93" spans="1:23" ht="18" hidden="1" customHeight="1">
      <c r="A93" s="196"/>
      <c r="B93" s="47" t="s">
        <v>404</v>
      </c>
      <c r="H93" s="708">
        <f>H10</f>
        <v>1500</v>
      </c>
      <c r="I93" s="709"/>
      <c r="J93" s="714">
        <f>J10</f>
        <v>0</v>
      </c>
      <c r="K93" s="715"/>
      <c r="L93" s="708">
        <f>L10</f>
        <v>0</v>
      </c>
      <c r="M93" s="709"/>
      <c r="N93" s="203" t="s">
        <v>353</v>
      </c>
      <c r="O93" s="268">
        <f>O10</f>
        <v>1</v>
      </c>
      <c r="P93" s="27" t="s">
        <v>9</v>
      </c>
      <c r="R93" s="267"/>
      <c r="S93" s="267"/>
      <c r="V93" s="197"/>
    </row>
    <row r="94" spans="1:23" ht="18" hidden="1" customHeight="1">
      <c r="A94" s="196"/>
      <c r="B94" s="47" t="s">
        <v>405</v>
      </c>
      <c r="J94" s="708" t="str">
        <f>H11</f>
        <v>X</v>
      </c>
      <c r="K94" s="709"/>
      <c r="V94" s="197"/>
    </row>
    <row r="95" spans="1:23" ht="18" hidden="1" customHeight="1">
      <c r="A95" s="196"/>
      <c r="B95" s="47" t="s">
        <v>407</v>
      </c>
      <c r="I95" s="120" t="s">
        <v>508</v>
      </c>
      <c r="J95" s="981"/>
      <c r="K95" s="982"/>
      <c r="L95" s="204" t="s">
        <v>344</v>
      </c>
      <c r="V95" s="197"/>
    </row>
    <row r="96" spans="1:23" ht="18" hidden="1" customHeight="1">
      <c r="A96" s="196"/>
      <c r="B96" s="47" t="s">
        <v>409</v>
      </c>
      <c r="I96" s="120" t="s">
        <v>509</v>
      </c>
      <c r="J96" s="948"/>
      <c r="K96" s="949"/>
      <c r="L96" s="14" t="s">
        <v>316</v>
      </c>
      <c r="U96" s="18"/>
      <c r="V96" s="197"/>
      <c r="W96" s="30" t="str">
        <f>H145</f>
        <v>Under Dimentioned</v>
      </c>
    </row>
    <row r="97" spans="1:22" ht="18" hidden="1" customHeight="1">
      <c r="A97" s="196"/>
      <c r="B97" s="14" t="s">
        <v>412</v>
      </c>
      <c r="I97" s="120" t="s">
        <v>413</v>
      </c>
      <c r="J97" s="948"/>
      <c r="K97" s="949"/>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699">
        <f>J18</f>
        <v>0.1</v>
      </c>
      <c r="K101" s="678"/>
      <c r="L101" s="3" t="s">
        <v>168</v>
      </c>
      <c r="N101" s="209"/>
      <c r="V101" s="197"/>
    </row>
    <row r="102" spans="1:22" ht="18" hidden="1" customHeight="1">
      <c r="A102" s="196"/>
      <c r="B102" s="96" t="s">
        <v>416</v>
      </c>
      <c r="C102" s="14"/>
      <c r="D102" s="47">
        <f>T91</f>
        <v>0</v>
      </c>
      <c r="E102" s="14"/>
      <c r="G102" s="211"/>
      <c r="H102" s="27"/>
      <c r="I102" s="101" t="s">
        <v>138</v>
      </c>
      <c r="J102" s="699">
        <f>J19</f>
        <v>0</v>
      </c>
      <c r="K102" s="678"/>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699">
        <f>J20</f>
        <v>0</v>
      </c>
      <c r="K103" s="678"/>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699">
        <f>J21</f>
        <v>0.56186130000000001</v>
      </c>
      <c r="K104" s="678"/>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678">
        <f>SUM(J101:J104)</f>
        <v>0.66186129999999999</v>
      </c>
      <c r="K105" s="679"/>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08">
        <f>S24</f>
        <v>55677</v>
      </c>
      <c r="T107" s="709"/>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664">
        <f>H93</f>
        <v>1500</v>
      </c>
      <c r="T108" s="664"/>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669">
        <f>S107/S108*O93</f>
        <v>37.118000000000002</v>
      </c>
      <c r="T109" s="669"/>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669">
        <f>J105/O93*O93</f>
        <v>0.66186129999999999</v>
      </c>
      <c r="T110" s="669"/>
      <c r="U110" s="204" t="s">
        <v>344</v>
      </c>
      <c r="V110" s="197"/>
    </row>
    <row r="111" spans="1:22" ht="18" hidden="1" customHeight="1">
      <c r="A111" s="180"/>
      <c r="B111" s="5"/>
      <c r="C111" s="47" t="s">
        <v>857</v>
      </c>
      <c r="Q111" s="120" t="s">
        <v>858</v>
      </c>
      <c r="R111" s="28" t="s">
        <v>138</v>
      </c>
      <c r="S111" s="708">
        <f>S28</f>
        <v>30000</v>
      </c>
      <c r="T111" s="709"/>
      <c r="U111" s="14" t="s">
        <v>9</v>
      </c>
      <c r="V111" s="197"/>
    </row>
    <row r="112" spans="1:22" ht="18" hidden="1" customHeight="1">
      <c r="A112" s="311"/>
      <c r="B112" s="291"/>
      <c r="C112" s="47" t="s">
        <v>859</v>
      </c>
      <c r="Q112" s="256" t="s">
        <v>860</v>
      </c>
      <c r="R112" s="28" t="s">
        <v>138</v>
      </c>
      <c r="S112" s="668">
        <f>S111/S108</f>
        <v>20</v>
      </c>
      <c r="T112" s="668"/>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664" t="s">
        <v>484</v>
      </c>
      <c r="C118" s="664"/>
      <c r="D118" s="28" t="s">
        <v>862</v>
      </c>
      <c r="E118" s="28">
        <v>0.5</v>
      </c>
      <c r="F118" s="28" t="s">
        <v>326</v>
      </c>
      <c r="G118" s="664" t="s">
        <v>855</v>
      </c>
      <c r="H118" s="664"/>
      <c r="I118" s="28" t="s">
        <v>683</v>
      </c>
      <c r="J118" s="664" t="s">
        <v>431</v>
      </c>
      <c r="K118" s="664"/>
      <c r="L118" s="28" t="s">
        <v>358</v>
      </c>
      <c r="M118" s="664" t="s">
        <v>700</v>
      </c>
      <c r="N118" s="664"/>
      <c r="O118" s="14" t="s">
        <v>361</v>
      </c>
      <c r="P118" s="14"/>
      <c r="Q118" s="14"/>
      <c r="R118" s="14"/>
      <c r="T118" s="14"/>
      <c r="U118" s="14"/>
      <c r="V118" s="197"/>
    </row>
    <row r="119" spans="1:22" ht="18" hidden="1" customHeight="1">
      <c r="A119" s="196"/>
      <c r="B119" s="14"/>
      <c r="C119" s="14"/>
      <c r="D119" s="102" t="s">
        <v>138</v>
      </c>
      <c r="E119" s="28">
        <v>0.5</v>
      </c>
      <c r="F119" s="28" t="s">
        <v>326</v>
      </c>
      <c r="G119" s="669">
        <f>S109</f>
        <v>37.118000000000002</v>
      </c>
      <c r="H119" s="664"/>
      <c r="I119" s="28" t="s">
        <v>683</v>
      </c>
      <c r="J119" s="664">
        <f>J95</f>
        <v>0</v>
      </c>
      <c r="K119" s="664"/>
      <c r="L119" s="28" t="s">
        <v>358</v>
      </c>
      <c r="M119" s="669">
        <f>S110</f>
        <v>0.66186129999999999</v>
      </c>
      <c r="N119" s="664"/>
      <c r="O119" s="14" t="s">
        <v>361</v>
      </c>
      <c r="S119" s="14"/>
      <c r="T119" s="14"/>
      <c r="U119" s="14"/>
      <c r="V119" s="197"/>
    </row>
    <row r="120" spans="1:22" ht="18" hidden="1" customHeight="1">
      <c r="A120" s="196"/>
      <c r="B120" s="14"/>
      <c r="C120" s="14"/>
      <c r="D120" s="102" t="s">
        <v>138</v>
      </c>
      <c r="E120" s="669">
        <f>E119*G119*(J119+M119)</f>
        <v>12.283483866700001</v>
      </c>
      <c r="F120" s="669"/>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664" t="s">
        <v>484</v>
      </c>
      <c r="C124" s="664"/>
      <c r="D124" s="28" t="s">
        <v>862</v>
      </c>
      <c r="E124" s="664" t="s">
        <v>860</v>
      </c>
      <c r="F124" s="664"/>
      <c r="G124" s="28" t="s">
        <v>683</v>
      </c>
      <c r="H124" s="664" t="s">
        <v>431</v>
      </c>
      <c r="I124" s="664"/>
      <c r="J124" s="28" t="s">
        <v>358</v>
      </c>
      <c r="K124" s="664" t="s">
        <v>700</v>
      </c>
      <c r="L124" s="664"/>
      <c r="M124" s="14" t="s">
        <v>361</v>
      </c>
      <c r="P124" s="14"/>
      <c r="Q124" s="14"/>
      <c r="R124" s="14"/>
      <c r="V124" s="197"/>
    </row>
    <row r="125" spans="1:22" ht="18" hidden="1" customHeight="1">
      <c r="A125" s="196"/>
      <c r="B125" s="14"/>
      <c r="C125" s="14"/>
      <c r="D125" s="102" t="s">
        <v>138</v>
      </c>
      <c r="E125" s="669">
        <f>S112</f>
        <v>20</v>
      </c>
      <c r="F125" s="664"/>
      <c r="G125" s="28" t="s">
        <v>683</v>
      </c>
      <c r="H125" s="664">
        <f>J95</f>
        <v>0</v>
      </c>
      <c r="I125" s="664"/>
      <c r="J125" s="28" t="s">
        <v>358</v>
      </c>
      <c r="K125" s="669">
        <f>S110</f>
        <v>0.66186129999999999</v>
      </c>
      <c r="L125" s="664"/>
      <c r="M125" s="14" t="s">
        <v>361</v>
      </c>
      <c r="N125" s="14"/>
      <c r="O125" s="14"/>
      <c r="P125" s="14"/>
      <c r="Q125" s="14"/>
      <c r="R125" s="14"/>
      <c r="V125" s="197"/>
    </row>
    <row r="126" spans="1:22" ht="18" hidden="1" customHeight="1">
      <c r="A126" s="196"/>
      <c r="B126" s="14"/>
      <c r="C126" s="14"/>
      <c r="D126" s="102" t="s">
        <v>138</v>
      </c>
      <c r="E126" s="669">
        <f>E125*(H125+K125)</f>
        <v>13.237226</v>
      </c>
      <c r="F126" s="669"/>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41">
        <f>J96</f>
        <v>0</v>
      </c>
      <c r="F138" s="941"/>
      <c r="G138" s="28" t="str">
        <f>G137</f>
        <v>&lt;</v>
      </c>
      <c r="H138" s="669">
        <f>E120</f>
        <v>12.283483866700001</v>
      </c>
      <c r="I138" s="669"/>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41">
        <f>J96</f>
        <v>0</v>
      </c>
      <c r="F142" s="941"/>
      <c r="G142" s="28" t="str">
        <f>G141</f>
        <v>&lt;</v>
      </c>
      <c r="H142" s="669">
        <f>E126</f>
        <v>13.237226</v>
      </c>
      <c r="I142" s="669"/>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08" t="str">
        <f>B90</f>
        <v>T1</v>
      </c>
      <c r="C178" s="709"/>
      <c r="D178" s="708" t="str">
        <f>D90</f>
        <v>Core5</v>
      </c>
      <c r="E178" s="709"/>
      <c r="F178" s="468"/>
      <c r="H178" s="665" t="s">
        <v>722</v>
      </c>
      <c r="I178" s="665"/>
      <c r="J178" s="665"/>
      <c r="K178" s="665"/>
      <c r="L178" s="665"/>
      <c r="M178" s="665"/>
      <c r="P178" s="198"/>
      <c r="S178" s="199" t="s">
        <v>398</v>
      </c>
      <c r="T178" s="708" t="str">
        <f>T90</f>
        <v>P743</v>
      </c>
      <c r="U178" s="709"/>
      <c r="V178" s="197"/>
    </row>
    <row r="179" spans="1:23" ht="18" hidden="1" customHeight="1">
      <c r="A179" s="469"/>
      <c r="F179" s="468"/>
      <c r="T179" s="708">
        <f>T91</f>
        <v>0</v>
      </c>
      <c r="U179" s="709"/>
      <c r="V179" s="197"/>
    </row>
    <row r="180" spans="1:23" ht="18" hidden="1" customHeight="1">
      <c r="A180" s="196"/>
      <c r="H180" s="696" t="s">
        <v>401</v>
      </c>
      <c r="I180" s="696"/>
      <c r="J180" s="696" t="s">
        <v>402</v>
      </c>
      <c r="K180" s="696"/>
      <c r="L180" s="666" t="s">
        <v>403</v>
      </c>
      <c r="M180" s="666"/>
      <c r="T180" s="708">
        <f>T92</f>
        <v>0</v>
      </c>
      <c r="U180" s="709"/>
      <c r="V180" s="197"/>
    </row>
    <row r="181" spans="1:23" ht="18" hidden="1" customHeight="1">
      <c r="A181" s="196"/>
      <c r="B181" s="47" t="s">
        <v>404</v>
      </c>
      <c r="H181" s="708">
        <f>H93</f>
        <v>1500</v>
      </c>
      <c r="I181" s="709"/>
      <c r="J181" s="708">
        <f>J93</f>
        <v>0</v>
      </c>
      <c r="K181" s="709"/>
      <c r="L181" s="714">
        <f>L93</f>
        <v>0</v>
      </c>
      <c r="M181" s="715"/>
      <c r="N181" s="203" t="s">
        <v>353</v>
      </c>
      <c r="O181" s="268">
        <f>O93</f>
        <v>1</v>
      </c>
      <c r="P181" s="27" t="s">
        <v>9</v>
      </c>
      <c r="R181" s="267"/>
      <c r="S181" s="267"/>
      <c r="V181" s="197"/>
    </row>
    <row r="182" spans="1:23" ht="18" hidden="1" customHeight="1">
      <c r="A182" s="196"/>
      <c r="B182" s="47" t="s">
        <v>405</v>
      </c>
      <c r="L182" s="708" t="str">
        <f>J94</f>
        <v>X</v>
      </c>
      <c r="M182" s="709"/>
      <c r="V182" s="197"/>
    </row>
    <row r="183" spans="1:23" ht="18" hidden="1" customHeight="1">
      <c r="A183" s="196"/>
      <c r="B183" s="47" t="s">
        <v>407</v>
      </c>
      <c r="K183" s="120" t="s">
        <v>508</v>
      </c>
      <c r="L183" s="981"/>
      <c r="M183" s="982"/>
      <c r="N183" s="204" t="s">
        <v>344</v>
      </c>
      <c r="V183" s="197"/>
    </row>
    <row r="184" spans="1:23" ht="18" hidden="1" customHeight="1">
      <c r="A184" s="196"/>
      <c r="B184" s="47" t="s">
        <v>409</v>
      </c>
      <c r="K184" s="120" t="s">
        <v>509</v>
      </c>
      <c r="L184" s="948"/>
      <c r="M184" s="949"/>
      <c r="N184" s="14" t="s">
        <v>316</v>
      </c>
      <c r="U184" s="18"/>
      <c r="V184" s="197"/>
      <c r="W184" s="30" t="e">
        <f>H233</f>
        <v>#DIV/0!</v>
      </c>
    </row>
    <row r="185" spans="1:23" ht="18" hidden="1" customHeight="1">
      <c r="A185" s="196"/>
      <c r="B185" s="14" t="s">
        <v>412</v>
      </c>
      <c r="K185" s="120" t="s">
        <v>413</v>
      </c>
      <c r="L185" s="948"/>
      <c r="M185" s="949"/>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699">
        <f>J101</f>
        <v>0.1</v>
      </c>
      <c r="K189" s="678"/>
      <c r="L189" s="3" t="s">
        <v>168</v>
      </c>
      <c r="N189" s="209"/>
      <c r="V189" s="197"/>
    </row>
    <row r="190" spans="1:23" ht="18" hidden="1" customHeight="1">
      <c r="A190" s="196"/>
      <c r="B190" s="96" t="s">
        <v>416</v>
      </c>
      <c r="C190" s="14"/>
      <c r="D190" s="47">
        <f>T179</f>
        <v>0</v>
      </c>
      <c r="E190" s="14"/>
      <c r="G190" s="211"/>
      <c r="H190" s="27"/>
      <c r="I190" s="101" t="s">
        <v>138</v>
      </c>
      <c r="J190" s="699">
        <f>J102</f>
        <v>0</v>
      </c>
      <c r="K190" s="678"/>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699">
        <f>J103</f>
        <v>0</v>
      </c>
      <c r="K191" s="678"/>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699">
        <f>J104</f>
        <v>0.56186130000000001</v>
      </c>
      <c r="K192" s="678"/>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678">
        <f>SUM(J189:J192)</f>
        <v>0.66186129999999999</v>
      </c>
      <c r="K193" s="679"/>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08">
        <f>S107</f>
        <v>55677</v>
      </c>
      <c r="T195" s="709"/>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664">
        <f>L181</f>
        <v>0</v>
      </c>
      <c r="T196" s="664"/>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669" t="e">
        <f>S195/S196*O181</f>
        <v>#DIV/0!</v>
      </c>
      <c r="T197" s="669"/>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669">
        <f>J193/O181*O181</f>
        <v>0.66186129999999999</v>
      </c>
      <c r="T198" s="669"/>
      <c r="U198" s="204" t="s">
        <v>344</v>
      </c>
      <c r="V198" s="197"/>
    </row>
    <row r="199" spans="1:22" ht="18" hidden="1" customHeight="1">
      <c r="A199" s="180"/>
      <c r="B199" s="5"/>
      <c r="C199" s="47" t="s">
        <v>857</v>
      </c>
      <c r="Q199" s="120" t="s">
        <v>858</v>
      </c>
      <c r="R199" s="28" t="s">
        <v>138</v>
      </c>
      <c r="S199" s="708">
        <f>S111</f>
        <v>30000</v>
      </c>
      <c r="T199" s="709"/>
      <c r="U199" s="14" t="s">
        <v>9</v>
      </c>
      <c r="V199" s="197"/>
    </row>
    <row r="200" spans="1:22" ht="18" hidden="1" customHeight="1">
      <c r="A200" s="311"/>
      <c r="B200" s="291"/>
      <c r="C200" s="47" t="s">
        <v>859</v>
      </c>
      <c r="Q200" s="256" t="s">
        <v>860</v>
      </c>
      <c r="R200" s="28" t="s">
        <v>138</v>
      </c>
      <c r="S200" s="668" t="e">
        <f>S199/S196</f>
        <v>#DIV/0!</v>
      </c>
      <c r="T200" s="668"/>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664" t="s">
        <v>484</v>
      </c>
      <c r="C206" s="664"/>
      <c r="D206" s="28" t="s">
        <v>862</v>
      </c>
      <c r="E206" s="28">
        <v>0.5</v>
      </c>
      <c r="F206" s="28" t="s">
        <v>326</v>
      </c>
      <c r="G206" s="664" t="s">
        <v>855</v>
      </c>
      <c r="H206" s="664"/>
      <c r="I206" s="28" t="s">
        <v>683</v>
      </c>
      <c r="J206" s="664" t="s">
        <v>431</v>
      </c>
      <c r="K206" s="664"/>
      <c r="L206" s="28" t="s">
        <v>358</v>
      </c>
      <c r="M206" s="664" t="s">
        <v>700</v>
      </c>
      <c r="N206" s="664"/>
      <c r="O206" s="14" t="s">
        <v>361</v>
      </c>
      <c r="P206" s="14"/>
      <c r="Q206" s="14"/>
      <c r="R206" s="14"/>
      <c r="T206" s="14"/>
      <c r="U206" s="14"/>
      <c r="V206" s="197"/>
    </row>
    <row r="207" spans="1:22" ht="18" hidden="1" customHeight="1">
      <c r="A207" s="196"/>
      <c r="B207" s="14"/>
      <c r="C207" s="14"/>
      <c r="D207" s="102" t="s">
        <v>138</v>
      </c>
      <c r="E207" s="28">
        <v>0.5</v>
      </c>
      <c r="F207" s="28" t="s">
        <v>326</v>
      </c>
      <c r="G207" s="669" t="e">
        <f>S197</f>
        <v>#DIV/0!</v>
      </c>
      <c r="H207" s="664"/>
      <c r="I207" s="28" t="s">
        <v>683</v>
      </c>
      <c r="J207" s="664">
        <f>L183</f>
        <v>0</v>
      </c>
      <c r="K207" s="664"/>
      <c r="L207" s="28" t="s">
        <v>358</v>
      </c>
      <c r="M207" s="669">
        <f>S198</f>
        <v>0.66186129999999999</v>
      </c>
      <c r="N207" s="664"/>
      <c r="O207" s="14" t="s">
        <v>361</v>
      </c>
      <c r="S207" s="14"/>
      <c r="T207" s="14"/>
      <c r="U207" s="14"/>
      <c r="V207" s="197"/>
    </row>
    <row r="208" spans="1:22" ht="18" hidden="1" customHeight="1">
      <c r="A208" s="196"/>
      <c r="B208" s="14"/>
      <c r="C208" s="14"/>
      <c r="D208" s="102" t="s">
        <v>138</v>
      </c>
      <c r="E208" s="669" t="e">
        <f>E207*G207*(J207+M207)</f>
        <v>#DIV/0!</v>
      </c>
      <c r="F208" s="669"/>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664" t="s">
        <v>484</v>
      </c>
      <c r="C212" s="664"/>
      <c r="D212" s="28" t="s">
        <v>862</v>
      </c>
      <c r="E212" s="664" t="s">
        <v>860</v>
      </c>
      <c r="F212" s="664"/>
      <c r="G212" s="28" t="s">
        <v>683</v>
      </c>
      <c r="H212" s="664" t="s">
        <v>431</v>
      </c>
      <c r="I212" s="664"/>
      <c r="J212" s="28" t="s">
        <v>358</v>
      </c>
      <c r="K212" s="664" t="s">
        <v>700</v>
      </c>
      <c r="L212" s="664"/>
      <c r="M212" s="14" t="s">
        <v>361</v>
      </c>
      <c r="P212" s="14"/>
      <c r="Q212" s="14"/>
      <c r="R212" s="14"/>
      <c r="V212" s="197"/>
    </row>
    <row r="213" spans="1:22" ht="18" hidden="1" customHeight="1">
      <c r="A213" s="196"/>
      <c r="B213" s="14"/>
      <c r="C213" s="14"/>
      <c r="D213" s="102" t="s">
        <v>138</v>
      </c>
      <c r="E213" s="669" t="e">
        <f>S200</f>
        <v>#DIV/0!</v>
      </c>
      <c r="F213" s="664"/>
      <c r="G213" s="28" t="s">
        <v>683</v>
      </c>
      <c r="H213" s="664">
        <f>L183</f>
        <v>0</v>
      </c>
      <c r="I213" s="664"/>
      <c r="J213" s="28" t="s">
        <v>358</v>
      </c>
      <c r="K213" s="669">
        <f>S198</f>
        <v>0.66186129999999999</v>
      </c>
      <c r="L213" s="664"/>
      <c r="M213" s="14" t="s">
        <v>361</v>
      </c>
      <c r="N213" s="14"/>
      <c r="O213" s="14"/>
      <c r="P213" s="14"/>
      <c r="Q213" s="14"/>
      <c r="R213" s="14"/>
      <c r="V213" s="197"/>
    </row>
    <row r="214" spans="1:22" ht="18" hidden="1" customHeight="1">
      <c r="A214" s="196"/>
      <c r="B214" s="14"/>
      <c r="C214" s="14"/>
      <c r="D214" s="102" t="s">
        <v>138</v>
      </c>
      <c r="E214" s="669" t="e">
        <f>E213*(H213+K213)</f>
        <v>#DIV/0!</v>
      </c>
      <c r="F214" s="669"/>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41">
        <f>L184</f>
        <v>0</v>
      </c>
      <c r="F226" s="941"/>
      <c r="G226" s="28" t="e">
        <f>G225</f>
        <v>#DIV/0!</v>
      </c>
      <c r="H226" s="669" t="e">
        <f>E208</f>
        <v>#DIV/0!</v>
      </c>
      <c r="I226" s="669"/>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41">
        <f>L184</f>
        <v>0</v>
      </c>
      <c r="F230" s="941"/>
      <c r="G230" s="28" t="e">
        <f>G229</f>
        <v>#DIV/0!</v>
      </c>
      <c r="H230" s="669" t="e">
        <f>E214</f>
        <v>#DIV/0!</v>
      </c>
      <c r="I230" s="669"/>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16" t="s">
        <v>97</v>
      </c>
      <c r="B267" s="729"/>
      <c r="C267" s="1101"/>
      <c r="D267" s="716" t="s">
        <v>98</v>
      </c>
      <c r="E267" s="1104"/>
      <c r="F267" s="1104"/>
      <c r="G267" s="1101"/>
      <c r="H267" s="716" t="s">
        <v>99</v>
      </c>
      <c r="I267" s="717"/>
      <c r="J267" s="716" t="s">
        <v>100</v>
      </c>
      <c r="K267" s="1101"/>
      <c r="L267" s="716" t="s">
        <v>513</v>
      </c>
      <c r="M267" s="729"/>
      <c r="N267" s="717" t="s">
        <v>567</v>
      </c>
      <c r="O267" s="716" t="s">
        <v>568</v>
      </c>
      <c r="P267" s="729"/>
      <c r="Q267" s="1101"/>
      <c r="R267" s="716" t="s">
        <v>569</v>
      </c>
      <c r="S267" s="1106"/>
      <c r="T267" s="1102"/>
      <c r="U267" s="716" t="s">
        <v>516</v>
      </c>
      <c r="V267" s="1115"/>
    </row>
    <row r="268" spans="1:22" ht="18" customHeight="1">
      <c r="A268" s="718"/>
      <c r="B268" s="730"/>
      <c r="C268" s="1102"/>
      <c r="D268" s="1105"/>
      <c r="E268" s="1106"/>
      <c r="F268" s="1106"/>
      <c r="G268" s="1102"/>
      <c r="H268" s="718"/>
      <c r="I268" s="719"/>
      <c r="J268" s="1105"/>
      <c r="K268" s="1102"/>
      <c r="L268" s="718"/>
      <c r="M268" s="730"/>
      <c r="N268" s="719"/>
      <c r="O268" s="718"/>
      <c r="P268" s="730"/>
      <c r="Q268" s="1102"/>
      <c r="R268" s="1105"/>
      <c r="S268" s="1106"/>
      <c r="T268" s="1102"/>
      <c r="U268" s="1079"/>
      <c r="V268" s="1116"/>
    </row>
    <row r="269" spans="1:22" ht="18" customHeight="1">
      <c r="A269" s="720"/>
      <c r="B269" s="731"/>
      <c r="C269" s="1103"/>
      <c r="D269" s="1107"/>
      <c r="E269" s="1108"/>
      <c r="F269" s="1108"/>
      <c r="G269" s="1103"/>
      <c r="H269" s="720"/>
      <c r="I269" s="721"/>
      <c r="J269" s="1107"/>
      <c r="K269" s="1103"/>
      <c r="L269" s="720"/>
      <c r="M269" s="731"/>
      <c r="N269" s="721"/>
      <c r="O269" s="720"/>
      <c r="P269" s="731"/>
      <c r="Q269" s="1103"/>
      <c r="R269" s="1107"/>
      <c r="S269" s="1108"/>
      <c r="T269" s="1103"/>
      <c r="U269" s="1117"/>
      <c r="V269" s="1118"/>
    </row>
    <row r="270" spans="1:22" ht="18" customHeight="1">
      <c r="A270" s="733" t="str">
        <f>B178</f>
        <v>T1</v>
      </c>
      <c r="B270" s="1098"/>
      <c r="C270" s="734" t="str">
        <f>D178</f>
        <v>Core5</v>
      </c>
      <c r="D270" s="734">
        <f>H181</f>
        <v>1500</v>
      </c>
      <c r="E270" s="734">
        <f>J181</f>
        <v>0</v>
      </c>
      <c r="F270" s="734">
        <f>L181</f>
        <v>0</v>
      </c>
      <c r="G270" s="734">
        <f>O181</f>
        <v>1</v>
      </c>
      <c r="H270" s="734">
        <f>'[6]CT-VT Burdens'!S20</f>
        <v>75</v>
      </c>
      <c r="I270" s="722">
        <f>'[6]CT-VT Burdens'!S11</f>
        <v>6</v>
      </c>
      <c r="J270" s="728" t="str">
        <f>L182</f>
        <v>X</v>
      </c>
      <c r="K270" s="728"/>
      <c r="L270" s="734">
        <f>H12</f>
        <v>6</v>
      </c>
      <c r="M270" s="734">
        <f>J95</f>
        <v>0</v>
      </c>
      <c r="N270" s="734">
        <f>L183</f>
        <v>0</v>
      </c>
      <c r="O270" s="734">
        <f>H13</f>
        <v>500</v>
      </c>
      <c r="P270" s="734">
        <f>J96</f>
        <v>0</v>
      </c>
      <c r="Q270" s="734">
        <f>L184</f>
        <v>0</v>
      </c>
      <c r="R270" s="734">
        <f>H14</f>
        <v>10</v>
      </c>
      <c r="S270" s="734">
        <f>J97</f>
        <v>0</v>
      </c>
      <c r="T270" s="734">
        <f>L185</f>
        <v>0</v>
      </c>
      <c r="U270" s="615" t="str">
        <f>T178</f>
        <v>P743</v>
      </c>
      <c r="V270" s="617"/>
    </row>
    <row r="271" spans="1:22" ht="18" customHeight="1">
      <c r="A271" s="733"/>
      <c r="B271" s="1098"/>
      <c r="C271" s="1121"/>
      <c r="D271" s="1121"/>
      <c r="E271" s="1121"/>
      <c r="F271" s="1121"/>
      <c r="G271" s="1121"/>
      <c r="H271" s="1121"/>
      <c r="I271" s="1121"/>
      <c r="J271" s="1123"/>
      <c r="K271" s="1123"/>
      <c r="L271" s="1121"/>
      <c r="M271" s="1121"/>
      <c r="N271" s="1121"/>
      <c r="O271" s="1121"/>
      <c r="P271" s="1121"/>
      <c r="Q271" s="1121"/>
      <c r="R271" s="1121"/>
      <c r="S271" s="1121"/>
      <c r="T271" s="1121"/>
      <c r="U271" s="615">
        <f>T179</f>
        <v>0</v>
      </c>
      <c r="V271" s="617"/>
    </row>
    <row r="272" spans="1:22" ht="18" customHeight="1">
      <c r="A272" s="733"/>
      <c r="B272" s="1098"/>
      <c r="C272" s="1122"/>
      <c r="D272" s="1122"/>
      <c r="E272" s="1122"/>
      <c r="F272" s="1122"/>
      <c r="G272" s="1122"/>
      <c r="H272" s="1122"/>
      <c r="I272" s="1122"/>
      <c r="J272" s="1123"/>
      <c r="K272" s="1123"/>
      <c r="L272" s="1122"/>
      <c r="M272" s="1122"/>
      <c r="N272" s="1122"/>
      <c r="O272" s="1122"/>
      <c r="P272" s="1122"/>
      <c r="Q272" s="1122"/>
      <c r="R272" s="1122"/>
      <c r="S272" s="1122"/>
      <c r="T272" s="1122"/>
      <c r="U272" s="1183">
        <f>T180</f>
        <v>0</v>
      </c>
      <c r="V272" s="61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90:C90"/>
    <mergeCell ref="D90:E90"/>
    <mergeCell ref="H90:M90"/>
    <mergeCell ref="E37:F37"/>
    <mergeCell ref="B41:C41"/>
    <mergeCell ref="E41:F41"/>
    <mergeCell ref="H41:I41"/>
    <mergeCell ref="K41:L41"/>
    <mergeCell ref="E42:F42"/>
    <mergeCell ref="H42:I42"/>
    <mergeCell ref="K42:L42"/>
    <mergeCell ref="T90:U90"/>
    <mergeCell ref="T91:U91"/>
    <mergeCell ref="H92:I92"/>
    <mergeCell ref="J92:K92"/>
    <mergeCell ref="L92:M92"/>
    <mergeCell ref="T92:U92"/>
    <mergeCell ref="E43:F43"/>
    <mergeCell ref="E50:F50"/>
    <mergeCell ref="H50:I50"/>
    <mergeCell ref="E54:F54"/>
    <mergeCell ref="H54:I54"/>
    <mergeCell ref="J97:K97"/>
    <mergeCell ref="J101:K101"/>
    <mergeCell ref="J102:K102"/>
    <mergeCell ref="J103:K103"/>
    <mergeCell ref="J104:K104"/>
    <mergeCell ref="J105:K105"/>
    <mergeCell ref="H93:I93"/>
    <mergeCell ref="J93:K93"/>
    <mergeCell ref="L93:M93"/>
    <mergeCell ref="J94:K94"/>
    <mergeCell ref="J95:K95"/>
    <mergeCell ref="J96:K96"/>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B178:C178"/>
    <mergeCell ref="D178:E178"/>
    <mergeCell ref="H178:M178"/>
    <mergeCell ref="E120:F120"/>
    <mergeCell ref="B124:C124"/>
    <mergeCell ref="E124:F124"/>
    <mergeCell ref="H124:I124"/>
    <mergeCell ref="K124:L124"/>
    <mergeCell ref="E125:F125"/>
    <mergeCell ref="H125:I125"/>
    <mergeCell ref="K125:L125"/>
    <mergeCell ref="T178:U178"/>
    <mergeCell ref="T179:U179"/>
    <mergeCell ref="H180:I180"/>
    <mergeCell ref="J180:K180"/>
    <mergeCell ref="L180:M180"/>
    <mergeCell ref="T180:U180"/>
    <mergeCell ref="E126:F126"/>
    <mergeCell ref="E138:F138"/>
    <mergeCell ref="H138:I138"/>
    <mergeCell ref="E142:F142"/>
    <mergeCell ref="H142:I142"/>
    <mergeCell ref="L185:M185"/>
    <mergeCell ref="J189:K189"/>
    <mergeCell ref="J190:K190"/>
    <mergeCell ref="J191:K191"/>
    <mergeCell ref="J192:K192"/>
    <mergeCell ref="J193:K193"/>
    <mergeCell ref="H181:I181"/>
    <mergeCell ref="J181:K181"/>
    <mergeCell ref="L181:M181"/>
    <mergeCell ref="L182:M182"/>
    <mergeCell ref="L183:M183"/>
    <mergeCell ref="L184:M184"/>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A267:C269"/>
    <mergeCell ref="D267:G269"/>
    <mergeCell ref="H267:I269"/>
    <mergeCell ref="E208:F208"/>
    <mergeCell ref="B212:C212"/>
    <mergeCell ref="E212:F212"/>
    <mergeCell ref="H212:I212"/>
    <mergeCell ref="K212:L212"/>
    <mergeCell ref="E213:F213"/>
    <mergeCell ref="H213:I213"/>
    <mergeCell ref="K213:L213"/>
    <mergeCell ref="L270:L272"/>
    <mergeCell ref="M270:M272"/>
    <mergeCell ref="E214:F214"/>
    <mergeCell ref="E226:F226"/>
    <mergeCell ref="H226:I226"/>
    <mergeCell ref="E230:F230"/>
    <mergeCell ref="H230:I230"/>
    <mergeCell ref="J267:K269"/>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927</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118</v>
      </c>
      <c r="E7" s="654"/>
      <c r="F7" s="267"/>
      <c r="H7" s="665" t="s">
        <v>945</v>
      </c>
      <c r="I7" s="665"/>
      <c r="J7" s="665"/>
      <c r="K7" s="665"/>
      <c r="L7" s="665"/>
      <c r="M7" s="665"/>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0.45675935000000006</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0.45675935000000006</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5</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0.45675935000000006</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0.45675935000000006</v>
      </c>
      <c r="S38" s="308" t="s">
        <v>361</v>
      </c>
      <c r="V38" s="197"/>
    </row>
    <row r="39" spans="1:22" ht="18" customHeight="1">
      <c r="A39" s="196"/>
      <c r="I39" s="27" t="s">
        <v>138</v>
      </c>
      <c r="J39" s="680">
        <f>J38*((L38+N38)/(P38+R38))</f>
        <v>13.744421402787349</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0.45675935000000006</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13.744421402787349</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16" t="s">
        <v>97</v>
      </c>
      <c r="B51" s="729"/>
      <c r="C51" s="717"/>
      <c r="D51" s="716" t="s">
        <v>98</v>
      </c>
      <c r="E51" s="729"/>
      <c r="F51" s="717"/>
      <c r="G51" s="716" t="s">
        <v>99</v>
      </c>
      <c r="H51" s="717"/>
      <c r="I51" s="716" t="s">
        <v>100</v>
      </c>
      <c r="J51" s="717"/>
      <c r="K51" s="716" t="s">
        <v>513</v>
      </c>
      <c r="L51" s="717"/>
      <c r="M51" s="716" t="s">
        <v>114</v>
      </c>
      <c r="N51" s="717"/>
      <c r="O51" s="716"/>
      <c r="P51" s="717"/>
      <c r="Q51" s="716" t="s">
        <v>516</v>
      </c>
      <c r="R51" s="717"/>
      <c r="S51" s="716" t="s">
        <v>105</v>
      </c>
      <c r="T51" s="729"/>
      <c r="U51" s="729"/>
      <c r="V51" s="717"/>
    </row>
    <row r="52" spans="1:22" ht="18" customHeight="1">
      <c r="A52" s="718"/>
      <c r="B52" s="730"/>
      <c r="C52" s="719"/>
      <c r="D52" s="718"/>
      <c r="E52" s="730"/>
      <c r="F52" s="719"/>
      <c r="G52" s="718"/>
      <c r="H52" s="719"/>
      <c r="I52" s="718"/>
      <c r="J52" s="719"/>
      <c r="K52" s="718"/>
      <c r="L52" s="719"/>
      <c r="M52" s="718"/>
      <c r="N52" s="719"/>
      <c r="O52" s="718"/>
      <c r="P52" s="719"/>
      <c r="Q52" s="718"/>
      <c r="R52" s="719"/>
      <c r="S52" s="718"/>
      <c r="T52" s="730"/>
      <c r="U52" s="730"/>
      <c r="V52" s="719"/>
    </row>
    <row r="53" spans="1:22" ht="18" customHeight="1">
      <c r="A53" s="718"/>
      <c r="B53" s="730"/>
      <c r="C53" s="719"/>
      <c r="D53" s="718"/>
      <c r="E53" s="730"/>
      <c r="F53" s="719"/>
      <c r="G53" s="718"/>
      <c r="H53" s="719"/>
      <c r="I53" s="718"/>
      <c r="J53" s="719"/>
      <c r="K53" s="718"/>
      <c r="L53" s="719"/>
      <c r="M53" s="718"/>
      <c r="N53" s="719"/>
      <c r="O53" s="718"/>
      <c r="P53" s="719"/>
      <c r="Q53" s="718"/>
      <c r="R53" s="719"/>
      <c r="S53" s="718"/>
      <c r="T53" s="730"/>
      <c r="U53" s="730"/>
      <c r="V53" s="719"/>
    </row>
    <row r="54" spans="1:22" ht="18" customHeight="1">
      <c r="A54" s="720"/>
      <c r="B54" s="731"/>
      <c r="C54" s="721"/>
      <c r="D54" s="720"/>
      <c r="E54" s="731"/>
      <c r="F54" s="721"/>
      <c r="G54" s="720"/>
      <c r="H54" s="721"/>
      <c r="I54" s="720"/>
      <c r="J54" s="721"/>
      <c r="K54" s="720"/>
      <c r="L54" s="721"/>
      <c r="M54" s="720"/>
      <c r="N54" s="721"/>
      <c r="O54" s="720"/>
      <c r="P54" s="721"/>
      <c r="Q54" s="720"/>
      <c r="R54" s="721"/>
      <c r="S54" s="720"/>
      <c r="T54" s="731"/>
      <c r="U54" s="731"/>
      <c r="V54" s="721"/>
    </row>
    <row r="55" spans="1:22" ht="18" customHeight="1">
      <c r="A55" s="733" t="str">
        <f>B7</f>
        <v>T1</v>
      </c>
      <c r="B55" s="733" t="str">
        <f>D7</f>
        <v>Core6</v>
      </c>
      <c r="C55" s="733"/>
      <c r="D55" s="732">
        <f>H10</f>
        <v>2500</v>
      </c>
      <c r="E55" s="732"/>
      <c r="F55" s="734">
        <f>O10</f>
        <v>1</v>
      </c>
      <c r="G55" s="737">
        <f>'CT-VT Burdens'!S19</f>
        <v>50</v>
      </c>
      <c r="H55" s="740">
        <f>'CT-VT Burdens'!S10</f>
        <v>6</v>
      </c>
      <c r="I55" s="794" t="str">
        <f>H11</f>
        <v>0.2S</v>
      </c>
      <c r="J55" s="794"/>
      <c r="K55" s="728">
        <f>H12</f>
        <v>5</v>
      </c>
      <c r="L55" s="728"/>
      <c r="M55" s="728">
        <f>H14</f>
        <v>10</v>
      </c>
      <c r="N55" s="728"/>
      <c r="O55" s="732" t="s">
        <v>7</v>
      </c>
      <c r="P55" s="732"/>
      <c r="Q55" s="739" t="str">
        <f>CONCATENATE(T7," ",T8," ",T9," ",T10)</f>
        <v xml:space="preserve">XC-RACK   </v>
      </c>
      <c r="R55" s="739"/>
      <c r="S55" s="738" t="str">
        <f>J47</f>
        <v>Suitable Dimensions</v>
      </c>
      <c r="T55" s="738"/>
      <c r="U55" s="738"/>
      <c r="V55" s="738"/>
    </row>
    <row r="56" spans="1:22" ht="18" customHeight="1">
      <c r="A56" s="733"/>
      <c r="B56" s="733"/>
      <c r="C56" s="733"/>
      <c r="D56" s="732" t="str">
        <f>J10</f>
        <v>-</v>
      </c>
      <c r="E56" s="732"/>
      <c r="F56" s="735"/>
      <c r="G56" s="737"/>
      <c r="H56" s="740"/>
      <c r="I56" s="794"/>
      <c r="J56" s="794"/>
      <c r="K56" s="801" t="s">
        <v>7</v>
      </c>
      <c r="L56" s="728"/>
      <c r="M56" s="801" t="s">
        <v>7</v>
      </c>
      <c r="N56" s="728"/>
      <c r="O56" s="732" t="s">
        <v>7</v>
      </c>
      <c r="P56" s="732"/>
      <c r="Q56" s="739"/>
      <c r="R56" s="739"/>
      <c r="S56" s="978" t="s">
        <v>7</v>
      </c>
      <c r="T56" s="738"/>
      <c r="U56" s="738"/>
      <c r="V56" s="738"/>
    </row>
    <row r="57" spans="1:22" ht="18" customHeight="1">
      <c r="A57" s="733"/>
      <c r="B57" s="733"/>
      <c r="C57" s="733"/>
      <c r="D57" s="732" t="s">
        <v>7</v>
      </c>
      <c r="E57" s="732"/>
      <c r="F57" s="736"/>
      <c r="G57" s="737"/>
      <c r="H57" s="740"/>
      <c r="I57" s="794"/>
      <c r="J57" s="794"/>
      <c r="K57" s="728" t="s">
        <v>7</v>
      </c>
      <c r="L57" s="728"/>
      <c r="M57" s="728" t="s">
        <v>7</v>
      </c>
      <c r="N57" s="728"/>
      <c r="O57" s="732" t="s">
        <v>7</v>
      </c>
      <c r="P57" s="732"/>
      <c r="Q57" s="739"/>
      <c r="R57" s="739"/>
      <c r="S57" s="738" t="s">
        <v>7</v>
      </c>
      <c r="T57" s="738"/>
      <c r="U57" s="738"/>
      <c r="V57" s="73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55:H57"/>
    <mergeCell ref="D56:E56"/>
    <mergeCell ref="K56:L56"/>
    <mergeCell ref="M56:N56"/>
    <mergeCell ref="O56:P56"/>
    <mergeCell ref="D57:E57"/>
    <mergeCell ref="K57:L57"/>
    <mergeCell ref="M57:N57"/>
    <mergeCell ref="O57:P57"/>
    <mergeCell ref="A55:A57"/>
    <mergeCell ref="B55:C57"/>
    <mergeCell ref="D55:E55"/>
    <mergeCell ref="F55:F57"/>
    <mergeCell ref="G55:G57"/>
    <mergeCell ref="S57:V57"/>
    <mergeCell ref="I55:J57"/>
    <mergeCell ref="K55:L55"/>
    <mergeCell ref="M55:N55"/>
    <mergeCell ref="O55:P55"/>
    <mergeCell ref="Q55:R57"/>
    <mergeCell ref="S55:V55"/>
    <mergeCell ref="S56:V56"/>
    <mergeCell ref="A51:C54"/>
    <mergeCell ref="D51:F54"/>
    <mergeCell ref="G51:H54"/>
    <mergeCell ref="I51:J54"/>
    <mergeCell ref="K51:L54"/>
    <mergeCell ref="S32:T32"/>
    <mergeCell ref="M51:N54"/>
    <mergeCell ref="J36:K36"/>
    <mergeCell ref="J39:K39"/>
    <mergeCell ref="G43:H43"/>
    <mergeCell ref="J43:K43"/>
    <mergeCell ref="G46:H46"/>
    <mergeCell ref="J46:K46"/>
    <mergeCell ref="O51:P54"/>
    <mergeCell ref="Q51:R54"/>
    <mergeCell ref="S51:V54"/>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H7:M7"/>
    <mergeCell ref="H12:I12"/>
    <mergeCell ref="H13:I13"/>
    <mergeCell ref="H14:I14"/>
    <mergeCell ref="J18:K18"/>
    <mergeCell ref="J19:K1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T7:U7"/>
    <mergeCell ref="T8:U8"/>
    <mergeCell ref="H9:I9"/>
    <mergeCell ref="J9:K9"/>
    <mergeCell ref="L9:M9"/>
    <mergeCell ref="T9:U9"/>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927</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944</v>
      </c>
      <c r="E7" s="654"/>
      <c r="F7" s="267"/>
      <c r="H7" s="665" t="s">
        <v>946</v>
      </c>
      <c r="I7" s="665"/>
      <c r="J7" s="665"/>
      <c r="K7" s="665"/>
      <c r="L7" s="665"/>
      <c r="M7" s="665"/>
      <c r="P7" s="198"/>
      <c r="R7" s="267"/>
      <c r="S7" s="199" t="s">
        <v>398</v>
      </c>
      <c r="T7" s="1047" t="s">
        <v>255</v>
      </c>
      <c r="U7" s="1048"/>
      <c r="V7" s="197"/>
    </row>
    <row r="8" spans="1:24" ht="18" customHeight="1">
      <c r="A8" s="196"/>
      <c r="B8" s="571"/>
      <c r="C8" s="571"/>
      <c r="D8" s="571"/>
      <c r="E8" s="571"/>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2000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5</v>
      </c>
      <c r="I13" s="654"/>
      <c r="T13" s="307"/>
      <c r="U13" s="18"/>
      <c r="V13" s="197"/>
      <c r="W13" s="30" t="str">
        <f>J46</f>
        <v>Suitable Dimensions</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0.45675935000000006</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2000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0.45675935000000006</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5</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0.45675935000000006</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0.45675935000000006</v>
      </c>
      <c r="S38" s="308" t="s">
        <v>361</v>
      </c>
      <c r="V38" s="197"/>
    </row>
    <row r="39" spans="1:22" ht="18" customHeight="1">
      <c r="A39" s="196"/>
      <c r="I39" s="27" t="s">
        <v>138</v>
      </c>
      <c r="J39" s="680">
        <f>J38*((L38+N38)/(P38+R38))</f>
        <v>13.744421402787349</v>
      </c>
      <c r="K39" s="680"/>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665">
        <f>H14</f>
        <v>10</v>
      </c>
      <c r="H42" s="665"/>
      <c r="I42" s="27" t="str">
        <f>IF(G42&gt;J42,"&gt;","&lt;")</f>
        <v>&gt;</v>
      </c>
      <c r="J42" s="668">
        <f>J35</f>
        <v>0.45675935000000006</v>
      </c>
      <c r="K42" s="665"/>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668">
        <f>P30</f>
        <v>20</v>
      </c>
      <c r="H45" s="668"/>
      <c r="I45" s="27" t="str">
        <f>IF(G45&gt;J45,"&gt;","&lt;")</f>
        <v>&gt;</v>
      </c>
      <c r="J45" s="668">
        <f>J39</f>
        <v>13.744421402787349</v>
      </c>
      <c r="K45" s="668"/>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16" t="s">
        <v>97</v>
      </c>
      <c r="B51" s="729"/>
      <c r="C51" s="717"/>
      <c r="D51" s="716" t="s">
        <v>98</v>
      </c>
      <c r="E51" s="729"/>
      <c r="F51" s="717"/>
      <c r="G51" s="716" t="s">
        <v>99</v>
      </c>
      <c r="H51" s="717"/>
      <c r="I51" s="716" t="s">
        <v>100</v>
      </c>
      <c r="J51" s="717"/>
      <c r="K51" s="716" t="s">
        <v>513</v>
      </c>
      <c r="L51" s="717"/>
      <c r="M51" s="716" t="s">
        <v>114</v>
      </c>
      <c r="N51" s="717"/>
      <c r="O51" s="716"/>
      <c r="P51" s="717"/>
      <c r="Q51" s="716" t="s">
        <v>516</v>
      </c>
      <c r="R51" s="717"/>
      <c r="S51" s="716" t="s">
        <v>105</v>
      </c>
      <c r="T51" s="729"/>
      <c r="U51" s="729"/>
      <c r="V51" s="717"/>
    </row>
    <row r="52" spans="1:22" ht="18" customHeight="1">
      <c r="A52" s="718"/>
      <c r="B52" s="730"/>
      <c r="C52" s="719"/>
      <c r="D52" s="718"/>
      <c r="E52" s="730"/>
      <c r="F52" s="719"/>
      <c r="G52" s="718"/>
      <c r="H52" s="719"/>
      <c r="I52" s="718"/>
      <c r="J52" s="719"/>
      <c r="K52" s="718"/>
      <c r="L52" s="719"/>
      <c r="M52" s="718"/>
      <c r="N52" s="719"/>
      <c r="O52" s="718"/>
      <c r="P52" s="719"/>
      <c r="Q52" s="718"/>
      <c r="R52" s="719"/>
      <c r="S52" s="718"/>
      <c r="T52" s="730"/>
      <c r="U52" s="730"/>
      <c r="V52" s="719"/>
    </row>
    <row r="53" spans="1:22" ht="18" customHeight="1">
      <c r="A53" s="718"/>
      <c r="B53" s="730"/>
      <c r="C53" s="719"/>
      <c r="D53" s="718"/>
      <c r="E53" s="730"/>
      <c r="F53" s="719"/>
      <c r="G53" s="718"/>
      <c r="H53" s="719"/>
      <c r="I53" s="718"/>
      <c r="J53" s="719"/>
      <c r="K53" s="718"/>
      <c r="L53" s="719"/>
      <c r="M53" s="718"/>
      <c r="N53" s="719"/>
      <c r="O53" s="718"/>
      <c r="P53" s="719"/>
      <c r="Q53" s="718"/>
      <c r="R53" s="719"/>
      <c r="S53" s="718"/>
      <c r="T53" s="730"/>
      <c r="U53" s="730"/>
      <c r="V53" s="719"/>
    </row>
    <row r="54" spans="1:22" ht="18" customHeight="1">
      <c r="A54" s="720"/>
      <c r="B54" s="731"/>
      <c r="C54" s="721"/>
      <c r="D54" s="720"/>
      <c r="E54" s="731"/>
      <c r="F54" s="721"/>
      <c r="G54" s="720"/>
      <c r="H54" s="721"/>
      <c r="I54" s="720"/>
      <c r="J54" s="721"/>
      <c r="K54" s="720"/>
      <c r="L54" s="721"/>
      <c r="M54" s="720"/>
      <c r="N54" s="721"/>
      <c r="O54" s="720"/>
      <c r="P54" s="721"/>
      <c r="Q54" s="720"/>
      <c r="R54" s="721"/>
      <c r="S54" s="720"/>
      <c r="T54" s="731"/>
      <c r="U54" s="731"/>
      <c r="V54" s="721"/>
    </row>
    <row r="55" spans="1:22" ht="18" customHeight="1">
      <c r="A55" s="733" t="str">
        <f>B7</f>
        <v>T1</v>
      </c>
      <c r="B55" s="733" t="str">
        <f>D7</f>
        <v>Core7</v>
      </c>
      <c r="C55" s="733"/>
      <c r="D55" s="732">
        <f>H10</f>
        <v>2000</v>
      </c>
      <c r="E55" s="732"/>
      <c r="F55" s="734">
        <f>O10</f>
        <v>1</v>
      </c>
      <c r="G55" s="737">
        <f>'CT-VT Burdens'!S19</f>
        <v>50</v>
      </c>
      <c r="H55" s="740">
        <f>'CT-VT Burdens'!S10</f>
        <v>6</v>
      </c>
      <c r="I55" s="794" t="str">
        <f>H11</f>
        <v>0.2S</v>
      </c>
      <c r="J55" s="794"/>
      <c r="K55" s="728">
        <f>H12</f>
        <v>5</v>
      </c>
      <c r="L55" s="728"/>
      <c r="M55" s="728">
        <f>H14</f>
        <v>10</v>
      </c>
      <c r="N55" s="728"/>
      <c r="O55" s="732" t="s">
        <v>7</v>
      </c>
      <c r="P55" s="732"/>
      <c r="Q55" s="739" t="str">
        <f>CONCATENATE(T7," ",T8," ",T9," ",T10)</f>
        <v xml:space="preserve">XC-RACK   </v>
      </c>
      <c r="R55" s="739"/>
      <c r="S55" s="738" t="str">
        <f>J46</f>
        <v>Suitable Dimensions</v>
      </c>
      <c r="T55" s="738"/>
      <c r="U55" s="738"/>
      <c r="V55" s="738"/>
    </row>
    <row r="56" spans="1:22" ht="18" customHeight="1">
      <c r="A56" s="733"/>
      <c r="B56" s="733"/>
      <c r="C56" s="733"/>
      <c r="D56" s="732" t="str">
        <f>J10</f>
        <v>-</v>
      </c>
      <c r="E56" s="732"/>
      <c r="F56" s="735"/>
      <c r="G56" s="737"/>
      <c r="H56" s="740"/>
      <c r="I56" s="794"/>
      <c r="J56" s="794"/>
      <c r="K56" s="801" t="s">
        <v>7</v>
      </c>
      <c r="L56" s="728"/>
      <c r="M56" s="801" t="s">
        <v>7</v>
      </c>
      <c r="N56" s="728"/>
      <c r="O56" s="732" t="s">
        <v>7</v>
      </c>
      <c r="P56" s="732"/>
      <c r="Q56" s="739"/>
      <c r="R56" s="739"/>
      <c r="S56" s="978" t="s">
        <v>7</v>
      </c>
      <c r="T56" s="738"/>
      <c r="U56" s="738"/>
      <c r="V56" s="738"/>
    </row>
    <row r="57" spans="1:22" ht="18" customHeight="1">
      <c r="A57" s="733"/>
      <c r="B57" s="733"/>
      <c r="C57" s="733"/>
      <c r="D57" s="732" t="s">
        <v>7</v>
      </c>
      <c r="E57" s="732"/>
      <c r="F57" s="736"/>
      <c r="G57" s="737"/>
      <c r="H57" s="740"/>
      <c r="I57" s="794"/>
      <c r="J57" s="794"/>
      <c r="K57" s="728" t="s">
        <v>7</v>
      </c>
      <c r="L57" s="728"/>
      <c r="M57" s="728" t="s">
        <v>7</v>
      </c>
      <c r="N57" s="728"/>
      <c r="O57" s="732" t="s">
        <v>7</v>
      </c>
      <c r="P57" s="732"/>
      <c r="Q57" s="739"/>
      <c r="R57" s="739"/>
      <c r="S57" s="738" t="s">
        <v>7</v>
      </c>
      <c r="T57" s="738"/>
      <c r="U57" s="738"/>
      <c r="V57" s="73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D7:E7"/>
    <mergeCell ref="T10:U10"/>
    <mergeCell ref="H11:I11"/>
    <mergeCell ref="T11:U11"/>
    <mergeCell ref="H7:M7"/>
    <mergeCell ref="T7:U7"/>
    <mergeCell ref="T8:U8"/>
    <mergeCell ref="H9:I9"/>
    <mergeCell ref="J9:K9"/>
    <mergeCell ref="L9:M9"/>
    <mergeCell ref="T9:U9"/>
    <mergeCell ref="J20:K20"/>
    <mergeCell ref="H10:I10"/>
    <mergeCell ref="J10:K10"/>
    <mergeCell ref="L10:M10"/>
    <mergeCell ref="S32:T32"/>
    <mergeCell ref="H12:I12"/>
    <mergeCell ref="H13:I13"/>
    <mergeCell ref="H14:I14"/>
    <mergeCell ref="J18:K18"/>
    <mergeCell ref="J19:K19"/>
    <mergeCell ref="J35:K35"/>
    <mergeCell ref="M35:N35"/>
    <mergeCell ref="J21:K21"/>
    <mergeCell ref="J22:K22"/>
    <mergeCell ref="P22:Q22"/>
    <mergeCell ref="J23:K23"/>
    <mergeCell ref="P25:Q25"/>
    <mergeCell ref="P26:Q26"/>
    <mergeCell ref="P27:Q27"/>
    <mergeCell ref="P28:Q28"/>
    <mergeCell ref="P29:Q29"/>
    <mergeCell ref="P30:Q30"/>
    <mergeCell ref="J36:K36"/>
    <mergeCell ref="J39:K39"/>
    <mergeCell ref="G42:H42"/>
    <mergeCell ref="J42:K42"/>
    <mergeCell ref="G45:H45"/>
    <mergeCell ref="J45:K45"/>
    <mergeCell ref="A51:C54"/>
    <mergeCell ref="D51:F54"/>
    <mergeCell ref="G51:H54"/>
    <mergeCell ref="I51:J54"/>
    <mergeCell ref="A55:A57"/>
    <mergeCell ref="B55:C57"/>
    <mergeCell ref="D55:E55"/>
    <mergeCell ref="F55:F57"/>
    <mergeCell ref="G55:G57"/>
    <mergeCell ref="K51:L54"/>
    <mergeCell ref="D56:E56"/>
    <mergeCell ref="K56:L56"/>
    <mergeCell ref="D57:E57"/>
    <mergeCell ref="K57:L57"/>
    <mergeCell ref="H55:H57"/>
    <mergeCell ref="M57:N57"/>
    <mergeCell ref="O57:P57"/>
    <mergeCell ref="S57:V57"/>
    <mergeCell ref="I55:J57"/>
    <mergeCell ref="K55:L55"/>
    <mergeCell ref="M55:N55"/>
    <mergeCell ref="O55:P55"/>
    <mergeCell ref="Q55:R57"/>
    <mergeCell ref="S55:V55"/>
    <mergeCell ref="M51:N54"/>
    <mergeCell ref="O51:P54"/>
    <mergeCell ref="Q51:R54"/>
    <mergeCell ref="S51:V54"/>
    <mergeCell ref="M56:N56"/>
    <mergeCell ref="O56:P56"/>
    <mergeCell ref="S56:V56"/>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1055" t="str">
        <f>Title!R3</f>
        <v>-</v>
      </c>
      <c r="S3" s="1056"/>
      <c r="T3" s="1056"/>
      <c r="U3" s="1056"/>
      <c r="V3" s="105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927</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48" t="s">
        <v>125</v>
      </c>
      <c r="E7" s="949"/>
      <c r="F7" s="267"/>
      <c r="H7" s="14"/>
      <c r="I7" s="14"/>
      <c r="J7" s="14"/>
      <c r="K7" s="14"/>
      <c r="L7" s="14"/>
      <c r="M7" s="14"/>
      <c r="P7" s="198"/>
      <c r="S7" s="199" t="s">
        <v>398</v>
      </c>
      <c r="T7" s="948" t="s">
        <v>928</v>
      </c>
      <c r="U7" s="949"/>
      <c r="V7" s="197"/>
    </row>
    <row r="8" spans="1:24" ht="18" customHeight="1">
      <c r="A8" s="196"/>
      <c r="B8"/>
      <c r="C8"/>
      <c r="D8"/>
      <c r="E8"/>
      <c r="F8" s="267"/>
      <c r="T8"/>
      <c r="U8"/>
      <c r="V8" s="197"/>
    </row>
    <row r="9" spans="1:24" ht="18" customHeight="1">
      <c r="A9" s="196"/>
      <c r="H9" s="666" t="s">
        <v>401</v>
      </c>
      <c r="I9" s="666"/>
      <c r="J9" s="667" t="s">
        <v>402</v>
      </c>
      <c r="K9" s="667"/>
      <c r="L9" s="667" t="s">
        <v>403</v>
      </c>
      <c r="M9" s="667"/>
      <c r="T9"/>
      <c r="U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V13" s="197"/>
      <c r="W13" s="30" t="str">
        <f>G58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52">
        <f>'CT-VT Burdens'!Q48</f>
        <v>0.02</v>
      </c>
      <c r="K18" s="953"/>
      <c r="L18" s="3" t="s">
        <v>168</v>
      </c>
      <c r="N18" s="209" t="s">
        <v>521</v>
      </c>
      <c r="V18" s="197"/>
    </row>
    <row r="19" spans="1:22" ht="18" customHeight="1">
      <c r="A19" s="196"/>
      <c r="B19" s="96" t="s">
        <v>416</v>
      </c>
      <c r="D19" s="308">
        <f>T8</f>
        <v>0</v>
      </c>
      <c r="I19" s="189" t="s">
        <v>138</v>
      </c>
      <c r="J19" s="969"/>
      <c r="K19" s="970"/>
      <c r="L19" s="210" t="s">
        <v>168</v>
      </c>
      <c r="P19" s="256"/>
      <c r="V19" s="197"/>
    </row>
    <row r="20" spans="1:22" ht="18" customHeight="1">
      <c r="A20" s="196"/>
      <c r="B20" s="96" t="s">
        <v>416</v>
      </c>
      <c r="C20" s="14"/>
      <c r="D20" s="47">
        <f>T9</f>
        <v>0</v>
      </c>
      <c r="E20" s="14"/>
      <c r="G20" s="211"/>
      <c r="H20" s="27"/>
      <c r="I20" s="101" t="s">
        <v>138</v>
      </c>
      <c r="J20" s="964"/>
      <c r="K20" s="965"/>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4">
        <f>'CT-VT Burdens'!S39</f>
        <v>2.7035014500000001</v>
      </c>
      <c r="K21" s="95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78">
        <f>SUM(J18:J21)</f>
        <v>2.7235014500000001</v>
      </c>
      <c r="K22" s="679"/>
      <c r="L22" s="3" t="s">
        <v>168</v>
      </c>
      <c r="O22" s="27" t="s">
        <v>138</v>
      </c>
      <c r="P22" s="668">
        <f>P21*R21*T21</f>
        <v>5</v>
      </c>
      <c r="Q22" s="665"/>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(4)'!Q10 *1000</f>
        <v>50000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750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2.7235014500000001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f>E42</f>
        <v>43.75</v>
      </c>
      <c r="T38" s="665"/>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88" t="s">
        <v>484</v>
      </c>
      <c r="I40" s="975"/>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76">
        <f>S33</f>
        <v>750</v>
      </c>
      <c r="I41" s="977"/>
      <c r="J41" s="257" t="s">
        <v>326</v>
      </c>
      <c r="K41" s="257">
        <f>S36</f>
        <v>1</v>
      </c>
      <c r="L41" s="257" t="s">
        <v>552</v>
      </c>
      <c r="M41" s="257">
        <f>S37</f>
        <v>20</v>
      </c>
      <c r="N41" s="474" t="s">
        <v>553</v>
      </c>
      <c r="O41" s="516">
        <f>S34</f>
        <v>5</v>
      </c>
      <c r="V41" s="197"/>
    </row>
    <row r="42" spans="1:25" ht="18" customHeight="1">
      <c r="A42" s="196"/>
      <c r="D42" s="27" t="s">
        <v>138</v>
      </c>
      <c r="E42" s="665">
        <f>((F41*H41)/(K41*M41))-O41</f>
        <v>43.75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64" t="s">
        <v>555</v>
      </c>
      <c r="H48" s="664"/>
      <c r="I48" s="203" t="s">
        <v>353</v>
      </c>
      <c r="J48" s="665" t="s">
        <v>434</v>
      </c>
      <c r="K48" s="665"/>
      <c r="V48" s="197"/>
    </row>
    <row r="49" spans="1:22" ht="18" customHeight="1">
      <c r="A49" s="196"/>
      <c r="F49" s="27" t="s">
        <v>138</v>
      </c>
      <c r="G49" s="665">
        <f>S31</f>
        <v>50000</v>
      </c>
      <c r="H49" s="665"/>
      <c r="I49" s="203" t="s">
        <v>353</v>
      </c>
      <c r="J49" s="665">
        <f>S32</f>
        <v>2500</v>
      </c>
      <c r="K49" s="665"/>
      <c r="V49" s="197"/>
    </row>
    <row r="50" spans="1:22" ht="18" customHeight="1">
      <c r="A50" s="196"/>
      <c r="F50" s="27" t="s">
        <v>138</v>
      </c>
      <c r="G50" s="668">
        <f>G49/J49</f>
        <v>20</v>
      </c>
      <c r="H50" s="668"/>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80">
        <f>G53*((I53+K53)/(M53+O53))</f>
        <v>126.23808078653238</v>
      </c>
      <c r="H54" s="68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68">
        <f>G54</f>
        <v>126.23808078653238</v>
      </c>
      <c r="E57" s="668"/>
      <c r="F57" s="27" t="str">
        <f>F56</f>
        <v>&gt;</v>
      </c>
      <c r="G57" s="668">
        <f>G50</f>
        <v>20</v>
      </c>
      <c r="H57" s="668"/>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800" t="s">
        <v>97</v>
      </c>
      <c r="B90" s="800"/>
      <c r="C90" s="728"/>
      <c r="D90" s="800" t="s">
        <v>98</v>
      </c>
      <c r="E90" s="800"/>
      <c r="F90" s="800"/>
      <c r="G90" s="800" t="s">
        <v>99</v>
      </c>
      <c r="H90" s="800"/>
      <c r="I90" s="800" t="s">
        <v>100</v>
      </c>
      <c r="J90" s="800"/>
      <c r="K90" s="716" t="s">
        <v>101</v>
      </c>
      <c r="L90" s="717"/>
      <c r="M90" s="716" t="s">
        <v>102</v>
      </c>
      <c r="N90" s="717"/>
      <c r="O90" s="716" t="s">
        <v>103</v>
      </c>
      <c r="P90" s="717"/>
      <c r="Q90" s="716" t="s">
        <v>104</v>
      </c>
      <c r="R90" s="717"/>
      <c r="S90" s="800" t="s">
        <v>105</v>
      </c>
      <c r="T90" s="800"/>
      <c r="U90" s="800"/>
      <c r="V90" s="800"/>
    </row>
    <row r="91" spans="1:22" ht="18" customHeight="1">
      <c r="A91" s="728" t="str">
        <f>B7</f>
        <v>T1</v>
      </c>
      <c r="B91" s="733" t="str">
        <f>D7</f>
        <v>Core4</v>
      </c>
      <c r="C91" s="733"/>
      <c r="D91" s="732">
        <f>H10</f>
        <v>2500</v>
      </c>
      <c r="E91" s="732"/>
      <c r="F91" s="734">
        <f>O10</f>
        <v>1</v>
      </c>
      <c r="G91" s="737">
        <f>'CT-VT Burdens'!S19</f>
        <v>50</v>
      </c>
      <c r="H91" s="794">
        <f>'CT-VT Burdens'!S10</f>
        <v>6</v>
      </c>
      <c r="I91" s="794" t="str">
        <f>H11</f>
        <v>PX-B</v>
      </c>
      <c r="J91" s="794"/>
      <c r="K91" s="728">
        <f>H12</f>
        <v>5</v>
      </c>
      <c r="L91" s="728"/>
      <c r="M91" s="728">
        <f>H13</f>
        <v>750</v>
      </c>
      <c r="N91" s="728"/>
      <c r="O91" s="732">
        <f>H14</f>
        <v>60</v>
      </c>
      <c r="P91" s="732"/>
      <c r="Q91" s="739" t="str">
        <f>T7</f>
        <v>REF650</v>
      </c>
      <c r="R91" s="739"/>
      <c r="S91" s="738" t="str">
        <f>G58</f>
        <v>Suitably Dimentioned</v>
      </c>
      <c r="T91" s="738"/>
      <c r="U91" s="738"/>
      <c r="V91" s="738"/>
    </row>
    <row r="92" spans="1:22" ht="18" customHeight="1">
      <c r="A92" s="728"/>
      <c r="B92" s="733"/>
      <c r="C92" s="733"/>
      <c r="D92" s="732" t="s">
        <v>7</v>
      </c>
      <c r="E92" s="732"/>
      <c r="F92" s="735"/>
      <c r="G92" s="737"/>
      <c r="H92" s="732"/>
      <c r="I92" s="794"/>
      <c r="J92" s="794"/>
      <c r="K92" s="728" t="s">
        <v>7</v>
      </c>
      <c r="L92" s="728"/>
      <c r="M92" s="728" t="s">
        <v>7</v>
      </c>
      <c r="N92" s="728"/>
      <c r="O92" s="732" t="s">
        <v>7</v>
      </c>
      <c r="P92" s="732"/>
      <c r="Q92" s="739"/>
      <c r="R92" s="739"/>
      <c r="S92" s="738" t="s">
        <v>7</v>
      </c>
      <c r="T92" s="738"/>
      <c r="U92" s="738"/>
      <c r="V92" s="738"/>
    </row>
    <row r="93" spans="1:22" ht="18" customHeight="1">
      <c r="A93" s="728"/>
      <c r="B93" s="733"/>
      <c r="C93" s="733"/>
      <c r="D93" s="732" t="s">
        <v>7</v>
      </c>
      <c r="E93" s="732"/>
      <c r="F93" s="736"/>
      <c r="G93" s="737"/>
      <c r="H93" s="732"/>
      <c r="I93" s="794"/>
      <c r="J93" s="794"/>
      <c r="K93" s="728" t="s">
        <v>7</v>
      </c>
      <c r="L93" s="728"/>
      <c r="M93" s="728" t="s">
        <v>7</v>
      </c>
      <c r="N93" s="728"/>
      <c r="O93" s="732" t="s">
        <v>7</v>
      </c>
      <c r="P93" s="732"/>
      <c r="Q93" s="739"/>
      <c r="R93" s="739"/>
      <c r="S93" s="738" t="s">
        <v>7</v>
      </c>
      <c r="T93" s="738"/>
      <c r="U93" s="738"/>
      <c r="V93" s="73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I91:J93"/>
    <mergeCell ref="K91:L91"/>
    <mergeCell ref="M91:N91"/>
    <mergeCell ref="O91:P91"/>
    <mergeCell ref="Q91:R93"/>
    <mergeCell ref="S91:V91"/>
    <mergeCell ref="K92:L92"/>
    <mergeCell ref="M92:N92"/>
    <mergeCell ref="O92:P92"/>
    <mergeCell ref="S92:V92"/>
    <mergeCell ref="A91:A93"/>
    <mergeCell ref="B91:C93"/>
    <mergeCell ref="D91:E91"/>
    <mergeCell ref="F91:F93"/>
    <mergeCell ref="G91:G93"/>
    <mergeCell ref="H91:H93"/>
    <mergeCell ref="D92:E92"/>
    <mergeCell ref="D93:E93"/>
    <mergeCell ref="I90:J90"/>
    <mergeCell ref="K90:L90"/>
    <mergeCell ref="K93:L93"/>
    <mergeCell ref="M90:N90"/>
    <mergeCell ref="O90:P90"/>
    <mergeCell ref="Q90:R90"/>
    <mergeCell ref="S90:V90"/>
    <mergeCell ref="G50:H50"/>
    <mergeCell ref="G54:H54"/>
    <mergeCell ref="D57:E57"/>
    <mergeCell ref="G57:H57"/>
    <mergeCell ref="A90:C90"/>
    <mergeCell ref="D90:F90"/>
    <mergeCell ref="G90:H90"/>
    <mergeCell ref="H41:I41"/>
    <mergeCell ref="E42:F42"/>
    <mergeCell ref="G48:H48"/>
    <mergeCell ref="J48:K48"/>
    <mergeCell ref="G49:H49"/>
    <mergeCell ref="J49:K49"/>
    <mergeCell ref="H40:I40"/>
    <mergeCell ref="P22:Q22"/>
    <mergeCell ref="A24:V25"/>
    <mergeCell ref="H29:I29"/>
    <mergeCell ref="S31:T31"/>
    <mergeCell ref="S32:T32"/>
    <mergeCell ref="S33:T33"/>
    <mergeCell ref="J22:K22"/>
    <mergeCell ref="S34:T34"/>
    <mergeCell ref="S35:T35"/>
    <mergeCell ref="S36:T36"/>
    <mergeCell ref="S37:T37"/>
    <mergeCell ref="S38:T38"/>
    <mergeCell ref="H14:I14"/>
    <mergeCell ref="J18:K18"/>
    <mergeCell ref="J19:K19"/>
    <mergeCell ref="J20:K20"/>
    <mergeCell ref="J21:K21"/>
    <mergeCell ref="H13:I13"/>
    <mergeCell ref="B7:C7"/>
    <mergeCell ref="D7:E7"/>
    <mergeCell ref="T7:U7"/>
    <mergeCell ref="H9:I9"/>
    <mergeCell ref="J9:K9"/>
    <mergeCell ref="L9:M9"/>
    <mergeCell ref="H10:I10"/>
    <mergeCell ref="J10:K10"/>
    <mergeCell ref="L10:M10"/>
    <mergeCell ref="H11:I11"/>
    <mergeCell ref="H12:I12"/>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7"/>
      <c r="X1" s="7"/>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7"/>
      <c r="X2" s="7"/>
    </row>
    <row r="3" spans="1:29"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7"/>
      <c r="X3" s="7"/>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7"/>
      <c r="X4" s="7"/>
    </row>
    <row r="5" spans="1:29"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7"/>
      <c r="X5" s="7"/>
    </row>
    <row r="6" spans="1:29" ht="18" customHeight="1">
      <c r="A6" s="9"/>
      <c r="V6" s="10"/>
    </row>
    <row r="7" spans="1:29" ht="18" customHeight="1">
      <c r="A7" s="9"/>
      <c r="B7" s="659" t="s">
        <v>120</v>
      </c>
      <c r="C7" s="660"/>
      <c r="D7" s="659" t="s">
        <v>396</v>
      </c>
      <c r="E7" s="661"/>
      <c r="F7" s="664"/>
      <c r="G7" s="664"/>
      <c r="H7" s="664" t="s">
        <v>397</v>
      </c>
      <c r="I7" s="664"/>
      <c r="J7" s="664"/>
      <c r="K7" s="664"/>
      <c r="L7" s="664"/>
      <c r="M7" s="664"/>
      <c r="N7" s="664"/>
      <c r="S7" s="199" t="s">
        <v>398</v>
      </c>
      <c r="T7" s="653" t="s">
        <v>399</v>
      </c>
      <c r="U7" s="654"/>
      <c r="V7" s="10"/>
      <c r="W7" s="30" t="s">
        <v>400</v>
      </c>
    </row>
    <row r="8" spans="1:29" ht="18" customHeight="1">
      <c r="A8" s="9"/>
      <c r="B8" s="657"/>
      <c r="C8" s="658"/>
      <c r="D8" s="662"/>
      <c r="E8" s="663"/>
      <c r="T8" s="653"/>
      <c r="U8" s="654"/>
      <c r="V8" s="10"/>
    </row>
    <row r="9" spans="1:29" ht="18" customHeight="1">
      <c r="A9" s="9"/>
      <c r="H9" s="666" t="s">
        <v>401</v>
      </c>
      <c r="I9" s="666"/>
      <c r="J9" s="667" t="s">
        <v>402</v>
      </c>
      <c r="K9" s="667"/>
      <c r="L9" s="667" t="s">
        <v>403</v>
      </c>
      <c r="M9" s="667"/>
      <c r="T9" s="653"/>
      <c r="U9" s="654"/>
      <c r="V9" s="10"/>
    </row>
    <row r="10" spans="1:29" ht="18" customHeight="1">
      <c r="A10" s="9"/>
      <c r="B10" s="47" t="s">
        <v>404</v>
      </c>
      <c r="H10" s="651">
        <v>2500</v>
      </c>
      <c r="I10" s="652"/>
      <c r="J10" s="653" t="s">
        <v>7</v>
      </c>
      <c r="K10" s="654"/>
      <c r="L10" s="653" t="s">
        <v>7</v>
      </c>
      <c r="M10" s="654"/>
      <c r="N10" s="203" t="s">
        <v>353</v>
      </c>
      <c r="O10" s="125">
        <v>1</v>
      </c>
      <c r="P10" s="27" t="s">
        <v>9</v>
      </c>
      <c r="V10" s="10"/>
    </row>
    <row r="11" spans="1:29" ht="18" customHeight="1">
      <c r="A11" s="9"/>
      <c r="B11" s="47" t="s">
        <v>405</v>
      </c>
      <c r="H11" s="653" t="s">
        <v>850</v>
      </c>
      <c r="I11" s="654"/>
      <c r="V11" s="10"/>
    </row>
    <row r="12" spans="1:29" ht="18" customHeight="1">
      <c r="A12" s="9"/>
      <c r="B12" s="47" t="s">
        <v>407</v>
      </c>
      <c r="G12" s="120" t="s">
        <v>408</v>
      </c>
      <c r="H12" s="653">
        <v>5</v>
      </c>
      <c r="I12" s="654"/>
      <c r="J12" s="204" t="s">
        <v>344</v>
      </c>
      <c r="M12" s="14"/>
      <c r="V12" s="10"/>
    </row>
    <row r="13" spans="1:29" ht="18" customHeight="1">
      <c r="A13" s="9"/>
      <c r="B13" s="47" t="s">
        <v>409</v>
      </c>
      <c r="G13" s="120" t="s">
        <v>410</v>
      </c>
      <c r="H13" s="653">
        <v>3750</v>
      </c>
      <c r="I13" s="654"/>
      <c r="J13" s="14" t="s">
        <v>316</v>
      </c>
      <c r="V13" s="10"/>
      <c r="W13" s="30" t="s">
        <v>411</v>
      </c>
      <c r="AA13" s="30"/>
      <c r="AB13" s="1022">
        <f>Q120</f>
        <v>177.98935000201561</v>
      </c>
      <c r="AC13" s="1023"/>
    </row>
    <row r="14" spans="1:29" ht="18" customHeight="1">
      <c r="A14" s="9"/>
      <c r="B14" s="14" t="s">
        <v>412</v>
      </c>
      <c r="G14" s="120" t="s">
        <v>413</v>
      </c>
      <c r="H14" s="653">
        <v>60</v>
      </c>
      <c r="I14" s="654"/>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44">
        <f>'CT-VT Burdens'!Q48</f>
        <v>0.02</v>
      </c>
      <c r="K18" s="675"/>
      <c r="L18" s="214" t="s">
        <v>168</v>
      </c>
      <c r="N18" s="209" t="s">
        <v>418</v>
      </c>
      <c r="V18" s="10"/>
    </row>
    <row r="19" spans="1:22" ht="18" customHeight="1">
      <c r="A19" s="9"/>
      <c r="B19" s="196" t="s">
        <v>416</v>
      </c>
      <c r="D19" s="437">
        <f>T8</f>
        <v>0</v>
      </c>
      <c r="E19" s="14"/>
      <c r="I19" s="28" t="s">
        <v>138</v>
      </c>
      <c r="J19" s="1044"/>
      <c r="K19" s="675"/>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44"/>
      <c r="K20" s="675"/>
      <c r="L20" s="439" t="s">
        <v>168</v>
      </c>
      <c r="O20" s="27" t="s">
        <v>138</v>
      </c>
      <c r="P20" s="216">
        <f>J22</f>
        <v>0.46875935000000007</v>
      </c>
      <c r="Q20" s="203" t="s">
        <v>421</v>
      </c>
      <c r="R20" s="27">
        <f>O10</f>
        <v>1</v>
      </c>
      <c r="S20" s="27" t="s">
        <v>326</v>
      </c>
      <c r="T20" s="27">
        <f>O10</f>
        <v>1</v>
      </c>
      <c r="U20" s="30" t="s">
        <v>361</v>
      </c>
      <c r="V20" s="10"/>
    </row>
    <row r="21" spans="1:22" ht="18" customHeight="1">
      <c r="A21" s="9"/>
      <c r="B21" s="196" t="s">
        <v>423</v>
      </c>
      <c r="H21" s="438"/>
      <c r="I21" s="440" t="s">
        <v>138</v>
      </c>
      <c r="J21" s="1045">
        <f>'CT-VT Burdens'!S22</f>
        <v>0.44875935000000006</v>
      </c>
      <c r="K21" s="1046"/>
      <c r="L21" s="439" t="s">
        <v>168</v>
      </c>
      <c r="O21" s="27" t="s">
        <v>138</v>
      </c>
      <c r="P21" s="668">
        <f>P20/(R20*T20)</f>
        <v>0.46875935000000007</v>
      </c>
      <c r="Q21" s="668"/>
      <c r="R21" s="204" t="s">
        <v>344</v>
      </c>
      <c r="V21" s="10"/>
    </row>
    <row r="22" spans="1:22" ht="18" customHeight="1">
      <c r="A22" s="9"/>
      <c r="B22" s="217" t="s">
        <v>424</v>
      </c>
      <c r="C22" s="218"/>
      <c r="D22" s="218"/>
      <c r="E22" s="218"/>
      <c r="F22" s="359"/>
      <c r="G22" s="359"/>
      <c r="H22" s="202" t="s">
        <v>420</v>
      </c>
      <c r="I22" s="220" t="s">
        <v>138</v>
      </c>
      <c r="J22" s="896">
        <f>SUM(J18:K21)</f>
        <v>0.46875935000000007</v>
      </c>
      <c r="K22" s="1021"/>
      <c r="L22" s="441" t="s">
        <v>168</v>
      </c>
      <c r="V22" s="10"/>
    </row>
    <row r="23" spans="1:22" ht="18" customHeight="1">
      <c r="A23" s="9"/>
      <c r="V23" s="10"/>
    </row>
    <row r="24" spans="1:22" ht="18" customHeight="1">
      <c r="A24" s="116" t="s">
        <v>425</v>
      </c>
      <c r="V24" s="10"/>
    </row>
    <row r="25" spans="1:22" ht="18" customHeight="1">
      <c r="A25" s="1018" t="s">
        <v>426</v>
      </c>
      <c r="B25" s="1019"/>
      <c r="C25" s="1019"/>
      <c r="D25" s="1019"/>
      <c r="E25" s="1019"/>
      <c r="F25" s="1019"/>
      <c r="G25" s="1019"/>
      <c r="H25" s="1019"/>
      <c r="I25" s="1019"/>
      <c r="J25" s="1019"/>
      <c r="K25" s="1019"/>
      <c r="L25" s="1019"/>
      <c r="M25" s="1019"/>
      <c r="N25" s="1019"/>
      <c r="O25" s="1019"/>
      <c r="P25" s="1019"/>
      <c r="Q25" s="1019"/>
      <c r="R25" s="1019"/>
      <c r="S25" s="1019"/>
      <c r="T25" s="1019"/>
      <c r="U25" s="1019"/>
      <c r="V25" s="1020"/>
    </row>
    <row r="26" spans="1:22" ht="18" customHeight="1">
      <c r="A26" s="1018"/>
      <c r="B26" s="1019"/>
      <c r="C26" s="1019"/>
      <c r="D26" s="1019"/>
      <c r="E26" s="1019"/>
      <c r="F26" s="1019"/>
      <c r="G26" s="1019"/>
      <c r="H26" s="1019"/>
      <c r="I26" s="1019"/>
      <c r="J26" s="1019"/>
      <c r="K26" s="1019"/>
      <c r="L26" s="1019"/>
      <c r="M26" s="1019"/>
      <c r="N26" s="1019"/>
      <c r="O26" s="1019"/>
      <c r="P26" s="1019"/>
      <c r="Q26" s="1019"/>
      <c r="R26" s="1019"/>
      <c r="S26" s="1019"/>
      <c r="T26" s="1019"/>
      <c r="U26" s="1019"/>
      <c r="V26" s="1020"/>
    </row>
    <row r="27" spans="1:22" ht="18" customHeight="1">
      <c r="A27" s="205" t="s">
        <v>427</v>
      </c>
      <c r="V27" s="10"/>
    </row>
    <row r="28" spans="1:22" ht="18" customHeight="1">
      <c r="A28" s="1005" t="s">
        <v>428</v>
      </c>
      <c r="B28" s="947"/>
      <c r="C28" s="947"/>
      <c r="D28" s="14"/>
      <c r="E28" s="7"/>
      <c r="F28" s="1015" t="s">
        <v>429</v>
      </c>
      <c r="G28" s="903"/>
      <c r="H28" s="664" t="s">
        <v>326</v>
      </c>
      <c r="I28" s="696" t="s">
        <v>422</v>
      </c>
      <c r="J28" s="939"/>
      <c r="K28" s="664" t="s">
        <v>326</v>
      </c>
      <c r="L28" s="1015" t="s">
        <v>430</v>
      </c>
      <c r="M28" s="664" t="s">
        <v>431</v>
      </c>
      <c r="N28" s="942" t="s">
        <v>358</v>
      </c>
      <c r="O28" s="664" t="s">
        <v>419</v>
      </c>
      <c r="P28" s="664" t="s">
        <v>358</v>
      </c>
      <c r="Q28" s="943" t="s">
        <v>432</v>
      </c>
      <c r="R28" s="1016"/>
      <c r="S28" s="1016"/>
      <c r="T28" s="944" t="s">
        <v>361</v>
      </c>
      <c r="U28" s="242" t="s">
        <v>433</v>
      </c>
      <c r="V28" s="112"/>
    </row>
    <row r="29" spans="1:22" ht="18" customHeight="1">
      <c r="A29" s="1006"/>
      <c r="B29" s="947"/>
      <c r="C29" s="947"/>
      <c r="D29" s="14"/>
      <c r="E29" s="7"/>
      <c r="F29" s="903"/>
      <c r="G29" s="903"/>
      <c r="H29" s="664"/>
      <c r="I29" s="664" t="s">
        <v>434</v>
      </c>
      <c r="J29" s="903"/>
      <c r="K29" s="664"/>
      <c r="L29" s="1015"/>
      <c r="M29" s="664"/>
      <c r="N29" s="942"/>
      <c r="O29" s="664"/>
      <c r="P29" s="664"/>
      <c r="Q29" s="28" t="s">
        <v>157</v>
      </c>
      <c r="R29" s="28" t="s">
        <v>326</v>
      </c>
      <c r="S29" s="28" t="s">
        <v>157</v>
      </c>
      <c r="T29" s="944"/>
      <c r="U29" s="7"/>
      <c r="V29" s="112"/>
    </row>
    <row r="30" spans="1:22" ht="18" customHeight="1">
      <c r="A30" s="205" t="s">
        <v>435</v>
      </c>
      <c r="L30" s="442"/>
      <c r="M30" s="438"/>
      <c r="O30" s="438"/>
      <c r="V30" s="10"/>
    </row>
    <row r="31" spans="1:22" ht="18" customHeight="1">
      <c r="A31" s="1005" t="s">
        <v>428</v>
      </c>
      <c r="B31" s="947"/>
      <c r="C31" s="947"/>
      <c r="D31" s="664">
        <v>2</v>
      </c>
      <c r="E31" s="664" t="s">
        <v>326</v>
      </c>
      <c r="F31" s="1015" t="s">
        <v>436</v>
      </c>
      <c r="G31" s="903"/>
      <c r="H31" s="664" t="s">
        <v>326</v>
      </c>
      <c r="I31" s="696" t="s">
        <v>422</v>
      </c>
      <c r="J31" s="939"/>
      <c r="K31" s="664" t="s">
        <v>326</v>
      </c>
      <c r="L31" s="1015" t="s">
        <v>430</v>
      </c>
      <c r="M31" s="664" t="s">
        <v>431</v>
      </c>
      <c r="N31" s="942" t="s">
        <v>358</v>
      </c>
      <c r="O31" s="664" t="s">
        <v>419</v>
      </c>
      <c r="P31" s="664" t="s">
        <v>358</v>
      </c>
      <c r="Q31" s="943" t="s">
        <v>432</v>
      </c>
      <c r="R31" s="1016"/>
      <c r="S31" s="1016"/>
      <c r="T31" s="944" t="s">
        <v>361</v>
      </c>
      <c r="U31" s="242" t="s">
        <v>437</v>
      </c>
      <c r="V31" s="112"/>
    </row>
    <row r="32" spans="1:22" ht="18" customHeight="1">
      <c r="A32" s="1006"/>
      <c r="B32" s="947"/>
      <c r="C32" s="947"/>
      <c r="D32" s="664"/>
      <c r="E32" s="664"/>
      <c r="F32" s="903"/>
      <c r="G32" s="903"/>
      <c r="H32" s="664"/>
      <c r="I32" s="664" t="s">
        <v>434</v>
      </c>
      <c r="J32" s="903"/>
      <c r="K32" s="664"/>
      <c r="L32" s="1015"/>
      <c r="M32" s="664"/>
      <c r="N32" s="942"/>
      <c r="O32" s="664"/>
      <c r="P32" s="664"/>
      <c r="Q32" s="28" t="s">
        <v>157</v>
      </c>
      <c r="R32" s="28" t="s">
        <v>326</v>
      </c>
      <c r="S32" s="28" t="s">
        <v>157</v>
      </c>
      <c r="T32" s="944"/>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65">
        <f>H10</f>
        <v>2500</v>
      </c>
      <c r="S35" s="665"/>
      <c r="T35" s="14" t="s">
        <v>9</v>
      </c>
      <c r="V35" s="10"/>
    </row>
    <row r="36" spans="1:22" ht="18" customHeight="1">
      <c r="A36" s="9"/>
      <c r="B36" s="14" t="s">
        <v>442</v>
      </c>
      <c r="C36" s="14"/>
      <c r="D36" s="14"/>
      <c r="E36" s="14"/>
      <c r="F36" s="14"/>
      <c r="G36" s="14"/>
      <c r="H36" s="14"/>
      <c r="I36" s="14"/>
      <c r="J36" s="14"/>
      <c r="P36" s="120" t="s">
        <v>429</v>
      </c>
      <c r="Q36" s="246" t="s">
        <v>138</v>
      </c>
      <c r="R36" s="665">
        <f>'Parameters &amp; Fault Cal. (4)'!Q32</f>
        <v>50000</v>
      </c>
      <c r="S36" s="665"/>
      <c r="T36" s="14" t="s">
        <v>9</v>
      </c>
      <c r="V36" s="10"/>
    </row>
    <row r="37" spans="1:22" ht="18" customHeight="1">
      <c r="A37" s="9"/>
      <c r="B37" s="14" t="s">
        <v>443</v>
      </c>
      <c r="C37" s="14"/>
      <c r="D37" s="14"/>
      <c r="E37" s="14"/>
      <c r="F37" s="14"/>
      <c r="G37" s="14"/>
      <c r="H37" s="14"/>
      <c r="I37" s="14"/>
      <c r="J37" s="14"/>
      <c r="P37" s="120" t="s">
        <v>436</v>
      </c>
      <c r="Q37" s="246" t="s">
        <v>138</v>
      </c>
      <c r="R37" s="816">
        <f>'Parameters &amp; Fault Cal. (4)'!M70</f>
        <v>28681.090829928391</v>
      </c>
      <c r="S37" s="665"/>
      <c r="T37" s="14" t="s">
        <v>9</v>
      </c>
      <c r="U37" s="30" t="s">
        <v>444</v>
      </c>
      <c r="V37" s="10"/>
    </row>
    <row r="38" spans="1:22" ht="18" customHeight="1">
      <c r="A38" s="9"/>
      <c r="B38" s="14"/>
      <c r="C38" s="14"/>
      <c r="D38" s="14"/>
      <c r="E38" s="14"/>
      <c r="F38" s="14"/>
      <c r="G38" s="14"/>
      <c r="H38" s="14"/>
      <c r="I38" s="14"/>
      <c r="J38" s="14"/>
      <c r="P38" s="120"/>
      <c r="Q38" s="246" t="s">
        <v>138</v>
      </c>
      <c r="R38" s="816">
        <f>'Parameters &amp; Fault Cal. (4)'!M91</f>
        <v>30950.978286194932</v>
      </c>
      <c r="S38" s="665"/>
      <c r="T38" s="14" t="s">
        <v>9</v>
      </c>
      <c r="U38" s="30" t="s">
        <v>445</v>
      </c>
      <c r="V38" s="10"/>
    </row>
    <row r="39" spans="1:22" ht="18" customHeight="1">
      <c r="A39" s="9"/>
      <c r="B39" s="14" t="s">
        <v>446</v>
      </c>
      <c r="C39" s="14"/>
      <c r="D39" s="103"/>
      <c r="E39" s="103"/>
      <c r="F39" s="14"/>
      <c r="G39" s="14"/>
      <c r="H39" s="5"/>
      <c r="I39" s="5"/>
      <c r="J39" s="5"/>
      <c r="P39" s="120" t="s">
        <v>447</v>
      </c>
      <c r="Q39" s="246" t="s">
        <v>138</v>
      </c>
      <c r="R39" s="665">
        <f>'CT-VT Burdens'!S17</f>
        <v>1</v>
      </c>
      <c r="S39" s="665"/>
      <c r="T39" s="14" t="s">
        <v>9</v>
      </c>
      <c r="V39" s="10"/>
    </row>
    <row r="40" spans="1:22" ht="18" customHeight="1">
      <c r="A40" s="9"/>
      <c r="B40" s="14" t="s">
        <v>448</v>
      </c>
      <c r="C40" s="14"/>
      <c r="D40" s="103"/>
      <c r="E40" s="103"/>
      <c r="F40" s="14"/>
      <c r="G40" s="14"/>
      <c r="H40" s="5"/>
      <c r="I40" s="5"/>
      <c r="J40" s="5"/>
      <c r="P40" s="120" t="s">
        <v>449</v>
      </c>
      <c r="Q40" s="246" t="s">
        <v>138</v>
      </c>
      <c r="R40" s="665">
        <f>'CT-VT Burdens'!S18</f>
        <v>1</v>
      </c>
      <c r="S40" s="665"/>
      <c r="T40" s="14" t="s">
        <v>9</v>
      </c>
      <c r="V40" s="10"/>
    </row>
    <row r="41" spans="1:22" ht="18" customHeight="1">
      <c r="A41" s="9"/>
      <c r="B41" s="14" t="s">
        <v>450</v>
      </c>
      <c r="C41" s="14"/>
      <c r="D41" s="103"/>
      <c r="E41" s="103"/>
      <c r="F41" s="14"/>
      <c r="G41" s="14"/>
      <c r="H41" s="5"/>
      <c r="I41" s="5"/>
      <c r="J41" s="5"/>
      <c r="P41" s="120" t="s">
        <v>451</v>
      </c>
      <c r="Q41" s="246" t="s">
        <v>138</v>
      </c>
      <c r="R41" s="665">
        <f>H12</f>
        <v>5</v>
      </c>
      <c r="S41" s="665"/>
      <c r="T41" s="204" t="s">
        <v>344</v>
      </c>
      <c r="V41" s="10"/>
    </row>
    <row r="42" spans="1:22" ht="18" customHeight="1">
      <c r="A42" s="9"/>
      <c r="B42" s="7" t="s">
        <v>164</v>
      </c>
      <c r="C42" s="14"/>
      <c r="D42" s="14"/>
      <c r="E42" s="14"/>
      <c r="F42" s="14"/>
      <c r="G42" s="14"/>
      <c r="H42" s="14"/>
      <c r="I42" s="14"/>
      <c r="J42" s="14"/>
      <c r="P42" s="249" t="s">
        <v>452</v>
      </c>
      <c r="Q42" s="246" t="s">
        <v>138</v>
      </c>
      <c r="R42" s="668">
        <f>P21</f>
        <v>0.46875935000000007</v>
      </c>
      <c r="S42" s="665"/>
      <c r="T42" s="204" t="s">
        <v>344</v>
      </c>
      <c r="V42" s="10"/>
    </row>
    <row r="43" spans="1:22" ht="18" customHeight="1">
      <c r="A43" s="9"/>
      <c r="B43" s="40" t="s">
        <v>453</v>
      </c>
      <c r="C43" s="14"/>
      <c r="D43" s="14"/>
      <c r="E43" s="14"/>
      <c r="F43" s="14"/>
      <c r="G43" s="14"/>
      <c r="H43" s="5"/>
      <c r="I43" s="5"/>
      <c r="J43" s="5"/>
      <c r="P43" s="249" t="s">
        <v>454</v>
      </c>
      <c r="Q43" s="246" t="s">
        <v>138</v>
      </c>
      <c r="R43" s="668">
        <f>J18</f>
        <v>0.02</v>
      </c>
      <c r="S43" s="665"/>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5" t="s">
        <v>428</v>
      </c>
      <c r="B47" s="947"/>
      <c r="C47" s="947"/>
      <c r="D47" s="14"/>
      <c r="E47" s="7"/>
      <c r="F47" s="1002">
        <f>R36</f>
        <v>50000</v>
      </c>
      <c r="G47" s="1043"/>
      <c r="H47" s="788" t="s">
        <v>326</v>
      </c>
      <c r="I47" s="1009">
        <f>R39</f>
        <v>1</v>
      </c>
      <c r="J47" s="1010"/>
      <c r="K47" s="788" t="s">
        <v>326</v>
      </c>
      <c r="L47" s="1002" t="s">
        <v>430</v>
      </c>
      <c r="M47" s="975">
        <f>R41</f>
        <v>5</v>
      </c>
      <c r="N47" s="1003" t="s">
        <v>358</v>
      </c>
      <c r="O47" s="1004">
        <f>R42</f>
        <v>0.46875935000000007</v>
      </c>
      <c r="P47" s="788" t="s">
        <v>358</v>
      </c>
      <c r="Q47" s="1042">
        <f>R43</f>
        <v>0.02</v>
      </c>
      <c r="R47" s="1012"/>
      <c r="S47" s="1012"/>
      <c r="T47" s="944" t="s">
        <v>361</v>
      </c>
      <c r="U47" s="242" t="s">
        <v>433</v>
      </c>
      <c r="V47" s="112"/>
    </row>
    <row r="48" spans="1:22" ht="18" customHeight="1">
      <c r="A48" s="1006"/>
      <c r="B48" s="947"/>
      <c r="C48" s="947"/>
      <c r="D48" s="14"/>
      <c r="E48" s="7"/>
      <c r="F48" s="1043"/>
      <c r="G48" s="1043"/>
      <c r="H48" s="788"/>
      <c r="I48" s="788">
        <f>R35</f>
        <v>2500</v>
      </c>
      <c r="J48" s="1008"/>
      <c r="K48" s="788"/>
      <c r="L48" s="1002"/>
      <c r="M48" s="975"/>
      <c r="N48" s="1003"/>
      <c r="O48" s="975"/>
      <c r="P48" s="788"/>
      <c r="Q48" s="233">
        <f>R40</f>
        <v>1</v>
      </c>
      <c r="R48" s="233" t="s">
        <v>326</v>
      </c>
      <c r="S48" s="233">
        <f>R40</f>
        <v>1</v>
      </c>
      <c r="T48" s="944"/>
      <c r="U48" s="7"/>
      <c r="V48" s="112"/>
    </row>
    <row r="49" spans="1:22" ht="18" customHeight="1">
      <c r="A49" s="9"/>
      <c r="L49" s="442"/>
      <c r="V49" s="10"/>
    </row>
    <row r="50" spans="1:22" ht="18" customHeight="1">
      <c r="A50" s="9"/>
      <c r="C50" s="27" t="s">
        <v>138</v>
      </c>
      <c r="D50" s="875">
        <f>F47*(I47/I48)*(M47+O47+(Q47/(Q48*S48)))</f>
        <v>109.77518699999999</v>
      </c>
      <c r="E50" s="876"/>
      <c r="F50" s="27" t="s">
        <v>316</v>
      </c>
      <c r="L50" s="442"/>
      <c r="V50" s="10"/>
    </row>
    <row r="51" spans="1:22" ht="18" customHeight="1">
      <c r="A51" s="9"/>
      <c r="L51" s="442"/>
      <c r="V51" s="10"/>
    </row>
    <row r="52" spans="1:22" ht="18" customHeight="1">
      <c r="A52" s="205" t="s">
        <v>455</v>
      </c>
      <c r="L52" s="442"/>
      <c r="V52" s="10"/>
    </row>
    <row r="53" spans="1:22" ht="18" customHeight="1">
      <c r="A53" s="1005" t="s">
        <v>428</v>
      </c>
      <c r="B53" s="947"/>
      <c r="C53" s="947"/>
      <c r="D53" s="788">
        <v>2</v>
      </c>
      <c r="E53" s="788" t="s">
        <v>326</v>
      </c>
      <c r="F53" s="1007">
        <f>R37</f>
        <v>28681.090829928391</v>
      </c>
      <c r="G53" s="1008"/>
      <c r="H53" s="788" t="s">
        <v>326</v>
      </c>
      <c r="I53" s="1009">
        <f>R39</f>
        <v>1</v>
      </c>
      <c r="J53" s="1010"/>
      <c r="K53" s="788" t="s">
        <v>326</v>
      </c>
      <c r="L53" s="1002" t="s">
        <v>430</v>
      </c>
      <c r="M53" s="975">
        <f>R41</f>
        <v>5</v>
      </c>
      <c r="N53" s="1003" t="s">
        <v>358</v>
      </c>
      <c r="O53" s="1004">
        <f>R42</f>
        <v>0.46875935000000007</v>
      </c>
      <c r="P53" s="788" t="s">
        <v>358</v>
      </c>
      <c r="Q53" s="1012">
        <f>Q47</f>
        <v>0.02</v>
      </c>
      <c r="R53" s="1012"/>
      <c r="S53" s="1012"/>
      <c r="T53" s="944" t="s">
        <v>361</v>
      </c>
      <c r="U53" s="242" t="s">
        <v>437</v>
      </c>
      <c r="V53" s="112"/>
    </row>
    <row r="54" spans="1:22" ht="18" customHeight="1">
      <c r="A54" s="1006"/>
      <c r="B54" s="947"/>
      <c r="C54" s="947"/>
      <c r="D54" s="788"/>
      <c r="E54" s="788"/>
      <c r="F54" s="1008"/>
      <c r="G54" s="1008"/>
      <c r="H54" s="788"/>
      <c r="I54" s="788">
        <f>R35</f>
        <v>2500</v>
      </c>
      <c r="J54" s="1008"/>
      <c r="K54" s="788"/>
      <c r="L54" s="1002"/>
      <c r="M54" s="975"/>
      <c r="N54" s="1003"/>
      <c r="O54" s="975"/>
      <c r="P54" s="788"/>
      <c r="Q54" s="233">
        <f>R40</f>
        <v>1</v>
      </c>
      <c r="R54" s="233" t="s">
        <v>326</v>
      </c>
      <c r="S54" s="233">
        <f>R40</f>
        <v>1</v>
      </c>
      <c r="T54" s="944"/>
      <c r="U54" s="7"/>
      <c r="V54" s="112"/>
    </row>
    <row r="55" spans="1:22" ht="18" customHeight="1">
      <c r="A55" s="9"/>
      <c r="L55" s="442"/>
      <c r="V55" s="10"/>
    </row>
    <row r="56" spans="1:22" ht="18" customHeight="1">
      <c r="A56" s="9"/>
      <c r="C56" s="27" t="s">
        <v>138</v>
      </c>
      <c r="D56" s="875">
        <f>D53*F53*(I53/I54)*(M53+O53+(Q53/(Q54*S54)))</f>
        <v>125.93888436877498</v>
      </c>
      <c r="E56" s="876"/>
      <c r="F56" s="27" t="s">
        <v>316</v>
      </c>
      <c r="L56" s="442"/>
      <c r="V56" s="10"/>
    </row>
    <row r="57" spans="1:22" ht="18" customHeight="1">
      <c r="A57" s="9"/>
      <c r="L57" s="442"/>
      <c r="V57" s="10"/>
    </row>
    <row r="58" spans="1:22" ht="18" customHeight="1">
      <c r="A58" s="205" t="s">
        <v>456</v>
      </c>
      <c r="L58" s="442"/>
      <c r="V58" s="10"/>
    </row>
    <row r="59" spans="1:22" ht="18" customHeight="1">
      <c r="A59" s="1005" t="s">
        <v>428</v>
      </c>
      <c r="B59" s="947"/>
      <c r="C59" s="947"/>
      <c r="D59" s="788">
        <v>2</v>
      </c>
      <c r="E59" s="788" t="s">
        <v>326</v>
      </c>
      <c r="F59" s="1007">
        <f>R38</f>
        <v>30950.978286194932</v>
      </c>
      <c r="G59" s="1008"/>
      <c r="H59" s="788" t="s">
        <v>326</v>
      </c>
      <c r="I59" s="1009">
        <f>R39</f>
        <v>1</v>
      </c>
      <c r="J59" s="1010"/>
      <c r="K59" s="788" t="s">
        <v>326</v>
      </c>
      <c r="L59" s="1002" t="s">
        <v>430</v>
      </c>
      <c r="M59" s="975">
        <f>R41</f>
        <v>5</v>
      </c>
      <c r="N59" s="1003" t="s">
        <v>358</v>
      </c>
      <c r="O59" s="1004">
        <f>R42</f>
        <v>0.46875935000000007</v>
      </c>
      <c r="P59" s="788" t="s">
        <v>358</v>
      </c>
      <c r="Q59" s="1012">
        <f>R43</f>
        <v>0.02</v>
      </c>
      <c r="R59" s="1012"/>
      <c r="S59" s="1012"/>
      <c r="T59" s="944" t="s">
        <v>361</v>
      </c>
      <c r="U59" s="242" t="s">
        <v>437</v>
      </c>
      <c r="V59" s="112"/>
    </row>
    <row r="60" spans="1:22" ht="18" customHeight="1">
      <c r="A60" s="1006"/>
      <c r="B60" s="947"/>
      <c r="C60" s="947"/>
      <c r="D60" s="788"/>
      <c r="E60" s="788"/>
      <c r="F60" s="1008"/>
      <c r="G60" s="1008"/>
      <c r="H60" s="788"/>
      <c r="I60" s="788">
        <f>R35</f>
        <v>2500</v>
      </c>
      <c r="J60" s="1008"/>
      <c r="K60" s="788"/>
      <c r="L60" s="1002"/>
      <c r="M60" s="975"/>
      <c r="N60" s="1003"/>
      <c r="O60" s="975"/>
      <c r="P60" s="788"/>
      <c r="Q60" s="233">
        <f>R40</f>
        <v>1</v>
      </c>
      <c r="R60" s="233" t="s">
        <v>326</v>
      </c>
      <c r="S60" s="233">
        <f>R40</f>
        <v>1</v>
      </c>
      <c r="T60" s="944"/>
      <c r="U60" s="7"/>
      <c r="V60" s="112"/>
    </row>
    <row r="61" spans="1:22" ht="18" customHeight="1">
      <c r="A61" s="9"/>
      <c r="V61" s="10"/>
    </row>
    <row r="62" spans="1:22" ht="18" customHeight="1">
      <c r="A62" s="9"/>
      <c r="C62" s="27" t="s">
        <v>138</v>
      </c>
      <c r="D62" s="875">
        <f>D59*F59*(I59/I60)*(M59+O59+(Q59/(Q60*S60)))</f>
        <v>135.90597716799954</v>
      </c>
      <c r="E62" s="876"/>
      <c r="F62" s="27" t="s">
        <v>316</v>
      </c>
      <c r="V62" s="10"/>
    </row>
    <row r="63" spans="1:22" ht="18" customHeight="1">
      <c r="A63" s="9"/>
      <c r="V63" s="10"/>
    </row>
    <row r="64" spans="1:22" ht="18" customHeight="1">
      <c r="A64" s="116" t="s">
        <v>457</v>
      </c>
      <c r="V64" s="10"/>
    </row>
    <row r="65" spans="1:22" ht="18" customHeight="1">
      <c r="A65" s="1018" t="s">
        <v>426</v>
      </c>
      <c r="B65" s="1019"/>
      <c r="C65" s="1019"/>
      <c r="D65" s="1019"/>
      <c r="E65" s="1019"/>
      <c r="F65" s="1019"/>
      <c r="G65" s="1019"/>
      <c r="H65" s="1019"/>
      <c r="I65" s="1019"/>
      <c r="J65" s="1019"/>
      <c r="K65" s="1019"/>
      <c r="L65" s="1019"/>
      <c r="M65" s="1019"/>
      <c r="N65" s="1019"/>
      <c r="O65" s="1019"/>
      <c r="P65" s="1019"/>
      <c r="Q65" s="1019"/>
      <c r="R65" s="1019"/>
      <c r="S65" s="1019"/>
      <c r="T65" s="1019"/>
      <c r="U65" s="1019"/>
      <c r="V65" s="1020"/>
    </row>
    <row r="66" spans="1:22" ht="18" customHeight="1">
      <c r="A66" s="1018"/>
      <c r="B66" s="1019"/>
      <c r="C66" s="1019"/>
      <c r="D66" s="1019"/>
      <c r="E66" s="1019"/>
      <c r="F66" s="1019"/>
      <c r="G66" s="1019"/>
      <c r="H66" s="1019"/>
      <c r="I66" s="1019"/>
      <c r="J66" s="1019"/>
      <c r="K66" s="1019"/>
      <c r="L66" s="1019"/>
      <c r="M66" s="1019"/>
      <c r="N66" s="1019"/>
      <c r="O66" s="1019"/>
      <c r="P66" s="1019"/>
      <c r="Q66" s="1019"/>
      <c r="R66" s="1019"/>
      <c r="S66" s="1019"/>
      <c r="T66" s="1019"/>
      <c r="U66" s="1019"/>
      <c r="V66" s="1020"/>
    </row>
    <row r="67" spans="1:22" ht="18" customHeight="1">
      <c r="A67" s="205" t="s">
        <v>427</v>
      </c>
      <c r="V67" s="10"/>
    </row>
    <row r="68" spans="1:22" ht="18" customHeight="1">
      <c r="A68" s="1005" t="s">
        <v>428</v>
      </c>
      <c r="B68" s="947"/>
      <c r="C68" s="947"/>
      <c r="D68" s="1015" t="s">
        <v>429</v>
      </c>
      <c r="E68" s="903"/>
      <c r="F68" s="664" t="s">
        <v>326</v>
      </c>
      <c r="G68" s="696" t="s">
        <v>447</v>
      </c>
      <c r="H68" s="939"/>
      <c r="I68" s="664" t="s">
        <v>326</v>
      </c>
      <c r="J68" s="696" t="s">
        <v>146</v>
      </c>
      <c r="K68" s="664" t="s">
        <v>326</v>
      </c>
      <c r="L68" s="1015" t="s">
        <v>430</v>
      </c>
      <c r="M68" s="664" t="s">
        <v>451</v>
      </c>
      <c r="N68" s="942" t="s">
        <v>358</v>
      </c>
      <c r="O68" s="664" t="s">
        <v>458</v>
      </c>
      <c r="P68" s="664" t="s">
        <v>358</v>
      </c>
      <c r="Q68" s="943" t="s">
        <v>459</v>
      </c>
      <c r="R68" s="1016"/>
      <c r="S68" s="1016"/>
      <c r="T68" s="944" t="s">
        <v>361</v>
      </c>
      <c r="U68" s="242" t="s">
        <v>433</v>
      </c>
      <c r="V68" s="112"/>
    </row>
    <row r="69" spans="1:22" ht="18" customHeight="1">
      <c r="A69" s="1006"/>
      <c r="B69" s="947"/>
      <c r="C69" s="947"/>
      <c r="D69" s="903"/>
      <c r="E69" s="903"/>
      <c r="F69" s="664"/>
      <c r="G69" s="664" t="s">
        <v>441</v>
      </c>
      <c r="H69" s="903"/>
      <c r="I69" s="664"/>
      <c r="J69" s="664"/>
      <c r="K69" s="664"/>
      <c r="L69" s="1015"/>
      <c r="M69" s="664"/>
      <c r="N69" s="942"/>
      <c r="O69" s="664"/>
      <c r="P69" s="664"/>
      <c r="Q69" s="28" t="s">
        <v>449</v>
      </c>
      <c r="R69" s="28" t="s">
        <v>326</v>
      </c>
      <c r="S69" s="28" t="s">
        <v>449</v>
      </c>
      <c r="T69" s="944"/>
      <c r="U69" s="7"/>
      <c r="V69" s="112"/>
    </row>
    <row r="70" spans="1:22" ht="18" customHeight="1">
      <c r="A70" s="205" t="s">
        <v>460</v>
      </c>
      <c r="I70" s="7"/>
      <c r="J70" s="7"/>
      <c r="K70" s="7"/>
      <c r="L70" s="442"/>
      <c r="M70" s="438"/>
      <c r="O70" s="438"/>
      <c r="V70" s="10"/>
    </row>
    <row r="71" spans="1:22" ht="18" customHeight="1">
      <c r="A71" s="1005" t="s">
        <v>428</v>
      </c>
      <c r="B71" s="947"/>
      <c r="C71" s="947"/>
      <c r="D71" s="1015" t="s">
        <v>461</v>
      </c>
      <c r="E71" s="903"/>
      <c r="F71" s="664" t="s">
        <v>326</v>
      </c>
      <c r="G71" s="696" t="s">
        <v>447</v>
      </c>
      <c r="H71" s="939"/>
      <c r="I71" s="664" t="s">
        <v>326</v>
      </c>
      <c r="J71" s="696" t="s">
        <v>462</v>
      </c>
      <c r="K71" s="664" t="s">
        <v>326</v>
      </c>
      <c r="L71" s="1015" t="s">
        <v>430</v>
      </c>
      <c r="M71" s="664" t="s">
        <v>451</v>
      </c>
      <c r="N71" s="942" t="s">
        <v>358</v>
      </c>
      <c r="O71" s="664" t="s">
        <v>458</v>
      </c>
      <c r="P71" s="664" t="s">
        <v>358</v>
      </c>
      <c r="Q71" s="943" t="s">
        <v>459</v>
      </c>
      <c r="R71" s="1016"/>
      <c r="S71" s="1016"/>
      <c r="T71" s="944" t="s">
        <v>361</v>
      </c>
      <c r="U71" s="242" t="s">
        <v>437</v>
      </c>
      <c r="V71" s="112"/>
    </row>
    <row r="72" spans="1:22" ht="18" customHeight="1">
      <c r="A72" s="1006"/>
      <c r="B72" s="947"/>
      <c r="C72" s="947"/>
      <c r="D72" s="903"/>
      <c r="E72" s="903"/>
      <c r="F72" s="664"/>
      <c r="G72" s="664" t="s">
        <v>441</v>
      </c>
      <c r="H72" s="903"/>
      <c r="I72" s="664"/>
      <c r="J72" s="664"/>
      <c r="K72" s="664"/>
      <c r="L72" s="1015"/>
      <c r="M72" s="664"/>
      <c r="N72" s="942"/>
      <c r="O72" s="664"/>
      <c r="P72" s="664"/>
      <c r="Q72" s="28" t="s">
        <v>449</v>
      </c>
      <c r="R72" s="28" t="s">
        <v>326</v>
      </c>
      <c r="S72" s="28" t="s">
        <v>449</v>
      </c>
      <c r="T72" s="944"/>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65">
        <f>R35</f>
        <v>2500</v>
      </c>
      <c r="S75" s="665"/>
      <c r="T75" s="14" t="s">
        <v>9</v>
      </c>
      <c r="V75" s="10"/>
    </row>
    <row r="76" spans="1:22" ht="18" customHeight="1">
      <c r="A76" s="9"/>
      <c r="B76" s="14" t="s">
        <v>442</v>
      </c>
      <c r="P76" s="120" t="s">
        <v>429</v>
      </c>
      <c r="Q76" s="246" t="s">
        <v>138</v>
      </c>
      <c r="R76" s="665">
        <f>R36</f>
        <v>50000</v>
      </c>
      <c r="S76" s="665"/>
      <c r="T76" s="14" t="s">
        <v>9</v>
      </c>
      <c r="V76" s="10"/>
    </row>
    <row r="77" spans="1:22" ht="18" customHeight="1">
      <c r="A77" s="9"/>
      <c r="B77" s="14" t="s">
        <v>463</v>
      </c>
      <c r="P77" s="120" t="s">
        <v>461</v>
      </c>
      <c r="Q77" s="246" t="s">
        <v>138</v>
      </c>
      <c r="R77" s="816">
        <f>'Parameters &amp; Fault Cal. (4)'!M110</f>
        <v>31616.578766904022</v>
      </c>
      <c r="S77" s="665"/>
      <c r="T77" s="14" t="s">
        <v>9</v>
      </c>
      <c r="U77" s="30" t="s">
        <v>444</v>
      </c>
      <c r="V77" s="10"/>
    </row>
    <row r="78" spans="1:22" ht="18" customHeight="1">
      <c r="A78" s="9"/>
      <c r="B78" s="14"/>
      <c r="P78" s="120"/>
      <c r="Q78" s="246" t="s">
        <v>138</v>
      </c>
      <c r="R78" s="816">
        <f>'Parameters &amp; Fault Cal. (4)'!M131</f>
        <v>33779.140438861883</v>
      </c>
      <c r="S78" s="665"/>
      <c r="T78" s="14" t="s">
        <v>9</v>
      </c>
      <c r="U78" s="30" t="s">
        <v>445</v>
      </c>
      <c r="V78" s="10"/>
    </row>
    <row r="79" spans="1:22" ht="18" customHeight="1">
      <c r="A79" s="9"/>
      <c r="B79" s="14" t="s">
        <v>464</v>
      </c>
      <c r="P79" s="120" t="s">
        <v>447</v>
      </c>
      <c r="Q79" s="246" t="s">
        <v>138</v>
      </c>
      <c r="R79" s="665">
        <f>R39</f>
        <v>1</v>
      </c>
      <c r="S79" s="665"/>
      <c r="T79" s="14" t="s">
        <v>9</v>
      </c>
      <c r="V79" s="10"/>
    </row>
    <row r="80" spans="1:22" ht="18" customHeight="1">
      <c r="A80" s="9"/>
      <c r="B80" s="14" t="s">
        <v>448</v>
      </c>
      <c r="P80" s="120" t="s">
        <v>449</v>
      </c>
      <c r="Q80" s="246" t="s">
        <v>138</v>
      </c>
      <c r="R80" s="665">
        <f>R40</f>
        <v>1</v>
      </c>
      <c r="S80" s="665"/>
      <c r="T80" s="14" t="s">
        <v>9</v>
      </c>
      <c r="V80" s="10"/>
    </row>
    <row r="81" spans="1:22" ht="18" customHeight="1">
      <c r="A81" s="9"/>
      <c r="B81" s="14" t="s">
        <v>450</v>
      </c>
      <c r="P81" s="120" t="s">
        <v>451</v>
      </c>
      <c r="Q81" s="246" t="s">
        <v>138</v>
      </c>
      <c r="R81" s="665">
        <f>R41</f>
        <v>5</v>
      </c>
      <c r="S81" s="665"/>
      <c r="T81" s="204" t="s">
        <v>344</v>
      </c>
      <c r="V81" s="10"/>
    </row>
    <row r="82" spans="1:22" ht="18" customHeight="1">
      <c r="A82" s="9"/>
      <c r="B82" s="14" t="s">
        <v>465</v>
      </c>
      <c r="P82" s="249" t="s">
        <v>452</v>
      </c>
      <c r="Q82" s="246" t="s">
        <v>138</v>
      </c>
      <c r="R82" s="668">
        <f>R42</f>
        <v>0.46875935000000007</v>
      </c>
      <c r="S82" s="665"/>
      <c r="T82" s="204" t="s">
        <v>344</v>
      </c>
      <c r="V82" s="10"/>
    </row>
    <row r="83" spans="1:22" ht="18" customHeight="1">
      <c r="A83" s="9"/>
      <c r="B83" s="40" t="s">
        <v>453</v>
      </c>
      <c r="P83" s="249" t="s">
        <v>454</v>
      </c>
      <c r="Q83" s="246" t="s">
        <v>138</v>
      </c>
      <c r="R83" s="668">
        <f>J18</f>
        <v>0.02</v>
      </c>
      <c r="S83" s="665"/>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69">
        <f>'Parameters &amp; Fault Cal. (4)'!Q59</f>
        <v>47.727272727272727</v>
      </c>
      <c r="M95" s="664"/>
      <c r="N95" s="14" t="s">
        <v>475</v>
      </c>
      <c r="O95" s="28" t="s">
        <v>146</v>
      </c>
      <c r="P95" s="28" t="s">
        <v>138</v>
      </c>
      <c r="Q95" s="28">
        <f>IF(L95&lt;=400,Q88,Q89)</f>
        <v>1</v>
      </c>
      <c r="R95" s="7"/>
      <c r="S95" s="7"/>
      <c r="T95" s="7"/>
      <c r="V95" s="10"/>
    </row>
    <row r="96" spans="1:22" ht="18" customHeight="1">
      <c r="A96" s="1005" t="s">
        <v>428</v>
      </c>
      <c r="B96" s="947"/>
      <c r="C96" s="947"/>
      <c r="D96" s="1002">
        <f>R76</f>
        <v>50000</v>
      </c>
      <c r="E96" s="1013"/>
      <c r="F96" s="788" t="s">
        <v>326</v>
      </c>
      <c r="G96" s="1009">
        <f>R79</f>
        <v>1</v>
      </c>
      <c r="H96" s="1014"/>
      <c r="I96" s="788" t="s">
        <v>326</v>
      </c>
      <c r="J96" s="790">
        <f>Q95</f>
        <v>1</v>
      </c>
      <c r="K96" s="788" t="s">
        <v>326</v>
      </c>
      <c r="L96" s="1002" t="s">
        <v>430</v>
      </c>
      <c r="M96" s="975">
        <f>R81</f>
        <v>5</v>
      </c>
      <c r="N96" s="1003" t="s">
        <v>358</v>
      </c>
      <c r="O96" s="1004">
        <f>R82</f>
        <v>0.46875935000000007</v>
      </c>
      <c r="P96" s="788" t="s">
        <v>358</v>
      </c>
      <c r="Q96" s="1012">
        <f>R83</f>
        <v>0.02</v>
      </c>
      <c r="R96" s="1012"/>
      <c r="S96" s="1012"/>
      <c r="T96" s="944" t="s">
        <v>361</v>
      </c>
      <c r="U96" s="242" t="s">
        <v>433</v>
      </c>
      <c r="V96" s="112"/>
    </row>
    <row r="97" spans="1:22" ht="18" customHeight="1">
      <c r="A97" s="1006"/>
      <c r="B97" s="947"/>
      <c r="C97" s="947"/>
      <c r="D97" s="1013"/>
      <c r="E97" s="1013"/>
      <c r="F97" s="788"/>
      <c r="G97" s="788">
        <f>R75</f>
        <v>2500</v>
      </c>
      <c r="H97" s="1013"/>
      <c r="I97" s="788"/>
      <c r="J97" s="788"/>
      <c r="K97" s="788"/>
      <c r="L97" s="1002"/>
      <c r="M97" s="975"/>
      <c r="N97" s="1003"/>
      <c r="O97" s="975"/>
      <c r="P97" s="788"/>
      <c r="Q97" s="233">
        <f>R80</f>
        <v>1</v>
      </c>
      <c r="R97" s="233" t="s">
        <v>326</v>
      </c>
      <c r="S97" s="233">
        <f>R80</f>
        <v>1</v>
      </c>
      <c r="T97" s="944"/>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60">
        <f>D96*(G96/G97)*J96*(M96+O96+(Q96/(Q97*S97)))</f>
        <v>109.77518699999999</v>
      </c>
      <c r="E99" s="700"/>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68">
        <f>'Parameters &amp; Fault Cal. (4)'!Q116</f>
        <v>7.3490763833311119</v>
      </c>
      <c r="M102" s="665"/>
      <c r="N102" s="30" t="s">
        <v>475</v>
      </c>
      <c r="O102" s="28" t="s">
        <v>462</v>
      </c>
      <c r="P102" s="27" t="s">
        <v>138</v>
      </c>
      <c r="Q102" s="27">
        <f>IF(L102&lt;=200,Q92,Q93)</f>
        <v>3</v>
      </c>
      <c r="V102" s="10"/>
    </row>
    <row r="103" spans="1:22" ht="18" customHeight="1">
      <c r="A103" s="1005" t="s">
        <v>428</v>
      </c>
      <c r="B103" s="947"/>
      <c r="C103" s="947"/>
      <c r="D103" s="1007">
        <f>R77</f>
        <v>31616.578766904022</v>
      </c>
      <c r="E103" s="1008"/>
      <c r="F103" s="788" t="s">
        <v>326</v>
      </c>
      <c r="G103" s="1009">
        <f>R79</f>
        <v>1</v>
      </c>
      <c r="H103" s="1010"/>
      <c r="I103" s="788" t="s">
        <v>326</v>
      </c>
      <c r="J103" s="790">
        <f>Q102</f>
        <v>3</v>
      </c>
      <c r="K103" s="788" t="s">
        <v>326</v>
      </c>
      <c r="L103" s="1002" t="s">
        <v>430</v>
      </c>
      <c r="M103" s="975">
        <f>R81</f>
        <v>5</v>
      </c>
      <c r="N103" s="1003" t="s">
        <v>358</v>
      </c>
      <c r="O103" s="1004">
        <f>R82</f>
        <v>0.46875935000000007</v>
      </c>
      <c r="P103" s="788" t="s">
        <v>358</v>
      </c>
      <c r="Q103" s="1012">
        <f>R83</f>
        <v>0.02</v>
      </c>
      <c r="R103" s="1012"/>
      <c r="S103" s="1012"/>
      <c r="T103" s="944" t="s">
        <v>361</v>
      </c>
      <c r="U103" s="242" t="s">
        <v>437</v>
      </c>
      <c r="V103" s="112"/>
    </row>
    <row r="104" spans="1:22" ht="18" customHeight="1">
      <c r="A104" s="1006"/>
      <c r="B104" s="947"/>
      <c r="C104" s="947"/>
      <c r="D104" s="1008"/>
      <c r="E104" s="1008"/>
      <c r="F104" s="788"/>
      <c r="G104" s="788">
        <f>R75</f>
        <v>2500</v>
      </c>
      <c r="H104" s="1008"/>
      <c r="I104" s="788"/>
      <c r="J104" s="788"/>
      <c r="K104" s="788"/>
      <c r="L104" s="1002"/>
      <c r="M104" s="975"/>
      <c r="N104" s="1003"/>
      <c r="O104" s="975"/>
      <c r="P104" s="788"/>
      <c r="Q104" s="233">
        <f>R80</f>
        <v>1</v>
      </c>
      <c r="R104" s="233" t="s">
        <v>326</v>
      </c>
      <c r="S104" s="233">
        <f>R80</f>
        <v>1</v>
      </c>
      <c r="T104" s="944"/>
      <c r="U104" s="7"/>
      <c r="V104" s="112"/>
    </row>
    <row r="105" spans="1:22" ht="18" customHeight="1">
      <c r="A105" s="9"/>
      <c r="I105" s="7"/>
      <c r="J105" s="7"/>
      <c r="K105" s="7"/>
      <c r="V105" s="10"/>
    </row>
    <row r="106" spans="1:22" ht="18" customHeight="1">
      <c r="A106" s="9"/>
      <c r="C106" s="27" t="s">
        <v>138</v>
      </c>
      <c r="D106" s="860">
        <f>D103*(G103/G104)*J103*(M103+O103+(Q103/(Q104*S104)))</f>
        <v>208.24295078622711</v>
      </c>
      <c r="E106" s="700"/>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68">
        <f>'Parameters &amp; Fault Cal. (4)'!Q139</f>
        <v>7.6723844075738938</v>
      </c>
      <c r="M109" s="665"/>
      <c r="N109" s="27" t="s">
        <v>475</v>
      </c>
      <c r="O109" s="28" t="s">
        <v>462</v>
      </c>
      <c r="P109" s="27" t="s">
        <v>138</v>
      </c>
      <c r="Q109" s="27">
        <f>IF(L109&lt;=200,Q92,Q93)</f>
        <v>3</v>
      </c>
      <c r="V109" s="10"/>
    </row>
    <row r="110" spans="1:22" ht="18" customHeight="1">
      <c r="A110" s="1005" t="s">
        <v>428</v>
      </c>
      <c r="B110" s="947"/>
      <c r="C110" s="947"/>
      <c r="D110" s="1007">
        <f>R78</f>
        <v>33779.140438861883</v>
      </c>
      <c r="E110" s="1008"/>
      <c r="F110" s="788" t="s">
        <v>326</v>
      </c>
      <c r="G110" s="1009">
        <f>R79</f>
        <v>1</v>
      </c>
      <c r="H110" s="1010"/>
      <c r="I110" s="788" t="s">
        <v>326</v>
      </c>
      <c r="J110" s="790">
        <f>Q109</f>
        <v>3</v>
      </c>
      <c r="K110" s="788" t="s">
        <v>326</v>
      </c>
      <c r="L110" s="1002" t="s">
        <v>430</v>
      </c>
      <c r="M110" s="975">
        <f>R81</f>
        <v>5</v>
      </c>
      <c r="N110" s="1003" t="s">
        <v>358</v>
      </c>
      <c r="O110" s="1004">
        <f>R82</f>
        <v>0.46875935000000007</v>
      </c>
      <c r="P110" s="788" t="s">
        <v>358</v>
      </c>
      <c r="Q110" s="1012">
        <f>R83</f>
        <v>0.02</v>
      </c>
      <c r="R110" s="1012"/>
      <c r="S110" s="1012"/>
      <c r="T110" s="944" t="s">
        <v>361</v>
      </c>
      <c r="U110" s="242" t="s">
        <v>437</v>
      </c>
      <c r="V110" s="112"/>
    </row>
    <row r="111" spans="1:22" ht="18" customHeight="1">
      <c r="A111" s="1006"/>
      <c r="B111" s="947"/>
      <c r="C111" s="947"/>
      <c r="D111" s="1008"/>
      <c r="E111" s="1008"/>
      <c r="F111" s="788"/>
      <c r="G111" s="788">
        <f>R75</f>
        <v>2500</v>
      </c>
      <c r="H111" s="1008"/>
      <c r="I111" s="788"/>
      <c r="J111" s="788"/>
      <c r="K111" s="788"/>
      <c r="L111" s="1002"/>
      <c r="M111" s="975"/>
      <c r="N111" s="1003"/>
      <c r="O111" s="975"/>
      <c r="P111" s="788"/>
      <c r="Q111" s="233">
        <f>R80</f>
        <v>1</v>
      </c>
      <c r="R111" s="233" t="s">
        <v>326</v>
      </c>
      <c r="S111" s="233">
        <f>R80</f>
        <v>1</v>
      </c>
      <c r="T111" s="944"/>
      <c r="U111" s="7"/>
      <c r="V111" s="112"/>
    </row>
    <row r="112" spans="1:22" ht="18" customHeight="1">
      <c r="A112" s="9"/>
      <c r="V112" s="10"/>
    </row>
    <row r="113" spans="1:26" ht="18" customHeight="1">
      <c r="A113" s="9"/>
      <c r="C113" s="30" t="s">
        <v>138</v>
      </c>
      <c r="D113" s="1041">
        <f>D110*(G110/G111)*J110*(M110+O110+(Q110/(Q111*S111)))</f>
        <v>222.48668750251949</v>
      </c>
      <c r="E113" s="1001"/>
      <c r="F113" s="27" t="s">
        <v>316</v>
      </c>
      <c r="V113" s="10"/>
    </row>
    <row r="114" spans="1:26" ht="18" customHeight="1">
      <c r="A114" s="9"/>
      <c r="V114" s="10"/>
    </row>
    <row r="115" spans="1:26" ht="18" customHeight="1">
      <c r="A115" s="196" t="s">
        <v>480</v>
      </c>
      <c r="M115" s="1028">
        <f>H10</f>
        <v>2500</v>
      </c>
      <c r="N115" s="1029"/>
      <c r="O115" s="30" t="s">
        <v>481</v>
      </c>
      <c r="Q115" s="875">
        <f>MAX(D50,D56,D62,D99,D106,D113)</f>
        <v>222.48668750251949</v>
      </c>
      <c r="R115" s="876"/>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23" t="s">
        <v>485</v>
      </c>
      <c r="R118" s="923"/>
      <c r="S118" s="28" t="s">
        <v>326</v>
      </c>
      <c r="T118" s="28">
        <v>0.8</v>
      </c>
      <c r="V118" s="10"/>
    </row>
    <row r="119" spans="1:26" ht="18" customHeight="1">
      <c r="A119" s="9"/>
      <c r="N119" s="264"/>
      <c r="O119" s="28"/>
      <c r="P119" s="102" t="s">
        <v>138</v>
      </c>
      <c r="Q119" s="996">
        <f>+Q115</f>
        <v>222.48668750251949</v>
      </c>
      <c r="R119" s="696"/>
      <c r="S119" s="234" t="s">
        <v>326</v>
      </c>
      <c r="T119" s="265">
        <f>+T118</f>
        <v>0.8</v>
      </c>
      <c r="V119" s="10"/>
    </row>
    <row r="120" spans="1:26" ht="18" customHeight="1">
      <c r="A120" s="9"/>
      <c r="O120" s="28"/>
      <c r="P120" s="28" t="s">
        <v>138</v>
      </c>
      <c r="Q120" s="997">
        <f>Q119*T119</f>
        <v>177.98935000201561</v>
      </c>
      <c r="R120" s="709"/>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65">
        <f>H13</f>
        <v>3750</v>
      </c>
      <c r="F122" s="665"/>
      <c r="G122" s="27" t="s">
        <v>487</v>
      </c>
      <c r="H122" s="668">
        <f>Q120</f>
        <v>177.98935000201561</v>
      </c>
      <c r="I122" s="665"/>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18" t="s">
        <v>491</v>
      </c>
      <c r="B128" s="972"/>
      <c r="C128" s="972"/>
      <c r="D128" s="972"/>
      <c r="E128" s="972"/>
      <c r="F128" s="972"/>
      <c r="G128" s="972"/>
      <c r="H128" s="972"/>
      <c r="I128" s="972"/>
      <c r="J128" s="972"/>
      <c r="K128" s="972"/>
      <c r="L128" s="972"/>
      <c r="M128" s="972"/>
      <c r="N128" s="972"/>
      <c r="O128" s="972"/>
      <c r="P128" s="972"/>
      <c r="Q128" s="972"/>
      <c r="R128" s="972"/>
      <c r="S128" s="972"/>
      <c r="T128" s="972"/>
      <c r="U128" s="972"/>
      <c r="V128" s="973"/>
    </row>
    <row r="129" spans="1:22" ht="18" hidden="1" customHeight="1">
      <c r="A129" s="974"/>
      <c r="B129" s="972"/>
      <c r="C129" s="972"/>
      <c r="D129" s="972"/>
      <c r="E129" s="972"/>
      <c r="F129" s="972"/>
      <c r="G129" s="972"/>
      <c r="H129" s="972"/>
      <c r="I129" s="972"/>
      <c r="J129" s="972"/>
      <c r="K129" s="972"/>
      <c r="L129" s="972"/>
      <c r="M129" s="972"/>
      <c r="N129" s="972"/>
      <c r="O129" s="972"/>
      <c r="P129" s="972"/>
      <c r="Q129" s="972"/>
      <c r="R129" s="972"/>
      <c r="S129" s="972"/>
      <c r="T129" s="972"/>
      <c r="U129" s="972"/>
      <c r="V129" s="973"/>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5" t="s">
        <v>428</v>
      </c>
      <c r="B131" s="1015"/>
      <c r="C131" s="1015"/>
      <c r="D131" s="664">
        <v>5</v>
      </c>
      <c r="E131" s="664" t="s">
        <v>326</v>
      </c>
      <c r="F131" s="664" t="s">
        <v>492</v>
      </c>
      <c r="G131" s="665"/>
      <c r="H131" s="664" t="s">
        <v>326</v>
      </c>
      <c r="I131" s="696" t="s">
        <v>493</v>
      </c>
      <c r="J131" s="1066"/>
      <c r="K131" s="664" t="s">
        <v>326</v>
      </c>
      <c r="L131" s="936" t="s">
        <v>430</v>
      </c>
      <c r="M131" s="936" t="s">
        <v>431</v>
      </c>
      <c r="N131" s="942" t="s">
        <v>358</v>
      </c>
      <c r="O131" s="936" t="s">
        <v>419</v>
      </c>
      <c r="P131" s="664" t="s">
        <v>358</v>
      </c>
      <c r="Q131" s="943" t="s">
        <v>432</v>
      </c>
      <c r="R131" s="1016"/>
      <c r="S131" s="1016"/>
      <c r="T131" s="944" t="s">
        <v>361</v>
      </c>
      <c r="U131" s="242" t="s">
        <v>433</v>
      </c>
      <c r="V131" s="97"/>
    </row>
    <row r="132" spans="1:22" ht="18" hidden="1" customHeight="1">
      <c r="A132" s="1065"/>
      <c r="B132" s="1015"/>
      <c r="C132" s="1015"/>
      <c r="D132" s="664"/>
      <c r="E132" s="664"/>
      <c r="F132" s="665"/>
      <c r="G132" s="665"/>
      <c r="H132" s="664"/>
      <c r="I132" s="664" t="s">
        <v>494</v>
      </c>
      <c r="J132" s="987"/>
      <c r="K132" s="664"/>
      <c r="L132" s="936"/>
      <c r="M132" s="936"/>
      <c r="N132" s="942"/>
      <c r="O132" s="936"/>
      <c r="P132" s="664"/>
      <c r="Q132" s="28" t="s">
        <v>157</v>
      </c>
      <c r="R132" s="28" t="s">
        <v>326</v>
      </c>
      <c r="S132" s="28" t="s">
        <v>157</v>
      </c>
      <c r="T132" s="944"/>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65">
        <f>R35</f>
        <v>2500</v>
      </c>
      <c r="S134" s="665"/>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16">
        <f>R76</f>
        <v>50000</v>
      </c>
      <c r="S135" s="816"/>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65">
        <f>R79</f>
        <v>1</v>
      </c>
      <c r="S136" s="665"/>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65">
        <f>R80</f>
        <v>1</v>
      </c>
      <c r="S137" s="665"/>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65">
        <f>R81</f>
        <v>5</v>
      </c>
      <c r="S138" s="665"/>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68">
        <f>R82</f>
        <v>0.46875935000000007</v>
      </c>
      <c r="S139" s="668"/>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68">
        <f>J19</f>
        <v>0</v>
      </c>
      <c r="S140" s="665"/>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68">
        <f>R138*R136*R136</f>
        <v>5</v>
      </c>
      <c r="S141" s="665"/>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68">
        <f>H122</f>
        <v>177.98935000201561</v>
      </c>
      <c r="S142" s="665"/>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65">
        <f>I120</f>
        <v>0</v>
      </c>
      <c r="S143" s="665"/>
      <c r="T143" s="30"/>
      <c r="U143" s="30"/>
      <c r="V143" s="197"/>
    </row>
    <row r="144" spans="1:22" ht="18" hidden="1" customHeight="1">
      <c r="A144" s="1005" t="s">
        <v>428</v>
      </c>
      <c r="B144" s="1015"/>
      <c r="C144" s="1015"/>
      <c r="D144" s="664">
        <v>5</v>
      </c>
      <c r="E144" s="664" t="s">
        <v>326</v>
      </c>
      <c r="F144" s="941">
        <f>R135</f>
        <v>50000</v>
      </c>
      <c r="G144" s="816"/>
      <c r="H144" s="664" t="s">
        <v>326</v>
      </c>
      <c r="I144" s="696">
        <f>R136</f>
        <v>1</v>
      </c>
      <c r="J144" s="1066"/>
      <c r="K144" s="664" t="s">
        <v>326</v>
      </c>
      <c r="L144" s="936" t="s">
        <v>430</v>
      </c>
      <c r="M144" s="936">
        <f>R138</f>
        <v>5</v>
      </c>
      <c r="N144" s="942" t="s">
        <v>358</v>
      </c>
      <c r="O144" s="1067">
        <f>R139</f>
        <v>0.46875935000000007</v>
      </c>
      <c r="P144" s="664" t="s">
        <v>358</v>
      </c>
      <c r="Q144" s="1068">
        <f>R140</f>
        <v>0</v>
      </c>
      <c r="R144" s="1016"/>
      <c r="S144" s="1016"/>
      <c r="T144" s="944" t="s">
        <v>361</v>
      </c>
      <c r="U144" s="242" t="s">
        <v>433</v>
      </c>
      <c r="V144" s="97"/>
    </row>
    <row r="145" spans="1:22" ht="18" hidden="1" customHeight="1">
      <c r="A145" s="1065"/>
      <c r="B145" s="1015"/>
      <c r="C145" s="1015"/>
      <c r="D145" s="664"/>
      <c r="E145" s="664"/>
      <c r="F145" s="816"/>
      <c r="G145" s="816"/>
      <c r="H145" s="664"/>
      <c r="I145" s="664">
        <f>R134</f>
        <v>2500</v>
      </c>
      <c r="J145" s="987"/>
      <c r="K145" s="664"/>
      <c r="L145" s="936"/>
      <c r="M145" s="936"/>
      <c r="N145" s="942"/>
      <c r="O145" s="936"/>
      <c r="P145" s="664"/>
      <c r="Q145" s="28">
        <f>R137</f>
        <v>1</v>
      </c>
      <c r="R145" s="28" t="s">
        <v>326</v>
      </c>
      <c r="S145" s="28">
        <f>R137</f>
        <v>1</v>
      </c>
      <c r="T145" s="944"/>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875">
        <f>D144*F144*(I144/I145)*(M144+O144+(Q144/(Q145*S145)))</f>
        <v>546.87593500000003</v>
      </c>
      <c r="E147" s="876"/>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23" t="s">
        <v>485</v>
      </c>
      <c r="R151" s="923"/>
      <c r="S151" s="28" t="s">
        <v>326</v>
      </c>
      <c r="T151" s="28">
        <v>0.8</v>
      </c>
      <c r="V151" s="10"/>
    </row>
    <row r="152" spans="1:22" ht="18" hidden="1" customHeight="1">
      <c r="A152" s="9"/>
      <c r="N152" s="264"/>
      <c r="O152" s="28"/>
      <c r="P152" s="102" t="s">
        <v>138</v>
      </c>
      <c r="Q152" s="996">
        <f>D147</f>
        <v>546.87593500000003</v>
      </c>
      <c r="R152" s="696"/>
      <c r="S152" s="234" t="s">
        <v>326</v>
      </c>
      <c r="T152" s="265">
        <f>+T151</f>
        <v>0.8</v>
      </c>
      <c r="V152" s="10"/>
    </row>
    <row r="153" spans="1:22" ht="18" hidden="1" customHeight="1">
      <c r="A153" s="9"/>
      <c r="O153" s="28"/>
      <c r="P153" s="28" t="s">
        <v>138</v>
      </c>
      <c r="Q153" s="997">
        <f>Q152*T152</f>
        <v>437.50074800000004</v>
      </c>
      <c r="R153" s="709"/>
      <c r="S153" s="47" t="s">
        <v>316</v>
      </c>
      <c r="T153" s="28"/>
      <c r="V153" s="10"/>
    </row>
    <row r="154" spans="1:22" ht="18" hidden="1" customHeight="1">
      <c r="A154" s="9"/>
      <c r="D154" s="14" t="s">
        <v>486</v>
      </c>
      <c r="G154" s="27" t="str">
        <f>IF(E155&gt;H155,"&gt;","&lt;")</f>
        <v>&gt;</v>
      </c>
      <c r="H154" s="14" t="s">
        <v>488</v>
      </c>
      <c r="V154" s="10"/>
    </row>
    <row r="155" spans="1:22" ht="18" hidden="1" customHeight="1">
      <c r="A155" s="9"/>
      <c r="E155" s="665">
        <f>H13</f>
        <v>3750</v>
      </c>
      <c r="F155" s="665"/>
      <c r="G155" s="27" t="str">
        <f>G154</f>
        <v>&gt;</v>
      </c>
      <c r="H155" s="668">
        <f>Q153</f>
        <v>437.50074800000004</v>
      </c>
      <c r="I155" s="665"/>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81" t="str">
        <f>B7</f>
        <v>T1</v>
      </c>
      <c r="C173" s="682"/>
      <c r="D173" s="1040" t="str">
        <f>D7</f>
        <v>Core1</v>
      </c>
      <c r="E173" s="684"/>
      <c r="F173" s="664">
        <f>F7</f>
        <v>0</v>
      </c>
      <c r="G173" s="664"/>
      <c r="H173" s="664" t="str">
        <f>H7</f>
        <v>(Diff. + Dist.)</v>
      </c>
      <c r="I173" s="664"/>
      <c r="J173" s="664"/>
      <c r="K173" s="664"/>
      <c r="L173" s="664"/>
      <c r="M173" s="664"/>
      <c r="P173" s="198"/>
      <c r="S173" s="199" t="s">
        <v>398</v>
      </c>
      <c r="T173" s="681" t="str">
        <f>T7</f>
        <v>RED670</v>
      </c>
      <c r="U173" s="682"/>
      <c r="V173" s="10"/>
    </row>
    <row r="174" spans="1:22" ht="18" hidden="1" customHeight="1">
      <c r="A174" s="9"/>
      <c r="B174" s="695">
        <f>B8</f>
        <v>0</v>
      </c>
      <c r="C174" s="695"/>
      <c r="D174" s="685"/>
      <c r="E174" s="686"/>
      <c r="T174" s="994">
        <f>T8</f>
        <v>0</v>
      </c>
      <c r="U174" s="995"/>
      <c r="V174" s="10"/>
    </row>
    <row r="175" spans="1:22" ht="18" hidden="1" customHeight="1">
      <c r="A175" s="9"/>
      <c r="H175" s="696" t="s">
        <v>401</v>
      </c>
      <c r="I175" s="696"/>
      <c r="J175" s="666" t="s">
        <v>402</v>
      </c>
      <c r="K175" s="666"/>
      <c r="L175" s="667" t="s">
        <v>403</v>
      </c>
      <c r="M175" s="667"/>
      <c r="T175" s="994">
        <f>T9</f>
        <v>0</v>
      </c>
      <c r="U175" s="995"/>
      <c r="V175" s="10"/>
    </row>
    <row r="176" spans="1:22" ht="18" hidden="1" customHeight="1">
      <c r="A176" s="9"/>
      <c r="B176" s="47" t="s">
        <v>404</v>
      </c>
      <c r="H176" s="681">
        <f>H10</f>
        <v>2500</v>
      </c>
      <c r="I176" s="682"/>
      <c r="J176" s="1038" t="str">
        <f>J10</f>
        <v>-</v>
      </c>
      <c r="K176" s="1039"/>
      <c r="L176" s="681" t="str">
        <f>L10</f>
        <v>-</v>
      </c>
      <c r="M176" s="682"/>
      <c r="N176" s="203" t="s">
        <v>353</v>
      </c>
      <c r="O176" s="504">
        <f>O10</f>
        <v>1</v>
      </c>
      <c r="P176" s="27" t="s">
        <v>9</v>
      </c>
      <c r="V176" s="10"/>
    </row>
    <row r="177" spans="1:29" ht="18" hidden="1" customHeight="1">
      <c r="A177" s="9"/>
      <c r="B177" s="47" t="s">
        <v>405</v>
      </c>
      <c r="J177" s="681" t="str">
        <f>H11</f>
        <v>PX-A</v>
      </c>
      <c r="K177" s="682"/>
      <c r="V177" s="10"/>
    </row>
    <row r="178" spans="1:29" ht="18" hidden="1" customHeight="1">
      <c r="A178" s="9"/>
      <c r="B178" s="47" t="s">
        <v>407</v>
      </c>
      <c r="I178" s="120" t="s">
        <v>508</v>
      </c>
      <c r="J178" s="653">
        <v>3</v>
      </c>
      <c r="K178" s="654"/>
      <c r="L178" s="204" t="s">
        <v>344</v>
      </c>
      <c r="N178" s="7"/>
      <c r="O178" s="7"/>
      <c r="V178" s="10"/>
    </row>
    <row r="179" spans="1:29" ht="18" hidden="1" customHeight="1">
      <c r="A179" s="9"/>
      <c r="B179" s="47" t="s">
        <v>409</v>
      </c>
      <c r="I179" s="120" t="s">
        <v>509</v>
      </c>
      <c r="J179" s="653">
        <v>200</v>
      </c>
      <c r="K179" s="654"/>
      <c r="L179" s="14" t="s">
        <v>316</v>
      </c>
      <c r="O179" s="7"/>
      <c r="V179" s="10"/>
      <c r="W179" s="30" t="s">
        <v>411</v>
      </c>
      <c r="AB179" s="1022" t="e">
        <f>Q286</f>
        <v>#VALUE!</v>
      </c>
      <c r="AC179" s="1023"/>
    </row>
    <row r="180" spans="1:29" ht="18" hidden="1" customHeight="1">
      <c r="A180" s="9"/>
      <c r="B180" s="14" t="s">
        <v>412</v>
      </c>
      <c r="I180" s="120" t="s">
        <v>413</v>
      </c>
      <c r="J180" s="653">
        <v>100</v>
      </c>
      <c r="K180" s="654"/>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31">
        <f>J18</f>
        <v>0.02</v>
      </c>
      <c r="K184" s="1037"/>
      <c r="L184" s="214" t="s">
        <v>168</v>
      </c>
      <c r="N184" s="209" t="s">
        <v>418</v>
      </c>
      <c r="V184" s="10"/>
    </row>
    <row r="185" spans="1:29" ht="18" hidden="1" customHeight="1">
      <c r="A185" s="9"/>
      <c r="B185" s="9" t="s">
        <v>416</v>
      </c>
      <c r="D185" s="437">
        <f>T174</f>
        <v>0</v>
      </c>
      <c r="I185" s="28" t="s">
        <v>138</v>
      </c>
      <c r="J185" s="1031">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0.44875935000000006</v>
      </c>
      <c r="K187" s="1036"/>
      <c r="L187" s="439" t="s">
        <v>168</v>
      </c>
      <c r="N187" s="27"/>
      <c r="O187" s="27" t="s">
        <v>138</v>
      </c>
      <c r="P187" s="223">
        <f>J188</f>
        <v>0.46875935000000007</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6">
        <f>SUM(J184:K187)</f>
        <v>0.46875935000000007</v>
      </c>
      <c r="K188" s="1021"/>
      <c r="L188" s="441" t="s">
        <v>168</v>
      </c>
      <c r="O188" s="27" t="s">
        <v>138</v>
      </c>
      <c r="P188" s="668">
        <f>P187/(R187*T187)</f>
        <v>0.46875935000000007</v>
      </c>
      <c r="Q188" s="668"/>
      <c r="R188" s="204" t="s">
        <v>344</v>
      </c>
      <c r="V188" s="10"/>
    </row>
    <row r="189" spans="1:29" ht="18" hidden="1" customHeight="1">
      <c r="A189" s="9"/>
      <c r="V189" s="10"/>
    </row>
    <row r="190" spans="1:29" ht="18" hidden="1" customHeight="1">
      <c r="A190" s="116" t="s">
        <v>425</v>
      </c>
      <c r="V190" s="10"/>
    </row>
    <row r="191" spans="1:29" ht="18" hidden="1" customHeight="1">
      <c r="A191" s="1018" t="s">
        <v>426</v>
      </c>
      <c r="B191" s="1019"/>
      <c r="C191" s="1019"/>
      <c r="D191" s="1019"/>
      <c r="E191" s="1019"/>
      <c r="F191" s="1019"/>
      <c r="G191" s="1019"/>
      <c r="H191" s="1019"/>
      <c r="I191" s="1019"/>
      <c r="J191" s="1019"/>
      <c r="K191" s="1019"/>
      <c r="L191" s="1019"/>
      <c r="M191" s="1019"/>
      <c r="N191" s="1019"/>
      <c r="O191" s="1019"/>
      <c r="P191" s="1019"/>
      <c r="Q191" s="1019"/>
      <c r="R191" s="1019"/>
      <c r="S191" s="1019"/>
      <c r="T191" s="1019"/>
      <c r="U191" s="1019"/>
      <c r="V191" s="1020"/>
    </row>
    <row r="192" spans="1:29" ht="18" hidden="1" customHeight="1">
      <c r="A192" s="1018"/>
      <c r="B192" s="1019"/>
      <c r="C192" s="1019"/>
      <c r="D192" s="1019"/>
      <c r="E192" s="1019"/>
      <c r="F192" s="1019"/>
      <c r="G192" s="1019"/>
      <c r="H192" s="1019"/>
      <c r="I192" s="1019"/>
      <c r="J192" s="1019"/>
      <c r="K192" s="1019"/>
      <c r="L192" s="1019"/>
      <c r="M192" s="1019"/>
      <c r="N192" s="1019"/>
      <c r="O192" s="1019"/>
      <c r="P192" s="1019"/>
      <c r="Q192" s="1019"/>
      <c r="R192" s="1019"/>
      <c r="S192" s="1019"/>
      <c r="T192" s="1019"/>
      <c r="U192" s="1019"/>
      <c r="V192" s="1020"/>
    </row>
    <row r="193" spans="1:22" ht="18" hidden="1" customHeight="1">
      <c r="A193" s="205" t="s">
        <v>427</v>
      </c>
      <c r="V193" s="10"/>
    </row>
    <row r="194" spans="1:22" ht="18" hidden="1" customHeight="1">
      <c r="A194" s="1005" t="s">
        <v>428</v>
      </c>
      <c r="B194" s="947"/>
      <c r="C194" s="947"/>
      <c r="D194" s="14"/>
      <c r="E194" s="7"/>
      <c r="F194" s="1002" t="s">
        <v>429</v>
      </c>
      <c r="G194" s="1008"/>
      <c r="H194" s="788" t="s">
        <v>326</v>
      </c>
      <c r="I194" s="790" t="s">
        <v>422</v>
      </c>
      <c r="J194" s="1010"/>
      <c r="K194" s="788" t="s">
        <v>326</v>
      </c>
      <c r="L194" s="1002" t="s">
        <v>430</v>
      </c>
      <c r="M194" s="788" t="s">
        <v>431</v>
      </c>
      <c r="N194" s="1003" t="s">
        <v>358</v>
      </c>
      <c r="O194" s="788" t="s">
        <v>419</v>
      </c>
      <c r="P194" s="788" t="s">
        <v>358</v>
      </c>
      <c r="Q194" s="1030" t="s">
        <v>432</v>
      </c>
      <c r="R194" s="1012"/>
      <c r="S194" s="1012"/>
      <c r="T194" s="944" t="s">
        <v>361</v>
      </c>
      <c r="U194" s="242" t="s">
        <v>433</v>
      </c>
      <c r="V194" s="112"/>
    </row>
    <row r="195" spans="1:22" ht="18" hidden="1" customHeight="1">
      <c r="A195" s="1006"/>
      <c r="B195" s="947"/>
      <c r="C195" s="947"/>
      <c r="D195" s="14"/>
      <c r="E195" s="7"/>
      <c r="F195" s="1008"/>
      <c r="G195" s="1008"/>
      <c r="H195" s="788"/>
      <c r="I195" s="788" t="s">
        <v>434</v>
      </c>
      <c r="J195" s="1008"/>
      <c r="K195" s="788"/>
      <c r="L195" s="1002"/>
      <c r="M195" s="788"/>
      <c r="N195" s="1003"/>
      <c r="O195" s="788"/>
      <c r="P195" s="788"/>
      <c r="Q195" s="233" t="s">
        <v>157</v>
      </c>
      <c r="R195" s="233" t="s">
        <v>326</v>
      </c>
      <c r="S195" s="233" t="s">
        <v>157</v>
      </c>
      <c r="T195" s="944"/>
      <c r="U195" s="7"/>
      <c r="V195" s="112"/>
    </row>
    <row r="196" spans="1:22" ht="18" hidden="1" customHeight="1">
      <c r="A196" s="205" t="s">
        <v>435</v>
      </c>
      <c r="L196" s="442"/>
      <c r="M196" s="27"/>
      <c r="N196" s="27"/>
      <c r="O196" s="27"/>
      <c r="V196" s="10"/>
    </row>
    <row r="197" spans="1:22" ht="18" hidden="1" customHeight="1">
      <c r="A197" s="1005" t="s">
        <v>428</v>
      </c>
      <c r="B197" s="947"/>
      <c r="C197" s="947"/>
      <c r="D197" s="664">
        <v>2</v>
      </c>
      <c r="E197" s="664" t="s">
        <v>326</v>
      </c>
      <c r="F197" s="1002" t="s">
        <v>436</v>
      </c>
      <c r="G197" s="1008"/>
      <c r="H197" s="788" t="s">
        <v>326</v>
      </c>
      <c r="I197" s="790" t="s">
        <v>422</v>
      </c>
      <c r="J197" s="1010"/>
      <c r="K197" s="788" t="s">
        <v>326</v>
      </c>
      <c r="L197" s="1002" t="s">
        <v>430</v>
      </c>
      <c r="M197" s="788" t="s">
        <v>431</v>
      </c>
      <c r="N197" s="1003" t="s">
        <v>358</v>
      </c>
      <c r="O197" s="788" t="s">
        <v>419</v>
      </c>
      <c r="P197" s="788" t="s">
        <v>358</v>
      </c>
      <c r="Q197" s="1030" t="s">
        <v>432</v>
      </c>
      <c r="R197" s="1012"/>
      <c r="S197" s="1012"/>
      <c r="T197" s="944" t="s">
        <v>361</v>
      </c>
      <c r="U197" s="242" t="s">
        <v>437</v>
      </c>
      <c r="V197" s="112"/>
    </row>
    <row r="198" spans="1:22" ht="18" hidden="1" customHeight="1">
      <c r="A198" s="1006"/>
      <c r="B198" s="947"/>
      <c r="C198" s="947"/>
      <c r="D198" s="664"/>
      <c r="E198" s="664"/>
      <c r="F198" s="1008"/>
      <c r="G198" s="1008"/>
      <c r="H198" s="788"/>
      <c r="I198" s="788" t="s">
        <v>434</v>
      </c>
      <c r="J198" s="1008"/>
      <c r="K198" s="788"/>
      <c r="L198" s="1002"/>
      <c r="M198" s="788"/>
      <c r="N198" s="1003"/>
      <c r="O198" s="788"/>
      <c r="P198" s="788"/>
      <c r="Q198" s="233" t="s">
        <v>157</v>
      </c>
      <c r="R198" s="233" t="s">
        <v>326</v>
      </c>
      <c r="S198" s="233" t="s">
        <v>157</v>
      </c>
      <c r="T198" s="944"/>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65" t="str">
        <f>J176</f>
        <v>-</v>
      </c>
      <c r="S201" s="665"/>
      <c r="T201" s="14" t="s">
        <v>9</v>
      </c>
      <c r="V201" s="10"/>
    </row>
    <row r="202" spans="1:22" ht="18" hidden="1" customHeight="1">
      <c r="A202" s="9"/>
      <c r="B202" s="14" t="s">
        <v>442</v>
      </c>
      <c r="C202" s="14"/>
      <c r="D202" s="14"/>
      <c r="E202" s="14"/>
      <c r="F202" s="14"/>
      <c r="G202" s="14"/>
      <c r="H202" s="14"/>
      <c r="I202" s="14"/>
      <c r="J202" s="14"/>
      <c r="P202" s="120" t="s">
        <v>429</v>
      </c>
      <c r="Q202" s="246" t="s">
        <v>138</v>
      </c>
      <c r="R202" s="665">
        <f>R36</f>
        <v>50000</v>
      </c>
      <c r="S202" s="665"/>
      <c r="T202" s="14" t="s">
        <v>9</v>
      </c>
      <c r="V202" s="10"/>
    </row>
    <row r="203" spans="1:22" ht="18" hidden="1" customHeight="1">
      <c r="A203" s="9"/>
      <c r="B203" s="14" t="s">
        <v>443</v>
      </c>
      <c r="C203" s="14"/>
      <c r="D203" s="14"/>
      <c r="E203" s="14"/>
      <c r="F203" s="14"/>
      <c r="G203" s="14"/>
      <c r="H203" s="14"/>
      <c r="I203" s="14"/>
      <c r="J203" s="14"/>
      <c r="P203" s="120" t="s">
        <v>436</v>
      </c>
      <c r="Q203" s="246" t="s">
        <v>138</v>
      </c>
      <c r="R203" s="816">
        <f>R37</f>
        <v>28681.090829928391</v>
      </c>
      <c r="S203" s="665"/>
      <c r="T203" s="14" t="s">
        <v>9</v>
      </c>
      <c r="U203" s="30" t="s">
        <v>444</v>
      </c>
      <c r="V203" s="10"/>
    </row>
    <row r="204" spans="1:22" ht="18" hidden="1" customHeight="1">
      <c r="A204" s="9"/>
      <c r="B204" s="14"/>
      <c r="C204" s="14"/>
      <c r="D204" s="14"/>
      <c r="E204" s="14"/>
      <c r="F204" s="14"/>
      <c r="G204" s="14"/>
      <c r="H204" s="14"/>
      <c r="I204" s="14"/>
      <c r="J204" s="14"/>
      <c r="P204" s="120"/>
      <c r="Q204" s="246" t="s">
        <v>138</v>
      </c>
      <c r="R204" s="816">
        <f>R38</f>
        <v>30950.978286194932</v>
      </c>
      <c r="S204" s="665"/>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65">
        <f>R39</f>
        <v>1</v>
      </c>
      <c r="S205" s="665"/>
      <c r="T205" s="14" t="s">
        <v>9</v>
      </c>
      <c r="V205" s="10"/>
    </row>
    <row r="206" spans="1:22" ht="18" hidden="1" customHeight="1">
      <c r="A206" s="9"/>
      <c r="B206" s="14" t="s">
        <v>448</v>
      </c>
      <c r="C206" s="14"/>
      <c r="D206" s="103"/>
      <c r="E206" s="103"/>
      <c r="F206" s="14"/>
      <c r="G206" s="14"/>
      <c r="H206" s="5"/>
      <c r="I206" s="5"/>
      <c r="J206" s="5"/>
      <c r="P206" s="120" t="s">
        <v>449</v>
      </c>
      <c r="Q206" s="246" t="s">
        <v>138</v>
      </c>
      <c r="R206" s="665">
        <f>R40</f>
        <v>1</v>
      </c>
      <c r="S206" s="665"/>
      <c r="T206" s="14" t="s">
        <v>9</v>
      </c>
      <c r="V206" s="10"/>
    </row>
    <row r="207" spans="1:22" ht="18" hidden="1" customHeight="1">
      <c r="A207" s="9"/>
      <c r="B207" s="14" t="s">
        <v>450</v>
      </c>
      <c r="C207" s="14"/>
      <c r="D207" s="103"/>
      <c r="E207" s="103"/>
      <c r="F207" s="14"/>
      <c r="G207" s="14"/>
      <c r="H207" s="5"/>
      <c r="I207" s="5"/>
      <c r="J207" s="5"/>
      <c r="P207" s="120" t="s">
        <v>451</v>
      </c>
      <c r="Q207" s="246" t="s">
        <v>138</v>
      </c>
      <c r="R207" s="665">
        <f>J178</f>
        <v>3</v>
      </c>
      <c r="S207" s="665"/>
      <c r="T207" s="204" t="s">
        <v>344</v>
      </c>
      <c r="V207" s="10"/>
    </row>
    <row r="208" spans="1:22" ht="18" hidden="1" customHeight="1">
      <c r="A208" s="9"/>
      <c r="B208" s="14" t="s">
        <v>164</v>
      </c>
      <c r="C208" s="14"/>
      <c r="D208" s="14"/>
      <c r="E208" s="14"/>
      <c r="F208" s="14"/>
      <c r="G208" s="14"/>
      <c r="H208" s="14"/>
      <c r="I208" s="14"/>
      <c r="J208" s="14"/>
      <c r="P208" s="249" t="s">
        <v>452</v>
      </c>
      <c r="Q208" s="246" t="s">
        <v>138</v>
      </c>
      <c r="R208" s="668">
        <f>R42</f>
        <v>0.46875935000000007</v>
      </c>
      <c r="S208" s="665"/>
      <c r="T208" s="204" t="s">
        <v>344</v>
      </c>
      <c r="V208" s="10"/>
    </row>
    <row r="209" spans="1:22" ht="18" hidden="1" customHeight="1">
      <c r="A209" s="9"/>
      <c r="B209" s="40" t="s">
        <v>453</v>
      </c>
      <c r="C209" s="14"/>
      <c r="D209" s="14"/>
      <c r="E209" s="14"/>
      <c r="F209" s="14"/>
      <c r="G209" s="14"/>
      <c r="H209" s="5"/>
      <c r="I209" s="5"/>
      <c r="J209" s="5"/>
      <c r="P209" s="249" t="s">
        <v>454</v>
      </c>
      <c r="Q209" s="246" t="s">
        <v>138</v>
      </c>
      <c r="R209" s="668">
        <f>R43</f>
        <v>0.02</v>
      </c>
      <c r="S209" s="665"/>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5" t="s">
        <v>428</v>
      </c>
      <c r="B213" s="947"/>
      <c r="C213" s="947"/>
      <c r="D213" s="14"/>
      <c r="E213" s="7"/>
      <c r="F213" s="1002">
        <f>R202</f>
        <v>50000</v>
      </c>
      <c r="G213" s="1008"/>
      <c r="H213" s="788" t="s">
        <v>326</v>
      </c>
      <c r="I213" s="1009">
        <f>R205</f>
        <v>1</v>
      </c>
      <c r="J213" s="1010"/>
      <c r="K213" s="788" t="s">
        <v>326</v>
      </c>
      <c r="L213" s="1002" t="s">
        <v>430</v>
      </c>
      <c r="M213" s="975">
        <f>R207</f>
        <v>3</v>
      </c>
      <c r="N213" s="1003" t="s">
        <v>358</v>
      </c>
      <c r="O213" s="1004">
        <f>R208</f>
        <v>0.46875935000000007</v>
      </c>
      <c r="P213" s="788" t="s">
        <v>358</v>
      </c>
      <c r="Q213" s="1012">
        <f>R209</f>
        <v>0.02</v>
      </c>
      <c r="R213" s="1012"/>
      <c r="S213" s="1012"/>
      <c r="T213" s="944" t="s">
        <v>361</v>
      </c>
      <c r="U213" s="242" t="s">
        <v>433</v>
      </c>
      <c r="V213" s="112"/>
    </row>
    <row r="214" spans="1:22" ht="18" hidden="1" customHeight="1">
      <c r="A214" s="1006"/>
      <c r="B214" s="947"/>
      <c r="C214" s="947"/>
      <c r="D214" s="14"/>
      <c r="E214" s="7"/>
      <c r="F214" s="1008"/>
      <c r="G214" s="1008"/>
      <c r="H214" s="788"/>
      <c r="I214" s="788" t="str">
        <f>R201</f>
        <v>-</v>
      </c>
      <c r="J214" s="1008"/>
      <c r="K214" s="788"/>
      <c r="L214" s="1002"/>
      <c r="M214" s="975"/>
      <c r="N214" s="1003"/>
      <c r="O214" s="975"/>
      <c r="P214" s="788"/>
      <c r="Q214" s="233">
        <f>R206</f>
        <v>1</v>
      </c>
      <c r="R214" s="233" t="s">
        <v>326</v>
      </c>
      <c r="S214" s="233">
        <f>R206</f>
        <v>1</v>
      </c>
      <c r="T214" s="944"/>
      <c r="U214" s="7"/>
      <c r="V214" s="112"/>
    </row>
    <row r="215" spans="1:22" ht="18" hidden="1" customHeight="1">
      <c r="A215" s="9"/>
      <c r="L215" s="442"/>
      <c r="V215" s="10"/>
    </row>
    <row r="216" spans="1:22" ht="18" hidden="1" customHeight="1">
      <c r="A216" s="9"/>
      <c r="C216" s="27" t="s">
        <v>138</v>
      </c>
      <c r="D216" s="875" t="e">
        <f>F213*(I213/I214)*(M213+O213+(Q213/(Q214*S214)))</f>
        <v>#VALUE!</v>
      </c>
      <c r="E216" s="876"/>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5" t="s">
        <v>428</v>
      </c>
      <c r="B219" s="947"/>
      <c r="C219" s="947"/>
      <c r="D219" s="664">
        <v>2</v>
      </c>
      <c r="E219" s="664" t="s">
        <v>326</v>
      </c>
      <c r="F219" s="1007">
        <f>R203</f>
        <v>28681.090829928391</v>
      </c>
      <c r="G219" s="1008"/>
      <c r="H219" s="788" t="s">
        <v>326</v>
      </c>
      <c r="I219" s="1009">
        <f>R205</f>
        <v>1</v>
      </c>
      <c r="J219" s="1010"/>
      <c r="K219" s="788" t="s">
        <v>326</v>
      </c>
      <c r="L219" s="1002" t="s">
        <v>430</v>
      </c>
      <c r="M219" s="975">
        <f>R207</f>
        <v>3</v>
      </c>
      <c r="N219" s="1003" t="s">
        <v>358</v>
      </c>
      <c r="O219" s="1004">
        <f>R208</f>
        <v>0.46875935000000007</v>
      </c>
      <c r="P219" s="788" t="s">
        <v>358</v>
      </c>
      <c r="Q219" s="1012">
        <f>Q213</f>
        <v>0.02</v>
      </c>
      <c r="R219" s="1012"/>
      <c r="S219" s="1012"/>
      <c r="T219" s="944" t="s">
        <v>361</v>
      </c>
      <c r="U219" s="242" t="s">
        <v>437</v>
      </c>
      <c r="V219" s="112"/>
    </row>
    <row r="220" spans="1:22" ht="18" hidden="1" customHeight="1">
      <c r="A220" s="1006"/>
      <c r="B220" s="947"/>
      <c r="C220" s="947"/>
      <c r="D220" s="664"/>
      <c r="E220" s="664"/>
      <c r="F220" s="1008"/>
      <c r="G220" s="1008"/>
      <c r="H220" s="788"/>
      <c r="I220" s="788" t="str">
        <f>R201</f>
        <v>-</v>
      </c>
      <c r="J220" s="1008"/>
      <c r="K220" s="788"/>
      <c r="L220" s="1002"/>
      <c r="M220" s="975"/>
      <c r="N220" s="1003"/>
      <c r="O220" s="975"/>
      <c r="P220" s="788"/>
      <c r="Q220" s="233">
        <f>R206</f>
        <v>1</v>
      </c>
      <c r="R220" s="233" t="s">
        <v>326</v>
      </c>
      <c r="S220" s="233">
        <f>R206</f>
        <v>1</v>
      </c>
      <c r="T220" s="944"/>
      <c r="U220" s="7"/>
      <c r="V220" s="112"/>
    </row>
    <row r="221" spans="1:22" ht="18" hidden="1" customHeight="1">
      <c r="A221" s="9"/>
      <c r="L221" s="442"/>
      <c r="V221" s="10"/>
    </row>
    <row r="222" spans="1:22" ht="18" hidden="1" customHeight="1">
      <c r="A222" s="9"/>
      <c r="C222" s="27" t="s">
        <v>138</v>
      </c>
      <c r="D222" s="875" t="e">
        <f>D219*F219*(I219/I220)*(M219+O219+(Q219/(Q220*S220)))</f>
        <v>#VALUE!</v>
      </c>
      <c r="E222" s="876"/>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5" t="s">
        <v>428</v>
      </c>
      <c r="B225" s="947"/>
      <c r="C225" s="947"/>
      <c r="D225" s="788">
        <v>2</v>
      </c>
      <c r="E225" s="788" t="s">
        <v>326</v>
      </c>
      <c r="F225" s="1007">
        <f>R204</f>
        <v>30950.978286194932</v>
      </c>
      <c r="G225" s="1008"/>
      <c r="H225" s="788" t="s">
        <v>326</v>
      </c>
      <c r="I225" s="1009">
        <f>R205</f>
        <v>1</v>
      </c>
      <c r="J225" s="1010"/>
      <c r="K225" s="788" t="s">
        <v>326</v>
      </c>
      <c r="L225" s="1002" t="s">
        <v>430</v>
      </c>
      <c r="M225" s="975">
        <f>R207</f>
        <v>3</v>
      </c>
      <c r="N225" s="1003" t="s">
        <v>358</v>
      </c>
      <c r="O225" s="1004">
        <f>R208</f>
        <v>0.46875935000000007</v>
      </c>
      <c r="P225" s="788" t="s">
        <v>358</v>
      </c>
      <c r="Q225" s="1012">
        <f>R209</f>
        <v>0.02</v>
      </c>
      <c r="R225" s="1012"/>
      <c r="S225" s="1012"/>
      <c r="T225" s="944" t="s">
        <v>361</v>
      </c>
      <c r="U225" s="242" t="s">
        <v>437</v>
      </c>
      <c r="V225" s="112"/>
    </row>
    <row r="226" spans="1:22" ht="18" hidden="1" customHeight="1">
      <c r="A226" s="1006"/>
      <c r="B226" s="947"/>
      <c r="C226" s="947"/>
      <c r="D226" s="788"/>
      <c r="E226" s="788"/>
      <c r="F226" s="1008"/>
      <c r="G226" s="1008"/>
      <c r="H226" s="788"/>
      <c r="I226" s="788" t="str">
        <f>R201</f>
        <v>-</v>
      </c>
      <c r="J226" s="1008"/>
      <c r="K226" s="788"/>
      <c r="L226" s="1002"/>
      <c r="M226" s="975"/>
      <c r="N226" s="1003"/>
      <c r="O226" s="975"/>
      <c r="P226" s="788"/>
      <c r="Q226" s="233">
        <f>R206</f>
        <v>1</v>
      </c>
      <c r="R226" s="233" t="s">
        <v>326</v>
      </c>
      <c r="S226" s="233">
        <f>R206</f>
        <v>1</v>
      </c>
      <c r="T226" s="944"/>
      <c r="U226" s="7"/>
      <c r="V226" s="112"/>
    </row>
    <row r="227" spans="1:22" ht="18" hidden="1" customHeight="1">
      <c r="A227" s="9"/>
      <c r="V227" s="10"/>
    </row>
    <row r="228" spans="1:22" ht="18" hidden="1" customHeight="1">
      <c r="A228" s="9"/>
      <c r="C228" s="27" t="s">
        <v>138</v>
      </c>
      <c r="D228" s="875" t="e">
        <f>D225*F225*(I225/I226)*(M225+O225+(Q225/(Q226*S226)))</f>
        <v>#VALUE!</v>
      </c>
      <c r="E228" s="876"/>
      <c r="F228" s="27" t="s">
        <v>316</v>
      </c>
      <c r="V228" s="10"/>
    </row>
    <row r="229" spans="1:22" ht="18" hidden="1" customHeight="1">
      <c r="A229" s="9"/>
      <c r="V229" s="10"/>
    </row>
    <row r="230" spans="1:22" ht="18" hidden="1" customHeight="1">
      <c r="A230" s="116" t="s">
        <v>457</v>
      </c>
      <c r="V230" s="10"/>
    </row>
    <row r="231" spans="1:22" ht="18" hidden="1" customHeight="1">
      <c r="A231" s="1018" t="s">
        <v>510</v>
      </c>
      <c r="B231" s="1019"/>
      <c r="C231" s="1019"/>
      <c r="D231" s="1019"/>
      <c r="E231" s="1019"/>
      <c r="F231" s="1019"/>
      <c r="G231" s="1019"/>
      <c r="H231" s="1019"/>
      <c r="I231" s="1019"/>
      <c r="J231" s="1019"/>
      <c r="K231" s="1019"/>
      <c r="L231" s="1019"/>
      <c r="M231" s="1019"/>
      <c r="N231" s="1019"/>
      <c r="O231" s="1019"/>
      <c r="P231" s="1019"/>
      <c r="Q231" s="1019"/>
      <c r="R231" s="1019"/>
      <c r="S231" s="1019"/>
      <c r="T231" s="1019"/>
      <c r="U231" s="1019"/>
      <c r="V231" s="1020"/>
    </row>
    <row r="232" spans="1:22" ht="18" hidden="1" customHeight="1">
      <c r="A232" s="1018"/>
      <c r="B232" s="1019"/>
      <c r="C232" s="1019"/>
      <c r="D232" s="1019"/>
      <c r="E232" s="1019"/>
      <c r="F232" s="1019"/>
      <c r="G232" s="1019"/>
      <c r="H232" s="1019"/>
      <c r="I232" s="1019"/>
      <c r="J232" s="1019"/>
      <c r="K232" s="1019"/>
      <c r="L232" s="1019"/>
      <c r="M232" s="1019"/>
      <c r="N232" s="1019"/>
      <c r="O232" s="1019"/>
      <c r="P232" s="1019"/>
      <c r="Q232" s="1019"/>
      <c r="R232" s="1019"/>
      <c r="S232" s="1019"/>
      <c r="T232" s="1019"/>
      <c r="U232" s="1019"/>
      <c r="V232" s="1020"/>
    </row>
    <row r="233" spans="1:22" ht="18" hidden="1" customHeight="1">
      <c r="A233" s="460" t="s">
        <v>427</v>
      </c>
      <c r="V233" s="10"/>
    </row>
    <row r="234" spans="1:22" ht="18" hidden="1" customHeight="1">
      <c r="A234" s="1005" t="s">
        <v>428</v>
      </c>
      <c r="B234" s="947"/>
      <c r="C234" s="947"/>
      <c r="D234" s="1015" t="s">
        <v>429</v>
      </c>
      <c r="E234" s="903"/>
      <c r="F234" s="664" t="s">
        <v>326</v>
      </c>
      <c r="G234" s="696" t="s">
        <v>447</v>
      </c>
      <c r="H234" s="939"/>
      <c r="I234" s="664" t="s">
        <v>326</v>
      </c>
      <c r="J234" s="1017" t="s">
        <v>146</v>
      </c>
      <c r="K234" s="664" t="s">
        <v>326</v>
      </c>
      <c r="L234" s="1015" t="s">
        <v>430</v>
      </c>
      <c r="M234" s="936" t="s">
        <v>451</v>
      </c>
      <c r="N234" s="942" t="s">
        <v>358</v>
      </c>
      <c r="O234" s="936" t="s">
        <v>458</v>
      </c>
      <c r="P234" s="664" t="s">
        <v>358</v>
      </c>
      <c r="Q234" s="943" t="s">
        <v>459</v>
      </c>
      <c r="R234" s="1016"/>
      <c r="S234" s="1016"/>
      <c r="T234" s="944" t="s">
        <v>361</v>
      </c>
      <c r="U234" s="242" t="s">
        <v>433</v>
      </c>
      <c r="V234" s="112"/>
    </row>
    <row r="235" spans="1:22" ht="18" hidden="1" customHeight="1">
      <c r="A235" s="1006"/>
      <c r="B235" s="947"/>
      <c r="C235" s="947"/>
      <c r="D235" s="903"/>
      <c r="E235" s="903"/>
      <c r="F235" s="664"/>
      <c r="G235" s="664" t="s">
        <v>441</v>
      </c>
      <c r="H235" s="903"/>
      <c r="I235" s="664"/>
      <c r="J235" s="664"/>
      <c r="K235" s="664"/>
      <c r="L235" s="1015"/>
      <c r="M235" s="936"/>
      <c r="N235" s="942"/>
      <c r="O235" s="936"/>
      <c r="P235" s="664"/>
      <c r="Q235" s="28" t="s">
        <v>449</v>
      </c>
      <c r="R235" s="28" t="s">
        <v>326</v>
      </c>
      <c r="S235" s="28" t="s">
        <v>449</v>
      </c>
      <c r="T235" s="944"/>
      <c r="U235" s="7"/>
      <c r="V235" s="112"/>
    </row>
    <row r="236" spans="1:22" ht="18" hidden="1" customHeight="1">
      <c r="A236" s="460" t="s">
        <v>460</v>
      </c>
      <c r="L236" s="442"/>
      <c r="V236" s="10"/>
    </row>
    <row r="237" spans="1:22" ht="18" hidden="1" customHeight="1">
      <c r="A237" s="1005" t="s">
        <v>428</v>
      </c>
      <c r="B237" s="947"/>
      <c r="C237" s="947"/>
      <c r="D237" s="1015" t="s">
        <v>461</v>
      </c>
      <c r="E237" s="903"/>
      <c r="F237" s="664" t="s">
        <v>326</v>
      </c>
      <c r="G237" s="696" t="s">
        <v>447</v>
      </c>
      <c r="H237" s="939"/>
      <c r="I237" s="664" t="s">
        <v>326</v>
      </c>
      <c r="J237" s="1017" t="s">
        <v>462</v>
      </c>
      <c r="K237" s="664" t="s">
        <v>326</v>
      </c>
      <c r="L237" s="1015" t="s">
        <v>430</v>
      </c>
      <c r="M237" s="936" t="s">
        <v>451</v>
      </c>
      <c r="N237" s="942" t="s">
        <v>358</v>
      </c>
      <c r="O237" s="936" t="s">
        <v>458</v>
      </c>
      <c r="P237" s="664" t="s">
        <v>358</v>
      </c>
      <c r="Q237" s="943" t="s">
        <v>459</v>
      </c>
      <c r="R237" s="1016"/>
      <c r="S237" s="1016"/>
      <c r="T237" s="944" t="s">
        <v>361</v>
      </c>
      <c r="U237" s="242" t="s">
        <v>437</v>
      </c>
      <c r="V237" s="112"/>
    </row>
    <row r="238" spans="1:22" ht="18" hidden="1" customHeight="1">
      <c r="A238" s="1006"/>
      <c r="B238" s="947"/>
      <c r="C238" s="947"/>
      <c r="D238" s="903"/>
      <c r="E238" s="903"/>
      <c r="F238" s="664"/>
      <c r="G238" s="664" t="s">
        <v>441</v>
      </c>
      <c r="H238" s="903"/>
      <c r="I238" s="664"/>
      <c r="J238" s="664"/>
      <c r="K238" s="664"/>
      <c r="L238" s="1015"/>
      <c r="M238" s="936"/>
      <c r="N238" s="942"/>
      <c r="O238" s="936"/>
      <c r="P238" s="664"/>
      <c r="Q238" s="28" t="s">
        <v>449</v>
      </c>
      <c r="R238" s="28" t="s">
        <v>326</v>
      </c>
      <c r="S238" s="28" t="s">
        <v>449</v>
      </c>
      <c r="T238" s="944"/>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65" t="str">
        <f>R201</f>
        <v>-</v>
      </c>
      <c r="S241" s="665"/>
      <c r="T241" s="14" t="s">
        <v>9</v>
      </c>
      <c r="V241" s="10"/>
    </row>
    <row r="242" spans="1:22" ht="18" hidden="1" customHeight="1">
      <c r="A242" s="9"/>
      <c r="B242" s="14" t="s">
        <v>442</v>
      </c>
      <c r="P242" s="120" t="s">
        <v>429</v>
      </c>
      <c r="Q242" s="246" t="s">
        <v>138</v>
      </c>
      <c r="R242" s="665">
        <f>R202</f>
        <v>50000</v>
      </c>
      <c r="S242" s="665"/>
      <c r="T242" s="14" t="s">
        <v>9</v>
      </c>
      <c r="V242" s="10"/>
    </row>
    <row r="243" spans="1:22" ht="18" hidden="1" customHeight="1">
      <c r="A243" s="9"/>
      <c r="B243" s="14" t="s">
        <v>463</v>
      </c>
      <c r="P243" s="120" t="s">
        <v>461</v>
      </c>
      <c r="Q243" s="246" t="s">
        <v>138</v>
      </c>
      <c r="R243" s="816">
        <f>R77</f>
        <v>31616.578766904022</v>
      </c>
      <c r="S243" s="665"/>
      <c r="T243" s="14" t="s">
        <v>9</v>
      </c>
      <c r="U243" s="30" t="s">
        <v>444</v>
      </c>
      <c r="V243" s="10"/>
    </row>
    <row r="244" spans="1:22" ht="18" hidden="1" customHeight="1">
      <c r="A244" s="9"/>
      <c r="B244" s="14"/>
      <c r="P244" s="120"/>
      <c r="Q244" s="246" t="s">
        <v>138</v>
      </c>
      <c r="R244" s="816">
        <f>R78</f>
        <v>33779.140438861883</v>
      </c>
      <c r="S244" s="665"/>
      <c r="T244" s="14" t="s">
        <v>9</v>
      </c>
      <c r="U244" s="30" t="s">
        <v>445</v>
      </c>
      <c r="V244" s="10"/>
    </row>
    <row r="245" spans="1:22" ht="18" hidden="1" customHeight="1">
      <c r="A245" s="9"/>
      <c r="B245" s="14" t="s">
        <v>464</v>
      </c>
      <c r="P245" s="120" t="s">
        <v>447</v>
      </c>
      <c r="Q245" s="246" t="s">
        <v>138</v>
      </c>
      <c r="R245" s="665">
        <f>R205</f>
        <v>1</v>
      </c>
      <c r="S245" s="665"/>
      <c r="T245" s="14" t="s">
        <v>9</v>
      </c>
      <c r="V245" s="10"/>
    </row>
    <row r="246" spans="1:22" ht="18" hidden="1" customHeight="1">
      <c r="A246" s="9"/>
      <c r="B246" s="14" t="s">
        <v>448</v>
      </c>
      <c r="P246" s="120" t="s">
        <v>449</v>
      </c>
      <c r="Q246" s="246" t="s">
        <v>138</v>
      </c>
      <c r="R246" s="665">
        <f>R206</f>
        <v>1</v>
      </c>
      <c r="S246" s="665"/>
      <c r="T246" s="14" t="s">
        <v>9</v>
      </c>
      <c r="V246" s="10"/>
    </row>
    <row r="247" spans="1:22" ht="18" hidden="1" customHeight="1">
      <c r="A247" s="9"/>
      <c r="B247" s="14" t="s">
        <v>450</v>
      </c>
      <c r="P247" s="120" t="s">
        <v>451</v>
      </c>
      <c r="Q247" s="246" t="s">
        <v>138</v>
      </c>
      <c r="R247" s="665">
        <f>R207</f>
        <v>3</v>
      </c>
      <c r="S247" s="665"/>
      <c r="T247" s="204" t="s">
        <v>344</v>
      </c>
      <c r="V247" s="10"/>
    </row>
    <row r="248" spans="1:22" ht="18" hidden="1" customHeight="1">
      <c r="A248" s="9"/>
      <c r="B248" s="14" t="s">
        <v>465</v>
      </c>
      <c r="P248" s="249" t="s">
        <v>452</v>
      </c>
      <c r="Q248" s="246" t="s">
        <v>138</v>
      </c>
      <c r="R248" s="668">
        <f>R208</f>
        <v>0.46875935000000007</v>
      </c>
      <c r="S248" s="665"/>
      <c r="T248" s="204" t="s">
        <v>344</v>
      </c>
      <c r="V248" s="10"/>
    </row>
    <row r="249" spans="1:22" ht="18" hidden="1" customHeight="1">
      <c r="A249" s="9"/>
      <c r="B249" s="40" t="s">
        <v>453</v>
      </c>
      <c r="P249" s="249" t="s">
        <v>454</v>
      </c>
      <c r="Q249" s="246" t="s">
        <v>138</v>
      </c>
      <c r="R249" s="668">
        <f>R209</f>
        <v>0.02</v>
      </c>
      <c r="S249" s="665"/>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69">
        <f>L95</f>
        <v>47.727272727272727</v>
      </c>
      <c r="M261" s="664"/>
      <c r="N261" s="28" t="s">
        <v>475</v>
      </c>
      <c r="O261" s="28" t="s">
        <v>146</v>
      </c>
      <c r="P261" s="28" t="s">
        <v>138</v>
      </c>
      <c r="Q261" s="28">
        <f>IF(L261&lt;=400,Q254,Q255)</f>
        <v>1</v>
      </c>
      <c r="R261" s="7"/>
      <c r="S261" s="7"/>
      <c r="T261" s="7"/>
      <c r="V261" s="10"/>
    </row>
    <row r="262" spans="1:22" ht="18" hidden="1" customHeight="1">
      <c r="A262" s="1005" t="s">
        <v>428</v>
      </c>
      <c r="B262" s="947"/>
      <c r="C262" s="947"/>
      <c r="D262" s="1002">
        <f>R242</f>
        <v>50000</v>
      </c>
      <c r="E262" s="1013"/>
      <c r="F262" s="788" t="s">
        <v>326</v>
      </c>
      <c r="G262" s="1009">
        <f>R245</f>
        <v>1</v>
      </c>
      <c r="H262" s="1014"/>
      <c r="I262" s="788" t="s">
        <v>326</v>
      </c>
      <c r="J262" s="790">
        <f>Q261</f>
        <v>1</v>
      </c>
      <c r="K262" s="788" t="s">
        <v>326</v>
      </c>
      <c r="L262" s="1002" t="s">
        <v>430</v>
      </c>
      <c r="M262" s="975">
        <f>R247</f>
        <v>3</v>
      </c>
      <c r="N262" s="1003" t="s">
        <v>358</v>
      </c>
      <c r="O262" s="1004">
        <f>R248</f>
        <v>0.46875935000000007</v>
      </c>
      <c r="P262" s="788" t="s">
        <v>358</v>
      </c>
      <c r="Q262" s="1012">
        <f>R249</f>
        <v>0.02</v>
      </c>
      <c r="R262" s="1012"/>
      <c r="S262" s="1012"/>
      <c r="T262" s="944" t="s">
        <v>361</v>
      </c>
      <c r="U262" s="242" t="s">
        <v>433</v>
      </c>
      <c r="V262" s="112"/>
    </row>
    <row r="263" spans="1:22" ht="18" hidden="1" customHeight="1">
      <c r="A263" s="1006"/>
      <c r="B263" s="947"/>
      <c r="C263" s="947"/>
      <c r="D263" s="1013"/>
      <c r="E263" s="1013"/>
      <c r="F263" s="788"/>
      <c r="G263" s="788" t="str">
        <f>R241</f>
        <v>-</v>
      </c>
      <c r="H263" s="1013"/>
      <c r="I263" s="788"/>
      <c r="J263" s="788"/>
      <c r="K263" s="788"/>
      <c r="L263" s="1002"/>
      <c r="M263" s="975"/>
      <c r="N263" s="1003"/>
      <c r="O263" s="975"/>
      <c r="P263" s="788"/>
      <c r="Q263" s="233">
        <f>R246</f>
        <v>1</v>
      </c>
      <c r="R263" s="233" t="s">
        <v>326</v>
      </c>
      <c r="S263" s="233">
        <f>R246</f>
        <v>1</v>
      </c>
      <c r="T263" s="944"/>
      <c r="U263" s="7"/>
      <c r="V263" s="112"/>
    </row>
    <row r="264" spans="1:22" ht="18" hidden="1" customHeight="1">
      <c r="A264" s="9"/>
      <c r="V264" s="10"/>
    </row>
    <row r="265" spans="1:22" ht="18" hidden="1" customHeight="1">
      <c r="A265" s="9"/>
      <c r="C265" s="27" t="s">
        <v>138</v>
      </c>
      <c r="D265" s="860" t="e">
        <f>D262*(G262/G263)*J262*(M262+O262+(Q262/(Q263*S263)))</f>
        <v>#VALUE!</v>
      </c>
      <c r="E265" s="700"/>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68">
        <f>L102</f>
        <v>7.3490763833311119</v>
      </c>
      <c r="M268" s="665"/>
      <c r="N268" s="27" t="s">
        <v>475</v>
      </c>
      <c r="O268" s="28" t="s">
        <v>462</v>
      </c>
      <c r="P268" s="27" t="s">
        <v>138</v>
      </c>
      <c r="Q268" s="27">
        <f>IF(L268&lt;=200,Q258,Q259)</f>
        <v>3</v>
      </c>
      <c r="V268" s="10"/>
    </row>
    <row r="269" spans="1:22" ht="18" hidden="1" customHeight="1">
      <c r="A269" s="1005" t="s">
        <v>428</v>
      </c>
      <c r="B269" s="947"/>
      <c r="C269" s="947"/>
      <c r="D269" s="1007">
        <f>R243</f>
        <v>31616.578766904022</v>
      </c>
      <c r="E269" s="1008"/>
      <c r="F269" s="788" t="s">
        <v>326</v>
      </c>
      <c r="G269" s="1009">
        <f>R245</f>
        <v>1</v>
      </c>
      <c r="H269" s="1010"/>
      <c r="I269" s="788" t="s">
        <v>326</v>
      </c>
      <c r="J269" s="1011">
        <f>Q268</f>
        <v>3</v>
      </c>
      <c r="K269" s="788" t="s">
        <v>326</v>
      </c>
      <c r="L269" s="1002" t="s">
        <v>430</v>
      </c>
      <c r="M269" s="975">
        <f>R247</f>
        <v>3</v>
      </c>
      <c r="N269" s="1003" t="s">
        <v>358</v>
      </c>
      <c r="O269" s="1004">
        <f>R248</f>
        <v>0.46875935000000007</v>
      </c>
      <c r="P269" s="788" t="s">
        <v>358</v>
      </c>
      <c r="Q269" s="1012">
        <f>R249</f>
        <v>0.02</v>
      </c>
      <c r="R269" s="1012"/>
      <c r="S269" s="1012"/>
      <c r="T269" s="944" t="s">
        <v>361</v>
      </c>
      <c r="U269" s="242" t="s">
        <v>437</v>
      </c>
      <c r="V269" s="112"/>
    </row>
    <row r="270" spans="1:22" ht="18" hidden="1" customHeight="1">
      <c r="A270" s="1006"/>
      <c r="B270" s="947"/>
      <c r="C270" s="947"/>
      <c r="D270" s="1008"/>
      <c r="E270" s="1008"/>
      <c r="F270" s="788"/>
      <c r="G270" s="788" t="str">
        <f>R241</f>
        <v>-</v>
      </c>
      <c r="H270" s="1008"/>
      <c r="I270" s="788"/>
      <c r="J270" s="788"/>
      <c r="K270" s="788"/>
      <c r="L270" s="1002"/>
      <c r="M270" s="975"/>
      <c r="N270" s="1003"/>
      <c r="O270" s="975"/>
      <c r="P270" s="788"/>
      <c r="Q270" s="233">
        <f>R246</f>
        <v>1</v>
      </c>
      <c r="R270" s="233" t="s">
        <v>326</v>
      </c>
      <c r="S270" s="233">
        <f>R246</f>
        <v>1</v>
      </c>
      <c r="T270" s="944"/>
      <c r="U270" s="7"/>
      <c r="V270" s="112"/>
    </row>
    <row r="271" spans="1:22" ht="18" hidden="1" customHeight="1">
      <c r="A271" s="9"/>
      <c r="V271" s="10"/>
    </row>
    <row r="272" spans="1:22" ht="18" hidden="1" customHeight="1">
      <c r="A272" s="9"/>
      <c r="C272" s="27" t="s">
        <v>138</v>
      </c>
      <c r="D272" s="860" t="e">
        <f>D269*(G269/G270)*J269*(M269+O269+(Q269/(Q270*S270)))</f>
        <v>#VALUE!</v>
      </c>
      <c r="E272" s="700"/>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68">
        <f>L109</f>
        <v>7.6723844075738938</v>
      </c>
      <c r="M275" s="665"/>
      <c r="N275" s="27" t="s">
        <v>475</v>
      </c>
      <c r="O275" s="28" t="s">
        <v>462</v>
      </c>
      <c r="P275" s="27" t="s">
        <v>138</v>
      </c>
      <c r="Q275" s="27">
        <f>IF(L275&lt;=200,Q258,Q259)</f>
        <v>3</v>
      </c>
      <c r="V275" s="10"/>
    </row>
    <row r="276" spans="1:22" ht="18" hidden="1" customHeight="1">
      <c r="A276" s="1005" t="s">
        <v>428</v>
      </c>
      <c r="B276" s="947"/>
      <c r="C276" s="947"/>
      <c r="D276" s="1007">
        <f>R244</f>
        <v>33779.140438861883</v>
      </c>
      <c r="E276" s="1008"/>
      <c r="F276" s="788" t="s">
        <v>326</v>
      </c>
      <c r="G276" s="1009">
        <f>R245</f>
        <v>1</v>
      </c>
      <c r="H276" s="1010"/>
      <c r="I276" s="788" t="s">
        <v>326</v>
      </c>
      <c r="J276" s="1011">
        <f>Q275</f>
        <v>3</v>
      </c>
      <c r="K276" s="788" t="s">
        <v>326</v>
      </c>
      <c r="L276" s="1002" t="s">
        <v>430</v>
      </c>
      <c r="M276" s="975">
        <f>R247</f>
        <v>3</v>
      </c>
      <c r="N276" s="1003" t="s">
        <v>358</v>
      </c>
      <c r="O276" s="1004">
        <f>R248</f>
        <v>0.46875935000000007</v>
      </c>
      <c r="P276" s="788" t="s">
        <v>358</v>
      </c>
      <c r="Q276" s="1012">
        <f>R249</f>
        <v>0.02</v>
      </c>
      <c r="R276" s="1012"/>
      <c r="S276" s="1012"/>
      <c r="T276" s="944" t="s">
        <v>361</v>
      </c>
      <c r="U276" s="242" t="s">
        <v>437</v>
      </c>
      <c r="V276" s="112"/>
    </row>
    <row r="277" spans="1:22" ht="18" hidden="1" customHeight="1">
      <c r="A277" s="1006"/>
      <c r="B277" s="947"/>
      <c r="C277" s="947"/>
      <c r="D277" s="1008"/>
      <c r="E277" s="1008"/>
      <c r="F277" s="788"/>
      <c r="G277" s="788" t="str">
        <f>R241</f>
        <v>-</v>
      </c>
      <c r="H277" s="1008"/>
      <c r="I277" s="788"/>
      <c r="J277" s="788"/>
      <c r="K277" s="788"/>
      <c r="L277" s="1002"/>
      <c r="M277" s="975"/>
      <c r="N277" s="1003"/>
      <c r="O277" s="975"/>
      <c r="P277" s="788"/>
      <c r="Q277" s="233">
        <f>R246</f>
        <v>1</v>
      </c>
      <c r="R277" s="233" t="s">
        <v>326</v>
      </c>
      <c r="S277" s="233">
        <f>R246</f>
        <v>1</v>
      </c>
      <c r="T277" s="944"/>
      <c r="U277" s="7"/>
      <c r="V277" s="112"/>
    </row>
    <row r="278" spans="1:22" ht="18" hidden="1" customHeight="1">
      <c r="A278" s="9"/>
      <c r="V278" s="10"/>
    </row>
    <row r="279" spans="1:22" ht="18" hidden="1" customHeight="1">
      <c r="A279" s="9"/>
      <c r="C279" s="27" t="s">
        <v>138</v>
      </c>
      <c r="D279" s="860" t="e">
        <f>D276*(G276/G277)*J276*(M276+O276+(Q276/(Q277*S277)))</f>
        <v>#VALUE!</v>
      </c>
      <c r="E279" s="700"/>
      <c r="F279" s="27" t="s">
        <v>316</v>
      </c>
      <c r="V279" s="10"/>
    </row>
    <row r="280" spans="1:22" ht="18" hidden="1" customHeight="1">
      <c r="A280" s="9"/>
      <c r="V280" s="10"/>
    </row>
    <row r="281" spans="1:22" ht="18" hidden="1" customHeight="1">
      <c r="A281" s="196" t="s">
        <v>480</v>
      </c>
      <c r="M281" s="1028" t="str">
        <f>J176</f>
        <v>-</v>
      </c>
      <c r="N281" s="1029"/>
      <c r="O281" s="30" t="s">
        <v>481</v>
      </c>
      <c r="Q281" s="875" t="e">
        <f>MAX(D216,D222,D228,D265,D272,D279)</f>
        <v>#VALUE!</v>
      </c>
      <c r="R281" s="700"/>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23" t="s">
        <v>485</v>
      </c>
      <c r="R284" s="923"/>
      <c r="S284" s="28" t="s">
        <v>326</v>
      </c>
      <c r="T284" s="28">
        <v>0.8</v>
      </c>
      <c r="V284" s="10"/>
    </row>
    <row r="285" spans="1:22" ht="18" hidden="1" customHeight="1">
      <c r="A285" s="9"/>
      <c r="N285" s="264"/>
      <c r="O285" s="28"/>
      <c r="P285" s="102" t="s">
        <v>138</v>
      </c>
      <c r="Q285" s="996" t="e">
        <f>+Q281</f>
        <v>#VALUE!</v>
      </c>
      <c r="R285" s="696"/>
      <c r="S285" s="234" t="s">
        <v>326</v>
      </c>
      <c r="T285" s="265">
        <f>+T284</f>
        <v>0.8</v>
      </c>
      <c r="V285" s="10"/>
    </row>
    <row r="286" spans="1:22" ht="18" hidden="1" customHeight="1">
      <c r="A286" s="9"/>
      <c r="O286" s="28"/>
      <c r="P286" s="28" t="s">
        <v>138</v>
      </c>
      <c r="Q286" s="997" t="e">
        <f>Q285*T285</f>
        <v>#VALUE!</v>
      </c>
      <c r="R286" s="61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65">
        <f>J179</f>
        <v>200</v>
      </c>
      <c r="F288" s="665"/>
      <c r="G288" s="27" t="e">
        <f>G287</f>
        <v>#VALUE!</v>
      </c>
      <c r="H288" s="668" t="e">
        <f>Q286</f>
        <v>#VALUE!</v>
      </c>
      <c r="I288" s="665"/>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08" t="str">
        <f>B173</f>
        <v>T1</v>
      </c>
      <c r="C293" s="709"/>
      <c r="D293" s="710" t="str">
        <f>D173</f>
        <v>Core1</v>
      </c>
      <c r="E293" s="711"/>
      <c r="F293" s="664">
        <f>F173</f>
        <v>0</v>
      </c>
      <c r="G293" s="664"/>
      <c r="H293" s="664" t="str">
        <f>H173</f>
        <v>(Diff. + Dist.)</v>
      </c>
      <c r="I293" s="664"/>
      <c r="J293" s="664"/>
      <c r="K293" s="664"/>
      <c r="L293" s="664"/>
      <c r="M293" s="664"/>
      <c r="P293" s="198"/>
      <c r="S293" s="199" t="s">
        <v>398</v>
      </c>
      <c r="T293" s="708" t="str">
        <f>T173</f>
        <v>RED670</v>
      </c>
      <c r="U293" s="709"/>
      <c r="V293" s="10"/>
    </row>
    <row r="294" spans="1:29" ht="18" hidden="1" customHeight="1">
      <c r="A294" s="9"/>
      <c r="B294" s="707">
        <f>B174</f>
        <v>0</v>
      </c>
      <c r="C294" s="707"/>
      <c r="D294" s="712"/>
      <c r="E294" s="713"/>
      <c r="F294" s="461"/>
      <c r="T294" s="708">
        <f>T174</f>
        <v>0</v>
      </c>
      <c r="U294" s="709"/>
      <c r="V294" s="10"/>
    </row>
    <row r="295" spans="1:29" ht="18" hidden="1" customHeight="1">
      <c r="A295" s="9"/>
      <c r="H295" s="696" t="s">
        <v>401</v>
      </c>
      <c r="I295" s="696"/>
      <c r="J295" s="667" t="s">
        <v>402</v>
      </c>
      <c r="K295" s="667"/>
      <c r="L295" s="666" t="s">
        <v>403</v>
      </c>
      <c r="M295" s="666"/>
      <c r="T295" s="708">
        <f>T175</f>
        <v>0</v>
      </c>
      <c r="U295" s="709"/>
      <c r="V295" s="10"/>
    </row>
    <row r="296" spans="1:29" ht="18" hidden="1" customHeight="1">
      <c r="A296" s="9"/>
      <c r="B296" s="47" t="s">
        <v>404</v>
      </c>
      <c r="H296" s="708">
        <f>H176</f>
        <v>2500</v>
      </c>
      <c r="I296" s="709"/>
      <c r="J296" s="708" t="str">
        <f>J176</f>
        <v>-</v>
      </c>
      <c r="K296" s="709"/>
      <c r="L296" s="714" t="str">
        <f>L176</f>
        <v>-</v>
      </c>
      <c r="M296" s="715"/>
      <c r="N296" s="123" t="s">
        <v>353</v>
      </c>
      <c r="O296" s="268">
        <f>O176</f>
        <v>1</v>
      </c>
      <c r="P296" s="438" t="s">
        <v>9</v>
      </c>
      <c r="V296" s="10"/>
    </row>
    <row r="297" spans="1:29" ht="18" hidden="1" customHeight="1">
      <c r="A297" s="9"/>
      <c r="B297" s="47" t="s">
        <v>405</v>
      </c>
      <c r="L297" s="708" t="str">
        <f>J177</f>
        <v>PX-A</v>
      </c>
      <c r="M297" s="709"/>
      <c r="V297" s="10"/>
    </row>
    <row r="298" spans="1:29" ht="18" hidden="1" customHeight="1">
      <c r="A298" s="9"/>
      <c r="B298" s="47" t="s">
        <v>407</v>
      </c>
      <c r="K298" s="120" t="s">
        <v>508</v>
      </c>
      <c r="L298" s="653" t="s">
        <v>7</v>
      </c>
      <c r="M298" s="654"/>
      <c r="N298" s="204" t="s">
        <v>344</v>
      </c>
      <c r="V298" s="10"/>
    </row>
    <row r="299" spans="1:29" ht="18" hidden="1" customHeight="1">
      <c r="A299" s="9"/>
      <c r="B299" s="47" t="s">
        <v>409</v>
      </c>
      <c r="K299" s="120" t="s">
        <v>509</v>
      </c>
      <c r="L299" s="653" t="s">
        <v>7</v>
      </c>
      <c r="M299" s="654"/>
      <c r="N299" s="14" t="s">
        <v>316</v>
      </c>
      <c r="V299" s="10"/>
      <c r="W299" s="30" t="s">
        <v>411</v>
      </c>
      <c r="AB299" s="1022" t="e">
        <f>Q415</f>
        <v>#VALUE!</v>
      </c>
      <c r="AC299" s="1023"/>
    </row>
    <row r="300" spans="1:29" ht="18" hidden="1" customHeight="1">
      <c r="A300" s="9"/>
      <c r="B300" s="14" t="s">
        <v>412</v>
      </c>
      <c r="K300" s="120" t="s">
        <v>413</v>
      </c>
      <c r="L300" s="653" t="s">
        <v>7</v>
      </c>
      <c r="M300" s="654"/>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6">
        <f>J184</f>
        <v>0.02</v>
      </c>
      <c r="K304" s="1024"/>
      <c r="L304" s="214" t="s">
        <v>168</v>
      </c>
      <c r="N304" s="209" t="s">
        <v>418</v>
      </c>
      <c r="V304" s="10"/>
    </row>
    <row r="305" spans="1:22" ht="18" hidden="1" customHeight="1">
      <c r="A305" s="9"/>
      <c r="B305" s="196" t="s">
        <v>416</v>
      </c>
      <c r="D305" s="437">
        <f>T294</f>
        <v>0</v>
      </c>
      <c r="I305" s="28" t="s">
        <v>138</v>
      </c>
      <c r="J305" s="896">
        <f>J185</f>
        <v>0</v>
      </c>
      <c r="K305" s="1021"/>
      <c r="L305" s="309" t="s">
        <v>168</v>
      </c>
      <c r="V305" s="10"/>
    </row>
    <row r="306" spans="1:22" ht="18" hidden="1" customHeight="1">
      <c r="A306" s="9"/>
      <c r="B306" s="196" t="s">
        <v>416</v>
      </c>
      <c r="D306" s="437">
        <f>T295</f>
        <v>0</v>
      </c>
      <c r="E306" s="14"/>
      <c r="G306" s="211"/>
      <c r="H306" s="438"/>
      <c r="I306" s="101" t="s">
        <v>138</v>
      </c>
      <c r="J306" s="699">
        <f>J186</f>
        <v>0</v>
      </c>
      <c r="K306" s="1025"/>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26">
        <f>J187</f>
        <v>0.44875935000000006</v>
      </c>
      <c r="K307" s="1027"/>
      <c r="L307" s="439" t="s">
        <v>168</v>
      </c>
      <c r="O307" s="27" t="s">
        <v>138</v>
      </c>
      <c r="P307" s="223">
        <f>J308</f>
        <v>0.44875935000000006</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6">
        <f>SUM(J305:K307)</f>
        <v>0.44875935000000006</v>
      </c>
      <c r="K308" s="1021"/>
      <c r="L308" s="441" t="s">
        <v>168</v>
      </c>
      <c r="O308" s="27" t="s">
        <v>138</v>
      </c>
      <c r="P308" s="668">
        <f>P307/(R307*T307)</f>
        <v>0.44875935000000006</v>
      </c>
      <c r="Q308" s="668"/>
      <c r="R308" s="204" t="s">
        <v>344</v>
      </c>
      <c r="V308" s="10"/>
    </row>
    <row r="309" spans="1:22" ht="18" hidden="1" customHeight="1">
      <c r="A309" s="9"/>
      <c r="V309" s="10"/>
    </row>
    <row r="310" spans="1:22" ht="18" hidden="1" customHeight="1">
      <c r="A310" s="116" t="s">
        <v>425</v>
      </c>
      <c r="V310" s="10"/>
    </row>
    <row r="311" spans="1:22" ht="18" hidden="1" customHeight="1">
      <c r="A311" s="1018" t="s">
        <v>510</v>
      </c>
      <c r="B311" s="1019"/>
      <c r="C311" s="1019"/>
      <c r="D311" s="1019"/>
      <c r="E311" s="1019"/>
      <c r="F311" s="1019"/>
      <c r="G311" s="1019"/>
      <c r="H311" s="1019"/>
      <c r="I311" s="1019"/>
      <c r="J311" s="1019"/>
      <c r="K311" s="1019"/>
      <c r="L311" s="1019"/>
      <c r="M311" s="1019"/>
      <c r="N311" s="1019"/>
      <c r="O311" s="1019"/>
      <c r="P311" s="1019"/>
      <c r="Q311" s="1019"/>
      <c r="R311" s="1019"/>
      <c r="S311" s="1019"/>
      <c r="T311" s="1019"/>
      <c r="U311" s="1019"/>
      <c r="V311" s="1020"/>
    </row>
    <row r="312" spans="1:22" ht="18" hidden="1" customHeight="1">
      <c r="A312" s="1018"/>
      <c r="B312" s="1019"/>
      <c r="C312" s="1019"/>
      <c r="D312" s="1019"/>
      <c r="E312" s="1019"/>
      <c r="F312" s="1019"/>
      <c r="G312" s="1019"/>
      <c r="H312" s="1019"/>
      <c r="I312" s="1019"/>
      <c r="J312" s="1019"/>
      <c r="K312" s="1019"/>
      <c r="L312" s="1019"/>
      <c r="M312" s="1019"/>
      <c r="N312" s="1019"/>
      <c r="O312" s="1019"/>
      <c r="P312" s="1019"/>
      <c r="Q312" s="1019"/>
      <c r="R312" s="1019"/>
      <c r="S312" s="1019"/>
      <c r="T312" s="1019"/>
      <c r="U312" s="1019"/>
      <c r="V312" s="1020"/>
    </row>
    <row r="313" spans="1:22" ht="18" hidden="1" customHeight="1">
      <c r="A313" s="205" t="s">
        <v>427</v>
      </c>
      <c r="V313" s="10"/>
    </row>
    <row r="314" spans="1:22" ht="18" hidden="1" customHeight="1">
      <c r="A314" s="1005" t="s">
        <v>428</v>
      </c>
      <c r="B314" s="947"/>
      <c r="C314" s="947"/>
      <c r="D314" s="14"/>
      <c r="E314" s="7"/>
      <c r="F314" s="1015" t="s">
        <v>429</v>
      </c>
      <c r="G314" s="903"/>
      <c r="H314" s="664" t="s">
        <v>326</v>
      </c>
      <c r="I314" s="696" t="s">
        <v>422</v>
      </c>
      <c r="J314" s="939"/>
      <c r="K314" s="664" t="s">
        <v>326</v>
      </c>
      <c r="L314" s="1015" t="s">
        <v>430</v>
      </c>
      <c r="M314" s="664" t="s">
        <v>431</v>
      </c>
      <c r="N314" s="942" t="s">
        <v>358</v>
      </c>
      <c r="O314" s="664" t="s">
        <v>419</v>
      </c>
      <c r="P314" s="664" t="s">
        <v>358</v>
      </c>
      <c r="Q314" s="943" t="s">
        <v>432</v>
      </c>
      <c r="R314" s="1016"/>
      <c r="S314" s="1016"/>
      <c r="T314" s="944" t="s">
        <v>361</v>
      </c>
      <c r="U314" s="242" t="s">
        <v>433</v>
      </c>
      <c r="V314" s="112"/>
    </row>
    <row r="315" spans="1:22" ht="18" hidden="1" customHeight="1">
      <c r="A315" s="1006"/>
      <c r="B315" s="947"/>
      <c r="C315" s="947"/>
      <c r="D315" s="14"/>
      <c r="E315" s="7"/>
      <c r="F315" s="903"/>
      <c r="G315" s="903"/>
      <c r="H315" s="664"/>
      <c r="I315" s="664" t="s">
        <v>434</v>
      </c>
      <c r="J315" s="903"/>
      <c r="K315" s="664"/>
      <c r="L315" s="1015"/>
      <c r="M315" s="664"/>
      <c r="N315" s="942"/>
      <c r="O315" s="664"/>
      <c r="P315" s="664"/>
      <c r="Q315" s="28" t="s">
        <v>157</v>
      </c>
      <c r="R315" s="28" t="s">
        <v>326</v>
      </c>
      <c r="S315" s="28" t="s">
        <v>157</v>
      </c>
      <c r="T315" s="944"/>
      <c r="U315" s="7"/>
      <c r="V315" s="112"/>
    </row>
    <row r="316" spans="1:22" ht="18" hidden="1" customHeight="1">
      <c r="A316" s="205" t="s">
        <v>435</v>
      </c>
      <c r="L316" s="442"/>
      <c r="M316" s="438"/>
      <c r="N316" s="438"/>
      <c r="O316" s="438"/>
      <c r="V316" s="10"/>
    </row>
    <row r="317" spans="1:22" ht="18" hidden="1" customHeight="1">
      <c r="A317" s="1005" t="s">
        <v>428</v>
      </c>
      <c r="B317" s="947"/>
      <c r="C317" s="947"/>
      <c r="D317" s="664">
        <v>2</v>
      </c>
      <c r="E317" s="664" t="s">
        <v>326</v>
      </c>
      <c r="F317" s="1015" t="s">
        <v>436</v>
      </c>
      <c r="G317" s="903"/>
      <c r="H317" s="664" t="s">
        <v>326</v>
      </c>
      <c r="I317" s="696" t="s">
        <v>422</v>
      </c>
      <c r="J317" s="939"/>
      <c r="K317" s="664" t="s">
        <v>326</v>
      </c>
      <c r="L317" s="1015" t="s">
        <v>430</v>
      </c>
      <c r="M317" s="664" t="s">
        <v>431</v>
      </c>
      <c r="N317" s="942" t="s">
        <v>358</v>
      </c>
      <c r="O317" s="664" t="s">
        <v>419</v>
      </c>
      <c r="P317" s="664" t="s">
        <v>358</v>
      </c>
      <c r="Q317" s="943" t="s">
        <v>432</v>
      </c>
      <c r="R317" s="1016"/>
      <c r="S317" s="1016"/>
      <c r="T317" s="944" t="s">
        <v>361</v>
      </c>
      <c r="U317" s="242" t="s">
        <v>437</v>
      </c>
      <c r="V317" s="112"/>
    </row>
    <row r="318" spans="1:22" ht="18" hidden="1" customHeight="1">
      <c r="A318" s="1006"/>
      <c r="B318" s="947"/>
      <c r="C318" s="947"/>
      <c r="D318" s="664"/>
      <c r="E318" s="664"/>
      <c r="F318" s="903"/>
      <c r="G318" s="903"/>
      <c r="H318" s="664"/>
      <c r="I318" s="664" t="s">
        <v>434</v>
      </c>
      <c r="J318" s="903"/>
      <c r="K318" s="664"/>
      <c r="L318" s="1015"/>
      <c r="M318" s="664"/>
      <c r="N318" s="942"/>
      <c r="O318" s="664"/>
      <c r="P318" s="664"/>
      <c r="Q318" s="28" t="s">
        <v>157</v>
      </c>
      <c r="R318" s="28" t="s">
        <v>326</v>
      </c>
      <c r="S318" s="28" t="s">
        <v>157</v>
      </c>
      <c r="T318" s="944"/>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65" t="str">
        <f>L296</f>
        <v>-</v>
      </c>
      <c r="S321" s="665"/>
      <c r="T321" s="14" t="s">
        <v>9</v>
      </c>
      <c r="V321" s="10"/>
    </row>
    <row r="322" spans="1:22" ht="18" hidden="1" customHeight="1">
      <c r="A322" s="9"/>
      <c r="B322" s="14" t="s">
        <v>442</v>
      </c>
      <c r="C322" s="14"/>
      <c r="D322" s="14"/>
      <c r="E322" s="14"/>
      <c r="F322" s="14"/>
      <c r="G322" s="14"/>
      <c r="H322" s="14"/>
      <c r="I322" s="14"/>
      <c r="J322" s="14"/>
      <c r="P322" s="120" t="s">
        <v>429</v>
      </c>
      <c r="Q322" s="246" t="s">
        <v>138</v>
      </c>
      <c r="R322" s="665">
        <f>R202</f>
        <v>50000</v>
      </c>
      <c r="S322" s="665"/>
      <c r="T322" s="14" t="s">
        <v>9</v>
      </c>
      <c r="V322" s="10"/>
    </row>
    <row r="323" spans="1:22" ht="18" hidden="1" customHeight="1">
      <c r="A323" s="9"/>
      <c r="B323" s="14" t="s">
        <v>443</v>
      </c>
      <c r="C323" s="14"/>
      <c r="D323" s="14"/>
      <c r="E323" s="14"/>
      <c r="F323" s="14"/>
      <c r="G323" s="14"/>
      <c r="H323" s="14"/>
      <c r="I323" s="14"/>
      <c r="J323" s="14"/>
      <c r="P323" s="120" t="s">
        <v>436</v>
      </c>
      <c r="Q323" s="246" t="s">
        <v>138</v>
      </c>
      <c r="R323" s="816">
        <f>R203</f>
        <v>28681.090829928391</v>
      </c>
      <c r="S323" s="665"/>
      <c r="T323" s="14" t="s">
        <v>9</v>
      </c>
      <c r="U323" s="30" t="s">
        <v>444</v>
      </c>
      <c r="V323" s="10"/>
    </row>
    <row r="324" spans="1:22" ht="18" hidden="1" customHeight="1">
      <c r="A324" s="9"/>
      <c r="B324" s="14"/>
      <c r="C324" s="14"/>
      <c r="D324" s="14"/>
      <c r="E324" s="14"/>
      <c r="F324" s="14"/>
      <c r="G324" s="14"/>
      <c r="H324" s="14"/>
      <c r="I324" s="14"/>
      <c r="J324" s="14"/>
      <c r="P324" s="120"/>
      <c r="Q324" s="246" t="s">
        <v>138</v>
      </c>
      <c r="R324" s="816">
        <f>R204</f>
        <v>30950.978286194932</v>
      </c>
      <c r="S324" s="665"/>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65">
        <f>R205</f>
        <v>1</v>
      </c>
      <c r="S325" s="665"/>
      <c r="T325" s="14" t="s">
        <v>9</v>
      </c>
      <c r="V325" s="10"/>
    </row>
    <row r="326" spans="1:22" ht="18" hidden="1" customHeight="1">
      <c r="A326" s="9"/>
      <c r="B326" s="14" t="s">
        <v>448</v>
      </c>
      <c r="C326" s="14"/>
      <c r="D326" s="103"/>
      <c r="E326" s="103"/>
      <c r="F326" s="14"/>
      <c r="G326" s="14"/>
      <c r="H326" s="5"/>
      <c r="I326" s="5"/>
      <c r="J326" s="5"/>
      <c r="P326" s="120" t="s">
        <v>449</v>
      </c>
      <c r="Q326" s="246" t="s">
        <v>138</v>
      </c>
      <c r="R326" s="665">
        <f>R206</f>
        <v>1</v>
      </c>
      <c r="S326" s="665"/>
      <c r="T326" s="14" t="s">
        <v>9</v>
      </c>
      <c r="V326" s="10"/>
    </row>
    <row r="327" spans="1:22" ht="18" hidden="1" customHeight="1">
      <c r="A327" s="9"/>
      <c r="B327" s="14" t="s">
        <v>450</v>
      </c>
      <c r="C327" s="14"/>
      <c r="D327" s="103"/>
      <c r="E327" s="103"/>
      <c r="F327" s="14"/>
      <c r="G327" s="14"/>
      <c r="H327" s="5"/>
      <c r="I327" s="5"/>
      <c r="J327" s="5"/>
      <c r="P327" s="120" t="s">
        <v>451</v>
      </c>
      <c r="Q327" s="246" t="s">
        <v>138</v>
      </c>
      <c r="R327" s="665" t="str">
        <f>L298</f>
        <v>-</v>
      </c>
      <c r="S327" s="665"/>
      <c r="T327" s="204" t="s">
        <v>344</v>
      </c>
      <c r="V327" s="10"/>
    </row>
    <row r="328" spans="1:22" ht="18" hidden="1" customHeight="1">
      <c r="A328" s="9"/>
      <c r="B328" s="14" t="s">
        <v>164</v>
      </c>
      <c r="C328" s="14"/>
      <c r="D328" s="14"/>
      <c r="E328" s="14"/>
      <c r="F328" s="14"/>
      <c r="G328" s="14"/>
      <c r="H328" s="14"/>
      <c r="I328" s="14"/>
      <c r="J328" s="14"/>
      <c r="P328" s="249" t="s">
        <v>452</v>
      </c>
      <c r="Q328" s="246" t="s">
        <v>138</v>
      </c>
      <c r="R328" s="668">
        <f>R208</f>
        <v>0.46875935000000007</v>
      </c>
      <c r="S328" s="665"/>
      <c r="T328" s="204" t="s">
        <v>344</v>
      </c>
      <c r="V328" s="10"/>
    </row>
    <row r="329" spans="1:22" ht="18" hidden="1" customHeight="1">
      <c r="A329" s="9"/>
      <c r="B329" s="40" t="s">
        <v>453</v>
      </c>
      <c r="C329" s="14"/>
      <c r="D329" s="14"/>
      <c r="E329" s="14"/>
      <c r="F329" s="14"/>
      <c r="G329" s="14"/>
      <c r="H329" s="5"/>
      <c r="I329" s="5"/>
      <c r="J329" s="5"/>
      <c r="P329" s="249" t="s">
        <v>454</v>
      </c>
      <c r="Q329" s="246" t="s">
        <v>138</v>
      </c>
      <c r="R329" s="668">
        <f>R209</f>
        <v>0.02</v>
      </c>
      <c r="S329" s="665"/>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5" t="s">
        <v>428</v>
      </c>
      <c r="B337" s="947"/>
      <c r="C337" s="947"/>
      <c r="D337" s="14"/>
      <c r="E337" s="7"/>
      <c r="F337" s="1002">
        <f>R322</f>
        <v>50000</v>
      </c>
      <c r="G337" s="1008"/>
      <c r="H337" s="788" t="s">
        <v>326</v>
      </c>
      <c r="I337" s="1009">
        <f>R325</f>
        <v>1</v>
      </c>
      <c r="J337" s="1010"/>
      <c r="K337" s="788" t="s">
        <v>326</v>
      </c>
      <c r="L337" s="1002" t="s">
        <v>430</v>
      </c>
      <c r="M337" s="975" t="str">
        <f>R327</f>
        <v>-</v>
      </c>
      <c r="N337" s="1003" t="s">
        <v>358</v>
      </c>
      <c r="O337" s="1004">
        <f>R328</f>
        <v>0.46875935000000007</v>
      </c>
      <c r="P337" s="788" t="s">
        <v>358</v>
      </c>
      <c r="Q337" s="1012">
        <f>R329</f>
        <v>0.02</v>
      </c>
      <c r="R337" s="1012"/>
      <c r="S337" s="1012"/>
      <c r="T337" s="944" t="s">
        <v>361</v>
      </c>
      <c r="U337" s="242" t="s">
        <v>433</v>
      </c>
      <c r="V337" s="112"/>
    </row>
    <row r="338" spans="1:22" ht="18" hidden="1" customHeight="1">
      <c r="A338" s="1006"/>
      <c r="B338" s="947"/>
      <c r="C338" s="947"/>
      <c r="D338" s="14"/>
      <c r="E338" s="7"/>
      <c r="F338" s="1008"/>
      <c r="G338" s="1008"/>
      <c r="H338" s="788"/>
      <c r="I338" s="788" t="str">
        <f>R321</f>
        <v>-</v>
      </c>
      <c r="J338" s="1008"/>
      <c r="K338" s="788"/>
      <c r="L338" s="1002"/>
      <c r="M338" s="975"/>
      <c r="N338" s="1003"/>
      <c r="O338" s="975"/>
      <c r="P338" s="788"/>
      <c r="Q338" s="233">
        <f>R326</f>
        <v>1</v>
      </c>
      <c r="R338" s="233" t="s">
        <v>326</v>
      </c>
      <c r="S338" s="233">
        <f>R326</f>
        <v>1</v>
      </c>
      <c r="T338" s="944"/>
      <c r="U338" s="7"/>
      <c r="V338" s="112"/>
    </row>
    <row r="339" spans="1:22" ht="18" hidden="1" customHeight="1">
      <c r="A339" s="9"/>
      <c r="L339" s="442"/>
      <c r="V339" s="10"/>
    </row>
    <row r="340" spans="1:22" ht="18" hidden="1" customHeight="1">
      <c r="A340" s="9"/>
      <c r="C340" s="27" t="s">
        <v>138</v>
      </c>
      <c r="D340" s="875" t="e">
        <f>F337*(I337/I338)*(M337+O337+(Q337/(Q338*S338)))</f>
        <v>#VALUE!</v>
      </c>
      <c r="E340" s="876"/>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5" t="s">
        <v>428</v>
      </c>
      <c r="B343" s="947"/>
      <c r="C343" s="947"/>
      <c r="D343" s="788">
        <v>2</v>
      </c>
      <c r="E343" s="788" t="s">
        <v>326</v>
      </c>
      <c r="F343" s="1007">
        <f>R323</f>
        <v>28681.090829928391</v>
      </c>
      <c r="G343" s="1008"/>
      <c r="H343" s="788" t="s">
        <v>326</v>
      </c>
      <c r="I343" s="1009">
        <f>R325</f>
        <v>1</v>
      </c>
      <c r="J343" s="1010"/>
      <c r="K343" s="788" t="s">
        <v>326</v>
      </c>
      <c r="L343" s="1002" t="s">
        <v>430</v>
      </c>
      <c r="M343" s="975" t="str">
        <f>R327</f>
        <v>-</v>
      </c>
      <c r="N343" s="1003" t="s">
        <v>358</v>
      </c>
      <c r="O343" s="1004">
        <f>R328</f>
        <v>0.46875935000000007</v>
      </c>
      <c r="P343" s="788" t="s">
        <v>358</v>
      </c>
      <c r="Q343" s="1012">
        <f>Q337</f>
        <v>0.02</v>
      </c>
      <c r="R343" s="1012"/>
      <c r="S343" s="1012"/>
      <c r="T343" s="944" t="s">
        <v>361</v>
      </c>
      <c r="U343" s="242" t="s">
        <v>437</v>
      </c>
      <c r="V343" s="112"/>
    </row>
    <row r="344" spans="1:22" ht="18" hidden="1" customHeight="1">
      <c r="A344" s="1006"/>
      <c r="B344" s="947"/>
      <c r="C344" s="947"/>
      <c r="D344" s="788"/>
      <c r="E344" s="788"/>
      <c r="F344" s="1008"/>
      <c r="G344" s="1008"/>
      <c r="H344" s="788"/>
      <c r="I344" s="788" t="str">
        <f>R321</f>
        <v>-</v>
      </c>
      <c r="J344" s="1008"/>
      <c r="K344" s="788"/>
      <c r="L344" s="1002"/>
      <c r="M344" s="975"/>
      <c r="N344" s="1003"/>
      <c r="O344" s="975"/>
      <c r="P344" s="788"/>
      <c r="Q344" s="233">
        <f>R326</f>
        <v>1</v>
      </c>
      <c r="R344" s="233" t="s">
        <v>326</v>
      </c>
      <c r="S344" s="233">
        <f>R326</f>
        <v>1</v>
      </c>
      <c r="T344" s="944"/>
      <c r="U344" s="7"/>
      <c r="V344" s="112"/>
    </row>
    <row r="345" spans="1:22" ht="18" hidden="1" customHeight="1">
      <c r="A345" s="9"/>
      <c r="L345" s="442"/>
      <c r="V345" s="10"/>
    </row>
    <row r="346" spans="1:22" ht="18" hidden="1" customHeight="1">
      <c r="A346" s="9"/>
      <c r="C346" s="27" t="s">
        <v>138</v>
      </c>
      <c r="D346" s="875" t="e">
        <f>D343*F343*(I343/I344)*(M343+O343+(Q343/(Q344*S344)))</f>
        <v>#VALUE!</v>
      </c>
      <c r="E346" s="876"/>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5" t="s">
        <v>428</v>
      </c>
      <c r="B349" s="947"/>
      <c r="C349" s="947"/>
      <c r="D349" s="788">
        <v>2</v>
      </c>
      <c r="E349" s="788" t="s">
        <v>326</v>
      </c>
      <c r="F349" s="1007">
        <f>R324</f>
        <v>30950.978286194932</v>
      </c>
      <c r="G349" s="1008"/>
      <c r="H349" s="788" t="s">
        <v>326</v>
      </c>
      <c r="I349" s="1009">
        <f>R325</f>
        <v>1</v>
      </c>
      <c r="J349" s="1010"/>
      <c r="K349" s="788" t="s">
        <v>326</v>
      </c>
      <c r="L349" s="1002" t="s">
        <v>430</v>
      </c>
      <c r="M349" s="975" t="str">
        <f>R327</f>
        <v>-</v>
      </c>
      <c r="N349" s="1003" t="s">
        <v>358</v>
      </c>
      <c r="O349" s="1004">
        <f>R328</f>
        <v>0.46875935000000007</v>
      </c>
      <c r="P349" s="788" t="s">
        <v>358</v>
      </c>
      <c r="Q349" s="1012">
        <f>R329</f>
        <v>0.02</v>
      </c>
      <c r="R349" s="1012"/>
      <c r="S349" s="1012"/>
      <c r="T349" s="944" t="s">
        <v>361</v>
      </c>
      <c r="U349" s="242" t="s">
        <v>437</v>
      </c>
      <c r="V349" s="112"/>
    </row>
    <row r="350" spans="1:22" ht="18" hidden="1" customHeight="1">
      <c r="A350" s="1006"/>
      <c r="B350" s="947"/>
      <c r="C350" s="947"/>
      <c r="D350" s="788"/>
      <c r="E350" s="788"/>
      <c r="F350" s="1008"/>
      <c r="G350" s="1008"/>
      <c r="H350" s="788"/>
      <c r="I350" s="788" t="str">
        <f>R321</f>
        <v>-</v>
      </c>
      <c r="J350" s="1008"/>
      <c r="K350" s="788"/>
      <c r="L350" s="1002"/>
      <c r="M350" s="975"/>
      <c r="N350" s="1003"/>
      <c r="O350" s="975"/>
      <c r="P350" s="788"/>
      <c r="Q350" s="233">
        <f>R326</f>
        <v>1</v>
      </c>
      <c r="R350" s="233" t="s">
        <v>326</v>
      </c>
      <c r="S350" s="233">
        <f>R326</f>
        <v>1</v>
      </c>
      <c r="T350" s="944"/>
      <c r="U350" s="7"/>
      <c r="V350" s="112"/>
    </row>
    <row r="351" spans="1:22" ht="18" hidden="1" customHeight="1">
      <c r="A351" s="9"/>
      <c r="V351" s="10"/>
    </row>
    <row r="352" spans="1:22" ht="18" hidden="1" customHeight="1">
      <c r="A352" s="9"/>
      <c r="C352" s="27" t="s">
        <v>138</v>
      </c>
      <c r="D352" s="875" t="e">
        <f>D349*F349*(I349/I350)*(M349+O349+(Q349/(Q350*S350)))</f>
        <v>#VALUE!</v>
      </c>
      <c r="E352" s="876"/>
      <c r="F352" s="27" t="s">
        <v>316</v>
      </c>
      <c r="V352" s="10"/>
    </row>
    <row r="353" spans="1:22" ht="18" hidden="1" customHeight="1">
      <c r="A353" s="9"/>
      <c r="V353" s="10"/>
    </row>
    <row r="354" spans="1:22" ht="18" hidden="1" customHeight="1">
      <c r="A354" s="116" t="s">
        <v>457</v>
      </c>
      <c r="V354" s="10"/>
    </row>
    <row r="355" spans="1:22" ht="18" hidden="1" customHeight="1">
      <c r="A355" s="1018" t="s">
        <v>510</v>
      </c>
      <c r="B355" s="1019"/>
      <c r="C355" s="1019"/>
      <c r="D355" s="1019"/>
      <c r="E355" s="1019"/>
      <c r="F355" s="1019"/>
      <c r="G355" s="1019"/>
      <c r="H355" s="1019"/>
      <c r="I355" s="1019"/>
      <c r="J355" s="1019"/>
      <c r="K355" s="1019"/>
      <c r="L355" s="1019"/>
      <c r="M355" s="1019"/>
      <c r="N355" s="1019"/>
      <c r="O355" s="1019"/>
      <c r="P355" s="1019"/>
      <c r="Q355" s="1019"/>
      <c r="R355" s="1019"/>
      <c r="S355" s="1019"/>
      <c r="T355" s="1019"/>
      <c r="U355" s="1019"/>
      <c r="V355" s="1020"/>
    </row>
    <row r="356" spans="1:22" ht="18" hidden="1" customHeight="1">
      <c r="A356" s="1018"/>
      <c r="B356" s="1019"/>
      <c r="C356" s="1019"/>
      <c r="D356" s="1019"/>
      <c r="E356" s="1019"/>
      <c r="F356" s="1019"/>
      <c r="G356" s="1019"/>
      <c r="H356" s="1019"/>
      <c r="I356" s="1019"/>
      <c r="J356" s="1019"/>
      <c r="K356" s="1019"/>
      <c r="L356" s="1019"/>
      <c r="M356" s="1019"/>
      <c r="N356" s="1019"/>
      <c r="O356" s="1019"/>
      <c r="P356" s="1019"/>
      <c r="Q356" s="1019"/>
      <c r="R356" s="1019"/>
      <c r="S356" s="1019"/>
      <c r="T356" s="1019"/>
      <c r="U356" s="1019"/>
      <c r="V356" s="1020"/>
    </row>
    <row r="357" spans="1:22" ht="18" hidden="1" customHeight="1">
      <c r="A357" s="205" t="s">
        <v>427</v>
      </c>
      <c r="V357" s="10"/>
    </row>
    <row r="358" spans="1:22" ht="18" hidden="1" customHeight="1">
      <c r="A358" s="1005" t="s">
        <v>428</v>
      </c>
      <c r="B358" s="947"/>
      <c r="C358" s="947"/>
      <c r="D358" s="1015" t="s">
        <v>429</v>
      </c>
      <c r="E358" s="903"/>
      <c r="F358" s="664" t="s">
        <v>326</v>
      </c>
      <c r="G358" s="696" t="s">
        <v>447</v>
      </c>
      <c r="H358" s="939"/>
      <c r="I358" s="664" t="s">
        <v>326</v>
      </c>
      <c r="J358" s="1017" t="s">
        <v>146</v>
      </c>
      <c r="K358" s="664" t="s">
        <v>326</v>
      </c>
      <c r="L358" s="1015" t="s">
        <v>430</v>
      </c>
      <c r="M358" s="664" t="s">
        <v>451</v>
      </c>
      <c r="N358" s="942" t="s">
        <v>358</v>
      </c>
      <c r="O358" s="664" t="s">
        <v>458</v>
      </c>
      <c r="P358" s="664" t="s">
        <v>358</v>
      </c>
      <c r="Q358" s="943" t="s">
        <v>459</v>
      </c>
      <c r="R358" s="1016"/>
      <c r="S358" s="1016"/>
      <c r="T358" s="944" t="s">
        <v>361</v>
      </c>
      <c r="U358" s="242" t="s">
        <v>433</v>
      </c>
      <c r="V358" s="112"/>
    </row>
    <row r="359" spans="1:22" ht="18" hidden="1" customHeight="1">
      <c r="A359" s="1006"/>
      <c r="B359" s="947"/>
      <c r="C359" s="947"/>
      <c r="D359" s="903"/>
      <c r="E359" s="903"/>
      <c r="F359" s="664"/>
      <c r="G359" s="664" t="s">
        <v>441</v>
      </c>
      <c r="H359" s="903"/>
      <c r="I359" s="664"/>
      <c r="J359" s="664"/>
      <c r="K359" s="664"/>
      <c r="L359" s="1015"/>
      <c r="M359" s="664"/>
      <c r="N359" s="942"/>
      <c r="O359" s="664"/>
      <c r="P359" s="664"/>
      <c r="Q359" s="28" t="s">
        <v>449</v>
      </c>
      <c r="R359" s="28" t="s">
        <v>326</v>
      </c>
      <c r="S359" s="28" t="s">
        <v>449</v>
      </c>
      <c r="T359" s="944"/>
      <c r="U359" s="7"/>
      <c r="V359" s="112"/>
    </row>
    <row r="360" spans="1:22" ht="18" hidden="1" customHeight="1">
      <c r="A360" s="205" t="s">
        <v>460</v>
      </c>
      <c r="L360" s="442"/>
      <c r="M360" s="438"/>
      <c r="N360" s="438"/>
      <c r="O360" s="438"/>
      <c r="V360" s="10"/>
    </row>
    <row r="361" spans="1:22" ht="18" hidden="1" customHeight="1">
      <c r="A361" s="1005" t="s">
        <v>428</v>
      </c>
      <c r="B361" s="947"/>
      <c r="C361" s="947"/>
      <c r="D361" s="1015" t="s">
        <v>461</v>
      </c>
      <c r="E361" s="903"/>
      <c r="F361" s="664" t="s">
        <v>326</v>
      </c>
      <c r="G361" s="696" t="s">
        <v>447</v>
      </c>
      <c r="H361" s="939"/>
      <c r="I361" s="664" t="s">
        <v>326</v>
      </c>
      <c r="J361" s="1017" t="s">
        <v>462</v>
      </c>
      <c r="K361" s="664" t="s">
        <v>326</v>
      </c>
      <c r="L361" s="1015" t="s">
        <v>430</v>
      </c>
      <c r="M361" s="664" t="s">
        <v>451</v>
      </c>
      <c r="N361" s="942" t="s">
        <v>358</v>
      </c>
      <c r="O361" s="664" t="s">
        <v>458</v>
      </c>
      <c r="P361" s="664" t="s">
        <v>358</v>
      </c>
      <c r="Q361" s="943" t="s">
        <v>459</v>
      </c>
      <c r="R361" s="1016"/>
      <c r="S361" s="1016"/>
      <c r="T361" s="944" t="s">
        <v>361</v>
      </c>
      <c r="U361" s="242" t="s">
        <v>437</v>
      </c>
      <c r="V361" s="112"/>
    </row>
    <row r="362" spans="1:22" ht="18" hidden="1" customHeight="1">
      <c r="A362" s="1006"/>
      <c r="B362" s="947"/>
      <c r="C362" s="947"/>
      <c r="D362" s="903"/>
      <c r="E362" s="903"/>
      <c r="F362" s="664"/>
      <c r="G362" s="664" t="s">
        <v>441</v>
      </c>
      <c r="H362" s="903"/>
      <c r="I362" s="664"/>
      <c r="J362" s="664"/>
      <c r="K362" s="664"/>
      <c r="L362" s="1015"/>
      <c r="M362" s="664"/>
      <c r="N362" s="942"/>
      <c r="O362" s="664"/>
      <c r="P362" s="664"/>
      <c r="Q362" s="28" t="s">
        <v>449</v>
      </c>
      <c r="R362" s="28" t="s">
        <v>326</v>
      </c>
      <c r="S362" s="28" t="s">
        <v>449</v>
      </c>
      <c r="T362" s="944"/>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65" t="str">
        <f>R321</f>
        <v>-</v>
      </c>
      <c r="S365" s="665"/>
      <c r="T365" s="14" t="s">
        <v>9</v>
      </c>
      <c r="V365" s="10"/>
    </row>
    <row r="366" spans="1:22" ht="18" hidden="1" customHeight="1">
      <c r="A366" s="9"/>
      <c r="B366" s="14" t="s">
        <v>442</v>
      </c>
      <c r="P366" s="120" t="s">
        <v>429</v>
      </c>
      <c r="Q366" s="246" t="s">
        <v>138</v>
      </c>
      <c r="R366" s="665">
        <f>R322</f>
        <v>50000</v>
      </c>
      <c r="S366" s="665"/>
      <c r="T366" s="14" t="s">
        <v>9</v>
      </c>
      <c r="V366" s="10"/>
    </row>
    <row r="367" spans="1:22" ht="18" hidden="1" customHeight="1">
      <c r="A367" s="9"/>
      <c r="B367" s="14" t="s">
        <v>463</v>
      </c>
      <c r="P367" s="120" t="s">
        <v>461</v>
      </c>
      <c r="Q367" s="246" t="s">
        <v>138</v>
      </c>
      <c r="R367" s="816">
        <f>R243</f>
        <v>31616.578766904022</v>
      </c>
      <c r="S367" s="665"/>
      <c r="T367" s="14" t="s">
        <v>9</v>
      </c>
      <c r="U367" s="30" t="s">
        <v>444</v>
      </c>
      <c r="V367" s="10"/>
    </row>
    <row r="368" spans="1:22" ht="18" hidden="1" customHeight="1">
      <c r="A368" s="9"/>
      <c r="B368" s="14"/>
      <c r="P368" s="120"/>
      <c r="Q368" s="246" t="s">
        <v>138</v>
      </c>
      <c r="R368" s="816">
        <f>R244</f>
        <v>33779.140438861883</v>
      </c>
      <c r="S368" s="665"/>
      <c r="T368" s="14" t="s">
        <v>9</v>
      </c>
      <c r="U368" s="30" t="s">
        <v>445</v>
      </c>
      <c r="V368" s="10"/>
    </row>
    <row r="369" spans="1:22" ht="18" hidden="1" customHeight="1">
      <c r="A369" s="9"/>
      <c r="B369" s="14" t="s">
        <v>464</v>
      </c>
      <c r="P369" s="120" t="s">
        <v>447</v>
      </c>
      <c r="Q369" s="246" t="s">
        <v>138</v>
      </c>
      <c r="R369" s="665">
        <f>R325</f>
        <v>1</v>
      </c>
      <c r="S369" s="665"/>
      <c r="T369" s="14" t="s">
        <v>9</v>
      </c>
      <c r="V369" s="10"/>
    </row>
    <row r="370" spans="1:22" ht="18" hidden="1" customHeight="1">
      <c r="A370" s="9"/>
      <c r="B370" s="14" t="s">
        <v>448</v>
      </c>
      <c r="P370" s="120" t="s">
        <v>449</v>
      </c>
      <c r="Q370" s="246" t="s">
        <v>138</v>
      </c>
      <c r="R370" s="665">
        <f>R326</f>
        <v>1</v>
      </c>
      <c r="S370" s="665"/>
      <c r="T370" s="14" t="s">
        <v>9</v>
      </c>
      <c r="V370" s="10"/>
    </row>
    <row r="371" spans="1:22" ht="18" hidden="1" customHeight="1">
      <c r="A371" s="9"/>
      <c r="B371" s="14" t="s">
        <v>450</v>
      </c>
      <c r="P371" s="120" t="s">
        <v>451</v>
      </c>
      <c r="Q371" s="246" t="s">
        <v>138</v>
      </c>
      <c r="R371" s="665" t="str">
        <f>L298</f>
        <v>-</v>
      </c>
      <c r="S371" s="665"/>
      <c r="T371" s="204" t="s">
        <v>344</v>
      </c>
      <c r="V371" s="10"/>
    </row>
    <row r="372" spans="1:22" ht="18" hidden="1" customHeight="1">
      <c r="A372" s="9"/>
      <c r="B372" s="14" t="s">
        <v>465</v>
      </c>
      <c r="P372" s="249" t="s">
        <v>452</v>
      </c>
      <c r="Q372" s="246" t="s">
        <v>138</v>
      </c>
      <c r="R372" s="668">
        <f>R328</f>
        <v>0.46875935000000007</v>
      </c>
      <c r="S372" s="665"/>
      <c r="T372" s="204" t="s">
        <v>344</v>
      </c>
      <c r="V372" s="10"/>
    </row>
    <row r="373" spans="1:22" ht="18" hidden="1" customHeight="1">
      <c r="A373" s="9"/>
      <c r="B373" s="40" t="s">
        <v>453</v>
      </c>
      <c r="P373" s="249" t="s">
        <v>454</v>
      </c>
      <c r="Q373" s="246" t="s">
        <v>138</v>
      </c>
      <c r="R373" s="668">
        <f>R329</f>
        <v>0.02</v>
      </c>
      <c r="S373" s="665"/>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69">
        <f>L261</f>
        <v>47.727272727272727</v>
      </c>
      <c r="M390" s="664"/>
      <c r="N390" s="28" t="s">
        <v>475</v>
      </c>
      <c r="O390" s="28" t="s">
        <v>146</v>
      </c>
      <c r="P390" s="28" t="s">
        <v>138</v>
      </c>
      <c r="Q390" s="28">
        <f>IF(L390&lt;=400,Q382,Q383)</f>
        <v>1</v>
      </c>
      <c r="R390" s="7"/>
      <c r="S390" s="7"/>
      <c r="T390" s="7"/>
      <c r="V390" s="10"/>
    </row>
    <row r="391" spans="1:22" ht="18" hidden="1" customHeight="1">
      <c r="A391" s="1005" t="s">
        <v>428</v>
      </c>
      <c r="B391" s="947"/>
      <c r="C391" s="947"/>
      <c r="D391" s="1002">
        <f>R366</f>
        <v>50000</v>
      </c>
      <c r="E391" s="1013"/>
      <c r="F391" s="788" t="s">
        <v>326</v>
      </c>
      <c r="G391" s="1009">
        <f>R369</f>
        <v>1</v>
      </c>
      <c r="H391" s="1014"/>
      <c r="I391" s="788" t="s">
        <v>326</v>
      </c>
      <c r="J391" s="790">
        <f>Q390</f>
        <v>1</v>
      </c>
      <c r="K391" s="788" t="s">
        <v>326</v>
      </c>
      <c r="L391" s="1002" t="s">
        <v>430</v>
      </c>
      <c r="M391" s="975" t="str">
        <f>R371</f>
        <v>-</v>
      </c>
      <c r="N391" s="1003" t="s">
        <v>358</v>
      </c>
      <c r="O391" s="1004">
        <f>R372</f>
        <v>0.46875935000000007</v>
      </c>
      <c r="P391" s="788" t="s">
        <v>358</v>
      </c>
      <c r="Q391" s="1012">
        <f>R373</f>
        <v>0.02</v>
      </c>
      <c r="R391" s="1012"/>
      <c r="S391" s="1012"/>
      <c r="T391" s="944" t="s">
        <v>361</v>
      </c>
      <c r="U391" s="242" t="s">
        <v>433</v>
      </c>
      <c r="V391" s="112"/>
    </row>
    <row r="392" spans="1:22" ht="18" hidden="1" customHeight="1">
      <c r="A392" s="1006"/>
      <c r="B392" s="947"/>
      <c r="C392" s="947"/>
      <c r="D392" s="1013"/>
      <c r="E392" s="1013"/>
      <c r="F392" s="788"/>
      <c r="G392" s="788" t="str">
        <f>R365</f>
        <v>-</v>
      </c>
      <c r="H392" s="1013"/>
      <c r="I392" s="788"/>
      <c r="J392" s="788"/>
      <c r="K392" s="788"/>
      <c r="L392" s="1002"/>
      <c r="M392" s="975"/>
      <c r="N392" s="1003"/>
      <c r="O392" s="975"/>
      <c r="P392" s="788"/>
      <c r="Q392" s="233">
        <f>R370</f>
        <v>1</v>
      </c>
      <c r="R392" s="233" t="s">
        <v>326</v>
      </c>
      <c r="S392" s="233">
        <f>R370</f>
        <v>1</v>
      </c>
      <c r="T392" s="944"/>
      <c r="U392" s="7"/>
      <c r="V392" s="112"/>
    </row>
    <row r="393" spans="1:22" ht="18" hidden="1" customHeight="1">
      <c r="A393" s="9"/>
      <c r="V393" s="10"/>
    </row>
    <row r="394" spans="1:22" ht="18" hidden="1" customHeight="1">
      <c r="A394" s="9"/>
      <c r="C394" s="27" t="s">
        <v>138</v>
      </c>
      <c r="D394" s="860" t="e">
        <f>D391*(G391/G392)*J391*(M391+O391+(Q391/(Q392*S392)))</f>
        <v>#VALUE!</v>
      </c>
      <c r="E394" s="700"/>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68">
        <f>L268</f>
        <v>7.3490763833311119</v>
      </c>
      <c r="M397" s="665"/>
      <c r="N397" s="27" t="s">
        <v>475</v>
      </c>
      <c r="O397" s="28" t="s">
        <v>462</v>
      </c>
      <c r="P397" s="27" t="s">
        <v>138</v>
      </c>
      <c r="Q397" s="27">
        <f>IF(L397&lt;=200,Q386,Q387)</f>
        <v>3</v>
      </c>
      <c r="V397" s="10"/>
    </row>
    <row r="398" spans="1:22" ht="18" hidden="1" customHeight="1">
      <c r="A398" s="1005" t="s">
        <v>428</v>
      </c>
      <c r="B398" s="947"/>
      <c r="C398" s="947"/>
      <c r="D398" s="1007">
        <f>R367</f>
        <v>31616.578766904022</v>
      </c>
      <c r="E398" s="1008"/>
      <c r="F398" s="788" t="s">
        <v>326</v>
      </c>
      <c r="G398" s="1009">
        <f>R369</f>
        <v>1</v>
      </c>
      <c r="H398" s="1010"/>
      <c r="I398" s="788" t="s">
        <v>326</v>
      </c>
      <c r="J398" s="1011">
        <f>Q397</f>
        <v>3</v>
      </c>
      <c r="K398" s="788" t="s">
        <v>326</v>
      </c>
      <c r="L398" s="1002" t="s">
        <v>430</v>
      </c>
      <c r="M398" s="975" t="str">
        <f>R371</f>
        <v>-</v>
      </c>
      <c r="N398" s="1003" t="s">
        <v>358</v>
      </c>
      <c r="O398" s="1004">
        <f>R372</f>
        <v>0.46875935000000007</v>
      </c>
      <c r="P398" s="788" t="s">
        <v>358</v>
      </c>
      <c r="Q398" s="1012">
        <f>R373</f>
        <v>0.02</v>
      </c>
      <c r="R398" s="1012"/>
      <c r="S398" s="1012"/>
      <c r="T398" s="944" t="s">
        <v>361</v>
      </c>
      <c r="U398" s="242" t="s">
        <v>437</v>
      </c>
      <c r="V398" s="112"/>
    </row>
    <row r="399" spans="1:22" ht="18" hidden="1" customHeight="1">
      <c r="A399" s="1006"/>
      <c r="B399" s="947"/>
      <c r="C399" s="947"/>
      <c r="D399" s="1008"/>
      <c r="E399" s="1008"/>
      <c r="F399" s="788"/>
      <c r="G399" s="788" t="str">
        <f>R365</f>
        <v>-</v>
      </c>
      <c r="H399" s="1008"/>
      <c r="I399" s="788"/>
      <c r="J399" s="788"/>
      <c r="K399" s="788"/>
      <c r="L399" s="1002"/>
      <c r="M399" s="975"/>
      <c r="N399" s="1003"/>
      <c r="O399" s="975"/>
      <c r="P399" s="788"/>
      <c r="Q399" s="233">
        <f>R370</f>
        <v>1</v>
      </c>
      <c r="R399" s="233" t="s">
        <v>326</v>
      </c>
      <c r="S399" s="233">
        <f>R370</f>
        <v>1</v>
      </c>
      <c r="T399" s="944"/>
      <c r="U399" s="7"/>
      <c r="V399" s="112"/>
    </row>
    <row r="400" spans="1:22" ht="18" hidden="1" customHeight="1">
      <c r="A400" s="9"/>
      <c r="V400" s="10"/>
    </row>
    <row r="401" spans="1:22" ht="18" hidden="1" customHeight="1">
      <c r="A401" s="9"/>
      <c r="C401" s="27" t="s">
        <v>138</v>
      </c>
      <c r="D401" s="860" t="e">
        <f>D398*(G398/G399)*J398*(M398+O398+(Q398/(Q399*S399)))</f>
        <v>#VALUE!</v>
      </c>
      <c r="E401" s="700"/>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68">
        <f>L275</f>
        <v>7.6723844075738938</v>
      </c>
      <c r="M404" s="665"/>
      <c r="N404" s="27" t="s">
        <v>475</v>
      </c>
      <c r="O404" s="28" t="s">
        <v>462</v>
      </c>
      <c r="P404" s="27" t="s">
        <v>138</v>
      </c>
      <c r="Q404" s="27">
        <f>IF(L404&lt;=30,Q386,Q387)</f>
        <v>3</v>
      </c>
      <c r="V404" s="10"/>
    </row>
    <row r="405" spans="1:22" ht="18" hidden="1" customHeight="1">
      <c r="A405" s="1005" t="s">
        <v>428</v>
      </c>
      <c r="B405" s="947"/>
      <c r="C405" s="947"/>
      <c r="D405" s="1007">
        <f>R368</f>
        <v>33779.140438861883</v>
      </c>
      <c r="E405" s="1008"/>
      <c r="F405" s="788" t="s">
        <v>326</v>
      </c>
      <c r="G405" s="1009">
        <f>R369</f>
        <v>1</v>
      </c>
      <c r="H405" s="1010"/>
      <c r="I405" s="788" t="s">
        <v>326</v>
      </c>
      <c r="J405" s="1011">
        <f>Q404</f>
        <v>3</v>
      </c>
      <c r="K405" s="788" t="s">
        <v>326</v>
      </c>
      <c r="L405" s="1002" t="s">
        <v>430</v>
      </c>
      <c r="M405" s="975" t="str">
        <f>R371</f>
        <v>-</v>
      </c>
      <c r="N405" s="1003" t="s">
        <v>358</v>
      </c>
      <c r="O405" s="1004">
        <f>R372</f>
        <v>0.46875935000000007</v>
      </c>
      <c r="P405" s="788" t="s">
        <v>358</v>
      </c>
      <c r="Q405" s="1012">
        <f>R373</f>
        <v>0.02</v>
      </c>
      <c r="R405" s="1012"/>
      <c r="S405" s="1012"/>
      <c r="T405" s="944" t="s">
        <v>361</v>
      </c>
      <c r="U405" s="242" t="s">
        <v>437</v>
      </c>
      <c r="V405" s="112"/>
    </row>
    <row r="406" spans="1:22" ht="18" hidden="1" customHeight="1">
      <c r="A406" s="1006"/>
      <c r="B406" s="947"/>
      <c r="C406" s="947"/>
      <c r="D406" s="1008"/>
      <c r="E406" s="1008"/>
      <c r="F406" s="788"/>
      <c r="G406" s="788" t="str">
        <f>R365</f>
        <v>-</v>
      </c>
      <c r="H406" s="1008"/>
      <c r="I406" s="788"/>
      <c r="J406" s="788"/>
      <c r="K406" s="788"/>
      <c r="L406" s="1002"/>
      <c r="M406" s="975"/>
      <c r="N406" s="1003"/>
      <c r="O406" s="975"/>
      <c r="P406" s="788"/>
      <c r="Q406" s="233">
        <f>R370</f>
        <v>1</v>
      </c>
      <c r="R406" s="233" t="s">
        <v>326</v>
      </c>
      <c r="S406" s="233">
        <f>R370</f>
        <v>1</v>
      </c>
      <c r="T406" s="944"/>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60" t="e">
        <f>D405*(G405/G406)*J405*(M405+O405+(Q405/(Q406*S406)))</f>
        <v>#VALUE!</v>
      </c>
      <c r="E408" s="700"/>
      <c r="F408" s="27" t="s">
        <v>316</v>
      </c>
      <c r="V408" s="10"/>
    </row>
    <row r="409" spans="1:22" ht="18" hidden="1" customHeight="1">
      <c r="A409" s="9"/>
      <c r="V409" s="10"/>
    </row>
    <row r="410" spans="1:22" ht="18" hidden="1" customHeight="1">
      <c r="A410" s="196" t="s">
        <v>480</v>
      </c>
      <c r="M410" s="998" t="str">
        <f>L296</f>
        <v>-</v>
      </c>
      <c r="N410" s="999"/>
      <c r="O410" s="30" t="s">
        <v>481</v>
      </c>
      <c r="P410" s="30"/>
      <c r="Q410" s="1000" t="e">
        <f>MAX(D340,D346,D352,D394,D401,D408)</f>
        <v>#VALUE!</v>
      </c>
      <c r="R410" s="1001"/>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23" t="s">
        <v>485</v>
      </c>
      <c r="R413" s="923"/>
      <c r="S413" s="28" t="s">
        <v>326</v>
      </c>
      <c r="T413" s="28">
        <v>0.8</v>
      </c>
      <c r="V413" s="10"/>
    </row>
    <row r="414" spans="1:22" ht="18" hidden="1" customHeight="1">
      <c r="A414" s="9"/>
      <c r="N414" s="264"/>
      <c r="O414" s="28"/>
      <c r="P414" s="102" t="s">
        <v>138</v>
      </c>
      <c r="Q414" s="996" t="e">
        <f>+Q410</f>
        <v>#VALUE!</v>
      </c>
      <c r="R414" s="696"/>
      <c r="S414" s="234" t="s">
        <v>326</v>
      </c>
      <c r="T414" s="265">
        <f>+T413</f>
        <v>0.8</v>
      </c>
      <c r="V414" s="10"/>
    </row>
    <row r="415" spans="1:22" ht="18" hidden="1" customHeight="1">
      <c r="A415" s="9"/>
      <c r="O415" s="28"/>
      <c r="P415" s="28" t="s">
        <v>138</v>
      </c>
      <c r="Q415" s="997" t="e">
        <f>Q414*T414</f>
        <v>#VALUE!</v>
      </c>
      <c r="R415" s="61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65" t="str">
        <f>L299</f>
        <v>-</v>
      </c>
      <c r="F417" s="665"/>
      <c r="G417" s="27" t="e">
        <f>G416</f>
        <v>#VALUE!</v>
      </c>
      <c r="H417" s="668" t="e">
        <f>Q415</f>
        <v>#VALUE!</v>
      </c>
      <c r="I417" s="665"/>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800" t="s">
        <v>97</v>
      </c>
      <c r="B427" s="800"/>
      <c r="C427" s="728"/>
      <c r="D427" s="800" t="s">
        <v>98</v>
      </c>
      <c r="E427" s="800"/>
      <c r="F427" s="800"/>
      <c r="G427" s="800" t="s">
        <v>99</v>
      </c>
      <c r="H427" s="800"/>
      <c r="I427" s="800" t="s">
        <v>100</v>
      </c>
      <c r="J427" s="800"/>
      <c r="K427" s="800" t="s">
        <v>513</v>
      </c>
      <c r="L427" s="800"/>
      <c r="M427" s="800" t="s">
        <v>514</v>
      </c>
      <c r="N427" s="800"/>
      <c r="O427" s="800" t="s">
        <v>515</v>
      </c>
      <c r="P427" s="800"/>
      <c r="Q427" s="800" t="s">
        <v>516</v>
      </c>
      <c r="R427" s="800"/>
      <c r="S427" s="800" t="s">
        <v>105</v>
      </c>
      <c r="T427" s="800"/>
      <c r="U427" s="800"/>
      <c r="V427" s="800"/>
    </row>
    <row r="428" spans="1:22" ht="18" customHeight="1">
      <c r="A428" s="800"/>
      <c r="B428" s="800"/>
      <c r="C428" s="728"/>
      <c r="D428" s="800"/>
      <c r="E428" s="800"/>
      <c r="F428" s="800"/>
      <c r="G428" s="800"/>
      <c r="H428" s="800"/>
      <c r="I428" s="800"/>
      <c r="J428" s="800"/>
      <c r="K428" s="800"/>
      <c r="L428" s="800"/>
      <c r="M428" s="800"/>
      <c r="N428" s="800"/>
      <c r="O428" s="800"/>
      <c r="P428" s="800"/>
      <c r="Q428" s="800"/>
      <c r="R428" s="800"/>
      <c r="S428" s="800"/>
      <c r="T428" s="800"/>
      <c r="U428" s="800"/>
      <c r="V428" s="800"/>
    </row>
    <row r="429" spans="1:22" ht="18" customHeight="1">
      <c r="A429" s="800"/>
      <c r="B429" s="800"/>
      <c r="C429" s="728"/>
      <c r="D429" s="800"/>
      <c r="E429" s="800"/>
      <c r="F429" s="800"/>
      <c r="G429" s="800"/>
      <c r="H429" s="800"/>
      <c r="I429" s="800"/>
      <c r="J429" s="800"/>
      <c r="K429" s="800"/>
      <c r="L429" s="800"/>
      <c r="M429" s="800"/>
      <c r="N429" s="800"/>
      <c r="O429" s="800"/>
      <c r="P429" s="800"/>
      <c r="Q429" s="800"/>
      <c r="R429" s="800"/>
      <c r="S429" s="800"/>
      <c r="T429" s="800"/>
      <c r="U429" s="800"/>
      <c r="V429" s="800"/>
    </row>
    <row r="430" spans="1:22" ht="18" customHeight="1">
      <c r="A430" s="800"/>
      <c r="B430" s="800"/>
      <c r="C430" s="728"/>
      <c r="D430" s="800"/>
      <c r="E430" s="800"/>
      <c r="F430" s="800"/>
      <c r="G430" s="800"/>
      <c r="H430" s="800"/>
      <c r="I430" s="800"/>
      <c r="J430" s="800"/>
      <c r="K430" s="800"/>
      <c r="L430" s="800"/>
      <c r="M430" s="800"/>
      <c r="N430" s="800"/>
      <c r="O430" s="800"/>
      <c r="P430" s="800"/>
      <c r="Q430" s="800"/>
      <c r="R430" s="800"/>
      <c r="S430" s="800"/>
      <c r="T430" s="800"/>
      <c r="U430" s="800"/>
      <c r="V430" s="800"/>
    </row>
    <row r="431" spans="1:22" ht="18" customHeight="1">
      <c r="A431" s="733" t="str">
        <f>B7</f>
        <v>T1</v>
      </c>
      <c r="B431" s="733" t="str">
        <f>D7</f>
        <v>Core1</v>
      </c>
      <c r="C431" s="733"/>
      <c r="D431" s="732">
        <f>H10</f>
        <v>2500</v>
      </c>
      <c r="E431" s="732"/>
      <c r="F431" s="734">
        <f>O10</f>
        <v>1</v>
      </c>
      <c r="G431" s="732">
        <f>'CT-VT Burdens'!S19</f>
        <v>50</v>
      </c>
      <c r="H431" s="794">
        <f>'CT-VT Burdens'!S10</f>
        <v>6</v>
      </c>
      <c r="I431" s="794" t="str">
        <f>H11</f>
        <v>PX-A</v>
      </c>
      <c r="J431" s="794"/>
      <c r="K431" s="728">
        <f>H12</f>
        <v>5</v>
      </c>
      <c r="L431" s="728"/>
      <c r="M431" s="728">
        <f>H13</f>
        <v>3750</v>
      </c>
      <c r="N431" s="728"/>
      <c r="O431" s="732">
        <f>H14</f>
        <v>60</v>
      </c>
      <c r="P431" s="732"/>
      <c r="Q431" s="739" t="str">
        <f>IF(T8="",T7,IF(T9="",T7&amp;"+"&amp;T8,T7&amp;"+"&amp;T8&amp;"+"&amp;T9))</f>
        <v>RED670</v>
      </c>
      <c r="R431" s="739"/>
      <c r="S431" s="738" t="str">
        <f>H123</f>
        <v>Suitably Dimensioned</v>
      </c>
      <c r="T431" s="738"/>
      <c r="U431" s="738"/>
      <c r="V431" s="738"/>
    </row>
    <row r="432" spans="1:22" ht="18" customHeight="1">
      <c r="A432" s="733"/>
      <c r="B432" s="733"/>
      <c r="C432" s="733"/>
      <c r="D432" s="732" t="str">
        <f>J10</f>
        <v>-</v>
      </c>
      <c r="E432" s="732"/>
      <c r="F432" s="735"/>
      <c r="G432" s="732"/>
      <c r="H432" s="732"/>
      <c r="I432" s="794"/>
      <c r="J432" s="794"/>
      <c r="K432" s="801" t="s">
        <v>7</v>
      </c>
      <c r="L432" s="728"/>
      <c r="M432" s="801" t="s">
        <v>7</v>
      </c>
      <c r="N432" s="728"/>
      <c r="O432" s="799" t="s">
        <v>7</v>
      </c>
      <c r="P432" s="732"/>
      <c r="Q432" s="739"/>
      <c r="R432" s="739"/>
      <c r="S432" s="978" t="s">
        <v>7</v>
      </c>
      <c r="T432" s="738"/>
      <c r="U432" s="738"/>
      <c r="V432" s="738"/>
    </row>
    <row r="433" spans="1:22" ht="18" customHeight="1">
      <c r="A433" s="733"/>
      <c r="B433" s="733"/>
      <c r="C433" s="733"/>
      <c r="D433" s="732" t="str">
        <f>L10</f>
        <v>-</v>
      </c>
      <c r="E433" s="732"/>
      <c r="F433" s="736"/>
      <c r="G433" s="732"/>
      <c r="H433" s="732"/>
      <c r="I433" s="794"/>
      <c r="J433" s="794"/>
      <c r="K433" s="728" t="str">
        <f>L298</f>
        <v>-</v>
      </c>
      <c r="L433" s="728"/>
      <c r="M433" s="728" t="str">
        <f>L299</f>
        <v>-</v>
      </c>
      <c r="N433" s="728"/>
      <c r="O433" s="732" t="str">
        <f>L300</f>
        <v>-</v>
      </c>
      <c r="P433" s="732"/>
      <c r="Q433" s="739"/>
      <c r="R433" s="739"/>
      <c r="S433" s="738" t="s">
        <v>7</v>
      </c>
      <c r="T433" s="738"/>
      <c r="U433" s="738"/>
      <c r="V433" s="73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9"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9" ht="18" customHeight="1">
      <c r="A5" s="618" t="str">
        <f>[4]Title!A5</f>
        <v>Prep. By</v>
      </c>
      <c r="B5" s="619"/>
      <c r="C5" s="25" t="str">
        <f>[4]Title!C5</f>
        <v>AP</v>
      </c>
      <c r="D5" s="618" t="str">
        <f>[4]Title!D5</f>
        <v>Checked By</v>
      </c>
      <c r="E5" s="620"/>
      <c r="F5" s="619"/>
      <c r="G5" s="25" t="str">
        <f>[4]Title!G5</f>
        <v>RB</v>
      </c>
      <c r="H5" s="621" t="s">
        <v>935</v>
      </c>
      <c r="I5" s="622"/>
      <c r="J5" s="622"/>
      <c r="K5" s="622"/>
      <c r="L5" s="622"/>
      <c r="M5" s="622"/>
      <c r="N5" s="623"/>
      <c r="O5" s="624" t="str">
        <f>[4]Title!O5</f>
        <v>Contractor</v>
      </c>
      <c r="P5" s="625"/>
      <c r="Q5" s="626"/>
      <c r="R5" s="615" t="str">
        <f>Title!R5</f>
        <v>HITACHI</v>
      </c>
      <c r="S5" s="616"/>
      <c r="T5" s="616"/>
      <c r="U5" s="616"/>
      <c r="V5" s="617"/>
      <c r="W5" s="14"/>
      <c r="X5" s="14"/>
    </row>
    <row r="6" spans="1:29" ht="18" customHeight="1">
      <c r="A6" s="196"/>
      <c r="V6" s="197"/>
    </row>
    <row r="7" spans="1:29" ht="18" customHeight="1">
      <c r="A7" s="196"/>
      <c r="B7" s="948" t="s">
        <v>120</v>
      </c>
      <c r="C7" s="949"/>
      <c r="D7" s="948" t="s">
        <v>517</v>
      </c>
      <c r="E7" s="949"/>
      <c r="F7" s="1168"/>
      <c r="G7" s="1168"/>
      <c r="H7" s="664"/>
      <c r="I7" s="664"/>
      <c r="J7" s="664"/>
      <c r="K7" s="664"/>
      <c r="L7" s="664"/>
      <c r="M7" s="664"/>
      <c r="P7" s="198"/>
      <c r="S7" s="199" t="s">
        <v>398</v>
      </c>
      <c r="T7" s="948" t="s">
        <v>920</v>
      </c>
      <c r="U7" s="949"/>
      <c r="V7" s="197"/>
    </row>
    <row r="8" spans="1:29" ht="18" customHeight="1">
      <c r="A8" s="196"/>
      <c r="B8" s="571"/>
      <c r="C8" s="571"/>
      <c r="D8" s="571"/>
      <c r="E8" s="571"/>
      <c r="F8" s="468"/>
      <c r="T8" s="948"/>
      <c r="U8" s="949"/>
      <c r="V8" s="197"/>
    </row>
    <row r="9" spans="1:29" ht="18" customHeight="1">
      <c r="A9" s="196"/>
      <c r="H9" s="666" t="s">
        <v>401</v>
      </c>
      <c r="I9" s="666"/>
      <c r="J9" s="667" t="s">
        <v>402</v>
      </c>
      <c r="K9" s="667"/>
      <c r="L9" s="667" t="s">
        <v>403</v>
      </c>
      <c r="M9" s="667"/>
      <c r="T9" s="948"/>
      <c r="U9" s="949"/>
      <c r="V9" s="197"/>
    </row>
    <row r="10" spans="1:29" ht="18" customHeight="1">
      <c r="A10" s="196"/>
      <c r="B10" s="47" t="s">
        <v>404</v>
      </c>
      <c r="H10" s="957">
        <v>2500</v>
      </c>
      <c r="I10" s="958"/>
      <c r="J10" s="948" t="s">
        <v>7</v>
      </c>
      <c r="K10" s="949"/>
      <c r="L10" s="948" t="s">
        <v>7</v>
      </c>
      <c r="M10" s="949"/>
      <c r="N10" s="203" t="s">
        <v>353</v>
      </c>
      <c r="O10" s="515">
        <v>1</v>
      </c>
      <c r="P10" s="27" t="s">
        <v>9</v>
      </c>
      <c r="V10" s="197"/>
    </row>
    <row r="11" spans="1:29" ht="18" customHeight="1">
      <c r="A11" s="196"/>
      <c r="B11" s="47" t="s">
        <v>405</v>
      </c>
      <c r="H11" s="948" t="s">
        <v>850</v>
      </c>
      <c r="I11" s="949"/>
      <c r="V11" s="197"/>
    </row>
    <row r="12" spans="1:29" ht="18" customHeight="1">
      <c r="A12" s="196"/>
      <c r="B12" s="47" t="s">
        <v>407</v>
      </c>
      <c r="G12" s="120" t="s">
        <v>508</v>
      </c>
      <c r="H12" s="948">
        <v>5</v>
      </c>
      <c r="I12" s="949"/>
      <c r="J12" s="204" t="s">
        <v>344</v>
      </c>
      <c r="V12" s="197"/>
    </row>
    <row r="13" spans="1:29" ht="18" customHeight="1">
      <c r="A13" s="196"/>
      <c r="B13" s="47" t="s">
        <v>409</v>
      </c>
      <c r="G13" s="120" t="s">
        <v>509</v>
      </c>
      <c r="H13" s="948">
        <v>3750</v>
      </c>
      <c r="I13" s="949"/>
      <c r="J13" s="14" t="s">
        <v>316</v>
      </c>
      <c r="V13" s="197"/>
      <c r="W13" s="30" t="s">
        <v>411</v>
      </c>
      <c r="AB13" s="1022">
        <f>M118</f>
        <v>663.9492892666284</v>
      </c>
      <c r="AC13" s="1023"/>
    </row>
    <row r="14" spans="1:29" ht="18" customHeight="1">
      <c r="A14" s="196"/>
      <c r="B14" s="14" t="s">
        <v>412</v>
      </c>
      <c r="G14" s="120" t="s">
        <v>413</v>
      </c>
      <c r="H14" s="948">
        <v>60</v>
      </c>
      <c r="I14" s="949"/>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0.44875935000000006</v>
      </c>
      <c r="K21" s="1172"/>
      <c r="L21" s="439" t="s">
        <v>168</v>
      </c>
      <c r="V21" s="197"/>
    </row>
    <row r="22" spans="1:22" ht="18" customHeight="1">
      <c r="A22" s="196"/>
      <c r="B22" s="217" t="s">
        <v>424</v>
      </c>
      <c r="C22" s="218"/>
      <c r="D22" s="218"/>
      <c r="E22" s="218"/>
      <c r="F22" s="219"/>
      <c r="G22" s="219"/>
      <c r="H22" s="202" t="s">
        <v>420</v>
      </c>
      <c r="I22" s="220" t="s">
        <v>138</v>
      </c>
      <c r="J22" s="896">
        <f>SUM(J19:K21)</f>
        <v>0.44875935000000006</v>
      </c>
      <c r="K22" s="860"/>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0.44875935000000006</v>
      </c>
      <c r="P26" s="561" t="s">
        <v>421</v>
      </c>
      <c r="Q26" s="257">
        <f>O10</f>
        <v>1</v>
      </c>
      <c r="R26" s="257" t="s">
        <v>326</v>
      </c>
      <c r="S26" s="257">
        <f>O10</f>
        <v>1</v>
      </c>
      <c r="T26" s="254" t="s">
        <v>361</v>
      </c>
      <c r="V26" s="197"/>
    </row>
    <row r="27" spans="1:22" ht="18" customHeight="1">
      <c r="A27" s="196"/>
      <c r="B27" s="560"/>
      <c r="C27" s="257" t="s">
        <v>138</v>
      </c>
      <c r="D27" s="680">
        <f>D26/(F26*H26)</f>
        <v>0.02</v>
      </c>
      <c r="E27" s="680"/>
      <c r="F27" s="562" t="s">
        <v>344</v>
      </c>
      <c r="G27" s="254"/>
      <c r="H27" s="254"/>
      <c r="I27" s="254"/>
      <c r="J27" s="516"/>
      <c r="K27" s="254"/>
      <c r="L27" s="560"/>
      <c r="M27" s="254"/>
      <c r="N27" s="257" t="s">
        <v>138</v>
      </c>
      <c r="O27" s="680">
        <f>O26/(Q26*S26)</f>
        <v>0.44875935000000006</v>
      </c>
      <c r="P27" s="68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80">
        <f>D27</f>
        <v>0.02</v>
      </c>
      <c r="N29" s="680"/>
      <c r="O29" s="257" t="s">
        <v>358</v>
      </c>
      <c r="P29" s="680">
        <f>O27</f>
        <v>0.44875935000000006</v>
      </c>
      <c r="Q29" s="680"/>
      <c r="R29" s="555" t="s">
        <v>138</v>
      </c>
      <c r="S29" s="680">
        <f>M29+P29</f>
        <v>0.46875935000000007</v>
      </c>
      <c r="T29" s="68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18" t="s">
        <v>879</v>
      </c>
      <c r="B35" s="972"/>
      <c r="C35" s="972"/>
      <c r="D35" s="972"/>
      <c r="E35" s="972"/>
      <c r="F35" s="972"/>
      <c r="G35" s="972"/>
      <c r="H35" s="972"/>
      <c r="I35" s="972"/>
      <c r="J35" s="972"/>
      <c r="K35" s="972"/>
      <c r="L35" s="972"/>
      <c r="M35" s="972"/>
      <c r="N35" s="972"/>
      <c r="O35" s="972"/>
      <c r="P35" s="972"/>
      <c r="Q35" s="972"/>
      <c r="R35" s="972"/>
      <c r="S35" s="972"/>
      <c r="T35" s="972"/>
      <c r="U35" s="972"/>
      <c r="V35" s="973"/>
      <c r="AA35" s="209"/>
    </row>
    <row r="36" spans="1:27" s="291" customFormat="1" ht="18" customHeight="1">
      <c r="A36" s="974"/>
      <c r="B36" s="972"/>
      <c r="C36" s="972"/>
      <c r="D36" s="972"/>
      <c r="E36" s="972"/>
      <c r="F36" s="972"/>
      <c r="G36" s="972"/>
      <c r="H36" s="972"/>
      <c r="I36" s="972"/>
      <c r="J36" s="972"/>
      <c r="K36" s="972"/>
      <c r="L36" s="972"/>
      <c r="M36" s="972"/>
      <c r="N36" s="972"/>
      <c r="O36" s="972"/>
      <c r="P36" s="972"/>
      <c r="Q36" s="972"/>
      <c r="R36" s="972"/>
      <c r="S36" s="972"/>
      <c r="T36" s="972"/>
      <c r="U36" s="972"/>
      <c r="V36" s="973"/>
    </row>
    <row r="37" spans="1:27" s="291" customFormat="1" ht="18" customHeight="1">
      <c r="A37" s="921">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921"/>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664" t="s">
        <v>882</v>
      </c>
      <c r="E39" s="987"/>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64" t="s">
        <v>882</v>
      </c>
      <c r="K41" s="987"/>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64" t="s">
        <v>882</v>
      </c>
      <c r="K47" s="987"/>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664" t="s">
        <v>882</v>
      </c>
      <c r="E51" s="987"/>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64" t="s">
        <v>882</v>
      </c>
      <c r="K53" s="987"/>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664" t="s">
        <v>882</v>
      </c>
      <c r="K56" s="987"/>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665">
        <f>'Parameters &amp; Fault Cal. (4)'!Q10 *1000</f>
        <v>50000</v>
      </c>
      <c r="U59" s="665"/>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665">
        <f>H10</f>
        <v>2500</v>
      </c>
      <c r="U60" s="665"/>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668">
        <f>T59/T60</f>
        <v>20</v>
      </c>
      <c r="U61" s="668"/>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665">
        <f>H12</f>
        <v>5</v>
      </c>
      <c r="U62" s="665"/>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668">
        <f>S29</f>
        <v>0.46875935000000007</v>
      </c>
      <c r="U63" s="668"/>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665">
        <f>O10</f>
        <v>1</v>
      </c>
      <c r="U64" s="665"/>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6">
        <f>'Parameters &amp; Fault Cal. (4)'!Q11</f>
        <v>15</v>
      </c>
      <c r="U65" s="1177"/>
      <c r="V65" s="197"/>
    </row>
    <row r="66" spans="1:22" ht="18" customHeight="1">
      <c r="A66" s="337"/>
      <c r="B66" s="14" t="s">
        <v>893</v>
      </c>
      <c r="F66" s="14"/>
      <c r="G66" s="166"/>
      <c r="H66" s="102"/>
      <c r="I66" s="28"/>
      <c r="J66" s="27"/>
      <c r="K66" s="14"/>
      <c r="O66" s="47"/>
      <c r="P66" s="14"/>
      <c r="Q66" s="14"/>
      <c r="R66" s="14"/>
      <c r="S66" s="120"/>
      <c r="T66" s="948">
        <v>150</v>
      </c>
      <c r="U66" s="949"/>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664" t="s">
        <v>882</v>
      </c>
      <c r="C69" s="664"/>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669">
        <f>T61</f>
        <v>20</v>
      </c>
      <c r="C70" s="669"/>
      <c r="D70" s="28" t="s">
        <v>326</v>
      </c>
      <c r="E70" s="28">
        <f>T65</f>
        <v>15</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41">
        <f>B70*E70</f>
        <v>300</v>
      </c>
      <c r="E71" s="1161"/>
      <c r="F71" s="14"/>
      <c r="G71" s="166" t="s">
        <v>710</v>
      </c>
      <c r="H71" s="102"/>
      <c r="I71" s="664">
        <f>I70*K70</f>
        <v>1000</v>
      </c>
      <c r="J71" s="665"/>
      <c r="K71" s="14"/>
      <c r="O71" s="47"/>
      <c r="P71" s="14"/>
      <c r="Q71" s="14"/>
      <c r="R71" s="14"/>
      <c r="S71" s="120" t="s">
        <v>895</v>
      </c>
      <c r="T71" s="1175" t="b">
        <f>IF(D71&lt;=I71,TRUE,FALSE)</f>
        <v>1</v>
      </c>
      <c r="U71" s="1175"/>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664" t="s">
        <v>882</v>
      </c>
      <c r="J74" s="987"/>
      <c r="K74" s="28" t="s">
        <v>326</v>
      </c>
      <c r="L74" s="28" t="s">
        <v>352</v>
      </c>
      <c r="M74" s="47" t="s">
        <v>361</v>
      </c>
      <c r="N74" s="196"/>
      <c r="O74" s="47" t="s">
        <v>897</v>
      </c>
      <c r="P74" s="27"/>
      <c r="Q74" s="28" t="s">
        <v>138</v>
      </c>
      <c r="R74" s="668">
        <f>MAX(E76,E77)</f>
        <v>65</v>
      </c>
      <c r="S74" s="665"/>
      <c r="V74" s="197"/>
    </row>
    <row r="75" spans="1:22" ht="18" customHeight="1">
      <c r="A75" s="196"/>
      <c r="B75" s="14"/>
      <c r="C75" s="28"/>
      <c r="D75" s="28" t="s">
        <v>540</v>
      </c>
      <c r="E75" s="28">
        <v>40</v>
      </c>
      <c r="F75" s="28" t="s">
        <v>358</v>
      </c>
      <c r="G75" s="233" t="str">
        <f>IF(T66=150,"0.07","0.35")</f>
        <v>0.07</v>
      </c>
      <c r="H75" s="28" t="s">
        <v>683</v>
      </c>
      <c r="I75" s="669">
        <f>T61</f>
        <v>20</v>
      </c>
      <c r="J75" s="987"/>
      <c r="K75" s="28" t="s">
        <v>326</v>
      </c>
      <c r="L75" s="28">
        <f>T65</f>
        <v>15</v>
      </c>
      <c r="M75" s="47" t="s">
        <v>361</v>
      </c>
      <c r="N75" s="196"/>
      <c r="V75" s="197"/>
    </row>
    <row r="76" spans="1:22" ht="18" customHeight="1">
      <c r="A76" s="196"/>
      <c r="B76" s="14"/>
      <c r="C76" s="28"/>
      <c r="D76" s="28" t="s">
        <v>540</v>
      </c>
      <c r="E76" s="669">
        <f>E75+(G75*(I75*L75))</f>
        <v>61</v>
      </c>
      <c r="F76" s="669"/>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664" t="s">
        <v>882</v>
      </c>
      <c r="I79" s="987"/>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669">
        <f>T61</f>
        <v>20</v>
      </c>
      <c r="I80" s="987"/>
      <c r="J80" s="28" t="s">
        <v>326</v>
      </c>
      <c r="K80" s="28">
        <f>T65</f>
        <v>15</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8">
        <f>B80*D80</f>
        <v>1000</v>
      </c>
      <c r="D81" s="1178"/>
      <c r="E81" s="261"/>
      <c r="F81" s="28" t="s">
        <v>886</v>
      </c>
      <c r="G81" s="14"/>
      <c r="H81" s="14"/>
      <c r="I81" s="941">
        <f>H80*K80</f>
        <v>300</v>
      </c>
      <c r="J81" s="941"/>
      <c r="K81" s="14"/>
      <c r="L81" s="14"/>
      <c r="M81" s="166" t="s">
        <v>710</v>
      </c>
      <c r="N81" s="102"/>
      <c r="O81" s="991">
        <f>O80*Q80</f>
        <v>2600</v>
      </c>
      <c r="P81" s="987"/>
      <c r="Q81" s="14"/>
      <c r="R81" s="14"/>
      <c r="S81" s="120" t="s">
        <v>895</v>
      </c>
      <c r="T81" s="1175" t="b">
        <f>IF(AND(C81&lt;I81,I81&lt;=O81)=TRUE,TRUE,FALSE)</f>
        <v>0</v>
      </c>
      <c r="U81" s="1175"/>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65</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65</v>
      </c>
      <c r="G89" s="27" t="s">
        <v>326</v>
      </c>
      <c r="H89" s="27">
        <f>T64</f>
        <v>1</v>
      </c>
      <c r="I89" s="27" t="s">
        <v>383</v>
      </c>
      <c r="J89" s="27">
        <f>T62</f>
        <v>5</v>
      </c>
      <c r="K89" s="27" t="s">
        <v>358</v>
      </c>
      <c r="L89" s="223">
        <f>T63</f>
        <v>0.46875935000000007</v>
      </c>
      <c r="M89" s="30" t="s">
        <v>361</v>
      </c>
      <c r="V89" s="197"/>
    </row>
    <row r="90" spans="1:22" ht="18.600000000000001" customHeight="1">
      <c r="A90" s="196"/>
      <c r="B90" s="14"/>
      <c r="D90" s="14"/>
      <c r="E90" s="27" t="s">
        <v>540</v>
      </c>
      <c r="F90" s="926">
        <f>F89*H89*(J89+L89)</f>
        <v>355.46935775000003</v>
      </c>
      <c r="G90" s="92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65">
        <f>H13</f>
        <v>3750</v>
      </c>
      <c r="E92" s="665"/>
      <c r="F92" s="27" t="str">
        <f>F91</f>
        <v>&gt;</v>
      </c>
      <c r="G92" s="816">
        <f>F90</f>
        <v>355.46935775000003</v>
      </c>
      <c r="H92" s="816"/>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71" t="s">
        <v>901</v>
      </c>
      <c r="B98" s="1074"/>
      <c r="C98" s="1074"/>
      <c r="D98" s="1074"/>
      <c r="E98" s="1074"/>
      <c r="F98" s="1074"/>
      <c r="G98" s="1074"/>
      <c r="H98" s="1074"/>
      <c r="I98" s="1074"/>
      <c r="J98" s="1074"/>
      <c r="K98" s="1074"/>
      <c r="L98" s="1074"/>
      <c r="M98" s="1074"/>
      <c r="N98" s="1074"/>
      <c r="O98" s="1074"/>
      <c r="P98" s="1074"/>
      <c r="Q98" s="1074"/>
      <c r="R98" s="1074"/>
      <c r="S98" s="1074"/>
      <c r="T98" s="1074"/>
      <c r="U98" s="1074"/>
      <c r="V98" s="1075"/>
    </row>
    <row r="99" spans="1:22" ht="18" customHeight="1">
      <c r="A99" s="205"/>
      <c r="B99" s="14"/>
      <c r="F99" s="14" t="s">
        <v>902</v>
      </c>
      <c r="G99" s="14" t="s">
        <v>138</v>
      </c>
      <c r="H99" s="1166">
        <f>'Parameters &amp; Fault Cal. (4)'!E52</f>
        <v>1.3850447572013791</v>
      </c>
      <c r="I99" s="1166"/>
      <c r="J99" s="120"/>
      <c r="K99" s="14" t="str">
        <f>IF(H99&gt;2,"Since SIR is &gt;2, the below calculation is not applicable","")</f>
        <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76" t="s">
        <v>903</v>
      </c>
      <c r="I101" s="976"/>
      <c r="J101" s="27" t="s">
        <v>326</v>
      </c>
      <c r="K101" s="976" t="s">
        <v>855</v>
      </c>
      <c r="L101" s="976"/>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76" t="s">
        <v>903</v>
      </c>
      <c r="H103" s="976"/>
      <c r="I103" s="230" t="s">
        <v>138</v>
      </c>
      <c r="J103" s="216" t="s">
        <v>905</v>
      </c>
      <c r="K103" s="14"/>
      <c r="L103" s="14"/>
      <c r="M103" s="14"/>
      <c r="N103" s="14"/>
      <c r="O103" s="120"/>
      <c r="P103" s="120"/>
      <c r="Q103" s="14"/>
      <c r="R103" s="14"/>
      <c r="S103" s="28" t="s">
        <v>138</v>
      </c>
      <c r="T103" s="47">
        <v>1.4</v>
      </c>
      <c r="U103" s="14"/>
      <c r="V103" s="97"/>
    </row>
    <row r="104" spans="1:22" ht="18" customHeight="1">
      <c r="A104" s="205"/>
      <c r="G104" s="976" t="s">
        <v>855</v>
      </c>
      <c r="H104" s="976"/>
      <c r="I104" s="230" t="s">
        <v>138</v>
      </c>
      <c r="J104" s="216" t="s">
        <v>906</v>
      </c>
      <c r="K104" s="14"/>
      <c r="L104" s="14"/>
      <c r="M104" s="14"/>
      <c r="N104" s="14"/>
      <c r="O104" s="120"/>
      <c r="P104" s="120"/>
      <c r="Q104" s="14"/>
      <c r="R104" s="14"/>
      <c r="S104" s="28" t="s">
        <v>138</v>
      </c>
      <c r="T104" s="993">
        <f>T61</f>
        <v>20</v>
      </c>
      <c r="U104" s="991"/>
      <c r="V104" s="97" t="s">
        <v>9</v>
      </c>
    </row>
    <row r="105" spans="1:22" ht="18" customHeight="1">
      <c r="A105" s="205"/>
      <c r="U105" s="14"/>
      <c r="V105" s="97"/>
    </row>
    <row r="106" spans="1:22" ht="18" customHeight="1">
      <c r="A106" s="205"/>
      <c r="F106" s="30" t="s">
        <v>484</v>
      </c>
      <c r="G106" s="27" t="s">
        <v>540</v>
      </c>
      <c r="H106" s="976" t="s">
        <v>903</v>
      </c>
      <c r="I106" s="976"/>
      <c r="J106" s="27" t="s">
        <v>326</v>
      </c>
      <c r="K106" s="976" t="s">
        <v>855</v>
      </c>
      <c r="L106" s="976"/>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76">
        <f>T103</f>
        <v>1.4</v>
      </c>
      <c r="I107" s="976"/>
      <c r="J107" s="27" t="s">
        <v>326</v>
      </c>
      <c r="K107" s="680">
        <f>T104</f>
        <v>20</v>
      </c>
      <c r="L107" s="976"/>
      <c r="M107" s="27" t="s">
        <v>326</v>
      </c>
      <c r="N107" s="256" t="s">
        <v>430</v>
      </c>
      <c r="O107" s="27">
        <f>T62</f>
        <v>5</v>
      </c>
      <c r="P107" s="27" t="s">
        <v>358</v>
      </c>
      <c r="Q107" s="223">
        <f>T63</f>
        <v>0.46875935000000007</v>
      </c>
      <c r="R107" s="30" t="s">
        <v>361</v>
      </c>
      <c r="V107" s="97"/>
    </row>
    <row r="108" spans="1:22" ht="18" customHeight="1">
      <c r="A108" s="196"/>
      <c r="F108" s="30" t="s">
        <v>484</v>
      </c>
      <c r="G108" s="27" t="s">
        <v>540</v>
      </c>
      <c r="H108" s="1179">
        <f>H107*K107*(O107+Q107)</f>
        <v>153.1252618</v>
      </c>
      <c r="I108" s="1180"/>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788" t="s">
        <v>909</v>
      </c>
      <c r="F110" s="788"/>
      <c r="G110" s="27" t="s">
        <v>326</v>
      </c>
      <c r="H110" s="788" t="s">
        <v>910</v>
      </c>
      <c r="I110" s="788"/>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788" t="s">
        <v>909</v>
      </c>
      <c r="E112" s="976"/>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788" t="s">
        <v>910</v>
      </c>
      <c r="E113" s="976"/>
      <c r="F113" s="230" t="s">
        <v>138</v>
      </c>
      <c r="G113" s="269" t="s">
        <v>913</v>
      </c>
      <c r="H113" s="14"/>
      <c r="I113" s="14"/>
      <c r="J113" s="14"/>
      <c r="K113" s="14"/>
      <c r="L113" s="120"/>
      <c r="M113" s="120"/>
      <c r="N113" s="14"/>
      <c r="O113" s="14"/>
      <c r="S113" s="28" t="s">
        <v>138</v>
      </c>
      <c r="T113" s="993">
        <f>'Parameters &amp; Fault Cal. (4)'!M110/T60</f>
        <v>12.646631506761608</v>
      </c>
      <c r="U113" s="991"/>
      <c r="V113" s="97" t="s">
        <v>9</v>
      </c>
    </row>
    <row r="114" spans="1:22" ht="18" customHeight="1">
      <c r="A114" s="96"/>
      <c r="B114" s="47"/>
      <c r="C114" s="120"/>
      <c r="S114" s="14"/>
      <c r="T114" s="14"/>
      <c r="U114" s="14"/>
      <c r="V114" s="97"/>
    </row>
    <row r="115" spans="1:22" ht="18" customHeight="1">
      <c r="A115" s="196"/>
      <c r="C115" s="30" t="s">
        <v>484</v>
      </c>
      <c r="D115" s="27" t="s">
        <v>540</v>
      </c>
      <c r="E115" s="788" t="s">
        <v>909</v>
      </c>
      <c r="F115" s="788"/>
      <c r="G115" s="27" t="s">
        <v>326</v>
      </c>
      <c r="H115" s="788" t="s">
        <v>910</v>
      </c>
      <c r="I115" s="788"/>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788">
        <f>T112</f>
        <v>0.6</v>
      </c>
      <c r="F116" s="788"/>
      <c r="G116" s="27" t="s">
        <v>326</v>
      </c>
      <c r="H116" s="1080">
        <f>T113</f>
        <v>12.646631506761608</v>
      </c>
      <c r="I116" s="788"/>
      <c r="J116" s="28" t="s">
        <v>683</v>
      </c>
      <c r="K116" s="27">
        <v>1</v>
      </c>
      <c r="L116" s="14" t="s">
        <v>358</v>
      </c>
      <c r="M116" s="28">
        <f>T65</f>
        <v>15</v>
      </c>
      <c r="N116" s="14" t="s">
        <v>911</v>
      </c>
      <c r="O116" s="27">
        <f>T62</f>
        <v>5</v>
      </c>
      <c r="P116" s="27" t="s">
        <v>358</v>
      </c>
      <c r="Q116" s="223">
        <f>T63</f>
        <v>0.46875935000000007</v>
      </c>
      <c r="R116" s="30" t="s">
        <v>361</v>
      </c>
      <c r="V116" s="97"/>
    </row>
    <row r="117" spans="1:22" ht="18" customHeight="1">
      <c r="A117" s="196"/>
      <c r="C117" s="30" t="s">
        <v>484</v>
      </c>
      <c r="D117" s="27" t="s">
        <v>540</v>
      </c>
      <c r="E117" s="1181">
        <f>E116*H116*((K116+M116)*(O116+Q116))</f>
        <v>663.9492892666284</v>
      </c>
      <c r="F117" s="1182"/>
      <c r="G117" s="14" t="s">
        <v>907</v>
      </c>
      <c r="V117" s="97"/>
    </row>
    <row r="118" spans="1:22" ht="18" customHeight="1">
      <c r="A118" s="96"/>
      <c r="B118" s="472" t="s">
        <v>914</v>
      </c>
      <c r="C118" s="28"/>
      <c r="D118" s="28"/>
      <c r="E118" s="14"/>
      <c r="F118" s="14"/>
      <c r="G118" s="120"/>
      <c r="H118" s="120"/>
      <c r="I118" s="47"/>
      <c r="J118" s="568"/>
      <c r="K118" s="14"/>
      <c r="L118" s="14"/>
      <c r="M118" s="926">
        <f>MAX(F90,H108,E117)</f>
        <v>663.9492892666284</v>
      </c>
      <c r="N118" s="92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65">
        <f>H13</f>
        <v>3750</v>
      </c>
      <c r="E121" s="665"/>
      <c r="F121" s="27" t="str">
        <f>F120</f>
        <v>&gt;</v>
      </c>
      <c r="G121" s="816">
        <f>M118</f>
        <v>663.9492892666284</v>
      </c>
      <c r="H121" s="816"/>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08" t="str">
        <f>B7</f>
        <v>T1</v>
      </c>
      <c r="C127" s="709"/>
      <c r="D127" s="1188" t="str">
        <f>D7</f>
        <v>Core2</v>
      </c>
      <c r="E127" s="1189"/>
      <c r="F127" s="1168">
        <f>F7</f>
        <v>0</v>
      </c>
      <c r="G127" s="1168"/>
      <c r="H127" s="664">
        <f>H7</f>
        <v>0</v>
      </c>
      <c r="I127" s="664"/>
      <c r="J127" s="664"/>
      <c r="K127" s="664"/>
      <c r="L127" s="664"/>
      <c r="M127" s="664"/>
      <c r="P127" s="198"/>
      <c r="S127" s="199" t="s">
        <v>398</v>
      </c>
      <c r="T127" s="708" t="str">
        <f>T7</f>
        <v>P545</v>
      </c>
      <c r="U127" s="709"/>
      <c r="V127" s="197"/>
    </row>
    <row r="128" spans="1:22" ht="18" hidden="1" customHeight="1">
      <c r="A128" s="196"/>
      <c r="B128" s="707">
        <f>B8</f>
        <v>0</v>
      </c>
      <c r="C128" s="707"/>
      <c r="D128" s="1188">
        <f>D8</f>
        <v>0</v>
      </c>
      <c r="E128" s="1189"/>
      <c r="F128" s="468"/>
      <c r="T128" s="708">
        <f>T8</f>
        <v>0</v>
      </c>
      <c r="U128" s="709"/>
      <c r="V128" s="197"/>
    </row>
    <row r="129" spans="1:29" ht="18" hidden="1" customHeight="1">
      <c r="A129" s="196"/>
      <c r="H129" s="696" t="s">
        <v>401</v>
      </c>
      <c r="I129" s="696"/>
      <c r="J129" s="666" t="s">
        <v>402</v>
      </c>
      <c r="K129" s="666"/>
      <c r="L129" s="667" t="s">
        <v>403</v>
      </c>
      <c r="M129" s="667"/>
      <c r="T129" s="708">
        <f>T9</f>
        <v>0</v>
      </c>
      <c r="U129" s="709"/>
      <c r="V129" s="197"/>
    </row>
    <row r="130" spans="1:29" ht="18" hidden="1" customHeight="1">
      <c r="A130" s="196"/>
      <c r="B130" s="47" t="s">
        <v>404</v>
      </c>
      <c r="H130" s="708">
        <f>H10</f>
        <v>2500</v>
      </c>
      <c r="I130" s="709"/>
      <c r="J130" s="714" t="str">
        <f>J10</f>
        <v>-</v>
      </c>
      <c r="K130" s="715"/>
      <c r="L130" s="708" t="str">
        <f>L10</f>
        <v>-</v>
      </c>
      <c r="M130" s="709"/>
      <c r="N130" s="203" t="s">
        <v>353</v>
      </c>
      <c r="O130" s="268">
        <f>O10</f>
        <v>1</v>
      </c>
      <c r="P130" s="27" t="s">
        <v>9</v>
      </c>
      <c r="V130" s="197"/>
    </row>
    <row r="131" spans="1:29" ht="18" hidden="1" customHeight="1">
      <c r="A131" s="196"/>
      <c r="B131" s="47" t="s">
        <v>405</v>
      </c>
      <c r="J131" s="708" t="str">
        <f>H11</f>
        <v>PX-A</v>
      </c>
      <c r="K131" s="709"/>
      <c r="V131" s="197"/>
    </row>
    <row r="132" spans="1:29" ht="18" hidden="1" customHeight="1">
      <c r="A132" s="196"/>
      <c r="B132" s="47" t="s">
        <v>407</v>
      </c>
      <c r="I132" s="120" t="s">
        <v>508</v>
      </c>
      <c r="J132" s="948">
        <v>10</v>
      </c>
      <c r="K132" s="949"/>
      <c r="L132" s="204" t="s">
        <v>344</v>
      </c>
      <c r="V132" s="197"/>
    </row>
    <row r="133" spans="1:29" ht="18" hidden="1" customHeight="1">
      <c r="A133" s="196"/>
      <c r="B133" s="47" t="s">
        <v>409</v>
      </c>
      <c r="I133" s="120" t="s">
        <v>509</v>
      </c>
      <c r="J133" s="948">
        <v>3000</v>
      </c>
      <c r="K133" s="949"/>
      <c r="L133" s="14" t="s">
        <v>316</v>
      </c>
      <c r="V133" s="197"/>
      <c r="W133" s="30" t="s">
        <v>411</v>
      </c>
      <c r="AB133" s="1022" t="e">
        <f>M237</f>
        <v>#VALUE!</v>
      </c>
      <c r="AC133" s="1023"/>
    </row>
    <row r="134" spans="1:29" ht="18" hidden="1" customHeight="1">
      <c r="A134" s="196"/>
      <c r="B134" s="14" t="s">
        <v>412</v>
      </c>
      <c r="I134" s="120" t="s">
        <v>413</v>
      </c>
      <c r="J134" s="948">
        <v>30</v>
      </c>
      <c r="K134" s="949"/>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896">
        <f>J18</f>
        <v>0.02</v>
      </c>
      <c r="K138" s="679"/>
      <c r="L138" s="214" t="s">
        <v>168</v>
      </c>
      <c r="V138" s="197"/>
    </row>
    <row r="139" spans="1:29" ht="18" hidden="1" customHeight="1">
      <c r="A139" s="196"/>
      <c r="B139" s="196" t="s">
        <v>416</v>
      </c>
      <c r="D139" s="308">
        <f>T128</f>
        <v>0</v>
      </c>
      <c r="I139" s="28" t="s">
        <v>138</v>
      </c>
      <c r="J139" s="896">
        <f>J19</f>
        <v>0</v>
      </c>
      <c r="K139" s="860"/>
      <c r="L139" s="309" t="s">
        <v>168</v>
      </c>
      <c r="V139" s="197"/>
    </row>
    <row r="140" spans="1:29" ht="18" hidden="1" customHeight="1">
      <c r="A140" s="196"/>
      <c r="B140" s="196" t="s">
        <v>416</v>
      </c>
      <c r="D140" s="308">
        <f>T129</f>
        <v>0</v>
      </c>
      <c r="E140" s="14"/>
      <c r="G140" s="211"/>
      <c r="H140" s="27"/>
      <c r="I140" s="101" t="s">
        <v>138</v>
      </c>
      <c r="J140" s="699">
        <f>J20</f>
        <v>0</v>
      </c>
      <c r="K140" s="861"/>
      <c r="L140" s="439" t="s">
        <v>168</v>
      </c>
      <c r="V140" s="197"/>
    </row>
    <row r="141" spans="1:29" ht="18" hidden="1" customHeight="1">
      <c r="A141" s="196"/>
      <c r="B141" s="196" t="s">
        <v>423</v>
      </c>
      <c r="H141" s="27"/>
      <c r="I141" s="189" t="s">
        <v>138</v>
      </c>
      <c r="J141" s="1026">
        <f>J21</f>
        <v>0.44875935000000006</v>
      </c>
      <c r="K141" s="1186"/>
      <c r="L141" s="439" t="s">
        <v>168</v>
      </c>
      <c r="V141" s="197"/>
    </row>
    <row r="142" spans="1:29" ht="18" hidden="1" customHeight="1">
      <c r="A142" s="196"/>
      <c r="B142" s="217" t="s">
        <v>424</v>
      </c>
      <c r="C142" s="218"/>
      <c r="D142" s="218"/>
      <c r="E142" s="218"/>
      <c r="F142" s="219"/>
      <c r="G142" s="219"/>
      <c r="H142" s="202" t="s">
        <v>420</v>
      </c>
      <c r="I142" s="220" t="s">
        <v>138</v>
      </c>
      <c r="J142" s="896">
        <f>SUM(J139:K141)</f>
        <v>0.44875935000000006</v>
      </c>
      <c r="K142" s="860"/>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0.44875935000000006</v>
      </c>
      <c r="P146" s="561" t="s">
        <v>421</v>
      </c>
      <c r="Q146" s="257">
        <f>O130</f>
        <v>1</v>
      </c>
      <c r="R146" s="257" t="s">
        <v>326</v>
      </c>
      <c r="S146" s="257">
        <f>O130</f>
        <v>1</v>
      </c>
      <c r="T146" s="254" t="s">
        <v>361</v>
      </c>
      <c r="V146" s="197"/>
    </row>
    <row r="147" spans="1:22" ht="18" hidden="1" customHeight="1">
      <c r="A147" s="196"/>
      <c r="B147" s="560"/>
      <c r="C147" s="257" t="s">
        <v>138</v>
      </c>
      <c r="D147" s="680">
        <f>D146/(F146*H146)</f>
        <v>0.02</v>
      </c>
      <c r="E147" s="680"/>
      <c r="F147" s="562" t="s">
        <v>344</v>
      </c>
      <c r="G147" s="254"/>
      <c r="H147" s="254"/>
      <c r="I147" s="254"/>
      <c r="J147" s="516"/>
      <c r="K147" s="254"/>
      <c r="L147" s="560"/>
      <c r="M147" s="254"/>
      <c r="N147" s="257" t="s">
        <v>138</v>
      </c>
      <c r="O147" s="680">
        <f>O146/(Q146*S146)</f>
        <v>0.44875935000000006</v>
      </c>
      <c r="P147" s="680"/>
      <c r="Q147" s="562" t="s">
        <v>344</v>
      </c>
      <c r="R147" s="254"/>
      <c r="S147" s="254"/>
      <c r="T147" s="254"/>
      <c r="V147" s="197"/>
    </row>
    <row r="148" spans="1:22" ht="18" hidden="1" customHeight="1">
      <c r="A148" s="196"/>
      <c r="B148" s="47" t="s">
        <v>874</v>
      </c>
      <c r="C148" s="47"/>
      <c r="D148" s="47"/>
      <c r="E148" s="47"/>
      <c r="H148" s="27"/>
      <c r="I148" s="28"/>
      <c r="J148" s="211"/>
      <c r="L148" s="28" t="s">
        <v>138</v>
      </c>
      <c r="M148" s="680">
        <f>D147</f>
        <v>0.02</v>
      </c>
      <c r="N148" s="680"/>
      <c r="O148" s="257" t="s">
        <v>358</v>
      </c>
      <c r="P148" s="680">
        <f>O147</f>
        <v>0.44875935000000006</v>
      </c>
      <c r="Q148" s="680"/>
      <c r="R148" s="555" t="s">
        <v>138</v>
      </c>
      <c r="S148" s="680">
        <f>M148+P148</f>
        <v>0.46875935000000007</v>
      </c>
      <c r="T148" s="680"/>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1018" t="s">
        <v>879</v>
      </c>
      <c r="B154" s="972"/>
      <c r="C154" s="972"/>
      <c r="D154" s="972"/>
      <c r="E154" s="972"/>
      <c r="F154" s="972"/>
      <c r="G154" s="972"/>
      <c r="H154" s="972"/>
      <c r="I154" s="972"/>
      <c r="J154" s="972"/>
      <c r="K154" s="972"/>
      <c r="L154" s="972"/>
      <c r="M154" s="972"/>
      <c r="N154" s="972"/>
      <c r="O154" s="972"/>
      <c r="P154" s="972"/>
      <c r="Q154" s="972"/>
      <c r="R154" s="972"/>
      <c r="S154" s="972"/>
      <c r="T154" s="972"/>
      <c r="U154" s="972"/>
      <c r="V154" s="973"/>
    </row>
    <row r="155" spans="1:22" s="291" customFormat="1" ht="18" hidden="1" customHeight="1">
      <c r="A155" s="974"/>
      <c r="B155" s="972"/>
      <c r="C155" s="972"/>
      <c r="D155" s="972"/>
      <c r="E155" s="972"/>
      <c r="F155" s="972"/>
      <c r="G155" s="972"/>
      <c r="H155" s="972"/>
      <c r="I155" s="972"/>
      <c r="J155" s="972"/>
      <c r="K155" s="972"/>
      <c r="L155" s="972"/>
      <c r="M155" s="972"/>
      <c r="N155" s="972"/>
      <c r="O155" s="972"/>
      <c r="P155" s="972"/>
      <c r="Q155" s="972"/>
      <c r="R155" s="972"/>
      <c r="S155" s="972"/>
      <c r="T155" s="972"/>
      <c r="U155" s="972"/>
      <c r="V155" s="973"/>
    </row>
    <row r="156" spans="1:22" s="291" customFormat="1" ht="18" hidden="1" customHeight="1">
      <c r="A156" s="921">
        <v>1</v>
      </c>
      <c r="B156" s="1173" t="s">
        <v>880</v>
      </c>
      <c r="C156" s="1173"/>
      <c r="D156" s="1173"/>
      <c r="E156" s="1173"/>
      <c r="F156" s="1173"/>
      <c r="G156" s="1173"/>
      <c r="H156" s="1173"/>
      <c r="I156" s="1173"/>
      <c r="J156" s="1173"/>
      <c r="K156" s="1173"/>
      <c r="L156" s="1173"/>
      <c r="M156" s="1173"/>
      <c r="N156" s="1173"/>
      <c r="O156" s="1173"/>
      <c r="P156" s="1173"/>
      <c r="Q156" s="1173"/>
      <c r="R156" s="1173"/>
      <c r="S156" s="1173"/>
      <c r="T156" s="1173"/>
      <c r="U156" s="1173"/>
      <c r="V156" s="1174"/>
    </row>
    <row r="157" spans="1:22" s="291" customFormat="1" ht="18" hidden="1" customHeight="1">
      <c r="A157" s="921"/>
      <c r="B157" s="1173"/>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96"/>
      <c r="B158" s="120" t="s">
        <v>881</v>
      </c>
      <c r="C158" s="120" t="s">
        <v>430</v>
      </c>
      <c r="D158" s="664" t="s">
        <v>882</v>
      </c>
      <c r="E158" s="987"/>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664" t="s">
        <v>882</v>
      </c>
      <c r="K160" s="987"/>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664" t="s">
        <v>882</v>
      </c>
      <c r="K163" s="987"/>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921">
        <v>2</v>
      </c>
      <c r="B168" s="1173" t="s">
        <v>887</v>
      </c>
      <c r="C168" s="1173"/>
      <c r="D168" s="1173"/>
      <c r="E168" s="1173"/>
      <c r="F168" s="1173"/>
      <c r="G168" s="1173"/>
      <c r="H168" s="1173"/>
      <c r="I168" s="1173"/>
      <c r="J168" s="1173"/>
      <c r="K168" s="1173"/>
      <c r="L168" s="1173"/>
      <c r="M168" s="1173"/>
      <c r="N168" s="1173"/>
      <c r="O168" s="1173"/>
      <c r="P168" s="1173"/>
      <c r="Q168" s="1173"/>
      <c r="R168" s="1173"/>
      <c r="S168" s="1173"/>
      <c r="T168" s="1173"/>
      <c r="U168" s="1173"/>
      <c r="V168" s="1174"/>
    </row>
    <row r="169" spans="1:22" ht="18" hidden="1" customHeight="1">
      <c r="A169" s="921"/>
      <c r="B169" s="1173"/>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284"/>
      <c r="B170" s="120" t="s">
        <v>881</v>
      </c>
      <c r="C170" s="120" t="s">
        <v>430</v>
      </c>
      <c r="D170" s="664" t="s">
        <v>882</v>
      </c>
      <c r="E170" s="987"/>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664" t="s">
        <v>882</v>
      </c>
      <c r="K172" s="987"/>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664" t="s">
        <v>882</v>
      </c>
      <c r="K175" s="987"/>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665">
        <f>T59</f>
        <v>50000</v>
      </c>
      <c r="U178" s="665"/>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665" t="str">
        <f>J130</f>
        <v>-</v>
      </c>
      <c r="U179" s="665"/>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668" t="e">
        <f>T178/T179</f>
        <v>#VALUE!</v>
      </c>
      <c r="U180" s="668"/>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665">
        <f>J132</f>
        <v>10</v>
      </c>
      <c r="U181" s="665"/>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668">
        <f>S148</f>
        <v>0.46875935000000007</v>
      </c>
      <c r="U182" s="668"/>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665">
        <f>O130</f>
        <v>1</v>
      </c>
      <c r="U183" s="665"/>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699">
        <f>T65</f>
        <v>15</v>
      </c>
      <c r="U184" s="678"/>
      <c r="V184" s="197"/>
    </row>
    <row r="185" spans="1:22" ht="18" hidden="1" customHeight="1">
      <c r="A185" s="337"/>
      <c r="B185" s="14" t="s">
        <v>893</v>
      </c>
      <c r="F185" s="14"/>
      <c r="G185" s="166"/>
      <c r="H185" s="102"/>
      <c r="I185" s="28"/>
      <c r="J185" s="27"/>
      <c r="K185" s="14"/>
      <c r="O185" s="47"/>
      <c r="P185" s="14"/>
      <c r="Q185" s="14"/>
      <c r="R185" s="14"/>
      <c r="S185" s="120"/>
      <c r="T185" s="615">
        <f>T66</f>
        <v>150</v>
      </c>
      <c r="U185" s="617"/>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664" t="s">
        <v>882</v>
      </c>
      <c r="C188" s="664"/>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669" t="e">
        <f>T180</f>
        <v>#VALUE!</v>
      </c>
      <c r="C189" s="669"/>
      <c r="D189" s="28" t="s">
        <v>326</v>
      </c>
      <c r="E189" s="28">
        <f>T184</f>
        <v>15</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41" t="e">
        <f>B189*E189</f>
        <v>#VALUE!</v>
      </c>
      <c r="E190" s="1161"/>
      <c r="F190" s="14"/>
      <c r="G190" s="166" t="s">
        <v>710</v>
      </c>
      <c r="H190" s="102"/>
      <c r="I190" s="664">
        <f>I189*K189</f>
        <v>1000</v>
      </c>
      <c r="J190" s="665"/>
      <c r="K190" s="14"/>
      <c r="O190" s="47"/>
      <c r="P190" s="14"/>
      <c r="Q190" s="14"/>
      <c r="R190" s="14"/>
      <c r="S190" s="120" t="s">
        <v>895</v>
      </c>
      <c r="T190" s="1175" t="e">
        <f>IF(D190&lt;=I190,TRUE,FALSE)</f>
        <v>#VALUE!</v>
      </c>
      <c r="U190" s="1175"/>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664" t="s">
        <v>882</v>
      </c>
      <c r="J193" s="987"/>
      <c r="K193" s="28" t="s">
        <v>326</v>
      </c>
      <c r="L193" s="28" t="s">
        <v>352</v>
      </c>
      <c r="M193" s="47" t="s">
        <v>361</v>
      </c>
      <c r="N193" s="196"/>
      <c r="O193" s="47" t="s">
        <v>897</v>
      </c>
      <c r="P193" s="27"/>
      <c r="Q193" s="28" t="s">
        <v>138</v>
      </c>
      <c r="R193" s="668" t="e">
        <f>MAX(E195,E196)</f>
        <v>#VALUE!</v>
      </c>
      <c r="S193" s="665"/>
      <c r="V193" s="197"/>
    </row>
    <row r="194" spans="1:22" ht="18" hidden="1" customHeight="1">
      <c r="A194" s="196"/>
      <c r="B194" s="14"/>
      <c r="C194" s="28"/>
      <c r="D194" s="28" t="s">
        <v>540</v>
      </c>
      <c r="E194" s="28">
        <v>40</v>
      </c>
      <c r="F194" s="28" t="s">
        <v>358</v>
      </c>
      <c r="G194" s="233" t="str">
        <f>IF(T185=150,"0.07","0.35")</f>
        <v>0.07</v>
      </c>
      <c r="H194" s="28" t="s">
        <v>683</v>
      </c>
      <c r="I194" s="669" t="e">
        <f>T180</f>
        <v>#VALUE!</v>
      </c>
      <c r="J194" s="987"/>
      <c r="K194" s="28" t="s">
        <v>326</v>
      </c>
      <c r="L194" s="28">
        <f>T184</f>
        <v>15</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664" t="s">
        <v>882</v>
      </c>
      <c r="I198" s="987"/>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669" t="e">
        <f>T180</f>
        <v>#VALUE!</v>
      </c>
      <c r="I199" s="987"/>
      <c r="J199" s="28" t="s">
        <v>326</v>
      </c>
      <c r="K199" s="28">
        <f>T184</f>
        <v>15</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8">
        <f>B199*D199</f>
        <v>1000</v>
      </c>
      <c r="D200" s="1178"/>
      <c r="E200" s="261"/>
      <c r="F200" s="28" t="s">
        <v>886</v>
      </c>
      <c r="G200" s="14"/>
      <c r="H200" s="14"/>
      <c r="I200" s="941" t="e">
        <f>H199*K199</f>
        <v>#VALUE!</v>
      </c>
      <c r="J200" s="941"/>
      <c r="K200" s="14"/>
      <c r="L200" s="14"/>
      <c r="M200" s="166" t="s">
        <v>710</v>
      </c>
      <c r="N200" s="102"/>
      <c r="O200" s="991">
        <f>O199*Q199</f>
        <v>2600</v>
      </c>
      <c r="P200" s="987"/>
      <c r="Q200" s="14"/>
      <c r="R200" s="14"/>
      <c r="S200" s="120" t="s">
        <v>895</v>
      </c>
      <c r="T200" s="1175" t="e">
        <f>IF(AND(C200&lt;I200,I200&lt;=O200)=TRUE,TRUE,FALSE)</f>
        <v>#VALUE!</v>
      </c>
      <c r="U200" s="1175"/>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0.46875935000000007</v>
      </c>
      <c r="M212" s="30" t="s">
        <v>361</v>
      </c>
      <c r="V212" s="197"/>
    </row>
    <row r="213" spans="1:22" ht="18" hidden="1" customHeight="1">
      <c r="A213" s="196"/>
      <c r="B213" s="14"/>
      <c r="D213" s="14"/>
      <c r="E213" s="27" t="s">
        <v>540</v>
      </c>
      <c r="F213" s="926" t="e">
        <f>F212*H212*(J212+L212)</f>
        <v>#VALUE!</v>
      </c>
      <c r="G213" s="927"/>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76" t="s">
        <v>903</v>
      </c>
      <c r="I217" s="976"/>
      <c r="J217" s="27" t="s">
        <v>326</v>
      </c>
      <c r="K217" s="976" t="s">
        <v>855</v>
      </c>
      <c r="L217" s="976"/>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76" t="s">
        <v>903</v>
      </c>
      <c r="H219" s="976"/>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76" t="s">
        <v>855</v>
      </c>
      <c r="H220" s="976"/>
      <c r="I220" s="230" t="s">
        <v>138</v>
      </c>
      <c r="J220" s="216" t="s">
        <v>906</v>
      </c>
      <c r="K220" s="14"/>
      <c r="L220" s="14"/>
      <c r="M220" s="14"/>
      <c r="N220" s="14"/>
      <c r="O220" s="120"/>
      <c r="P220" s="120"/>
      <c r="Q220" s="14"/>
      <c r="R220" s="14"/>
      <c r="S220" s="28" t="s">
        <v>138</v>
      </c>
      <c r="T220" s="669" t="e">
        <f>T180</f>
        <v>#VALUE!</v>
      </c>
      <c r="U220" s="664"/>
      <c r="V220" s="97" t="s">
        <v>9</v>
      </c>
    </row>
    <row r="221" spans="1:22" ht="18" hidden="1" customHeight="1">
      <c r="A221" s="205"/>
      <c r="U221" s="14"/>
      <c r="V221" s="97"/>
    </row>
    <row r="222" spans="1:22" ht="18" hidden="1" customHeight="1">
      <c r="A222" s="205"/>
      <c r="F222" s="30" t="s">
        <v>484</v>
      </c>
      <c r="G222" s="27" t="s">
        <v>540</v>
      </c>
      <c r="H222" s="976" t="s">
        <v>903</v>
      </c>
      <c r="I222" s="976"/>
      <c r="J222" s="27" t="s">
        <v>326</v>
      </c>
      <c r="K222" s="976" t="s">
        <v>855</v>
      </c>
      <c r="L222" s="976"/>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76">
        <f>T219</f>
        <v>1.4</v>
      </c>
      <c r="I223" s="976"/>
      <c r="J223" s="27" t="s">
        <v>326</v>
      </c>
      <c r="K223" s="680" t="e">
        <f>T220</f>
        <v>#VALUE!</v>
      </c>
      <c r="L223" s="976"/>
      <c r="M223" s="27" t="s">
        <v>326</v>
      </c>
      <c r="N223" s="256" t="s">
        <v>430</v>
      </c>
      <c r="O223" s="27">
        <f>T181</f>
        <v>10</v>
      </c>
      <c r="P223" s="27" t="s">
        <v>358</v>
      </c>
      <c r="Q223" s="223">
        <f>T182</f>
        <v>0.46875935000000007</v>
      </c>
      <c r="R223" s="30" t="s">
        <v>361</v>
      </c>
      <c r="V223" s="97"/>
    </row>
    <row r="224" spans="1:22" ht="18" hidden="1" customHeight="1">
      <c r="A224" s="196"/>
      <c r="F224" s="30" t="s">
        <v>484</v>
      </c>
      <c r="G224" s="27" t="s">
        <v>540</v>
      </c>
      <c r="H224" s="1179" t="e">
        <f>H223*K223*(O223+Q223)</f>
        <v>#VALUE!</v>
      </c>
      <c r="I224" s="1180"/>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788" t="s">
        <v>909</v>
      </c>
      <c r="F228" s="788"/>
      <c r="G228" s="27" t="s">
        <v>326</v>
      </c>
      <c r="H228" s="788" t="s">
        <v>910</v>
      </c>
      <c r="I228" s="788"/>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788" t="s">
        <v>909</v>
      </c>
      <c r="E230" s="976"/>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788" t="s">
        <v>910</v>
      </c>
      <c r="E231" s="976"/>
      <c r="F231" s="230" t="s">
        <v>138</v>
      </c>
      <c r="G231" s="269" t="s">
        <v>913</v>
      </c>
      <c r="H231" s="14"/>
      <c r="I231" s="14"/>
      <c r="J231" s="14"/>
      <c r="K231" s="14"/>
      <c r="L231" s="120"/>
      <c r="M231" s="120"/>
      <c r="N231" s="14"/>
      <c r="O231" s="14"/>
      <c r="S231" s="28" t="s">
        <v>138</v>
      </c>
      <c r="T231" s="669" t="e">
        <f>'[6]Fault Calc (3)'!M107/T179</f>
        <v>#VALUE!</v>
      </c>
      <c r="U231" s="664"/>
      <c r="V231" s="97" t="s">
        <v>9</v>
      </c>
    </row>
    <row r="232" spans="1:22" ht="18" hidden="1" customHeight="1">
      <c r="A232" s="96"/>
      <c r="B232" s="47"/>
      <c r="C232" s="120"/>
      <c r="S232" s="14"/>
      <c r="T232" s="14"/>
      <c r="U232" s="14"/>
      <c r="V232" s="97"/>
    </row>
    <row r="233" spans="1:22" ht="18" hidden="1" customHeight="1">
      <c r="A233" s="196"/>
      <c r="C233" s="27" t="s">
        <v>484</v>
      </c>
      <c r="D233" s="27" t="s">
        <v>540</v>
      </c>
      <c r="E233" s="788" t="s">
        <v>909</v>
      </c>
      <c r="F233" s="788"/>
      <c r="G233" s="27" t="s">
        <v>326</v>
      </c>
      <c r="H233" s="788" t="s">
        <v>910</v>
      </c>
      <c r="I233" s="788"/>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788">
        <f>T230</f>
        <v>0.6</v>
      </c>
      <c r="F234" s="788"/>
      <c r="G234" s="27" t="s">
        <v>326</v>
      </c>
      <c r="H234" s="1080" t="e">
        <f>T231</f>
        <v>#VALUE!</v>
      </c>
      <c r="I234" s="788"/>
      <c r="J234" s="28" t="s">
        <v>683</v>
      </c>
      <c r="K234" s="27">
        <v>1</v>
      </c>
      <c r="L234" s="14" t="s">
        <v>358</v>
      </c>
      <c r="M234" s="28">
        <f>T184</f>
        <v>15</v>
      </c>
      <c r="N234" s="14" t="s">
        <v>911</v>
      </c>
      <c r="O234" s="27">
        <f>T181</f>
        <v>10</v>
      </c>
      <c r="P234" s="27" t="s">
        <v>358</v>
      </c>
      <c r="Q234" s="230">
        <f xml:space="preserve"> T182</f>
        <v>0.46875935000000007</v>
      </c>
      <c r="R234" s="30" t="s">
        <v>361</v>
      </c>
      <c r="V234" s="97"/>
    </row>
    <row r="235" spans="1:22" s="291" customFormat="1" ht="18" hidden="1" customHeight="1">
      <c r="A235" s="196"/>
      <c r="B235" s="30"/>
      <c r="C235" s="27" t="s">
        <v>484</v>
      </c>
      <c r="D235" s="27" t="s">
        <v>540</v>
      </c>
      <c r="E235" s="1181" t="e">
        <f>E234*H234*((K234+M234)*(O234+Q234))</f>
        <v>#VALUE!</v>
      </c>
      <c r="F235" s="1182"/>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926" t="e">
        <f>MAX(F213,H224,E235)</f>
        <v>#VALUE!</v>
      </c>
      <c r="N237" s="927"/>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665">
        <f>J133</f>
        <v>3000</v>
      </c>
      <c r="E240" s="665"/>
      <c r="F240" s="27" t="e">
        <f>F239</f>
        <v>#VALUE!</v>
      </c>
      <c r="G240" s="816" t="e">
        <f>M237</f>
        <v>#VALUE!</v>
      </c>
      <c r="H240" s="816"/>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08" t="str">
        <f>B127</f>
        <v>T1</v>
      </c>
      <c r="C250" s="709"/>
      <c r="D250" s="710" t="str">
        <f>D127</f>
        <v>Core2</v>
      </c>
      <c r="E250" s="711"/>
      <c r="F250" s="1168">
        <f>F127</f>
        <v>0</v>
      </c>
      <c r="G250" s="1168"/>
      <c r="H250" s="664">
        <f>H127</f>
        <v>0</v>
      </c>
      <c r="I250" s="664"/>
      <c r="J250" s="664"/>
      <c r="K250" s="664"/>
      <c r="L250" s="664"/>
      <c r="M250" s="664"/>
      <c r="P250" s="198"/>
      <c r="S250" s="199" t="s">
        <v>398</v>
      </c>
      <c r="T250" s="708" t="str">
        <f>T127</f>
        <v>P545</v>
      </c>
      <c r="U250" s="709"/>
      <c r="V250" s="197"/>
    </row>
    <row r="251" spans="1:29" ht="18" hidden="1" customHeight="1">
      <c r="A251" s="196"/>
      <c r="B251" s="707">
        <f>B128</f>
        <v>0</v>
      </c>
      <c r="C251" s="707"/>
      <c r="D251" s="712"/>
      <c r="E251" s="713"/>
      <c r="F251" s="468"/>
      <c r="T251" s="708">
        <f>T128</f>
        <v>0</v>
      </c>
      <c r="U251" s="709"/>
      <c r="V251" s="197"/>
    </row>
    <row r="252" spans="1:29" ht="18" hidden="1" customHeight="1">
      <c r="A252" s="196"/>
      <c r="H252" s="696" t="s">
        <v>401</v>
      </c>
      <c r="I252" s="696"/>
      <c r="J252" s="696" t="s">
        <v>402</v>
      </c>
      <c r="K252" s="696"/>
      <c r="L252" s="666" t="s">
        <v>403</v>
      </c>
      <c r="M252" s="666"/>
      <c r="T252" s="708">
        <f>T129</f>
        <v>0</v>
      </c>
      <c r="U252" s="709"/>
      <c r="V252" s="197"/>
    </row>
    <row r="253" spans="1:29" ht="18" hidden="1" customHeight="1">
      <c r="A253" s="196"/>
      <c r="B253" s="47" t="s">
        <v>404</v>
      </c>
      <c r="H253" s="708">
        <f>H130</f>
        <v>2500</v>
      </c>
      <c r="I253" s="709"/>
      <c r="J253" s="708" t="str">
        <f>J130</f>
        <v>-</v>
      </c>
      <c r="K253" s="709"/>
      <c r="L253" s="714" t="str">
        <f>L130</f>
        <v>-</v>
      </c>
      <c r="M253" s="715"/>
      <c r="N253" s="203" t="s">
        <v>353</v>
      </c>
      <c r="O253" s="268">
        <f>O130</f>
        <v>1</v>
      </c>
      <c r="P253" s="27" t="s">
        <v>9</v>
      </c>
      <c r="V253" s="197"/>
    </row>
    <row r="254" spans="1:29" ht="18" hidden="1" customHeight="1">
      <c r="A254" s="196"/>
      <c r="B254" s="47" t="s">
        <v>405</v>
      </c>
      <c r="L254" s="708" t="str">
        <f>J131</f>
        <v>PX-A</v>
      </c>
      <c r="M254" s="709"/>
      <c r="V254" s="197"/>
    </row>
    <row r="255" spans="1:29" ht="18" hidden="1" customHeight="1">
      <c r="A255" s="196"/>
      <c r="B255" s="47" t="s">
        <v>407</v>
      </c>
      <c r="K255" s="120" t="s">
        <v>508</v>
      </c>
      <c r="L255" s="948" t="s">
        <v>7</v>
      </c>
      <c r="M255" s="949"/>
      <c r="N255" s="204" t="s">
        <v>344</v>
      </c>
      <c r="V255" s="197"/>
    </row>
    <row r="256" spans="1:29" ht="18" hidden="1" customHeight="1">
      <c r="A256" s="196"/>
      <c r="B256" s="47" t="s">
        <v>409</v>
      </c>
      <c r="K256" s="120" t="s">
        <v>509</v>
      </c>
      <c r="L256" s="948" t="s">
        <v>7</v>
      </c>
      <c r="M256" s="949"/>
      <c r="N256" s="14" t="s">
        <v>316</v>
      </c>
      <c r="V256" s="197"/>
      <c r="W256" s="30" t="s">
        <v>411</v>
      </c>
      <c r="AB256" s="1022" t="e">
        <f>M366</f>
        <v>#VALUE!</v>
      </c>
      <c r="AC256" s="1023"/>
    </row>
    <row r="257" spans="1:22" ht="18" hidden="1" customHeight="1">
      <c r="A257" s="196"/>
      <c r="B257" s="14" t="s">
        <v>412</v>
      </c>
      <c r="K257" s="120" t="s">
        <v>413</v>
      </c>
      <c r="L257" s="948" t="s">
        <v>7</v>
      </c>
      <c r="M257" s="949"/>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896">
        <f>J138</f>
        <v>0.02</v>
      </c>
      <c r="K261" s="679"/>
      <c r="L261" s="214" t="s">
        <v>168</v>
      </c>
      <c r="V261" s="197"/>
    </row>
    <row r="262" spans="1:22" ht="18" hidden="1" customHeight="1">
      <c r="A262" s="196"/>
      <c r="B262" s="196" t="s">
        <v>416</v>
      </c>
      <c r="D262" s="308">
        <f>T251</f>
        <v>0</v>
      </c>
      <c r="I262" s="28" t="s">
        <v>138</v>
      </c>
      <c r="J262" s="896">
        <f>J139</f>
        <v>0</v>
      </c>
      <c r="K262" s="860"/>
      <c r="L262" s="309" t="s">
        <v>168</v>
      </c>
      <c r="V262" s="197"/>
    </row>
    <row r="263" spans="1:22" ht="18" hidden="1" customHeight="1">
      <c r="A263" s="196"/>
      <c r="B263" s="196" t="s">
        <v>416</v>
      </c>
      <c r="D263" s="308">
        <f>T252</f>
        <v>0</v>
      </c>
      <c r="E263" s="14"/>
      <c r="G263" s="211"/>
      <c r="H263" s="27"/>
      <c r="I263" s="101" t="s">
        <v>138</v>
      </c>
      <c r="J263" s="699">
        <f>J140</f>
        <v>0</v>
      </c>
      <c r="K263" s="861"/>
      <c r="L263" s="439" t="s">
        <v>168</v>
      </c>
      <c r="V263" s="197"/>
    </row>
    <row r="264" spans="1:22" ht="18" hidden="1" customHeight="1">
      <c r="A264" s="196"/>
      <c r="B264" s="196" t="s">
        <v>423</v>
      </c>
      <c r="H264" s="27"/>
      <c r="I264" s="189" t="s">
        <v>138</v>
      </c>
      <c r="J264" s="1026">
        <f>J141</f>
        <v>0.44875935000000006</v>
      </c>
      <c r="K264" s="1186"/>
      <c r="L264" s="439" t="s">
        <v>168</v>
      </c>
      <c r="V264" s="197"/>
    </row>
    <row r="265" spans="1:22" ht="18" hidden="1" customHeight="1">
      <c r="A265" s="196"/>
      <c r="B265" s="217" t="s">
        <v>424</v>
      </c>
      <c r="C265" s="218"/>
      <c r="D265" s="218"/>
      <c r="E265" s="218"/>
      <c r="F265" s="219"/>
      <c r="G265" s="219"/>
      <c r="H265" s="202" t="s">
        <v>420</v>
      </c>
      <c r="I265" s="220" t="s">
        <v>138</v>
      </c>
      <c r="J265" s="896">
        <f>SUM(J262:K264)</f>
        <v>0.44875935000000006</v>
      </c>
      <c r="K265" s="860"/>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0.44875935000000006</v>
      </c>
      <c r="P269" s="561" t="s">
        <v>421</v>
      </c>
      <c r="Q269" s="257">
        <f>O253</f>
        <v>1</v>
      </c>
      <c r="R269" s="257" t="s">
        <v>326</v>
      </c>
      <c r="S269" s="257">
        <f>O253</f>
        <v>1</v>
      </c>
      <c r="T269" s="254" t="s">
        <v>361</v>
      </c>
      <c r="V269" s="197"/>
    </row>
    <row r="270" spans="1:22" ht="18" hidden="1" customHeight="1">
      <c r="A270" s="196"/>
      <c r="B270" s="560"/>
      <c r="C270" s="257" t="s">
        <v>138</v>
      </c>
      <c r="D270" s="680">
        <f>D269/(F269*H269)</f>
        <v>0.02</v>
      </c>
      <c r="E270" s="680"/>
      <c r="F270" s="562" t="s">
        <v>344</v>
      </c>
      <c r="G270" s="254"/>
      <c r="H270" s="254"/>
      <c r="I270" s="254"/>
      <c r="J270" s="516"/>
      <c r="K270" s="254"/>
      <c r="L270" s="560"/>
      <c r="M270" s="254"/>
      <c r="N270" s="257" t="s">
        <v>138</v>
      </c>
      <c r="O270" s="680">
        <f>O269/(Q269*S269)</f>
        <v>0.44875935000000006</v>
      </c>
      <c r="P270" s="680"/>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0.44875935000000006</v>
      </c>
      <c r="P272" s="555" t="s">
        <v>138</v>
      </c>
      <c r="Q272" s="555">
        <f>M272+O272</f>
        <v>0.46875935000000007</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1018" t="s">
        <v>879</v>
      </c>
      <c r="B278" s="972"/>
      <c r="C278" s="972"/>
      <c r="D278" s="972"/>
      <c r="E278" s="972"/>
      <c r="F278" s="972"/>
      <c r="G278" s="972"/>
      <c r="H278" s="972"/>
      <c r="I278" s="972"/>
      <c r="J278" s="972"/>
      <c r="K278" s="972"/>
      <c r="L278" s="972"/>
      <c r="M278" s="972"/>
      <c r="N278" s="972"/>
      <c r="O278" s="972"/>
      <c r="P278" s="972"/>
      <c r="Q278" s="972"/>
      <c r="R278" s="972"/>
      <c r="S278" s="972"/>
      <c r="T278" s="972"/>
      <c r="U278" s="972"/>
      <c r="V278" s="973"/>
    </row>
    <row r="279" spans="1:22" ht="18" hidden="1" customHeight="1">
      <c r="A279" s="974"/>
      <c r="B279" s="972"/>
      <c r="C279" s="972"/>
      <c r="D279" s="972"/>
      <c r="E279" s="972"/>
      <c r="F279" s="972"/>
      <c r="G279" s="972"/>
      <c r="H279" s="972"/>
      <c r="I279" s="972"/>
      <c r="J279" s="972"/>
      <c r="K279" s="972"/>
      <c r="L279" s="972"/>
      <c r="M279" s="972"/>
      <c r="N279" s="972"/>
      <c r="O279" s="972"/>
      <c r="P279" s="972"/>
      <c r="Q279" s="972"/>
      <c r="R279" s="972"/>
      <c r="S279" s="972"/>
      <c r="T279" s="972"/>
      <c r="U279" s="972"/>
      <c r="V279" s="973"/>
    </row>
    <row r="280" spans="1:22" ht="18" hidden="1" customHeight="1">
      <c r="A280" s="921">
        <v>1</v>
      </c>
      <c r="B280" s="1173" t="s">
        <v>880</v>
      </c>
      <c r="C280" s="1173"/>
      <c r="D280" s="1173"/>
      <c r="E280" s="1173"/>
      <c r="F280" s="1173"/>
      <c r="G280" s="1173"/>
      <c r="H280" s="1173"/>
      <c r="I280" s="1173"/>
      <c r="J280" s="1173"/>
      <c r="K280" s="1173"/>
      <c r="L280" s="1173"/>
      <c r="M280" s="1173"/>
      <c r="N280" s="1173"/>
      <c r="O280" s="1173"/>
      <c r="P280" s="1173"/>
      <c r="Q280" s="1173"/>
      <c r="R280" s="1173"/>
      <c r="S280" s="1173"/>
      <c r="T280" s="1173"/>
      <c r="U280" s="1173"/>
      <c r="V280" s="1174"/>
    </row>
    <row r="281" spans="1:22" ht="18" hidden="1" customHeight="1">
      <c r="A281" s="921"/>
      <c r="B281" s="1173"/>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96"/>
      <c r="B282" s="120" t="s">
        <v>881</v>
      </c>
      <c r="C282" s="120" t="s">
        <v>430</v>
      </c>
      <c r="D282" s="664" t="s">
        <v>882</v>
      </c>
      <c r="E282" s="987"/>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664" t="s">
        <v>882</v>
      </c>
      <c r="K284" s="987"/>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664" t="s">
        <v>882</v>
      </c>
      <c r="K294" s="987"/>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921">
        <v>2</v>
      </c>
      <c r="B297" s="1173" t="s">
        <v>887</v>
      </c>
      <c r="C297" s="1173"/>
      <c r="D297" s="1173"/>
      <c r="E297" s="1173"/>
      <c r="F297" s="1173"/>
      <c r="G297" s="1173"/>
      <c r="H297" s="1173"/>
      <c r="I297" s="1173"/>
      <c r="J297" s="1173"/>
      <c r="K297" s="1173"/>
      <c r="L297" s="1173"/>
      <c r="M297" s="1173"/>
      <c r="N297" s="1173"/>
      <c r="O297" s="1173"/>
      <c r="P297" s="1173"/>
      <c r="Q297" s="1173"/>
      <c r="R297" s="1173"/>
      <c r="S297" s="1173"/>
      <c r="T297" s="1173"/>
      <c r="U297" s="1173"/>
      <c r="V297" s="1174"/>
    </row>
    <row r="298" spans="1:22" ht="18" hidden="1" customHeight="1">
      <c r="A298" s="921"/>
      <c r="B298" s="1173"/>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284"/>
      <c r="B299" s="120" t="s">
        <v>881</v>
      </c>
      <c r="C299" s="120" t="s">
        <v>430</v>
      </c>
      <c r="D299" s="664" t="s">
        <v>882</v>
      </c>
      <c r="E299" s="987"/>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664" t="s">
        <v>882</v>
      </c>
      <c r="K301" s="987"/>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664" t="s">
        <v>882</v>
      </c>
      <c r="K304" s="987"/>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665">
        <f>T178</f>
        <v>50000</v>
      </c>
      <c r="U307" s="665"/>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665" t="str">
        <f>L253</f>
        <v>-</v>
      </c>
      <c r="U308" s="665"/>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668" t="e">
        <f>T307/T308</f>
        <v>#VALUE!</v>
      </c>
      <c r="U309" s="668"/>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665" t="str">
        <f>L255</f>
        <v>-</v>
      </c>
      <c r="U310" s="665"/>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668">
        <f>Q272</f>
        <v>0.46875935000000007</v>
      </c>
      <c r="U311" s="668"/>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665">
        <f>O253</f>
        <v>1</v>
      </c>
      <c r="U312" s="665"/>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5">
        <f>T184</f>
        <v>15</v>
      </c>
      <c r="U313" s="617"/>
      <c r="V313" s="197"/>
    </row>
    <row r="314" spans="1:22" ht="18" hidden="1" customHeight="1">
      <c r="A314" s="337"/>
      <c r="B314" s="14" t="s">
        <v>893</v>
      </c>
      <c r="F314" s="14"/>
      <c r="G314" s="166"/>
      <c r="H314" s="102"/>
      <c r="I314" s="28"/>
      <c r="J314" s="27"/>
      <c r="K314" s="14"/>
      <c r="O314" s="47"/>
      <c r="P314" s="14"/>
      <c r="Q314" s="14"/>
      <c r="R314" s="14"/>
      <c r="S314" s="120"/>
      <c r="T314" s="615">
        <f>T185</f>
        <v>150</v>
      </c>
      <c r="U314" s="617"/>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664" t="s">
        <v>882</v>
      </c>
      <c r="C317" s="664"/>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669" t="e">
        <f>T309</f>
        <v>#VALUE!</v>
      </c>
      <c r="C318" s="669"/>
      <c r="D318" s="28" t="s">
        <v>326</v>
      </c>
      <c r="E318" s="28">
        <f>T313</f>
        <v>15</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664" t="e">
        <f>B318*E318</f>
        <v>#VALUE!</v>
      </c>
      <c r="E319" s="987"/>
      <c r="F319" s="14"/>
      <c r="G319" s="166" t="s">
        <v>710</v>
      </c>
      <c r="H319" s="102"/>
      <c r="I319" s="664">
        <f>I318*K318</f>
        <v>1000</v>
      </c>
      <c r="J319" s="665"/>
      <c r="K319" s="14"/>
      <c r="O319" s="47"/>
      <c r="P319" s="14"/>
      <c r="Q319" s="14"/>
      <c r="R319" s="14"/>
      <c r="S319" s="120" t="s">
        <v>895</v>
      </c>
      <c r="T319" s="1175" t="e">
        <f>IF(D319&lt;=I319,TRUE,FALSE)</f>
        <v>#VALUE!</v>
      </c>
      <c r="U319" s="1175"/>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664" t="s">
        <v>882</v>
      </c>
      <c r="J322" s="987"/>
      <c r="K322" s="28" t="s">
        <v>326</v>
      </c>
      <c r="L322" s="28" t="s">
        <v>352</v>
      </c>
      <c r="M322" s="47" t="s">
        <v>361</v>
      </c>
      <c r="N322" s="196"/>
      <c r="O322" s="47" t="s">
        <v>897</v>
      </c>
      <c r="P322" s="27"/>
      <c r="Q322" s="28" t="s">
        <v>138</v>
      </c>
      <c r="R322" s="668" t="e">
        <f>MAX(E324,E325)</f>
        <v>#VALUE!</v>
      </c>
      <c r="S322" s="665"/>
      <c r="V322" s="197"/>
    </row>
    <row r="323" spans="1:22" ht="18" hidden="1" customHeight="1">
      <c r="A323" s="196"/>
      <c r="B323" s="14"/>
      <c r="C323" s="28"/>
      <c r="D323" s="28" t="s">
        <v>540</v>
      </c>
      <c r="E323" s="28">
        <v>40</v>
      </c>
      <c r="F323" s="28" t="s">
        <v>358</v>
      </c>
      <c r="G323" s="233" t="str">
        <f>IF(T314=150,"0.07","0.35")</f>
        <v>0.07</v>
      </c>
      <c r="H323" s="28" t="s">
        <v>683</v>
      </c>
      <c r="I323" s="669" t="e">
        <f>T309</f>
        <v>#VALUE!</v>
      </c>
      <c r="J323" s="987"/>
      <c r="K323" s="28" t="s">
        <v>326</v>
      </c>
      <c r="L323" s="28">
        <f>T313</f>
        <v>15</v>
      </c>
      <c r="M323" s="47" t="s">
        <v>361</v>
      </c>
      <c r="N323" s="196"/>
      <c r="V323" s="197"/>
    </row>
    <row r="324" spans="1:22" ht="18" hidden="1" customHeight="1">
      <c r="A324" s="196"/>
      <c r="B324" s="14"/>
      <c r="C324" s="28"/>
      <c r="D324" s="28" t="s">
        <v>540</v>
      </c>
      <c r="E324" s="669" t="e">
        <f>E323+(G323*(I323*L323))</f>
        <v>#VALUE!</v>
      </c>
      <c r="F324" s="669"/>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664" t="s">
        <v>882</v>
      </c>
      <c r="I327" s="987"/>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669" t="e">
        <f>T309</f>
        <v>#VALUE!</v>
      </c>
      <c r="I328" s="987"/>
      <c r="J328" s="28" t="s">
        <v>326</v>
      </c>
      <c r="K328" s="28">
        <f>T313</f>
        <v>15</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8">
        <f>B328*D328</f>
        <v>1000</v>
      </c>
      <c r="D329" s="1178"/>
      <c r="E329" s="261"/>
      <c r="F329" s="28" t="s">
        <v>886</v>
      </c>
      <c r="G329" s="14"/>
      <c r="H329" s="14"/>
      <c r="I329" s="936" t="e">
        <f>H328*K328</f>
        <v>#VALUE!</v>
      </c>
      <c r="J329" s="936"/>
      <c r="K329" s="14"/>
      <c r="L329" s="14"/>
      <c r="M329" s="166" t="s">
        <v>710</v>
      </c>
      <c r="N329" s="102"/>
      <c r="O329" s="991">
        <f>O328*Q328</f>
        <v>2600</v>
      </c>
      <c r="P329" s="987"/>
      <c r="Q329" s="14"/>
      <c r="R329" s="14"/>
      <c r="S329" s="120" t="s">
        <v>895</v>
      </c>
      <c r="T329" s="1175" t="e">
        <f>IF(AND(C329&lt;I329,I329&lt;=O329)=TRUE,TRUE,FALSE)</f>
        <v>#VALUE!</v>
      </c>
      <c r="U329" s="1175"/>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0.46875935000000007</v>
      </c>
      <c r="M341" s="30" t="s">
        <v>361</v>
      </c>
      <c r="V341" s="197"/>
    </row>
    <row r="342" spans="1:22" ht="18" hidden="1" customHeight="1">
      <c r="A342" s="196"/>
      <c r="B342" s="14"/>
      <c r="D342" s="14"/>
      <c r="E342" s="27" t="s">
        <v>540</v>
      </c>
      <c r="F342" s="699" t="e">
        <f>F341*H341*(J341+L341)</f>
        <v>#VALUE!</v>
      </c>
      <c r="G342" s="678"/>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76" t="s">
        <v>903</v>
      </c>
      <c r="I346" s="976"/>
      <c r="J346" s="27" t="s">
        <v>326</v>
      </c>
      <c r="K346" s="976" t="s">
        <v>855</v>
      </c>
      <c r="L346" s="976"/>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76" t="s">
        <v>903</v>
      </c>
      <c r="H348" s="976"/>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76" t="s">
        <v>855</v>
      </c>
      <c r="H349" s="976"/>
      <c r="I349" s="230" t="s">
        <v>138</v>
      </c>
      <c r="J349" s="216" t="s">
        <v>906</v>
      </c>
      <c r="K349" s="14"/>
      <c r="L349" s="14"/>
      <c r="M349" s="14"/>
      <c r="N349" s="14"/>
      <c r="O349" s="120"/>
      <c r="P349" s="120"/>
      <c r="Q349" s="14"/>
      <c r="R349" s="14"/>
      <c r="S349" s="28" t="s">
        <v>138</v>
      </c>
      <c r="T349" s="669" t="e">
        <f>T309</f>
        <v>#VALUE!</v>
      </c>
      <c r="U349" s="664"/>
      <c r="V349" s="97" t="s">
        <v>9</v>
      </c>
    </row>
    <row r="350" spans="1:22" ht="18" hidden="1" customHeight="1">
      <c r="A350" s="205"/>
      <c r="U350" s="14"/>
      <c r="V350" s="97"/>
    </row>
    <row r="351" spans="1:22" ht="18" hidden="1" customHeight="1">
      <c r="A351" s="205"/>
      <c r="F351" s="30" t="s">
        <v>484</v>
      </c>
      <c r="G351" s="27" t="s">
        <v>540</v>
      </c>
      <c r="H351" s="976" t="s">
        <v>903</v>
      </c>
      <c r="I351" s="976"/>
      <c r="J351" s="27" t="s">
        <v>326</v>
      </c>
      <c r="K351" s="976" t="s">
        <v>855</v>
      </c>
      <c r="L351" s="976"/>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76">
        <f>T348</f>
        <v>1.4</v>
      </c>
      <c r="I352" s="976"/>
      <c r="J352" s="27" t="s">
        <v>326</v>
      </c>
      <c r="K352" s="680" t="e">
        <f>T349</f>
        <v>#VALUE!</v>
      </c>
      <c r="L352" s="976"/>
      <c r="M352" s="27" t="s">
        <v>326</v>
      </c>
      <c r="N352" s="256" t="s">
        <v>430</v>
      </c>
      <c r="O352" s="27" t="str">
        <f>T310</f>
        <v>-</v>
      </c>
      <c r="P352" s="27" t="s">
        <v>358</v>
      </c>
      <c r="Q352" s="223">
        <f>T311</f>
        <v>0.46875935000000007</v>
      </c>
      <c r="R352" s="30" t="s">
        <v>361</v>
      </c>
      <c r="V352" s="97"/>
    </row>
    <row r="353" spans="1:22" ht="18" hidden="1" customHeight="1">
      <c r="A353" s="196"/>
      <c r="F353" s="30" t="s">
        <v>484</v>
      </c>
      <c r="G353" s="27" t="s">
        <v>540</v>
      </c>
      <c r="H353" s="875" t="e">
        <f>H352*K352*(O352+Q352)</f>
        <v>#VALUE!</v>
      </c>
      <c r="I353" s="876"/>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788" t="s">
        <v>909</v>
      </c>
      <c r="F357" s="788"/>
      <c r="G357" s="27" t="s">
        <v>326</v>
      </c>
      <c r="H357" s="788" t="s">
        <v>910</v>
      </c>
      <c r="I357" s="788"/>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788" t="s">
        <v>909</v>
      </c>
      <c r="E359" s="976"/>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788" t="s">
        <v>910</v>
      </c>
      <c r="E360" s="976"/>
      <c r="F360" s="230" t="s">
        <v>138</v>
      </c>
      <c r="G360" s="269" t="s">
        <v>913</v>
      </c>
      <c r="H360" s="14"/>
      <c r="I360" s="14"/>
      <c r="J360" s="14"/>
      <c r="K360" s="14"/>
      <c r="L360" s="120"/>
      <c r="M360" s="120"/>
      <c r="N360" s="14"/>
      <c r="O360" s="14"/>
      <c r="S360" s="28" t="s">
        <v>138</v>
      </c>
      <c r="T360" s="669" t="e">
        <f>'[6]Fault Calc (3)'!M107/T308</f>
        <v>#VALUE!</v>
      </c>
      <c r="U360" s="664"/>
      <c r="V360" s="97" t="s">
        <v>9</v>
      </c>
    </row>
    <row r="361" spans="1:22" ht="18" hidden="1" customHeight="1">
      <c r="A361" s="96"/>
      <c r="B361" s="47"/>
      <c r="C361" s="120"/>
      <c r="S361" s="14"/>
      <c r="T361" s="14"/>
      <c r="U361" s="14"/>
      <c r="V361" s="97"/>
    </row>
    <row r="362" spans="1:22" ht="18" hidden="1" customHeight="1">
      <c r="A362" s="196"/>
      <c r="C362" s="30" t="s">
        <v>484</v>
      </c>
      <c r="D362" s="27" t="s">
        <v>540</v>
      </c>
      <c r="E362" s="788" t="s">
        <v>909</v>
      </c>
      <c r="F362" s="788"/>
      <c r="G362" s="27" t="s">
        <v>326</v>
      </c>
      <c r="H362" s="788" t="s">
        <v>910</v>
      </c>
      <c r="I362" s="788"/>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788">
        <f>T359</f>
        <v>0.6</v>
      </c>
      <c r="F363" s="788"/>
      <c r="G363" s="27" t="s">
        <v>326</v>
      </c>
      <c r="H363" s="1080" t="e">
        <f>T360</f>
        <v>#VALUE!</v>
      </c>
      <c r="I363" s="788"/>
      <c r="J363" s="28" t="s">
        <v>683</v>
      </c>
      <c r="K363" s="27">
        <v>1</v>
      </c>
      <c r="L363" s="14" t="s">
        <v>358</v>
      </c>
      <c r="M363" s="28">
        <f>T313</f>
        <v>15</v>
      </c>
      <c r="N363" s="14" t="s">
        <v>911</v>
      </c>
      <c r="O363" s="27" t="str">
        <f>T310</f>
        <v>-</v>
      </c>
      <c r="P363" s="27" t="s">
        <v>358</v>
      </c>
      <c r="Q363" s="223">
        <f>T311</f>
        <v>0.46875935000000007</v>
      </c>
      <c r="R363" s="30" t="s">
        <v>361</v>
      </c>
      <c r="V363" s="97"/>
    </row>
    <row r="364" spans="1:22" ht="18" hidden="1" customHeight="1">
      <c r="A364" s="196"/>
      <c r="C364" s="30" t="s">
        <v>484</v>
      </c>
      <c r="D364" s="27" t="s">
        <v>540</v>
      </c>
      <c r="E364" s="1184" t="e">
        <f>E363*H363*((K363+M363)*(O363+Q363))</f>
        <v>#VALUE!</v>
      </c>
      <c r="F364" s="1185"/>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699" t="e">
        <f>MAX(F342,H353,E364)</f>
        <v>#VALUE!</v>
      </c>
      <c r="N366" s="617"/>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665" t="str">
        <f>L256</f>
        <v>-</v>
      </c>
      <c r="E371" s="665"/>
      <c r="F371" s="27" t="e">
        <f>F370</f>
        <v>#VALUE!</v>
      </c>
      <c r="G371" s="668" t="e">
        <f>M366</f>
        <v>#VALUE!</v>
      </c>
      <c r="H371" s="665"/>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800" t="s">
        <v>97</v>
      </c>
      <c r="B384" s="800"/>
      <c r="C384" s="728"/>
      <c r="D384" s="800" t="s">
        <v>98</v>
      </c>
      <c r="E384" s="800"/>
      <c r="F384" s="800"/>
      <c r="G384" s="800" t="s">
        <v>99</v>
      </c>
      <c r="H384" s="800"/>
      <c r="I384" s="800" t="s">
        <v>100</v>
      </c>
      <c r="J384" s="800"/>
      <c r="K384" s="716" t="s">
        <v>101</v>
      </c>
      <c r="L384" s="717"/>
      <c r="M384" s="716" t="s">
        <v>102</v>
      </c>
      <c r="N384" s="717"/>
      <c r="O384" s="716" t="s">
        <v>103</v>
      </c>
      <c r="P384" s="717"/>
      <c r="Q384" s="716" t="s">
        <v>104</v>
      </c>
      <c r="R384" s="717"/>
      <c r="S384" s="800" t="s">
        <v>105</v>
      </c>
      <c r="T384" s="800"/>
      <c r="U384" s="800"/>
      <c r="V384" s="800"/>
    </row>
    <row r="385" spans="1:22" customFormat="1" ht="18" customHeight="1">
      <c r="A385" s="728" t="str">
        <f>B250</f>
        <v>T1</v>
      </c>
      <c r="B385" s="733" t="str">
        <f>D250</f>
        <v>Core2</v>
      </c>
      <c r="C385" s="733"/>
      <c r="D385" s="732">
        <f>H253</f>
        <v>2500</v>
      </c>
      <c r="E385" s="732"/>
      <c r="F385" s="734">
        <f>O253</f>
        <v>1</v>
      </c>
      <c r="G385" s="732">
        <f>'[6]CT-VT Burdens'!S20</f>
        <v>75</v>
      </c>
      <c r="H385" s="794">
        <f>'[6]CT-VT Burdens'!S11</f>
        <v>6</v>
      </c>
      <c r="I385" s="794" t="str">
        <f>L254</f>
        <v>PX-A</v>
      </c>
      <c r="J385" s="794"/>
      <c r="K385" s="728">
        <f>H12</f>
        <v>5</v>
      </c>
      <c r="L385" s="728"/>
      <c r="M385" s="728">
        <f>H13</f>
        <v>3750</v>
      </c>
      <c r="N385" s="728"/>
      <c r="O385" s="732">
        <f>H14</f>
        <v>60</v>
      </c>
      <c r="P385" s="732"/>
      <c r="Q385" s="739" t="str">
        <f>IF(T8="",T7,IF(T9="",T7&amp;"+"&amp;T8,T7&amp;"+"&amp;T8&amp;"+"&amp;T9))</f>
        <v>P545</v>
      </c>
      <c r="R385" s="739"/>
      <c r="S385" s="738" t="str">
        <f>G94</f>
        <v>Suitably Dimensioned</v>
      </c>
      <c r="T385" s="738"/>
      <c r="U385" s="738"/>
      <c r="V385" s="738"/>
    </row>
    <row r="386" spans="1:22" customFormat="1" ht="18" customHeight="1">
      <c r="A386" s="728"/>
      <c r="B386" s="733"/>
      <c r="C386" s="733"/>
      <c r="D386" s="732" t="str">
        <f>J253</f>
        <v>-</v>
      </c>
      <c r="E386" s="732"/>
      <c r="F386" s="735"/>
      <c r="G386" s="732"/>
      <c r="H386" s="732"/>
      <c r="I386" s="794"/>
      <c r="J386" s="794"/>
      <c r="K386" s="801" t="s">
        <v>7</v>
      </c>
      <c r="L386" s="728"/>
      <c r="M386" s="801" t="s">
        <v>7</v>
      </c>
      <c r="N386" s="728"/>
      <c r="O386" s="799" t="s">
        <v>7</v>
      </c>
      <c r="P386" s="732"/>
      <c r="Q386" s="739"/>
      <c r="R386" s="739"/>
      <c r="S386" s="738"/>
      <c r="T386" s="738"/>
      <c r="U386" s="738"/>
      <c r="V386" s="738"/>
    </row>
    <row r="387" spans="1:22" customFormat="1" ht="18" customHeight="1">
      <c r="A387" s="728"/>
      <c r="B387" s="733"/>
      <c r="C387" s="733"/>
      <c r="D387" s="732" t="str">
        <f>L253</f>
        <v>-</v>
      </c>
      <c r="E387" s="732"/>
      <c r="F387" s="736"/>
      <c r="G387" s="732"/>
      <c r="H387" s="732"/>
      <c r="I387" s="794"/>
      <c r="J387" s="794"/>
      <c r="K387" s="728" t="str">
        <f>L255</f>
        <v>-</v>
      </c>
      <c r="L387" s="728"/>
      <c r="M387" s="728" t="str">
        <f>L256</f>
        <v>-</v>
      </c>
      <c r="N387" s="728"/>
      <c r="O387" s="732" t="str">
        <f>L257</f>
        <v>-</v>
      </c>
      <c r="P387" s="732"/>
      <c r="Q387" s="739"/>
      <c r="R387" s="739"/>
      <c r="S387" s="738"/>
      <c r="T387" s="738"/>
      <c r="U387" s="738"/>
      <c r="V387" s="738"/>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9:C69"/>
    <mergeCell ref="B70:C70"/>
    <mergeCell ref="D71:E71"/>
    <mergeCell ref="I71:J71"/>
    <mergeCell ref="T71:U71"/>
    <mergeCell ref="J56:K56"/>
    <mergeCell ref="T59:U59"/>
    <mergeCell ref="T60:U60"/>
    <mergeCell ref="T61:U61"/>
    <mergeCell ref="T62:U62"/>
    <mergeCell ref="T63:U63"/>
    <mergeCell ref="I74:J74"/>
    <mergeCell ref="R74:S74"/>
    <mergeCell ref="I75:J75"/>
    <mergeCell ref="E76:F76"/>
    <mergeCell ref="H79:I79"/>
    <mergeCell ref="H80:I80"/>
    <mergeCell ref="T64:U64"/>
    <mergeCell ref="T65:U65"/>
    <mergeCell ref="T66:U66"/>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A154:V155"/>
    <mergeCell ref="A156:A157"/>
    <mergeCell ref="B156:V157"/>
    <mergeCell ref="D158:E158"/>
    <mergeCell ref="J160:K160"/>
    <mergeCell ref="J163:K163"/>
    <mergeCell ref="J142:K142"/>
    <mergeCell ref="D147:E147"/>
    <mergeCell ref="O147:P147"/>
    <mergeCell ref="M148:N148"/>
    <mergeCell ref="P148:Q148"/>
    <mergeCell ref="S148:T148"/>
    <mergeCell ref="T179:U179"/>
    <mergeCell ref="T180:U180"/>
    <mergeCell ref="T181:U181"/>
    <mergeCell ref="T182:U182"/>
    <mergeCell ref="T183:U183"/>
    <mergeCell ref="T184:U184"/>
    <mergeCell ref="A168:A169"/>
    <mergeCell ref="B168:V169"/>
    <mergeCell ref="D170:E170"/>
    <mergeCell ref="J172:K172"/>
    <mergeCell ref="J175:K175"/>
    <mergeCell ref="T178:U178"/>
    <mergeCell ref="I193:J193"/>
    <mergeCell ref="R193:S193"/>
    <mergeCell ref="I194:J194"/>
    <mergeCell ref="E195:F195"/>
    <mergeCell ref="H198:I198"/>
    <mergeCell ref="H199:I199"/>
    <mergeCell ref="T185:U185"/>
    <mergeCell ref="B188:C188"/>
    <mergeCell ref="B189:C189"/>
    <mergeCell ref="D190:E190"/>
    <mergeCell ref="I190:J190"/>
    <mergeCell ref="T190:U190"/>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E233:F233"/>
    <mergeCell ref="H233:I233"/>
    <mergeCell ref="E234:F234"/>
    <mergeCell ref="H234:I234"/>
    <mergeCell ref="E235:F235"/>
    <mergeCell ref="M237:N237"/>
    <mergeCell ref="H224:I224"/>
    <mergeCell ref="E228:F228"/>
    <mergeCell ref="H228:I228"/>
    <mergeCell ref="D230:E230"/>
    <mergeCell ref="D231:E231"/>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D282:E282"/>
    <mergeCell ref="J284:K284"/>
    <mergeCell ref="J294:K294"/>
    <mergeCell ref="A297:A298"/>
    <mergeCell ref="B297:V298"/>
    <mergeCell ref="D299:E299"/>
    <mergeCell ref="J265:K265"/>
    <mergeCell ref="D270:E270"/>
    <mergeCell ref="O270:P270"/>
    <mergeCell ref="A278:V279"/>
    <mergeCell ref="A280:A281"/>
    <mergeCell ref="B280:V281"/>
    <mergeCell ref="T311:U311"/>
    <mergeCell ref="T312:U312"/>
    <mergeCell ref="T313:U313"/>
    <mergeCell ref="T314:U314"/>
    <mergeCell ref="B317:C317"/>
    <mergeCell ref="B318:C318"/>
    <mergeCell ref="J301:K301"/>
    <mergeCell ref="J304:K304"/>
    <mergeCell ref="T307:U307"/>
    <mergeCell ref="T308:U308"/>
    <mergeCell ref="T309:U309"/>
    <mergeCell ref="T310:U310"/>
    <mergeCell ref="C329:D329"/>
    <mergeCell ref="I329:J329"/>
    <mergeCell ref="O329:P329"/>
    <mergeCell ref="D319:E319"/>
    <mergeCell ref="I319:J319"/>
    <mergeCell ref="T319:U319"/>
    <mergeCell ref="I322:J322"/>
    <mergeCell ref="R322:S322"/>
    <mergeCell ref="I323:J323"/>
    <mergeCell ref="T329:U329"/>
    <mergeCell ref="F342:G342"/>
    <mergeCell ref="H346:I346"/>
    <mergeCell ref="K346:L346"/>
    <mergeCell ref="G348:H348"/>
    <mergeCell ref="G349:H349"/>
    <mergeCell ref="T349:U349"/>
    <mergeCell ref="E324:F324"/>
    <mergeCell ref="H327:I327"/>
    <mergeCell ref="H328:I328"/>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O386:P386"/>
    <mergeCell ref="E364:F364"/>
    <mergeCell ref="M366:N366"/>
    <mergeCell ref="D371:E371"/>
    <mergeCell ref="G371:H371"/>
    <mergeCell ref="A384:C384"/>
    <mergeCell ref="D384:F384"/>
    <mergeCell ref="G384:H384"/>
    <mergeCell ref="I384:J384"/>
    <mergeCell ref="K384:L384"/>
    <mergeCell ref="M384:N384"/>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935</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48" t="s">
        <v>121</v>
      </c>
      <c r="E7" s="949"/>
      <c r="F7" s="267"/>
      <c r="H7" s="582"/>
      <c r="I7" s="582"/>
      <c r="J7" s="582"/>
      <c r="K7" s="582"/>
      <c r="L7" s="582"/>
      <c r="M7" s="582"/>
      <c r="P7" s="198"/>
      <c r="S7" s="199" t="s">
        <v>398</v>
      </c>
      <c r="T7" s="961" t="s">
        <v>928</v>
      </c>
      <c r="U7" s="962"/>
      <c r="V7" s="197"/>
    </row>
    <row r="8" spans="1:24" ht="18" customHeight="1">
      <c r="A8" s="196"/>
      <c r="B8" s="571"/>
      <c r="C8" s="571"/>
      <c r="D8" s="580"/>
      <c r="E8" s="580"/>
      <c r="F8" s="267"/>
      <c r="T8" s="961" t="s">
        <v>519</v>
      </c>
      <c r="U8" s="962"/>
      <c r="V8" s="197"/>
    </row>
    <row r="9" spans="1:24" ht="18" customHeight="1">
      <c r="A9" s="196"/>
      <c r="H9" s="666" t="s">
        <v>401</v>
      </c>
      <c r="I9" s="666"/>
      <c r="J9" s="667" t="s">
        <v>402</v>
      </c>
      <c r="K9" s="667"/>
      <c r="L9" s="667" t="s">
        <v>403</v>
      </c>
      <c r="M9" s="667"/>
      <c r="T9" s="961" t="s">
        <v>929</v>
      </c>
      <c r="U9" s="962"/>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c r="I13" s="949"/>
      <c r="J13" s="14" t="s">
        <v>316</v>
      </c>
      <c r="T13" s="307"/>
      <c r="U13" s="18"/>
      <c r="V13" s="197"/>
      <c r="W13" s="30" t="str">
        <f>G57</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t="str">
        <f>T9</f>
        <v>IDM+9</v>
      </c>
      <c r="E20" s="14"/>
      <c r="G20" s="211"/>
      <c r="H20" s="27"/>
      <c r="I20" s="101" t="s">
        <v>138</v>
      </c>
      <c r="J20" s="964">
        <f>'CT-VT Burdens'!Q92</f>
        <v>5.8000000000000003E-2</v>
      </c>
      <c r="K20" s="965"/>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4">
        <f>'CT-VT Burdens'!S22</f>
        <v>0.44875935000000006</v>
      </c>
      <c r="K21" s="95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78">
        <f>SUM(J18:J21)</f>
        <v>0.54675935000000009</v>
      </c>
      <c r="K22" s="679"/>
      <c r="L22" s="3" t="s">
        <v>168</v>
      </c>
      <c r="O22" s="27" t="s">
        <v>138</v>
      </c>
      <c r="P22" s="668">
        <f>P21*R21*T21</f>
        <v>5</v>
      </c>
      <c r="Q22" s="665"/>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c r="W24" s="30" t="s">
        <v>547</v>
      </c>
    </row>
    <row r="25" spans="1:23"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664" t="s">
        <v>484</v>
      </c>
      <c r="I28" s="936"/>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664">
        <f>'Parameters &amp; Fault Cal. (4)'!Q32</f>
        <v>50000</v>
      </c>
      <c r="T30" s="664"/>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664">
        <f>H10</f>
        <v>2500</v>
      </c>
      <c r="T31" s="664"/>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664">
        <f>H13</f>
        <v>0</v>
      </c>
      <c r="T32" s="664"/>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669">
        <f>P22</f>
        <v>5</v>
      </c>
      <c r="T33" s="664"/>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669">
        <f>J22</f>
        <v>0.54675935000000009</v>
      </c>
      <c r="T34" s="664"/>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664">
        <f>O10</f>
        <v>1</v>
      </c>
      <c r="T35" s="664"/>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664">
        <v>20</v>
      </c>
      <c r="T36" s="664"/>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665">
        <v>30</v>
      </c>
      <c r="T37" s="665"/>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788" t="s">
        <v>484</v>
      </c>
      <c r="I39" s="975"/>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76">
        <f>S32</f>
        <v>0</v>
      </c>
      <c r="I40" s="977"/>
      <c r="J40" s="257" t="s">
        <v>326</v>
      </c>
      <c r="K40" s="257">
        <f>S35</f>
        <v>1</v>
      </c>
      <c r="L40" s="257" t="s">
        <v>552</v>
      </c>
      <c r="M40" s="257">
        <f>S36</f>
        <v>20</v>
      </c>
      <c r="N40" s="474" t="s">
        <v>553</v>
      </c>
      <c r="O40" s="516">
        <f>S33</f>
        <v>5</v>
      </c>
      <c r="V40" s="197"/>
    </row>
    <row r="41" spans="1:25" ht="18" customHeight="1">
      <c r="A41" s="196"/>
      <c r="D41" s="27" t="s">
        <v>138</v>
      </c>
      <c r="E41" s="665">
        <f>((F40*H40)/(K40*M40))-O40</f>
        <v>-5</v>
      </c>
      <c r="F41" s="665"/>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664" t="s">
        <v>555</v>
      </c>
      <c r="H47" s="664"/>
      <c r="I47" s="203" t="s">
        <v>353</v>
      </c>
      <c r="J47" s="665" t="s">
        <v>434</v>
      </c>
      <c r="K47" s="665"/>
      <c r="V47" s="197"/>
    </row>
    <row r="48" spans="1:25" ht="18" customHeight="1">
      <c r="A48" s="196"/>
      <c r="F48" s="27" t="s">
        <v>138</v>
      </c>
      <c r="G48" s="665">
        <f>S30</f>
        <v>50000</v>
      </c>
      <c r="H48" s="665"/>
      <c r="I48" s="203" t="s">
        <v>353</v>
      </c>
      <c r="J48" s="665">
        <f>S31</f>
        <v>2500</v>
      </c>
      <c r="K48" s="665"/>
      <c r="V48" s="197"/>
    </row>
    <row r="49" spans="1:22" ht="18" customHeight="1">
      <c r="A49" s="196"/>
      <c r="F49" s="27" t="s">
        <v>138</v>
      </c>
      <c r="G49" s="668">
        <f>G48/J48</f>
        <v>20</v>
      </c>
      <c r="H49" s="668"/>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0.54675935000000009</v>
      </c>
      <c r="P52" s="27" t="s">
        <v>361</v>
      </c>
      <c r="V52" s="197"/>
    </row>
    <row r="53" spans="1:22" ht="18" customHeight="1">
      <c r="A53" s="196"/>
      <c r="F53" s="27" t="s">
        <v>138</v>
      </c>
      <c r="G53" s="680">
        <f>G52*((I52+K52)/(M52+O52))</f>
        <v>126.19981431139607</v>
      </c>
      <c r="H53" s="680"/>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668">
        <f>G53</f>
        <v>126.19981431139607</v>
      </c>
      <c r="E56" s="668"/>
      <c r="F56" s="27" t="str">
        <f>F55</f>
        <v>&gt;</v>
      </c>
      <c r="G56" s="668">
        <f>G49</f>
        <v>20</v>
      </c>
      <c r="H56" s="668"/>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08" t="str">
        <f>B7</f>
        <v>T1</v>
      </c>
      <c r="C87" s="709"/>
      <c r="D87" s="710" t="str">
        <f>D7</f>
        <v>Core3</v>
      </c>
      <c r="E87" s="711"/>
      <c r="F87" s="267"/>
      <c r="H87" s="665">
        <f>H7</f>
        <v>0</v>
      </c>
      <c r="I87" s="665"/>
      <c r="J87" s="665"/>
      <c r="K87" s="665"/>
      <c r="L87" s="665"/>
      <c r="M87" s="665"/>
      <c r="P87" s="198"/>
      <c r="S87" s="199" t="s">
        <v>398</v>
      </c>
      <c r="T87" s="705" t="str">
        <f>T7</f>
        <v>REF650</v>
      </c>
      <c r="U87" s="706"/>
      <c r="V87" s="197"/>
    </row>
    <row r="88" spans="1:23" ht="18" hidden="1" customHeight="1">
      <c r="A88" s="196"/>
      <c r="B88" s="707">
        <f>B8</f>
        <v>0</v>
      </c>
      <c r="C88" s="707"/>
      <c r="D88" s="712"/>
      <c r="E88" s="713"/>
      <c r="F88" s="267"/>
      <c r="T88" s="705" t="str">
        <f>T8</f>
        <v>REC670</v>
      </c>
      <c r="U88" s="706"/>
      <c r="V88" s="197"/>
    </row>
    <row r="89" spans="1:23" ht="18" hidden="1" customHeight="1">
      <c r="A89" s="196"/>
      <c r="H89" s="696" t="s">
        <v>401</v>
      </c>
      <c r="I89" s="696"/>
      <c r="J89" s="666" t="s">
        <v>402</v>
      </c>
      <c r="K89" s="666"/>
      <c r="L89" s="667" t="s">
        <v>403</v>
      </c>
      <c r="M89" s="667"/>
      <c r="T89" s="705" t="str">
        <f>T9</f>
        <v>IDM+9</v>
      </c>
      <c r="U89" s="706"/>
      <c r="V89" s="197"/>
    </row>
    <row r="90" spans="1:23" ht="18" hidden="1" customHeight="1">
      <c r="A90" s="196"/>
      <c r="B90" s="47" t="s">
        <v>404</v>
      </c>
      <c r="H90" s="708">
        <f>H10</f>
        <v>2500</v>
      </c>
      <c r="I90" s="709"/>
      <c r="J90" s="714" t="str">
        <f>J10</f>
        <v>-</v>
      </c>
      <c r="K90" s="715"/>
      <c r="L90" s="708" t="str">
        <f>L10</f>
        <v>-</v>
      </c>
      <c r="M90" s="709"/>
      <c r="N90" s="203" t="s">
        <v>353</v>
      </c>
      <c r="O90" s="268">
        <f>O10</f>
        <v>1</v>
      </c>
      <c r="P90" s="27" t="s">
        <v>9</v>
      </c>
      <c r="R90" s="267"/>
      <c r="S90" s="267"/>
      <c r="V90" s="197"/>
    </row>
    <row r="91" spans="1:23" ht="18" hidden="1" customHeight="1">
      <c r="A91" s="196"/>
      <c r="B91" s="47" t="s">
        <v>405</v>
      </c>
      <c r="H91" s="14"/>
      <c r="I91" s="14"/>
      <c r="J91" s="708" t="str">
        <f>H11</f>
        <v>5P20</v>
      </c>
      <c r="K91" s="709"/>
      <c r="L91" s="14"/>
      <c r="M91" s="14"/>
      <c r="V91" s="197"/>
    </row>
    <row r="92" spans="1:23" ht="18" hidden="1" customHeight="1">
      <c r="A92" s="196"/>
      <c r="B92" s="47" t="s">
        <v>407</v>
      </c>
      <c r="I92" s="120" t="s">
        <v>508</v>
      </c>
      <c r="J92" s="948" t="s">
        <v>7</v>
      </c>
      <c r="K92" s="949"/>
      <c r="L92" s="204" t="s">
        <v>344</v>
      </c>
      <c r="V92" s="197"/>
    </row>
    <row r="93" spans="1:23" ht="18" hidden="1" customHeight="1">
      <c r="A93" s="196"/>
      <c r="B93" s="47" t="s">
        <v>409</v>
      </c>
      <c r="I93" s="120" t="s">
        <v>509</v>
      </c>
      <c r="J93" s="948" t="s">
        <v>7</v>
      </c>
      <c r="K93" s="949"/>
      <c r="L93" s="14" t="s">
        <v>316</v>
      </c>
      <c r="T93" s="307"/>
      <c r="U93" s="18"/>
      <c r="V93" s="197"/>
      <c r="W93" s="30" t="e">
        <f>G141</f>
        <v>#VALUE!</v>
      </c>
    </row>
    <row r="94" spans="1:23" ht="18" hidden="1" customHeight="1">
      <c r="A94" s="196"/>
      <c r="B94" s="14" t="s">
        <v>412</v>
      </c>
      <c r="I94" s="120" t="s">
        <v>413</v>
      </c>
      <c r="J94" s="948" t="s">
        <v>7</v>
      </c>
      <c r="K94" s="949"/>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678">
        <f>J18</f>
        <v>0.02</v>
      </c>
      <c r="K98" s="679"/>
      <c r="L98" s="3" t="s">
        <v>168</v>
      </c>
      <c r="N98" s="209" t="s">
        <v>521</v>
      </c>
      <c r="V98" s="197"/>
    </row>
    <row r="99" spans="1:22" ht="18" hidden="1" customHeight="1">
      <c r="A99" s="196"/>
      <c r="B99" s="96" t="s">
        <v>416</v>
      </c>
      <c r="D99" s="308" t="str">
        <f>T88</f>
        <v>REC670</v>
      </c>
      <c r="I99" s="189" t="s">
        <v>138</v>
      </c>
      <c r="J99" s="697">
        <f>J19</f>
        <v>0.02</v>
      </c>
      <c r="K99" s="698"/>
      <c r="L99" s="210" t="s">
        <v>168</v>
      </c>
      <c r="P99" s="256"/>
      <c r="V99" s="197"/>
    </row>
    <row r="100" spans="1:22" ht="18" hidden="1" customHeight="1">
      <c r="A100" s="196"/>
      <c r="B100" s="96" t="s">
        <v>416</v>
      </c>
      <c r="C100" s="14"/>
      <c r="D100" s="47" t="str">
        <f>T89</f>
        <v>IDM+9</v>
      </c>
      <c r="E100" s="14"/>
      <c r="G100" s="211"/>
      <c r="H100" s="27"/>
      <c r="I100" s="101" t="s">
        <v>138</v>
      </c>
      <c r="J100" s="699">
        <f>J20</f>
        <v>5.8000000000000003E-2</v>
      </c>
      <c r="K100" s="700"/>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701">
        <f>J21</f>
        <v>0.44875935000000006</v>
      </c>
      <c r="K101" s="702"/>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678">
        <f>SUM(J98:J101)</f>
        <v>0.54675935000000009</v>
      </c>
      <c r="K102" s="679"/>
      <c r="L102" s="3" t="s">
        <v>168</v>
      </c>
      <c r="O102" s="27" t="s">
        <v>138</v>
      </c>
      <c r="P102" s="668" t="e">
        <f>P101*R101*T101</f>
        <v>#VALUE!</v>
      </c>
      <c r="Q102" s="665"/>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71" t="s">
        <v>547</v>
      </c>
      <c r="B104" s="972"/>
      <c r="C104" s="972"/>
      <c r="D104" s="972"/>
      <c r="E104" s="972"/>
      <c r="F104" s="972"/>
      <c r="G104" s="972"/>
      <c r="H104" s="972"/>
      <c r="I104" s="972"/>
      <c r="J104" s="972"/>
      <c r="K104" s="972"/>
      <c r="L104" s="972"/>
      <c r="M104" s="972"/>
      <c r="N104" s="972"/>
      <c r="O104" s="972"/>
      <c r="P104" s="972"/>
      <c r="Q104" s="972"/>
      <c r="R104" s="972"/>
      <c r="S104" s="972"/>
      <c r="T104" s="972"/>
      <c r="U104" s="972"/>
      <c r="V104" s="973"/>
    </row>
    <row r="105" spans="1:22" ht="18" hidden="1" customHeight="1">
      <c r="A105" s="974"/>
      <c r="B105" s="972"/>
      <c r="C105" s="972"/>
      <c r="D105" s="972"/>
      <c r="E105" s="972"/>
      <c r="F105" s="972"/>
      <c r="G105" s="972"/>
      <c r="H105" s="972"/>
      <c r="I105" s="972"/>
      <c r="J105" s="972"/>
      <c r="K105" s="972"/>
      <c r="L105" s="972"/>
      <c r="M105" s="972"/>
      <c r="N105" s="972"/>
      <c r="O105" s="972"/>
      <c r="P105" s="972"/>
      <c r="Q105" s="972"/>
      <c r="R105" s="972"/>
      <c r="S105" s="972"/>
      <c r="T105" s="972"/>
      <c r="U105" s="972"/>
      <c r="V105" s="973"/>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664" t="s">
        <v>484</v>
      </c>
      <c r="I109" s="936"/>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664">
        <f>S30</f>
        <v>50000</v>
      </c>
      <c r="T111" s="664"/>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664" t="str">
        <f>J90</f>
        <v>-</v>
      </c>
      <c r="T112" s="664"/>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664" t="str">
        <f>J93</f>
        <v>-</v>
      </c>
      <c r="T113" s="664"/>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669" t="e">
        <f>P102</f>
        <v>#VALUE!</v>
      </c>
      <c r="T114" s="664"/>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669">
        <f>J102</f>
        <v>0.54675935000000009</v>
      </c>
      <c r="T115" s="664"/>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664">
        <f>O90</f>
        <v>1</v>
      </c>
      <c r="T116" s="664"/>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664">
        <v>20</v>
      </c>
      <c r="T117" s="664"/>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788" t="s">
        <v>484</v>
      </c>
      <c r="I120" s="975"/>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76" t="str">
        <f>S113</f>
        <v>-</v>
      </c>
      <c r="I121" s="977"/>
      <c r="J121" s="257" t="s">
        <v>326</v>
      </c>
      <c r="K121" s="257">
        <f>S116</f>
        <v>1</v>
      </c>
      <c r="L121" s="257" t="s">
        <v>552</v>
      </c>
      <c r="M121" s="257">
        <f>S117</f>
        <v>20</v>
      </c>
      <c r="N121" s="474" t="s">
        <v>553</v>
      </c>
      <c r="O121" s="516" t="e">
        <f>S114</f>
        <v>#VALUE!</v>
      </c>
      <c r="V121" s="197"/>
    </row>
    <row r="122" spans="1:25" ht="18" hidden="1" customHeight="1">
      <c r="A122" s="196"/>
      <c r="D122" s="27" t="s">
        <v>138</v>
      </c>
      <c r="E122" s="665" t="e">
        <f>((F121*H121)/(K121*M121))-O121</f>
        <v>#VALUE!</v>
      </c>
      <c r="F122" s="665"/>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664" t="s">
        <v>555</v>
      </c>
      <c r="H131" s="664"/>
      <c r="I131" s="203" t="s">
        <v>353</v>
      </c>
      <c r="J131" s="665" t="s">
        <v>434</v>
      </c>
      <c r="K131" s="665"/>
      <c r="V131" s="197"/>
    </row>
    <row r="132" spans="1:22" ht="18" hidden="1" customHeight="1">
      <c r="A132" s="196"/>
      <c r="F132" s="27" t="s">
        <v>138</v>
      </c>
      <c r="G132" s="665">
        <f>S111</f>
        <v>50000</v>
      </c>
      <c r="H132" s="665"/>
      <c r="I132" s="203" t="s">
        <v>353</v>
      </c>
      <c r="J132" s="665" t="str">
        <f>S112</f>
        <v>-</v>
      </c>
      <c r="K132" s="665"/>
      <c r="V132" s="197"/>
    </row>
    <row r="133" spans="1:22" ht="18" hidden="1" customHeight="1">
      <c r="A133" s="196"/>
      <c r="F133" s="27" t="s">
        <v>138</v>
      </c>
      <c r="G133" s="668" t="e">
        <f>G132/J132</f>
        <v>#VALUE!</v>
      </c>
      <c r="H133" s="668"/>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0.54675935000000009</v>
      </c>
      <c r="P136" s="27" t="s">
        <v>361</v>
      </c>
      <c r="V136" s="197"/>
    </row>
    <row r="137" spans="1:22" ht="18" hidden="1" customHeight="1">
      <c r="A137" s="196"/>
      <c r="F137" s="27" t="s">
        <v>138</v>
      </c>
      <c r="G137" s="680" t="e">
        <f>G136*((I136+K136)/(M136+O136))</f>
        <v>#VALUE!</v>
      </c>
      <c r="H137" s="680"/>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668" t="e">
        <f>G137</f>
        <v>#VALUE!</v>
      </c>
      <c r="E140" s="668"/>
      <c r="F140" s="27" t="e">
        <f>F139</f>
        <v>#VALUE!</v>
      </c>
      <c r="G140" s="668" t="e">
        <f>G133</f>
        <v>#VALUE!</v>
      </c>
      <c r="H140" s="668"/>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08" t="str">
        <f>B87</f>
        <v>T1</v>
      </c>
      <c r="C175" s="709"/>
      <c r="D175" s="710" t="str">
        <f>D87</f>
        <v>Core3</v>
      </c>
      <c r="E175" s="711"/>
      <c r="F175" s="267"/>
      <c r="H175" s="665">
        <f>H87</f>
        <v>0</v>
      </c>
      <c r="I175" s="665"/>
      <c r="J175" s="665"/>
      <c r="K175" s="665"/>
      <c r="L175" s="665"/>
      <c r="M175" s="665"/>
      <c r="P175" s="198"/>
      <c r="S175" s="199" t="s">
        <v>398</v>
      </c>
      <c r="T175" s="705" t="str">
        <f>T87</f>
        <v>REF650</v>
      </c>
      <c r="U175" s="706"/>
      <c r="V175" s="197"/>
    </row>
    <row r="176" spans="1:22" ht="18" hidden="1" customHeight="1">
      <c r="A176" s="196"/>
      <c r="B176" s="707">
        <f>B88</f>
        <v>0</v>
      </c>
      <c r="C176" s="707"/>
      <c r="D176" s="712"/>
      <c r="E176" s="713"/>
      <c r="F176" s="267"/>
      <c r="T176" s="705" t="str">
        <f>T88</f>
        <v>REC670</v>
      </c>
      <c r="U176" s="706"/>
      <c r="V176" s="197"/>
    </row>
    <row r="177" spans="1:23" ht="18" hidden="1" customHeight="1">
      <c r="A177" s="196"/>
      <c r="H177" s="696" t="s">
        <v>401</v>
      </c>
      <c r="I177" s="696"/>
      <c r="J177" s="696" t="s">
        <v>402</v>
      </c>
      <c r="K177" s="696"/>
      <c r="L177" s="666" t="s">
        <v>403</v>
      </c>
      <c r="M177" s="666"/>
      <c r="T177" s="705" t="str">
        <f>T89</f>
        <v>IDM+9</v>
      </c>
      <c r="U177" s="706"/>
      <c r="V177" s="197"/>
    </row>
    <row r="178" spans="1:23" ht="18" hidden="1" customHeight="1">
      <c r="A178" s="196"/>
      <c r="B178" s="47" t="s">
        <v>404</v>
      </c>
      <c r="H178" s="708">
        <f>H90</f>
        <v>2500</v>
      </c>
      <c r="I178" s="709"/>
      <c r="J178" s="708" t="str">
        <f>J90</f>
        <v>-</v>
      </c>
      <c r="K178" s="709"/>
      <c r="L178" s="714" t="str">
        <f>L90</f>
        <v>-</v>
      </c>
      <c r="M178" s="715"/>
      <c r="N178" s="203" t="s">
        <v>353</v>
      </c>
      <c r="O178" s="268">
        <f>O90</f>
        <v>1</v>
      </c>
      <c r="P178" s="27" t="s">
        <v>9</v>
      </c>
      <c r="R178" s="267"/>
      <c r="S178" s="267"/>
      <c r="V178" s="197"/>
    </row>
    <row r="179" spans="1:23" ht="18" hidden="1" customHeight="1">
      <c r="A179" s="196"/>
      <c r="B179" s="47" t="s">
        <v>405</v>
      </c>
      <c r="H179" s="14"/>
      <c r="I179" s="14"/>
      <c r="L179" s="708" t="str">
        <f>J91</f>
        <v>5P20</v>
      </c>
      <c r="M179" s="709"/>
      <c r="V179" s="197"/>
    </row>
    <row r="180" spans="1:23" ht="18" hidden="1" customHeight="1">
      <c r="A180" s="196"/>
      <c r="B180" s="47" t="s">
        <v>407</v>
      </c>
      <c r="K180" s="120" t="s">
        <v>508</v>
      </c>
      <c r="L180" s="948" t="s">
        <v>7</v>
      </c>
      <c r="M180" s="949"/>
      <c r="N180" s="204" t="s">
        <v>344</v>
      </c>
      <c r="V180" s="197"/>
    </row>
    <row r="181" spans="1:23" ht="18" hidden="1" customHeight="1">
      <c r="A181" s="196"/>
      <c r="B181" s="47" t="s">
        <v>409</v>
      </c>
      <c r="K181" s="120" t="s">
        <v>509</v>
      </c>
      <c r="L181" s="948" t="s">
        <v>7</v>
      </c>
      <c r="M181" s="949"/>
      <c r="N181" s="14" t="s">
        <v>316</v>
      </c>
      <c r="T181" s="307"/>
      <c r="U181" s="18"/>
      <c r="V181" s="197"/>
      <c r="W181" s="30" t="e">
        <f>G229</f>
        <v>#VALUE!</v>
      </c>
    </row>
    <row r="182" spans="1:23" ht="18" hidden="1" customHeight="1">
      <c r="A182" s="196"/>
      <c r="B182" s="14" t="s">
        <v>412</v>
      </c>
      <c r="K182" s="120" t="s">
        <v>413</v>
      </c>
      <c r="L182" s="948" t="s">
        <v>7</v>
      </c>
      <c r="M182" s="949"/>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678">
        <f>J98</f>
        <v>0.02</v>
      </c>
      <c r="K186" s="679"/>
      <c r="L186" s="3" t="s">
        <v>168</v>
      </c>
      <c r="N186" s="209" t="s">
        <v>521</v>
      </c>
      <c r="V186" s="197"/>
    </row>
    <row r="187" spans="1:23" ht="18" hidden="1" customHeight="1">
      <c r="A187" s="196"/>
      <c r="B187" s="96" t="s">
        <v>416</v>
      </c>
      <c r="D187" s="308" t="str">
        <f>T176</f>
        <v>REC670</v>
      </c>
      <c r="I187" s="189" t="s">
        <v>138</v>
      </c>
      <c r="J187" s="697">
        <f>J99</f>
        <v>0.02</v>
      </c>
      <c r="K187" s="698"/>
      <c r="L187" s="210" t="s">
        <v>168</v>
      </c>
      <c r="P187" s="256"/>
      <c r="V187" s="197"/>
    </row>
    <row r="188" spans="1:23" ht="18" hidden="1" customHeight="1">
      <c r="A188" s="196"/>
      <c r="B188" s="96" t="s">
        <v>416</v>
      </c>
      <c r="C188" s="14"/>
      <c r="D188" s="47" t="str">
        <f>T177</f>
        <v>IDM+9</v>
      </c>
      <c r="E188" s="14"/>
      <c r="G188" s="211"/>
      <c r="H188" s="27"/>
      <c r="I188" s="101" t="s">
        <v>138</v>
      </c>
      <c r="J188" s="699">
        <f>J100</f>
        <v>5.8000000000000003E-2</v>
      </c>
      <c r="K188" s="700"/>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701">
        <f>J101</f>
        <v>0.44875935000000006</v>
      </c>
      <c r="K189" s="702"/>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678">
        <f>SUM(J186:J189)</f>
        <v>0.54675935000000009</v>
      </c>
      <c r="K190" s="679"/>
      <c r="L190" s="3" t="s">
        <v>168</v>
      </c>
      <c r="O190" s="27" t="s">
        <v>138</v>
      </c>
      <c r="P190" s="668" t="e">
        <f>P189*R189*T189</f>
        <v>#VALUE!</v>
      </c>
      <c r="Q190" s="665"/>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71" t="s">
        <v>547</v>
      </c>
      <c r="B192" s="972"/>
      <c r="C192" s="972"/>
      <c r="D192" s="972"/>
      <c r="E192" s="972"/>
      <c r="F192" s="972"/>
      <c r="G192" s="972"/>
      <c r="H192" s="972"/>
      <c r="I192" s="972"/>
      <c r="J192" s="972"/>
      <c r="K192" s="972"/>
      <c r="L192" s="972"/>
      <c r="M192" s="972"/>
      <c r="N192" s="972"/>
      <c r="O192" s="972"/>
      <c r="P192" s="972"/>
      <c r="Q192" s="972"/>
      <c r="R192" s="972"/>
      <c r="S192" s="972"/>
      <c r="T192" s="972"/>
      <c r="U192" s="972"/>
      <c r="V192" s="973"/>
    </row>
    <row r="193" spans="1:25" ht="18" hidden="1" customHeight="1">
      <c r="A193" s="974"/>
      <c r="B193" s="972"/>
      <c r="C193" s="972"/>
      <c r="D193" s="972"/>
      <c r="E193" s="972"/>
      <c r="F193" s="972"/>
      <c r="G193" s="972"/>
      <c r="H193" s="972"/>
      <c r="I193" s="972"/>
      <c r="J193" s="972"/>
      <c r="K193" s="972"/>
      <c r="L193" s="972"/>
      <c r="M193" s="972"/>
      <c r="N193" s="972"/>
      <c r="O193" s="972"/>
      <c r="P193" s="972"/>
      <c r="Q193" s="972"/>
      <c r="R193" s="972"/>
      <c r="S193" s="972"/>
      <c r="T193" s="972"/>
      <c r="U193" s="972"/>
      <c r="V193" s="973"/>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664" t="s">
        <v>484</v>
      </c>
      <c r="I197" s="936"/>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664">
        <f>S111</f>
        <v>50000</v>
      </c>
      <c r="T199" s="664"/>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664" t="str">
        <f>L178</f>
        <v>-</v>
      </c>
      <c r="T200" s="664"/>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664" t="str">
        <f>L181</f>
        <v>-</v>
      </c>
      <c r="T201" s="664"/>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669" t="e">
        <f>P190</f>
        <v>#VALUE!</v>
      </c>
      <c r="T202" s="664"/>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669">
        <f>J190</f>
        <v>0.54675935000000009</v>
      </c>
      <c r="T203" s="664"/>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664">
        <f>O178</f>
        <v>1</v>
      </c>
      <c r="T204" s="664"/>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664">
        <v>20</v>
      </c>
      <c r="T205" s="664"/>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788" t="s">
        <v>484</v>
      </c>
      <c r="I208" s="975"/>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76" t="str">
        <f>S201</f>
        <v>-</v>
      </c>
      <c r="I209" s="977"/>
      <c r="J209" s="257" t="s">
        <v>326</v>
      </c>
      <c r="K209" s="257">
        <f>S204</f>
        <v>1</v>
      </c>
      <c r="L209" s="257" t="s">
        <v>552</v>
      </c>
      <c r="M209" s="257">
        <f>S205</f>
        <v>20</v>
      </c>
      <c r="N209" s="474" t="s">
        <v>553</v>
      </c>
      <c r="O209" s="516" t="e">
        <f>S202</f>
        <v>#VALUE!</v>
      </c>
      <c r="V209" s="197"/>
    </row>
    <row r="210" spans="1:22" ht="18" hidden="1" customHeight="1">
      <c r="A210" s="196"/>
      <c r="D210" s="27" t="s">
        <v>138</v>
      </c>
      <c r="E210" s="665" t="e">
        <f>((F209*H209)/(K209*M209))-O209</f>
        <v>#VALUE!</v>
      </c>
      <c r="F210" s="665"/>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664" t="s">
        <v>555</v>
      </c>
      <c r="H219" s="664"/>
      <c r="I219" s="203" t="s">
        <v>353</v>
      </c>
      <c r="J219" s="665" t="s">
        <v>434</v>
      </c>
      <c r="K219" s="665"/>
      <c r="V219" s="197"/>
    </row>
    <row r="220" spans="1:22" ht="18" hidden="1" customHeight="1">
      <c r="A220" s="196"/>
      <c r="F220" s="27" t="s">
        <v>138</v>
      </c>
      <c r="G220" s="665">
        <f>S199</f>
        <v>50000</v>
      </c>
      <c r="H220" s="665"/>
      <c r="I220" s="203" t="s">
        <v>353</v>
      </c>
      <c r="J220" s="665" t="str">
        <f>S200</f>
        <v>-</v>
      </c>
      <c r="K220" s="665"/>
      <c r="V220" s="197"/>
    </row>
    <row r="221" spans="1:22" ht="18" hidden="1" customHeight="1">
      <c r="A221" s="196"/>
      <c r="F221" s="27" t="s">
        <v>138</v>
      </c>
      <c r="G221" s="668" t="e">
        <f>G220/J220</f>
        <v>#VALUE!</v>
      </c>
      <c r="H221" s="668"/>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0.54675935000000009</v>
      </c>
      <c r="P224" s="27" t="s">
        <v>361</v>
      </c>
      <c r="V224" s="197"/>
    </row>
    <row r="225" spans="1:22" ht="18" hidden="1" customHeight="1">
      <c r="A225" s="196"/>
      <c r="F225" s="27" t="s">
        <v>138</v>
      </c>
      <c r="G225" s="680" t="e">
        <f>G224*((I224+K224)/(M224+O224))</f>
        <v>#VALUE!</v>
      </c>
      <c r="H225" s="680"/>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668" t="e">
        <f>G225</f>
        <v>#VALUE!</v>
      </c>
      <c r="E228" s="668"/>
      <c r="F228" s="27" t="e">
        <f>F227</f>
        <v>#VALUE!</v>
      </c>
      <c r="G228" s="668" t="e">
        <f>G221</f>
        <v>#VALUE!</v>
      </c>
      <c r="H228" s="668"/>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800" t="s">
        <v>97</v>
      </c>
      <c r="B264" s="800"/>
      <c r="C264" s="728"/>
      <c r="D264" s="800" t="s">
        <v>98</v>
      </c>
      <c r="E264" s="800"/>
      <c r="F264" s="800"/>
      <c r="G264" s="800" t="s">
        <v>99</v>
      </c>
      <c r="H264" s="800"/>
      <c r="I264" s="800" t="s">
        <v>100</v>
      </c>
      <c r="J264" s="800"/>
      <c r="K264" s="716" t="s">
        <v>101</v>
      </c>
      <c r="L264" s="717"/>
      <c r="M264" s="716" t="s">
        <v>102</v>
      </c>
      <c r="N264" s="717"/>
      <c r="O264" s="716" t="s">
        <v>103</v>
      </c>
      <c r="P264" s="717"/>
      <c r="Q264" s="716" t="s">
        <v>104</v>
      </c>
      <c r="R264" s="717"/>
      <c r="S264" s="800" t="s">
        <v>105</v>
      </c>
      <c r="T264" s="800"/>
      <c r="U264" s="800"/>
      <c r="V264" s="800"/>
    </row>
    <row r="265" spans="1:44" ht="18" customHeight="1">
      <c r="A265" s="728" t="str">
        <f>B7</f>
        <v>T1</v>
      </c>
      <c r="B265" s="733" t="str">
        <f>D7</f>
        <v>Core3</v>
      </c>
      <c r="C265" s="733"/>
      <c r="D265" s="732">
        <f>H10</f>
        <v>2500</v>
      </c>
      <c r="E265" s="732"/>
      <c r="F265" s="734">
        <f>O10</f>
        <v>1</v>
      </c>
      <c r="G265" s="732">
        <f>'CT-VT Burdens'!S19</f>
        <v>50</v>
      </c>
      <c r="H265" s="794">
        <f>'CT-VT Burdens'!S10</f>
        <v>6</v>
      </c>
      <c r="I265" s="794" t="str">
        <f>H11</f>
        <v>5P20</v>
      </c>
      <c r="J265" s="794"/>
      <c r="K265" s="728">
        <f>H12</f>
        <v>5</v>
      </c>
      <c r="L265" s="728"/>
      <c r="M265" s="801" t="s">
        <v>7</v>
      </c>
      <c r="N265" s="728"/>
      <c r="O265" s="799" t="s">
        <v>7</v>
      </c>
      <c r="P265" s="732"/>
      <c r="Q265" s="739" t="str">
        <f>IF(T8="",T7,IF(T9="",T7&amp;" "&amp;T8,T7&amp;" "&amp;T8&amp;" "&amp;T9))</f>
        <v>REF650 REC670 IDM+9</v>
      </c>
      <c r="R265" s="739"/>
      <c r="S265" s="738" t="str">
        <f>G57</f>
        <v>Suitably Dimentioned</v>
      </c>
      <c r="T265" s="738"/>
      <c r="U265" s="738"/>
      <c r="V265" s="738"/>
    </row>
    <row r="266" spans="1:44" ht="18" customHeight="1">
      <c r="A266" s="728"/>
      <c r="B266" s="733"/>
      <c r="C266" s="733"/>
      <c r="D266" s="732" t="str">
        <f>J10</f>
        <v>-</v>
      </c>
      <c r="E266" s="732"/>
      <c r="F266" s="735"/>
      <c r="G266" s="732"/>
      <c r="H266" s="732"/>
      <c r="I266" s="794"/>
      <c r="J266" s="794"/>
      <c r="K266" s="801" t="s">
        <v>7</v>
      </c>
      <c r="L266" s="728"/>
      <c r="M266" s="801" t="s">
        <v>7</v>
      </c>
      <c r="N266" s="728"/>
      <c r="O266" s="799" t="s">
        <v>7</v>
      </c>
      <c r="P266" s="732"/>
      <c r="Q266" s="739"/>
      <c r="R266" s="739"/>
      <c r="S266" s="978" t="s">
        <v>7</v>
      </c>
      <c r="T266" s="738"/>
      <c r="U266" s="738"/>
      <c r="V266" s="738"/>
    </row>
    <row r="267" spans="1:44" ht="18" customHeight="1">
      <c r="A267" s="728"/>
      <c r="B267" s="733"/>
      <c r="C267" s="733"/>
      <c r="D267" s="732" t="str">
        <f>L10</f>
        <v>-</v>
      </c>
      <c r="E267" s="732"/>
      <c r="F267" s="736"/>
      <c r="G267" s="732"/>
      <c r="H267" s="732"/>
      <c r="I267" s="794"/>
      <c r="J267" s="794"/>
      <c r="K267" s="801" t="s">
        <v>7</v>
      </c>
      <c r="L267" s="728"/>
      <c r="M267" s="801" t="s">
        <v>7</v>
      </c>
      <c r="N267" s="728"/>
      <c r="O267" s="799" t="s">
        <v>7</v>
      </c>
      <c r="P267" s="732"/>
      <c r="Q267" s="739"/>
      <c r="R267" s="739"/>
      <c r="S267" s="978" t="s">
        <v>7</v>
      </c>
      <c r="T267" s="738"/>
      <c r="U267" s="738"/>
      <c r="V267" s="738"/>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G220:H220"/>
    <mergeCell ref="J220:K220"/>
    <mergeCell ref="G221:H221"/>
    <mergeCell ref="G225:H225"/>
    <mergeCell ref="D228:E228"/>
    <mergeCell ref="G228:H228"/>
    <mergeCell ref="S205:T205"/>
    <mergeCell ref="H208:I208"/>
    <mergeCell ref="H209:I209"/>
    <mergeCell ref="E210:F210"/>
    <mergeCell ref="G219:H219"/>
    <mergeCell ref="J219:K219"/>
    <mergeCell ref="S199:T199"/>
    <mergeCell ref="S200:T200"/>
    <mergeCell ref="S201:T201"/>
    <mergeCell ref="S202:T202"/>
    <mergeCell ref="S203:T203"/>
    <mergeCell ref="S204:T204"/>
    <mergeCell ref="J188:K188"/>
    <mergeCell ref="J189:K189"/>
    <mergeCell ref="J190:K190"/>
    <mergeCell ref="P190:Q190"/>
    <mergeCell ref="A192:V193"/>
    <mergeCell ref="H197:I197"/>
    <mergeCell ref="L179:M179"/>
    <mergeCell ref="L180:M180"/>
    <mergeCell ref="L181:M181"/>
    <mergeCell ref="L182:M182"/>
    <mergeCell ref="J186:K186"/>
    <mergeCell ref="J187:K187"/>
    <mergeCell ref="H177:I177"/>
    <mergeCell ref="J177:K177"/>
    <mergeCell ref="L177:M177"/>
    <mergeCell ref="T177:U177"/>
    <mergeCell ref="H178:I178"/>
    <mergeCell ref="J178:K178"/>
    <mergeCell ref="L178:M178"/>
    <mergeCell ref="B175:C175"/>
    <mergeCell ref="D175:E176"/>
    <mergeCell ref="H175:M175"/>
    <mergeCell ref="T175:U175"/>
    <mergeCell ref="B176:C176"/>
    <mergeCell ref="T176:U176"/>
    <mergeCell ref="G132:H132"/>
    <mergeCell ref="J132:K132"/>
    <mergeCell ref="G133:H133"/>
    <mergeCell ref="G137:H137"/>
    <mergeCell ref="D140:E140"/>
    <mergeCell ref="G140:H140"/>
    <mergeCell ref="S117:T117"/>
    <mergeCell ref="H120:I120"/>
    <mergeCell ref="H121:I121"/>
    <mergeCell ref="E122:F122"/>
    <mergeCell ref="G131:H131"/>
    <mergeCell ref="J131:K131"/>
    <mergeCell ref="S111:T111"/>
    <mergeCell ref="S112:T112"/>
    <mergeCell ref="S113:T113"/>
    <mergeCell ref="S114:T114"/>
    <mergeCell ref="S115:T115"/>
    <mergeCell ref="S116:T116"/>
    <mergeCell ref="J100:K100"/>
    <mergeCell ref="J101:K101"/>
    <mergeCell ref="J102:K102"/>
    <mergeCell ref="P102:Q102"/>
    <mergeCell ref="A104:V105"/>
    <mergeCell ref="H109:I109"/>
    <mergeCell ref="J91:K91"/>
    <mergeCell ref="J92:K92"/>
    <mergeCell ref="J93:K93"/>
    <mergeCell ref="J94:K94"/>
    <mergeCell ref="J98:K98"/>
    <mergeCell ref="J99:K99"/>
    <mergeCell ref="H89:I89"/>
    <mergeCell ref="J89:K89"/>
    <mergeCell ref="L89:M89"/>
    <mergeCell ref="T89:U89"/>
    <mergeCell ref="H90:I90"/>
    <mergeCell ref="J90:K90"/>
    <mergeCell ref="L90:M90"/>
    <mergeCell ref="B87:C87"/>
    <mergeCell ref="D87:E88"/>
    <mergeCell ref="H87:M87"/>
    <mergeCell ref="T87:U87"/>
    <mergeCell ref="B88:C88"/>
    <mergeCell ref="T88:U88"/>
    <mergeCell ref="G48:H48"/>
    <mergeCell ref="J48:K48"/>
    <mergeCell ref="G49:H49"/>
    <mergeCell ref="G53:H53"/>
    <mergeCell ref="D56:E56"/>
    <mergeCell ref="G56:H56"/>
    <mergeCell ref="S36:T36"/>
    <mergeCell ref="H39:I39"/>
    <mergeCell ref="H40:I40"/>
    <mergeCell ref="E41:F41"/>
    <mergeCell ref="G47:H47"/>
    <mergeCell ref="J47:K47"/>
    <mergeCell ref="S37:T37"/>
    <mergeCell ref="S30:T30"/>
    <mergeCell ref="S31:T31"/>
    <mergeCell ref="S32:T32"/>
    <mergeCell ref="S33:T33"/>
    <mergeCell ref="S34:T34"/>
    <mergeCell ref="S35:T35"/>
    <mergeCell ref="J20:K20"/>
    <mergeCell ref="J21:K21"/>
    <mergeCell ref="J22:K22"/>
    <mergeCell ref="P22:Q22"/>
    <mergeCell ref="A24:V25"/>
    <mergeCell ref="H28:I28"/>
    <mergeCell ref="J19:K19"/>
    <mergeCell ref="T8:U8"/>
    <mergeCell ref="H9:I9"/>
    <mergeCell ref="J9:K9"/>
    <mergeCell ref="L9:M9"/>
    <mergeCell ref="T9:U9"/>
    <mergeCell ref="H10:I10"/>
    <mergeCell ref="J10:K10"/>
    <mergeCell ref="L10:M10"/>
    <mergeCell ref="R5:V5"/>
    <mergeCell ref="B7:C7"/>
    <mergeCell ref="T7:U7"/>
    <mergeCell ref="D7:E7"/>
    <mergeCell ref="H11:I11"/>
    <mergeCell ref="H12:I12"/>
    <mergeCell ref="H13:I13"/>
    <mergeCell ref="H14:I14"/>
    <mergeCell ref="J18:K18"/>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V6" s="197"/>
    </row>
    <row r="7" spans="1:24" ht="18" customHeight="1">
      <c r="A7" s="196"/>
      <c r="B7" s="653" t="s">
        <v>120</v>
      </c>
      <c r="C7" s="654"/>
      <c r="D7" s="890" t="s">
        <v>125</v>
      </c>
      <c r="E7" s="985"/>
      <c r="F7" s="468"/>
      <c r="H7" s="664" t="s">
        <v>722</v>
      </c>
      <c r="I7" s="665"/>
      <c r="J7" s="665"/>
      <c r="K7" s="665"/>
      <c r="L7" s="665"/>
      <c r="M7" s="665"/>
      <c r="P7" s="198"/>
      <c r="S7" s="199" t="s">
        <v>398</v>
      </c>
      <c r="T7" s="653" t="s">
        <v>190</v>
      </c>
      <c r="U7" s="654"/>
      <c r="V7" s="197"/>
    </row>
    <row r="8" spans="1:24" ht="18" customHeight="1">
      <c r="A8" s="469"/>
      <c r="F8" s="468"/>
      <c r="T8" s="653"/>
      <c r="U8" s="654"/>
      <c r="V8" s="197"/>
    </row>
    <row r="9" spans="1:24" ht="18" customHeight="1">
      <c r="A9" s="196"/>
      <c r="H9" s="666" t="s">
        <v>401</v>
      </c>
      <c r="I9" s="666"/>
      <c r="J9" s="667" t="s">
        <v>402</v>
      </c>
      <c r="K9" s="667"/>
      <c r="L9" s="667" t="s">
        <v>403</v>
      </c>
      <c r="M9" s="667"/>
      <c r="T9" s="653"/>
      <c r="U9" s="654"/>
      <c r="V9" s="197"/>
    </row>
    <row r="10" spans="1:24" ht="18" customHeight="1">
      <c r="A10" s="196"/>
      <c r="B10" s="47" t="s">
        <v>404</v>
      </c>
      <c r="H10" s="651">
        <v>2500</v>
      </c>
      <c r="I10" s="652"/>
      <c r="J10" s="653"/>
      <c r="K10" s="654"/>
      <c r="L10" s="653" t="s">
        <v>7</v>
      </c>
      <c r="M10" s="654"/>
      <c r="N10" s="203" t="s">
        <v>353</v>
      </c>
      <c r="O10" s="125">
        <v>1</v>
      </c>
      <c r="P10" s="27" t="s">
        <v>9</v>
      </c>
      <c r="R10" s="267"/>
      <c r="S10" s="267"/>
      <c r="V10" s="197"/>
    </row>
    <row r="11" spans="1:24" ht="18" customHeight="1">
      <c r="A11" s="196"/>
      <c r="B11" s="47" t="s">
        <v>405</v>
      </c>
      <c r="H11" s="653" t="s">
        <v>849</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f>T8</f>
        <v>0</v>
      </c>
      <c r="H19" s="28"/>
      <c r="I19" s="101" t="s">
        <v>138</v>
      </c>
      <c r="J19" s="670"/>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0.44875935000000006</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0.45875935000000007</v>
      </c>
      <c r="K22" s="67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33</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0.45875935000000007</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64" t="s">
        <v>734</v>
      </c>
      <c r="J36" s="664" t="s">
        <v>138</v>
      </c>
      <c r="K36" s="885" t="s">
        <v>725</v>
      </c>
      <c r="L36" s="885"/>
      <c r="M36" s="27"/>
      <c r="N36" s="308"/>
      <c r="O36" s="234"/>
      <c r="V36" s="197"/>
    </row>
    <row r="37" spans="1:29" ht="18" customHeight="1">
      <c r="A37" s="196"/>
      <c r="D37" s="27"/>
      <c r="G37" s="27"/>
      <c r="I37" s="664"/>
      <c r="J37" s="664"/>
      <c r="K37" s="988" t="s">
        <v>735</v>
      </c>
      <c r="L37" s="98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88">
        <f>S25</f>
        <v>50000</v>
      </c>
      <c r="F50" s="788"/>
      <c r="G50" s="14"/>
      <c r="H50" s="14"/>
      <c r="I50" s="102"/>
      <c r="J50" s="47"/>
      <c r="K50" s="47"/>
      <c r="L50" s="14"/>
      <c r="M50" s="14"/>
      <c r="N50" s="14"/>
      <c r="O50" s="14"/>
      <c r="P50" s="14"/>
      <c r="Q50" s="14"/>
      <c r="R50" s="14"/>
      <c r="S50" s="14"/>
      <c r="T50" s="14"/>
      <c r="U50" s="14"/>
      <c r="V50" s="197"/>
    </row>
    <row r="51" spans="1:22" ht="18" customHeight="1">
      <c r="A51" s="96"/>
      <c r="B51" s="14"/>
      <c r="C51" s="120"/>
      <c r="D51" s="28"/>
      <c r="E51" s="786" t="str">
        <f>"5 x "&amp;S26&amp;""</f>
        <v>5 x 2500</v>
      </c>
      <c r="F51" s="786"/>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86">
        <f>S25/5/S26</f>
        <v>4</v>
      </c>
      <c r="F53" s="67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64" t="s">
        <v>747</v>
      </c>
      <c r="F56" s="664">
        <v>1</v>
      </c>
      <c r="G56" s="664"/>
      <c r="H56" s="664" t="s">
        <v>323</v>
      </c>
      <c r="I56" s="472" t="s">
        <v>323</v>
      </c>
      <c r="J56" s="120"/>
      <c r="K56" s="28"/>
      <c r="L56" s="120"/>
      <c r="M56" s="28"/>
      <c r="N56" s="120"/>
      <c r="O56" s="28"/>
      <c r="P56" s="120"/>
      <c r="Q56" s="308"/>
      <c r="V56" s="197"/>
    </row>
    <row r="57" spans="1:22" ht="18" customHeight="1">
      <c r="A57" s="96"/>
      <c r="C57" s="14"/>
      <c r="D57" s="14"/>
      <c r="E57" s="987"/>
      <c r="F57" s="285"/>
      <c r="G57" s="286" t="s">
        <v>748</v>
      </c>
      <c r="H57" s="664"/>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96">
        <v>1</v>
      </c>
      <c r="G59" s="696"/>
      <c r="H59" s="696"/>
      <c r="I59" s="27"/>
      <c r="J59" s="664" t="s">
        <v>326</v>
      </c>
      <c r="K59" s="991">
        <v>15</v>
      </c>
      <c r="L59" s="120"/>
      <c r="M59" s="28"/>
      <c r="N59" s="120"/>
      <c r="O59" s="28"/>
      <c r="P59" s="120"/>
      <c r="Q59" s="308"/>
      <c r="V59" s="197"/>
    </row>
    <row r="60" spans="1:22" ht="18" customHeight="1">
      <c r="A60" s="96"/>
      <c r="C60" s="120"/>
      <c r="D60" s="120" t="s">
        <v>749</v>
      </c>
      <c r="E60" s="102" t="s">
        <v>138</v>
      </c>
      <c r="F60" s="30" t="s">
        <v>750</v>
      </c>
      <c r="I60" s="27"/>
      <c r="J60" s="665"/>
      <c r="K60" s="989"/>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92">
        <f>1*K59/(2*3.14*50)</f>
        <v>4.7770700636942678E-2</v>
      </c>
      <c r="G62" s="992"/>
      <c r="H62" s="28" t="s">
        <v>751</v>
      </c>
      <c r="I62" s="27"/>
      <c r="J62" s="120"/>
      <c r="K62" s="28"/>
      <c r="L62" s="120"/>
      <c r="M62" s="28"/>
      <c r="N62" s="120"/>
      <c r="O62" s="28"/>
      <c r="P62" s="120"/>
      <c r="Q62" s="308"/>
      <c r="V62" s="197"/>
    </row>
    <row r="63" spans="1:22" ht="18" customHeight="1">
      <c r="A63" s="96"/>
      <c r="C63" s="120"/>
      <c r="D63" s="120" t="s">
        <v>749</v>
      </c>
      <c r="E63" s="230" t="s">
        <v>138</v>
      </c>
      <c r="F63" s="993">
        <f>F62*1000</f>
        <v>47.770700636942678</v>
      </c>
      <c r="G63" s="993"/>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69">
        <f>S29</f>
        <v>5</v>
      </c>
      <c r="G75" s="669"/>
      <c r="H75" s="102" t="s">
        <v>358</v>
      </c>
      <c r="I75" s="230">
        <f>S30</f>
        <v>0.45875935000000007</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54.687593499999998</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9">
        <f>0.8*D76</f>
        <v>43.7500748</v>
      </c>
      <c r="O79" s="989"/>
      <c r="V79" s="197"/>
    </row>
    <row r="80" spans="1:22" ht="17.399999999999999" customHeight="1">
      <c r="A80" s="196"/>
      <c r="B80" s="7"/>
      <c r="E80" s="14"/>
      <c r="F80" s="14" t="s">
        <v>763</v>
      </c>
      <c r="G80" s="7"/>
      <c r="L80" s="28" t="s">
        <v>138</v>
      </c>
      <c r="N80" s="940">
        <f>N79*1.2</f>
        <v>52.500089760000002</v>
      </c>
      <c r="O80" s="940"/>
      <c r="V80" s="197"/>
    </row>
    <row r="81" spans="1:23" ht="17.399999999999999" customHeight="1">
      <c r="A81" s="196"/>
      <c r="K81" s="211" t="s">
        <v>486</v>
      </c>
      <c r="L81" s="28" t="str">
        <f>IF(I82&gt;M82,"&gt;","&lt;")</f>
        <v>&gt;</v>
      </c>
      <c r="M81" s="269" t="s">
        <v>488</v>
      </c>
      <c r="O81" s="18"/>
      <c r="P81" s="280"/>
      <c r="V81" s="197"/>
    </row>
    <row r="82" spans="1:23" ht="17.399999999999999" customHeight="1">
      <c r="A82" s="196"/>
      <c r="I82" s="668">
        <f>S28</f>
        <v>750</v>
      </c>
      <c r="J82" s="668"/>
      <c r="K82" s="27"/>
      <c r="L82" s="27" t="str">
        <f>IF(I82&gt;=M82,"&gt;","&lt;")</f>
        <v>&gt;</v>
      </c>
      <c r="M82" s="668">
        <f>N80</f>
        <v>52.500089760000002</v>
      </c>
      <c r="N82" s="668"/>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81" t="str">
        <f>B7</f>
        <v>T1</v>
      </c>
      <c r="C89" s="682"/>
      <c r="D89" s="695" t="str">
        <f>D7</f>
        <v>Core4</v>
      </c>
      <c r="E89" s="990"/>
      <c r="F89" s="468"/>
      <c r="H89" s="665" t="str">
        <f>H7</f>
        <v>(Low Imp. Busbar)</v>
      </c>
      <c r="I89" s="665"/>
      <c r="J89" s="665"/>
      <c r="K89" s="665"/>
      <c r="L89" s="665"/>
      <c r="M89" s="665"/>
      <c r="P89" s="198"/>
      <c r="S89" s="199" t="s">
        <v>398</v>
      </c>
      <c r="T89" s="681" t="str">
        <f>T7</f>
        <v>REB500</v>
      </c>
      <c r="U89" s="682"/>
      <c r="V89" s="197"/>
    </row>
    <row r="90" spans="1:23" ht="18" hidden="1" customHeight="1">
      <c r="A90" s="469"/>
      <c r="F90" s="468"/>
      <c r="T90" s="994">
        <f>T8</f>
        <v>0</v>
      </c>
      <c r="U90" s="995"/>
      <c r="V90" s="197"/>
    </row>
    <row r="91" spans="1:23" ht="18" hidden="1" customHeight="1">
      <c r="A91" s="196"/>
      <c r="H91" s="696" t="s">
        <v>401</v>
      </c>
      <c r="I91" s="696"/>
      <c r="J91" s="666" t="s">
        <v>402</v>
      </c>
      <c r="K91" s="666"/>
      <c r="L91" s="667" t="s">
        <v>403</v>
      </c>
      <c r="M91" s="667"/>
      <c r="T91" s="994">
        <f>T9</f>
        <v>0</v>
      </c>
      <c r="U91" s="995"/>
      <c r="V91" s="197"/>
    </row>
    <row r="92" spans="1:23" ht="18" hidden="1" customHeight="1">
      <c r="A92" s="196"/>
      <c r="B92" s="47" t="s">
        <v>404</v>
      </c>
      <c r="H92" s="681">
        <f>H10</f>
        <v>2500</v>
      </c>
      <c r="I92" s="682"/>
      <c r="J92" s="681">
        <f>J10</f>
        <v>0</v>
      </c>
      <c r="K92" s="682"/>
      <c r="L92" s="681" t="str">
        <f>L10</f>
        <v>-</v>
      </c>
      <c r="M92" s="682"/>
      <c r="N92" s="203" t="s">
        <v>353</v>
      </c>
      <c r="O92" s="501">
        <f>O10</f>
        <v>1</v>
      </c>
      <c r="P92" s="27" t="s">
        <v>9</v>
      </c>
      <c r="R92" s="267"/>
      <c r="S92" s="267"/>
      <c r="V92" s="197"/>
    </row>
    <row r="93" spans="1:23" ht="18" hidden="1" customHeight="1">
      <c r="A93" s="196"/>
      <c r="B93" s="47" t="s">
        <v>405</v>
      </c>
      <c r="H93" s="14"/>
      <c r="I93" s="14"/>
      <c r="J93" s="681" t="str">
        <f>H11</f>
        <v>PX-B</v>
      </c>
      <c r="K93" s="682"/>
      <c r="L93" s="14"/>
      <c r="M93" s="14"/>
      <c r="V93" s="197"/>
    </row>
    <row r="94" spans="1:23" ht="18" hidden="1" customHeight="1">
      <c r="A94" s="196"/>
      <c r="B94" s="47" t="s">
        <v>407</v>
      </c>
      <c r="I94" s="120" t="s">
        <v>508</v>
      </c>
      <c r="J94" s="653">
        <v>9.3000000000000007</v>
      </c>
      <c r="K94" s="654"/>
      <c r="L94" s="204" t="s">
        <v>344</v>
      </c>
      <c r="V94" s="197"/>
    </row>
    <row r="95" spans="1:23" ht="18" hidden="1" customHeight="1">
      <c r="A95" s="196"/>
      <c r="B95" s="47" t="s">
        <v>409</v>
      </c>
      <c r="I95" s="120" t="s">
        <v>509</v>
      </c>
      <c r="J95" s="653">
        <v>500</v>
      </c>
      <c r="K95" s="654"/>
      <c r="L95" s="14" t="s">
        <v>316</v>
      </c>
      <c r="T95" s="307"/>
      <c r="U95" s="18"/>
      <c r="V95" s="197"/>
      <c r="W95" s="30" t="str">
        <f>M162</f>
        <v>Required Vk</v>
      </c>
    </row>
    <row r="96" spans="1:23" ht="18" hidden="1" customHeight="1">
      <c r="A96" s="196"/>
      <c r="B96" s="14" t="s">
        <v>412</v>
      </c>
      <c r="I96" s="120" t="s">
        <v>413</v>
      </c>
      <c r="J96" s="653">
        <v>60</v>
      </c>
      <c r="K96" s="654"/>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78">
        <f>J18</f>
        <v>0.01</v>
      </c>
      <c r="K100" s="679"/>
      <c r="L100" s="3" t="s">
        <v>168</v>
      </c>
      <c r="N100" s="209" t="s">
        <v>521</v>
      </c>
      <c r="V100" s="197"/>
    </row>
    <row r="101" spans="1:22" ht="18" hidden="1" customHeight="1">
      <c r="A101" s="196"/>
      <c r="B101" s="96" t="s">
        <v>416</v>
      </c>
      <c r="C101" s="14"/>
      <c r="D101" s="47">
        <f>T90</f>
        <v>0</v>
      </c>
      <c r="H101" s="28"/>
      <c r="I101" s="101" t="s">
        <v>138</v>
      </c>
      <c r="J101" s="678">
        <f>J19</f>
        <v>0</v>
      </c>
      <c r="K101" s="67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78">
        <f>J20</f>
        <v>0</v>
      </c>
      <c r="K102" s="67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701">
        <f>J21</f>
        <v>0.44875935000000006</v>
      </c>
      <c r="K103" s="702"/>
      <c r="L103" s="309" t="s">
        <v>168</v>
      </c>
      <c r="O103" s="27" t="s">
        <v>138</v>
      </c>
      <c r="P103" s="668">
        <f>P102*R102*T102</f>
        <v>9.3000000000000007</v>
      </c>
      <c r="Q103" s="665"/>
      <c r="R103" s="27" t="s">
        <v>168</v>
      </c>
      <c r="V103" s="197"/>
    </row>
    <row r="104" spans="1:22" ht="18" hidden="1" customHeight="1">
      <c r="A104" s="196"/>
      <c r="B104" s="1" t="s">
        <v>424</v>
      </c>
      <c r="C104" s="2"/>
      <c r="D104" s="2"/>
      <c r="E104" s="2"/>
      <c r="F104" s="208"/>
      <c r="G104" s="208"/>
      <c r="H104" s="236" t="s">
        <v>523</v>
      </c>
      <c r="I104" s="195" t="s">
        <v>138</v>
      </c>
      <c r="J104" s="678">
        <f>SUM(J100:J103)</f>
        <v>0.45875935000000007</v>
      </c>
      <c r="K104" s="67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64">
        <v>31500</v>
      </c>
      <c r="T107" s="664"/>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64">
        <f>J92</f>
        <v>0</v>
      </c>
      <c r="T108" s="664"/>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64">
        <v>33</v>
      </c>
      <c r="T109" s="664"/>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64">
        <f>J95</f>
        <v>500</v>
      </c>
      <c r="T110" s="664"/>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69">
        <f>P103</f>
        <v>9.3000000000000007</v>
      </c>
      <c r="T111" s="664"/>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69">
        <f>J104</f>
        <v>0.45875935000000007</v>
      </c>
      <c r="T112" s="664"/>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64">
        <f>O92</f>
        <v>1</v>
      </c>
      <c r="T113" s="664"/>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64">
        <v>50</v>
      </c>
      <c r="T114" s="664"/>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64" t="s">
        <v>734</v>
      </c>
      <c r="J118" s="664" t="s">
        <v>138</v>
      </c>
      <c r="K118" s="885" t="s">
        <v>725</v>
      </c>
      <c r="L118" s="885"/>
      <c r="M118" s="27"/>
      <c r="N118" s="308"/>
      <c r="O118" s="234"/>
      <c r="V118" s="197"/>
      <c r="X118" s="291"/>
      <c r="Y118" s="291"/>
    </row>
    <row r="119" spans="1:25" ht="18" hidden="1" customHeight="1">
      <c r="A119" s="180"/>
      <c r="D119" s="27"/>
      <c r="G119" s="27"/>
      <c r="I119" s="664"/>
      <c r="J119" s="664"/>
      <c r="K119" s="988" t="s">
        <v>735</v>
      </c>
      <c r="L119" s="98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88">
        <f>S107</f>
        <v>31500</v>
      </c>
      <c r="F132" s="78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86" t="str">
        <f>"5 x "&amp;S108&amp;""</f>
        <v>5 x 0</v>
      </c>
      <c r="F133" s="786"/>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86" t="e">
        <f>S107/5/S108</f>
        <v>#DIV/0!</v>
      </c>
      <c r="F135" s="67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64" t="s">
        <v>747</v>
      </c>
      <c r="F138" s="664">
        <v>1</v>
      </c>
      <c r="G138" s="664"/>
      <c r="H138" s="664" t="s">
        <v>323</v>
      </c>
      <c r="I138" s="472" t="s">
        <v>323</v>
      </c>
      <c r="J138" s="120"/>
      <c r="K138" s="28"/>
      <c r="L138" s="120"/>
      <c r="M138" s="28"/>
      <c r="N138" s="120"/>
      <c r="O138" s="28"/>
      <c r="P138" s="120"/>
      <c r="Q138" s="308"/>
      <c r="V138" s="197"/>
    </row>
    <row r="139" spans="1:22" ht="18" hidden="1" customHeight="1">
      <c r="A139" s="96"/>
      <c r="C139" s="14"/>
      <c r="D139" s="14"/>
      <c r="E139" s="987"/>
      <c r="F139" s="285"/>
      <c r="G139" s="286" t="s">
        <v>748</v>
      </c>
      <c r="H139" s="664"/>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96">
        <v>1</v>
      </c>
      <c r="G143" s="696"/>
      <c r="H143" s="696"/>
      <c r="I143" s="27"/>
      <c r="J143" s="664" t="s">
        <v>326</v>
      </c>
      <c r="K143" s="991" t="e">
        <f>O141</f>
        <v>#REF!</v>
      </c>
      <c r="L143" s="120"/>
      <c r="M143" s="28"/>
      <c r="N143" s="120"/>
      <c r="O143" s="28"/>
      <c r="P143" s="120"/>
      <c r="Q143" s="308"/>
      <c r="V143" s="197"/>
    </row>
    <row r="144" spans="1:22" ht="18" hidden="1" customHeight="1">
      <c r="A144" s="196"/>
      <c r="C144" s="120"/>
      <c r="D144" s="120" t="s">
        <v>749</v>
      </c>
      <c r="E144" s="102" t="s">
        <v>138</v>
      </c>
      <c r="F144" s="14" t="s">
        <v>750</v>
      </c>
      <c r="I144" s="27"/>
      <c r="J144" s="665"/>
      <c r="K144" s="989"/>
      <c r="L144" s="120"/>
      <c r="M144" s="28"/>
      <c r="N144" s="120"/>
      <c r="O144" s="28"/>
      <c r="P144" s="120"/>
      <c r="Q144" s="308"/>
      <c r="V144" s="197"/>
    </row>
    <row r="145" spans="1:22" ht="18" hidden="1" customHeight="1">
      <c r="A145" s="196"/>
      <c r="C145" s="120"/>
      <c r="D145" s="28"/>
      <c r="E145" s="230" t="s">
        <v>138</v>
      </c>
      <c r="F145" s="992" t="e">
        <f>1*O141/(2*3.14*50)</f>
        <v>#REF!</v>
      </c>
      <c r="G145" s="992"/>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93" t="e">
        <f>F145*1000</f>
        <v>#REF!</v>
      </c>
      <c r="G146" s="993"/>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93" t="e">
        <f>MAX(E135,F147)</f>
        <v>#DIV/0!</v>
      </c>
      <c r="F152" s="993"/>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669">
        <f>S111</f>
        <v>9.3000000000000007</v>
      </c>
      <c r="G156" s="669"/>
      <c r="H156" s="102" t="s">
        <v>358</v>
      </c>
      <c r="I156" s="230">
        <f>S112</f>
        <v>0.45875935000000007</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9" t="e">
        <f>0.8*D157</f>
        <v>#DIV/0!</v>
      </c>
      <c r="O160" s="989"/>
      <c r="V160" s="197"/>
    </row>
    <row r="161" spans="1:22" ht="18" hidden="1" customHeight="1">
      <c r="A161" s="196"/>
      <c r="B161" s="7"/>
      <c r="E161" s="14"/>
      <c r="F161" s="14" t="s">
        <v>763</v>
      </c>
      <c r="G161" s="7"/>
      <c r="L161" s="28" t="s">
        <v>138</v>
      </c>
      <c r="N161" s="940" t="e">
        <f>N160*1.2</f>
        <v>#DIV/0!</v>
      </c>
      <c r="O161" s="940"/>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668">
        <f>S110</f>
        <v>500</v>
      </c>
      <c r="K163" s="668"/>
      <c r="L163" s="27" t="e">
        <f>IF(J163&gt;=M163,"&gt;","&lt;")</f>
        <v>#DIV/0!</v>
      </c>
      <c r="M163" s="668" t="e">
        <f>N161</f>
        <v>#DIV/0!</v>
      </c>
      <c r="N163" s="668"/>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08" t="str">
        <f>B89</f>
        <v>T1</v>
      </c>
      <c r="C171" s="709"/>
      <c r="D171" s="708" t="str">
        <f>D89</f>
        <v>Core4</v>
      </c>
      <c r="E171" s="709"/>
      <c r="F171" s="468"/>
      <c r="H171" s="665" t="str">
        <f>H89</f>
        <v>(Low Imp. Busbar)</v>
      </c>
      <c r="I171" s="665"/>
      <c r="J171" s="665"/>
      <c r="K171" s="665"/>
      <c r="L171" s="665"/>
      <c r="M171" s="665"/>
      <c r="P171" s="198"/>
      <c r="S171" s="199" t="s">
        <v>398</v>
      </c>
      <c r="T171" s="708" t="str">
        <f>T89</f>
        <v>REB500</v>
      </c>
      <c r="U171" s="709"/>
      <c r="V171" s="197"/>
    </row>
    <row r="172" spans="1:22" ht="18" hidden="1" customHeight="1">
      <c r="A172" s="469"/>
      <c r="F172" s="468"/>
      <c r="T172" s="708">
        <f>T90</f>
        <v>0</v>
      </c>
      <c r="U172" s="709"/>
      <c r="V172" s="197"/>
    </row>
    <row r="173" spans="1:22" ht="18" hidden="1" customHeight="1">
      <c r="A173" s="196"/>
      <c r="H173" s="696" t="s">
        <v>401</v>
      </c>
      <c r="I173" s="696"/>
      <c r="J173" s="696" t="s">
        <v>402</v>
      </c>
      <c r="K173" s="696"/>
      <c r="L173" s="666" t="s">
        <v>403</v>
      </c>
      <c r="M173" s="666"/>
      <c r="T173" s="708">
        <f>T91</f>
        <v>0</v>
      </c>
      <c r="U173" s="709"/>
      <c r="V173" s="197"/>
    </row>
    <row r="174" spans="1:22" ht="18" hidden="1" customHeight="1">
      <c r="A174" s="196"/>
      <c r="B174" s="47" t="s">
        <v>404</v>
      </c>
      <c r="H174" s="708">
        <f>H92</f>
        <v>2500</v>
      </c>
      <c r="I174" s="709"/>
      <c r="J174" s="708">
        <f>J92</f>
        <v>0</v>
      </c>
      <c r="K174" s="709"/>
      <c r="L174" s="714" t="str">
        <f>L92</f>
        <v>-</v>
      </c>
      <c r="M174" s="715"/>
      <c r="N174" s="203" t="s">
        <v>353</v>
      </c>
      <c r="O174" s="268">
        <f>O92</f>
        <v>1</v>
      </c>
      <c r="P174" s="27" t="s">
        <v>9</v>
      </c>
      <c r="R174" s="267"/>
      <c r="S174" s="267"/>
      <c r="V174" s="197"/>
    </row>
    <row r="175" spans="1:22" ht="18" hidden="1" customHeight="1">
      <c r="A175" s="196"/>
      <c r="B175" s="47" t="s">
        <v>405</v>
      </c>
      <c r="H175" s="14"/>
      <c r="K175" s="14"/>
      <c r="L175" s="708" t="str">
        <f>J93</f>
        <v>PX-B</v>
      </c>
      <c r="M175" s="709"/>
      <c r="N175" s="14"/>
      <c r="V175" s="197"/>
    </row>
    <row r="176" spans="1:22" ht="18" hidden="1" customHeight="1">
      <c r="A176" s="196"/>
      <c r="B176" s="47" t="s">
        <v>407</v>
      </c>
      <c r="K176" s="120" t="s">
        <v>508</v>
      </c>
      <c r="L176" s="653" t="s">
        <v>7</v>
      </c>
      <c r="M176" s="654"/>
      <c r="N176" s="204" t="s">
        <v>344</v>
      </c>
      <c r="V176" s="197"/>
    </row>
    <row r="177" spans="1:23" ht="18" hidden="1" customHeight="1">
      <c r="A177" s="196"/>
      <c r="B177" s="47" t="s">
        <v>409</v>
      </c>
      <c r="K177" s="120" t="s">
        <v>509</v>
      </c>
      <c r="L177" s="653" t="s">
        <v>7</v>
      </c>
      <c r="M177" s="654"/>
      <c r="N177" s="14" t="s">
        <v>316</v>
      </c>
      <c r="V177" s="197"/>
      <c r="W177" s="30" t="e">
        <f>G237</f>
        <v>#VALUE!</v>
      </c>
    </row>
    <row r="178" spans="1:23" ht="18" hidden="1" customHeight="1">
      <c r="A178" s="196"/>
      <c r="B178" s="14" t="s">
        <v>412</v>
      </c>
      <c r="K178" s="120" t="s">
        <v>413</v>
      </c>
      <c r="L178" s="653" t="s">
        <v>7</v>
      </c>
      <c r="M178" s="654"/>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78">
        <f>J100</f>
        <v>0.01</v>
      </c>
      <c r="K182" s="679"/>
      <c r="L182" s="3" t="s">
        <v>168</v>
      </c>
      <c r="N182" s="209" t="s">
        <v>521</v>
      </c>
      <c r="V182" s="197"/>
    </row>
    <row r="183" spans="1:23" ht="18" hidden="1" customHeight="1">
      <c r="A183" s="196"/>
      <c r="B183" s="96" t="s">
        <v>416</v>
      </c>
      <c r="C183" s="14"/>
      <c r="D183" s="47">
        <f>T172</f>
        <v>0</v>
      </c>
      <c r="H183" s="28"/>
      <c r="I183" s="101" t="s">
        <v>138</v>
      </c>
      <c r="J183" s="678">
        <f>J101</f>
        <v>0</v>
      </c>
      <c r="K183" s="67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78">
        <f>J102</f>
        <v>0</v>
      </c>
      <c r="K184" s="67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701">
        <f>J103</f>
        <v>0.44875935000000006</v>
      </c>
      <c r="K185" s="702"/>
      <c r="L185" s="309" t="s">
        <v>168</v>
      </c>
      <c r="O185" s="27" t="s">
        <v>138</v>
      </c>
      <c r="P185" s="668" t="e">
        <f>P184*R184*T184</f>
        <v>#VALUE!</v>
      </c>
      <c r="Q185" s="665"/>
      <c r="R185" s="27" t="s">
        <v>168</v>
      </c>
      <c r="V185" s="197"/>
    </row>
    <row r="186" spans="1:23" ht="18" hidden="1" customHeight="1">
      <c r="A186" s="196"/>
      <c r="B186" s="1" t="s">
        <v>424</v>
      </c>
      <c r="C186" s="2"/>
      <c r="D186" s="2"/>
      <c r="E186" s="2"/>
      <c r="F186" s="208"/>
      <c r="G186" s="208"/>
      <c r="H186" s="236" t="s">
        <v>523</v>
      </c>
      <c r="I186" s="195" t="s">
        <v>138</v>
      </c>
      <c r="J186" s="678">
        <f>SUM(J182:J185)</f>
        <v>0.45875935000000007</v>
      </c>
      <c r="K186" s="67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71" t="s">
        <v>547</v>
      </c>
      <c r="B188" s="972"/>
      <c r="C188" s="972"/>
      <c r="D188" s="972"/>
      <c r="E188" s="972"/>
      <c r="F188" s="972"/>
      <c r="G188" s="972"/>
      <c r="H188" s="972"/>
      <c r="I188" s="972"/>
      <c r="J188" s="972"/>
      <c r="K188" s="972"/>
      <c r="L188" s="972"/>
      <c r="M188" s="972"/>
      <c r="N188" s="972"/>
      <c r="O188" s="972"/>
      <c r="P188" s="972"/>
      <c r="Q188" s="972"/>
      <c r="R188" s="972"/>
      <c r="S188" s="972"/>
      <c r="T188" s="972"/>
      <c r="U188" s="972"/>
      <c r="V188" s="973"/>
    </row>
    <row r="189" spans="1:23" ht="18" hidden="1" customHeight="1">
      <c r="A189" s="974"/>
      <c r="B189" s="972"/>
      <c r="C189" s="972"/>
      <c r="D189" s="972"/>
      <c r="E189" s="972"/>
      <c r="F189" s="972"/>
      <c r="G189" s="972"/>
      <c r="H189" s="972"/>
      <c r="I189" s="972"/>
      <c r="J189" s="972"/>
      <c r="K189" s="972"/>
      <c r="L189" s="972"/>
      <c r="M189" s="972"/>
      <c r="N189" s="972"/>
      <c r="O189" s="972"/>
      <c r="P189" s="972"/>
      <c r="Q189" s="972"/>
      <c r="R189" s="972"/>
      <c r="S189" s="972"/>
      <c r="T189" s="972"/>
      <c r="U189" s="972"/>
      <c r="V189" s="973"/>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64" t="s">
        <v>484</v>
      </c>
      <c r="I193" s="936"/>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64">
        <f>S113</f>
        <v>1</v>
      </c>
      <c r="T195" s="664"/>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64" t="str">
        <f>L174</f>
        <v>-</v>
      </c>
      <c r="T196" s="664"/>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64" t="str">
        <f>L177</f>
        <v>-</v>
      </c>
      <c r="T197" s="664"/>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69" t="e">
        <f>P185</f>
        <v>#VALUE!</v>
      </c>
      <c r="T198" s="664"/>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69">
        <f>J186</f>
        <v>0.45875935000000007</v>
      </c>
      <c r="T199" s="664"/>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64">
        <f>O174</f>
        <v>1</v>
      </c>
      <c r="T200" s="664"/>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64">
        <v>20</v>
      </c>
      <c r="T201" s="664"/>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64" t="s">
        <v>484</v>
      </c>
      <c r="I204" s="936"/>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65" t="str">
        <f>S197</f>
        <v>-</v>
      </c>
      <c r="I205" s="987"/>
      <c r="J205" s="27" t="s">
        <v>326</v>
      </c>
      <c r="K205" s="27">
        <f>S200</f>
        <v>1</v>
      </c>
      <c r="L205" s="27" t="s">
        <v>552</v>
      </c>
      <c r="M205" s="27">
        <f>S201</f>
        <v>20</v>
      </c>
      <c r="N205" s="308" t="s">
        <v>553</v>
      </c>
      <c r="O205" s="234" t="e">
        <f>S198</f>
        <v>#VALUE!</v>
      </c>
      <c r="V205" s="197"/>
    </row>
    <row r="206" spans="1:25" ht="18" hidden="1" customHeight="1">
      <c r="A206" s="196"/>
      <c r="D206" s="27" t="s">
        <v>138</v>
      </c>
      <c r="E206" s="665" t="e">
        <f>((F205*H205*K205)/M205)-O205</f>
        <v>#VALUE!</v>
      </c>
      <c r="F206" s="665"/>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65" t="s">
        <v>436</v>
      </c>
      <c r="N223" s="665"/>
      <c r="O223" s="27" t="s">
        <v>780</v>
      </c>
      <c r="P223" s="27">
        <v>5</v>
      </c>
      <c r="Q223" s="28" t="s">
        <v>326</v>
      </c>
      <c r="R223" s="665" t="s">
        <v>434</v>
      </c>
      <c r="S223" s="665"/>
      <c r="T223" s="14" t="s">
        <v>361</v>
      </c>
      <c r="U223" s="14"/>
      <c r="V223" s="197"/>
    </row>
    <row r="224" spans="1:22" ht="18" hidden="1" customHeight="1">
      <c r="A224" s="96"/>
      <c r="B224" s="14"/>
      <c r="C224" s="14"/>
      <c r="L224" s="27" t="s">
        <v>138</v>
      </c>
      <c r="M224" s="665">
        <f>S195</f>
        <v>1</v>
      </c>
      <c r="N224" s="665"/>
      <c r="O224" s="27" t="s">
        <v>780</v>
      </c>
      <c r="P224" s="27">
        <v>5</v>
      </c>
      <c r="Q224" s="28" t="s">
        <v>326</v>
      </c>
      <c r="R224" s="665" t="str">
        <f>S196</f>
        <v>-</v>
      </c>
      <c r="S224" s="665"/>
      <c r="T224" s="14" t="s">
        <v>361</v>
      </c>
      <c r="U224" s="14"/>
      <c r="V224" s="197"/>
    </row>
    <row r="225" spans="1:22" ht="18" hidden="1" customHeight="1">
      <c r="A225" s="96"/>
      <c r="B225" s="14"/>
      <c r="C225" s="14"/>
      <c r="D225" s="14"/>
      <c r="E225" s="120"/>
      <c r="F225" s="28"/>
      <c r="L225" s="27" t="s">
        <v>138</v>
      </c>
      <c r="M225" s="664" t="e">
        <f>M224/(P224*R224)</f>
        <v>#VALUE!</v>
      </c>
      <c r="N225" s="665"/>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69" t="e">
        <f>'[2]Parameters &amp; Fault Cal.'!Q184</f>
        <v>#REF!</v>
      </c>
      <c r="I227" s="665"/>
      <c r="J227" s="30" t="s">
        <v>542</v>
      </c>
      <c r="K227" s="28" t="s">
        <v>771</v>
      </c>
      <c r="L227" s="230" t="s">
        <v>138</v>
      </c>
      <c r="M227" s="669" t="e">
        <f>IF(H227&lt;=120,M220,M221)</f>
        <v>#REF!</v>
      </c>
      <c r="N227" s="665"/>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0.45875935000000007</v>
      </c>
      <c r="Q230" s="474" t="s">
        <v>361</v>
      </c>
      <c r="V230" s="197"/>
    </row>
    <row r="231" spans="1:22" ht="18" hidden="1" customHeight="1">
      <c r="A231" s="196"/>
      <c r="G231" s="27" t="s">
        <v>138</v>
      </c>
      <c r="H231" s="668" t="e">
        <f>H230*((J230+L230)/(N230+P230))</f>
        <v>#VALUE!</v>
      </c>
      <c r="I231" s="668"/>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68" t="e">
        <f>H231</f>
        <v>#VALUE!</v>
      </c>
      <c r="E235" s="665"/>
      <c r="F235" s="27" t="e">
        <f>IF(D235&gt;=G235,"&gt;","&lt;")</f>
        <v>#VALUE!</v>
      </c>
      <c r="G235" s="668" t="e">
        <f>M225</f>
        <v>#VALUE!</v>
      </c>
      <c r="H235" s="665"/>
      <c r="I235" s="18"/>
      <c r="J235" s="280" t="s">
        <v>769</v>
      </c>
      <c r="V235" s="197"/>
    </row>
    <row r="236" spans="1:22" ht="18" hidden="1" customHeight="1">
      <c r="A236" s="196"/>
      <c r="D236" s="668" t="e">
        <f>H231</f>
        <v>#VALUE!</v>
      </c>
      <c r="E236" s="665"/>
      <c r="F236" s="27" t="e">
        <f>IF(D236&gt;=G236,"&gt;","&lt;")</f>
        <v>#VALUE!</v>
      </c>
      <c r="G236" s="668" t="e">
        <f>M227</f>
        <v>#REF!</v>
      </c>
      <c r="H236" s="665"/>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16" t="s">
        <v>97</v>
      </c>
      <c r="B260" s="729"/>
      <c r="C260" s="717"/>
      <c r="D260" s="716" t="s">
        <v>98</v>
      </c>
      <c r="E260" s="729"/>
      <c r="F260" s="717"/>
      <c r="G260" s="716" t="s">
        <v>99</v>
      </c>
      <c r="H260" s="717"/>
      <c r="I260" s="716" t="s">
        <v>100</v>
      </c>
      <c r="J260" s="717"/>
      <c r="K260" s="716" t="s">
        <v>513</v>
      </c>
      <c r="L260" s="717"/>
      <c r="M260" s="716" t="s">
        <v>514</v>
      </c>
      <c r="N260" s="717"/>
      <c r="O260" s="716" t="s">
        <v>515</v>
      </c>
      <c r="P260" s="717"/>
      <c r="Q260" s="716" t="s">
        <v>516</v>
      </c>
      <c r="R260" s="717"/>
      <c r="S260" s="716" t="s">
        <v>105</v>
      </c>
      <c r="T260" s="729"/>
      <c r="U260" s="729"/>
      <c r="V260" s="717"/>
    </row>
    <row r="261" spans="1:22" ht="18" customHeight="1">
      <c r="A261" s="718"/>
      <c r="B261" s="730"/>
      <c r="C261" s="719"/>
      <c r="D261" s="718"/>
      <c r="E261" s="730"/>
      <c r="F261" s="719"/>
      <c r="G261" s="718"/>
      <c r="H261" s="719"/>
      <c r="I261" s="718"/>
      <c r="J261" s="719"/>
      <c r="K261" s="718"/>
      <c r="L261" s="719"/>
      <c r="M261" s="718"/>
      <c r="N261" s="719"/>
      <c r="O261" s="718"/>
      <c r="P261" s="719"/>
      <c r="Q261" s="718"/>
      <c r="R261" s="719"/>
      <c r="S261" s="718"/>
      <c r="T261" s="730"/>
      <c r="U261" s="730"/>
      <c r="V261" s="719"/>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20"/>
      <c r="B263" s="731"/>
      <c r="C263" s="721"/>
      <c r="D263" s="720"/>
      <c r="E263" s="731"/>
      <c r="F263" s="721"/>
      <c r="G263" s="720"/>
      <c r="H263" s="721"/>
      <c r="I263" s="720"/>
      <c r="J263" s="721"/>
      <c r="K263" s="720"/>
      <c r="L263" s="721"/>
      <c r="M263" s="720"/>
      <c r="N263" s="721"/>
      <c r="O263" s="720"/>
      <c r="P263" s="721"/>
      <c r="Q263" s="720"/>
      <c r="R263" s="721"/>
      <c r="S263" s="720"/>
      <c r="T263" s="731"/>
      <c r="U263" s="731"/>
      <c r="V263" s="721"/>
    </row>
    <row r="264" spans="1:22" ht="18" customHeight="1">
      <c r="A264" s="733" t="str">
        <f>B7</f>
        <v>T1</v>
      </c>
      <c r="B264" s="733" t="str">
        <f>D7</f>
        <v>Core4</v>
      </c>
      <c r="C264" s="733"/>
      <c r="D264" s="732">
        <f>H10</f>
        <v>2500</v>
      </c>
      <c r="E264" s="732"/>
      <c r="F264" s="734">
        <f>O10</f>
        <v>1</v>
      </c>
      <c r="G264" s="732">
        <f>'CT-VT Burdens'!S19</f>
        <v>50</v>
      </c>
      <c r="H264" s="794">
        <f>'CT-VT Burdens'!S10</f>
        <v>6</v>
      </c>
      <c r="I264" s="794" t="str">
        <f>H11</f>
        <v>PX-B</v>
      </c>
      <c r="J264" s="794" t="e">
        <f>#REF!</f>
        <v>#REF!</v>
      </c>
      <c r="K264" s="728">
        <f>H12</f>
        <v>5</v>
      </c>
      <c r="L264" s="728"/>
      <c r="M264" s="728">
        <f>H13</f>
        <v>750</v>
      </c>
      <c r="N264" s="728"/>
      <c r="O264" s="732">
        <f>H14</f>
        <v>60</v>
      </c>
      <c r="P264" s="732"/>
      <c r="Q264" s="739" t="str">
        <f>IF(T8="",T7,IF(T9="",T7&amp;"+"&amp;T8,T7&amp;"+"&amp;T8&amp;"+"&amp;T9))</f>
        <v>REB500</v>
      </c>
      <c r="R264" s="739"/>
      <c r="S264" s="738" t="str">
        <f>M83</f>
        <v>Suitable Dimensions</v>
      </c>
      <c r="T264" s="738"/>
      <c r="U264" s="738"/>
      <c r="V264" s="738"/>
    </row>
    <row r="265" spans="1:22" ht="18" customHeight="1">
      <c r="A265" s="733"/>
      <c r="B265" s="733"/>
      <c r="C265" s="733"/>
      <c r="D265" s="732">
        <f>J10</f>
        <v>0</v>
      </c>
      <c r="E265" s="732"/>
      <c r="F265" s="735"/>
      <c r="G265" s="732"/>
      <c r="H265" s="732"/>
      <c r="I265" s="794"/>
      <c r="J265" s="794"/>
      <c r="K265" s="801" t="s">
        <v>7</v>
      </c>
      <c r="L265" s="728"/>
      <c r="M265" s="801" t="s">
        <v>7</v>
      </c>
      <c r="N265" s="728"/>
      <c r="O265" s="799" t="s">
        <v>7</v>
      </c>
      <c r="P265" s="732"/>
      <c r="Q265" s="739"/>
      <c r="R265" s="739"/>
      <c r="S265" s="978" t="s">
        <v>7</v>
      </c>
      <c r="T265" s="738"/>
      <c r="U265" s="738"/>
      <c r="V265" s="738"/>
    </row>
    <row r="266" spans="1:22" ht="18" customHeight="1">
      <c r="A266" s="733"/>
      <c r="B266" s="733"/>
      <c r="C266" s="733"/>
      <c r="D266" s="732" t="str">
        <f>L10</f>
        <v>-</v>
      </c>
      <c r="E266" s="732"/>
      <c r="F266" s="736"/>
      <c r="G266" s="732"/>
      <c r="H266" s="732"/>
      <c r="I266" s="794"/>
      <c r="J266" s="794"/>
      <c r="K266" s="728" t="str">
        <f>L176</f>
        <v>-</v>
      </c>
      <c r="L266" s="728"/>
      <c r="M266" s="728" t="str">
        <f>L177</f>
        <v>-</v>
      </c>
      <c r="N266" s="728"/>
      <c r="O266" s="732" t="str">
        <f>L178</f>
        <v>-</v>
      </c>
      <c r="P266" s="732"/>
      <c r="Q266" s="739"/>
      <c r="R266" s="739"/>
      <c r="S266" s="738" t="s">
        <v>7</v>
      </c>
      <c r="T266" s="738"/>
      <c r="U266" s="738"/>
      <c r="V266" s="73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1190" t="s">
        <v>935</v>
      </c>
      <c r="I5" s="1191"/>
      <c r="J5" s="1191"/>
      <c r="K5" s="1191"/>
      <c r="L5" s="1191"/>
      <c r="M5" s="1191"/>
      <c r="N5" s="1192"/>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124</v>
      </c>
      <c r="E7" s="960"/>
      <c r="F7" s="468"/>
      <c r="H7" s="665"/>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c r="K10" s="949"/>
      <c r="L10" s="948"/>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str">
        <f>H58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'CT-VT Burdens'!Q98</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0.44875935000000006</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0.54875935000000009</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50000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2500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20</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0.54875935000000009</v>
      </c>
      <c r="T27" s="669"/>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20</v>
      </c>
      <c r="H36" s="664"/>
      <c r="I36" s="28" t="s">
        <v>683</v>
      </c>
      <c r="J36" s="664">
        <f>H12</f>
        <v>5</v>
      </c>
      <c r="K36" s="664"/>
      <c r="L36" s="28" t="s">
        <v>358</v>
      </c>
      <c r="M36" s="669">
        <f>S27</f>
        <v>0.54875935000000009</v>
      </c>
      <c r="N36" s="664"/>
      <c r="O36" s="14" t="s">
        <v>361</v>
      </c>
      <c r="S36" s="14"/>
      <c r="T36" s="14"/>
      <c r="U36" s="14"/>
      <c r="V36" s="197"/>
    </row>
    <row r="37" spans="1:22" ht="18" customHeight="1">
      <c r="A37" s="196"/>
      <c r="B37" s="14"/>
      <c r="C37" s="14"/>
      <c r="D37" s="102" t="s">
        <v>138</v>
      </c>
      <c r="E37" s="669">
        <f>E36*G36*(J36+M36)</f>
        <v>55.487593500000003</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5</v>
      </c>
      <c r="I42" s="664"/>
      <c r="J42" s="28" t="s">
        <v>358</v>
      </c>
      <c r="K42" s="669">
        <f>S27</f>
        <v>0.54875935000000009</v>
      </c>
      <c r="L42" s="664"/>
      <c r="M42" s="14" t="s">
        <v>361</v>
      </c>
      <c r="N42" s="14"/>
      <c r="O42" s="14"/>
      <c r="P42" s="14"/>
      <c r="Q42" s="14"/>
      <c r="R42" s="14"/>
      <c r="V42" s="197"/>
    </row>
    <row r="43" spans="1:22" ht="18" customHeight="1">
      <c r="A43" s="196"/>
      <c r="B43" s="14"/>
      <c r="C43" s="14"/>
      <c r="D43" s="102" t="s">
        <v>138</v>
      </c>
      <c r="E43" s="669">
        <f>E42*(H42+K42)</f>
        <v>110.97518700000001</v>
      </c>
      <c r="F43" s="66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41">
        <f>H13</f>
        <v>750</v>
      </c>
      <c r="F51" s="941"/>
      <c r="G51" s="28" t="str">
        <f>G50</f>
        <v>&gt;</v>
      </c>
      <c r="H51" s="669">
        <f>E37</f>
        <v>55.487593500000003</v>
      </c>
      <c r="I51" s="66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41">
        <f>H13</f>
        <v>750</v>
      </c>
      <c r="F55" s="941"/>
      <c r="G55" s="28" t="str">
        <f>G54</f>
        <v>&gt;</v>
      </c>
      <c r="H55" s="669">
        <f>E43</f>
        <v>110.97518700000001</v>
      </c>
      <c r="I55" s="66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08" t="str">
        <f>B7</f>
        <v>T1</v>
      </c>
      <c r="C87" s="709"/>
      <c r="D87" s="708" t="str">
        <f>D7</f>
        <v>Core5</v>
      </c>
      <c r="E87" s="709"/>
      <c r="F87" s="468"/>
      <c r="H87" s="665" t="s">
        <v>722</v>
      </c>
      <c r="I87" s="665"/>
      <c r="J87" s="665"/>
      <c r="K87" s="665"/>
      <c r="L87" s="665"/>
      <c r="M87" s="665"/>
      <c r="P87" s="198"/>
      <c r="S87" s="199" t="s">
        <v>398</v>
      </c>
      <c r="T87" s="708" t="str">
        <f>T7</f>
        <v>P743</v>
      </c>
      <c r="U87" s="709"/>
      <c r="V87" s="197"/>
    </row>
    <row r="88" spans="1:23" ht="18" hidden="1" customHeight="1">
      <c r="A88" s="469"/>
      <c r="F88" s="468"/>
      <c r="T88" s="708">
        <f>T8</f>
        <v>0</v>
      </c>
      <c r="U88" s="709"/>
      <c r="V88" s="197"/>
    </row>
    <row r="89" spans="1:23" ht="18" hidden="1" customHeight="1">
      <c r="A89" s="196"/>
      <c r="H89" s="696" t="s">
        <v>401</v>
      </c>
      <c r="I89" s="696"/>
      <c r="J89" s="666" t="s">
        <v>402</v>
      </c>
      <c r="K89" s="666"/>
      <c r="L89" s="667" t="s">
        <v>403</v>
      </c>
      <c r="M89" s="667"/>
      <c r="T89" s="708">
        <f>T9</f>
        <v>0</v>
      </c>
      <c r="U89" s="709"/>
      <c r="V89" s="197"/>
    </row>
    <row r="90" spans="1:23" ht="18" hidden="1" customHeight="1">
      <c r="A90" s="196"/>
      <c r="B90" s="47" t="s">
        <v>404</v>
      </c>
      <c r="H90" s="708">
        <f>H10</f>
        <v>2500</v>
      </c>
      <c r="I90" s="709"/>
      <c r="J90" s="714">
        <f>J10</f>
        <v>0</v>
      </c>
      <c r="K90" s="715"/>
      <c r="L90" s="708">
        <f>L10</f>
        <v>0</v>
      </c>
      <c r="M90" s="709"/>
      <c r="N90" s="203" t="s">
        <v>353</v>
      </c>
      <c r="O90" s="268">
        <f>O10</f>
        <v>1</v>
      </c>
      <c r="P90" s="27" t="s">
        <v>9</v>
      </c>
      <c r="R90" s="267"/>
      <c r="S90" s="267"/>
      <c r="V90" s="197"/>
    </row>
    <row r="91" spans="1:23" ht="18" hidden="1" customHeight="1">
      <c r="A91" s="196"/>
      <c r="B91" s="47" t="s">
        <v>405</v>
      </c>
      <c r="J91" s="708" t="str">
        <f>H11</f>
        <v>PX-B</v>
      </c>
      <c r="K91" s="709"/>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8"/>
      <c r="K93" s="949"/>
      <c r="L93" s="14" t="s">
        <v>316</v>
      </c>
      <c r="U93" s="18"/>
      <c r="V93" s="197"/>
      <c r="W93" s="30" t="str">
        <f>H142</f>
        <v>Under Dimentioned</v>
      </c>
    </row>
    <row r="94" spans="1:23" ht="18" hidden="1" customHeight="1">
      <c r="A94" s="196"/>
      <c r="B94" s="14" t="s">
        <v>412</v>
      </c>
      <c r="I94" s="120" t="s">
        <v>413</v>
      </c>
      <c r="J94" s="948"/>
      <c r="K94" s="949"/>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99">
        <f>J18</f>
        <v>0.1</v>
      </c>
      <c r="K98" s="678"/>
      <c r="L98" s="3" t="s">
        <v>168</v>
      </c>
      <c r="N98" s="209"/>
      <c r="V98" s="197"/>
    </row>
    <row r="99" spans="1:22" ht="18" hidden="1" customHeight="1">
      <c r="A99" s="196"/>
      <c r="B99" s="96" t="s">
        <v>416</v>
      </c>
      <c r="C99" s="14"/>
      <c r="D99" s="47">
        <f>T88</f>
        <v>0</v>
      </c>
      <c r="E99" s="14"/>
      <c r="G99" s="211"/>
      <c r="H99" s="27"/>
      <c r="I99" s="101" t="s">
        <v>138</v>
      </c>
      <c r="J99" s="699">
        <f>J19</f>
        <v>0</v>
      </c>
      <c r="K99" s="67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99">
        <f>J20</f>
        <v>0</v>
      </c>
      <c r="K100" s="67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99">
        <f>J21</f>
        <v>0.44875935000000006</v>
      </c>
      <c r="K101" s="67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78">
        <f>SUM(J98:J101)</f>
        <v>0.54875935000000009</v>
      </c>
      <c r="K102" s="67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08">
        <f>S24</f>
        <v>50000</v>
      </c>
      <c r="T104" s="709"/>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64">
        <f>H90</f>
        <v>2500</v>
      </c>
      <c r="T105" s="664"/>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69">
        <f>S104/S105*O90</f>
        <v>20</v>
      </c>
      <c r="T106" s="66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69">
        <f>J102/O90*O90</f>
        <v>0.54875935000000009</v>
      </c>
      <c r="T107" s="669"/>
      <c r="U107" s="204" t="s">
        <v>344</v>
      </c>
      <c r="V107" s="197"/>
    </row>
    <row r="108" spans="1:22" ht="18" hidden="1" customHeight="1">
      <c r="A108" s="180"/>
      <c r="B108" s="5"/>
      <c r="C108" s="47" t="s">
        <v>857</v>
      </c>
      <c r="Q108" s="120" t="s">
        <v>858</v>
      </c>
      <c r="R108" s="28" t="s">
        <v>138</v>
      </c>
      <c r="S108" s="708">
        <f>S28</f>
        <v>50000</v>
      </c>
      <c r="T108" s="709"/>
      <c r="U108" s="14" t="s">
        <v>9</v>
      </c>
      <c r="V108" s="197"/>
    </row>
    <row r="109" spans="1:22" ht="18" hidden="1" customHeight="1">
      <c r="A109" s="311"/>
      <c r="B109" s="291"/>
      <c r="C109" s="47" t="s">
        <v>859</v>
      </c>
      <c r="Q109" s="256" t="s">
        <v>860</v>
      </c>
      <c r="R109" s="28" t="s">
        <v>138</v>
      </c>
      <c r="S109" s="668">
        <f>S108/S105</f>
        <v>20</v>
      </c>
      <c r="T109" s="668"/>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64" t="s">
        <v>484</v>
      </c>
      <c r="C115" s="664"/>
      <c r="D115" s="28" t="s">
        <v>862</v>
      </c>
      <c r="E115" s="28">
        <v>0.5</v>
      </c>
      <c r="F115" s="28" t="s">
        <v>326</v>
      </c>
      <c r="G115" s="664" t="s">
        <v>855</v>
      </c>
      <c r="H115" s="664"/>
      <c r="I115" s="28" t="s">
        <v>683</v>
      </c>
      <c r="J115" s="664" t="s">
        <v>431</v>
      </c>
      <c r="K115" s="664"/>
      <c r="L115" s="28" t="s">
        <v>358</v>
      </c>
      <c r="M115" s="664" t="s">
        <v>700</v>
      </c>
      <c r="N115" s="664"/>
      <c r="O115" s="14" t="s">
        <v>361</v>
      </c>
      <c r="P115" s="14"/>
      <c r="Q115" s="14"/>
      <c r="R115" s="14"/>
      <c r="T115" s="14"/>
      <c r="U115" s="14"/>
      <c r="V115" s="197"/>
    </row>
    <row r="116" spans="1:22" ht="18" hidden="1" customHeight="1">
      <c r="A116" s="196"/>
      <c r="B116" s="14"/>
      <c r="C116" s="14"/>
      <c r="D116" s="102" t="s">
        <v>138</v>
      </c>
      <c r="E116" s="28">
        <v>0.5</v>
      </c>
      <c r="F116" s="28" t="s">
        <v>326</v>
      </c>
      <c r="G116" s="669">
        <f>S106</f>
        <v>20</v>
      </c>
      <c r="H116" s="664"/>
      <c r="I116" s="28" t="s">
        <v>683</v>
      </c>
      <c r="J116" s="664">
        <f>J92</f>
        <v>0</v>
      </c>
      <c r="K116" s="664"/>
      <c r="L116" s="28" t="s">
        <v>358</v>
      </c>
      <c r="M116" s="669">
        <f>S107</f>
        <v>0.54875935000000009</v>
      </c>
      <c r="N116" s="664"/>
      <c r="O116" s="14" t="s">
        <v>361</v>
      </c>
      <c r="S116" s="14"/>
      <c r="T116" s="14"/>
      <c r="U116" s="14"/>
      <c r="V116" s="197"/>
    </row>
    <row r="117" spans="1:22" ht="18" hidden="1" customHeight="1">
      <c r="A117" s="196"/>
      <c r="B117" s="14"/>
      <c r="C117" s="14"/>
      <c r="D117" s="102" t="s">
        <v>138</v>
      </c>
      <c r="E117" s="669">
        <f>E116*G116*(J116+M116)</f>
        <v>5.4875935000000009</v>
      </c>
      <c r="F117" s="66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64" t="s">
        <v>484</v>
      </c>
      <c r="C121" s="664"/>
      <c r="D121" s="28" t="s">
        <v>862</v>
      </c>
      <c r="E121" s="664" t="s">
        <v>860</v>
      </c>
      <c r="F121" s="664"/>
      <c r="G121" s="28" t="s">
        <v>683</v>
      </c>
      <c r="H121" s="664" t="s">
        <v>431</v>
      </c>
      <c r="I121" s="664"/>
      <c r="J121" s="28" t="s">
        <v>358</v>
      </c>
      <c r="K121" s="664" t="s">
        <v>700</v>
      </c>
      <c r="L121" s="664"/>
      <c r="M121" s="14" t="s">
        <v>361</v>
      </c>
      <c r="P121" s="14"/>
      <c r="Q121" s="14"/>
      <c r="R121" s="14"/>
      <c r="V121" s="197"/>
    </row>
    <row r="122" spans="1:22" ht="18" hidden="1" customHeight="1">
      <c r="A122" s="196"/>
      <c r="B122" s="14"/>
      <c r="C122" s="14"/>
      <c r="D122" s="102" t="s">
        <v>138</v>
      </c>
      <c r="E122" s="669">
        <f>S109</f>
        <v>20</v>
      </c>
      <c r="F122" s="664"/>
      <c r="G122" s="28" t="s">
        <v>683</v>
      </c>
      <c r="H122" s="664">
        <f>J92</f>
        <v>0</v>
      </c>
      <c r="I122" s="664"/>
      <c r="J122" s="28" t="s">
        <v>358</v>
      </c>
      <c r="K122" s="669">
        <f>S107</f>
        <v>0.54875935000000009</v>
      </c>
      <c r="L122" s="664"/>
      <c r="M122" s="14" t="s">
        <v>361</v>
      </c>
      <c r="N122" s="14"/>
      <c r="O122" s="14"/>
      <c r="P122" s="14"/>
      <c r="Q122" s="14"/>
      <c r="R122" s="14"/>
      <c r="V122" s="197"/>
    </row>
    <row r="123" spans="1:22" ht="18" hidden="1" customHeight="1">
      <c r="A123" s="196"/>
      <c r="B123" s="14"/>
      <c r="C123" s="14"/>
      <c r="D123" s="102" t="s">
        <v>138</v>
      </c>
      <c r="E123" s="669">
        <f>E122*(H122+K122)</f>
        <v>10.975187000000002</v>
      </c>
      <c r="F123" s="66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41">
        <f>J93</f>
        <v>0</v>
      </c>
      <c r="F135" s="941"/>
      <c r="G135" s="28" t="str">
        <f>G134</f>
        <v>&lt;</v>
      </c>
      <c r="H135" s="669">
        <f>E117</f>
        <v>5.4875935000000009</v>
      </c>
      <c r="I135" s="66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41">
        <f>J93</f>
        <v>0</v>
      </c>
      <c r="F139" s="941"/>
      <c r="G139" s="28" t="str">
        <f>G138</f>
        <v>&lt;</v>
      </c>
      <c r="H139" s="669">
        <f>E123</f>
        <v>10.975187000000002</v>
      </c>
      <c r="I139" s="66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08" t="str">
        <f>B87</f>
        <v>T1</v>
      </c>
      <c r="C175" s="709"/>
      <c r="D175" s="708" t="str">
        <f>D87</f>
        <v>Core5</v>
      </c>
      <c r="E175" s="709"/>
      <c r="F175" s="468"/>
      <c r="H175" s="665" t="s">
        <v>722</v>
      </c>
      <c r="I175" s="665"/>
      <c r="J175" s="665"/>
      <c r="K175" s="665"/>
      <c r="L175" s="665"/>
      <c r="M175" s="665"/>
      <c r="P175" s="198"/>
      <c r="S175" s="199" t="s">
        <v>398</v>
      </c>
      <c r="T175" s="708" t="str">
        <f>T87</f>
        <v>P743</v>
      </c>
      <c r="U175" s="709"/>
      <c r="V175" s="197"/>
    </row>
    <row r="176" spans="1:22" ht="18" hidden="1" customHeight="1">
      <c r="A176" s="469"/>
      <c r="F176" s="468"/>
      <c r="T176" s="708">
        <f>T88</f>
        <v>0</v>
      </c>
      <c r="U176" s="709"/>
      <c r="V176" s="197"/>
    </row>
    <row r="177" spans="1:23" ht="18" hidden="1" customHeight="1">
      <c r="A177" s="196"/>
      <c r="H177" s="696" t="s">
        <v>401</v>
      </c>
      <c r="I177" s="696"/>
      <c r="J177" s="696" t="s">
        <v>402</v>
      </c>
      <c r="K177" s="696"/>
      <c r="L177" s="666" t="s">
        <v>403</v>
      </c>
      <c r="M177" s="666"/>
      <c r="T177" s="708">
        <f>T89</f>
        <v>0</v>
      </c>
      <c r="U177" s="709"/>
      <c r="V177" s="197"/>
    </row>
    <row r="178" spans="1:23" ht="18" hidden="1" customHeight="1">
      <c r="A178" s="196"/>
      <c r="B178" s="47" t="s">
        <v>404</v>
      </c>
      <c r="H178" s="708">
        <f>H90</f>
        <v>2500</v>
      </c>
      <c r="I178" s="709"/>
      <c r="J178" s="708">
        <f>J90</f>
        <v>0</v>
      </c>
      <c r="K178" s="709"/>
      <c r="L178" s="714">
        <f>L90</f>
        <v>0</v>
      </c>
      <c r="M178" s="715"/>
      <c r="N178" s="203" t="s">
        <v>353</v>
      </c>
      <c r="O178" s="268">
        <f>O90</f>
        <v>1</v>
      </c>
      <c r="P178" s="27" t="s">
        <v>9</v>
      </c>
      <c r="R178" s="267"/>
      <c r="S178" s="267"/>
      <c r="V178" s="197"/>
    </row>
    <row r="179" spans="1:23" ht="18" hidden="1" customHeight="1">
      <c r="A179" s="196"/>
      <c r="B179" s="47" t="s">
        <v>405</v>
      </c>
      <c r="L179" s="708" t="str">
        <f>J91</f>
        <v>PX-B</v>
      </c>
      <c r="M179" s="709"/>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8"/>
      <c r="M181" s="949"/>
      <c r="N181" s="14" t="s">
        <v>316</v>
      </c>
      <c r="U181" s="18"/>
      <c r="V181" s="197"/>
      <c r="W181" s="30" t="e">
        <f>H230</f>
        <v>#DIV/0!</v>
      </c>
    </row>
    <row r="182" spans="1:23" ht="18" hidden="1" customHeight="1">
      <c r="A182" s="196"/>
      <c r="B182" s="14" t="s">
        <v>412</v>
      </c>
      <c r="K182" s="120" t="s">
        <v>413</v>
      </c>
      <c r="L182" s="948"/>
      <c r="M182" s="949"/>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99">
        <f>J98</f>
        <v>0.1</v>
      </c>
      <c r="K186" s="678"/>
      <c r="L186" s="3" t="s">
        <v>168</v>
      </c>
      <c r="N186" s="209"/>
      <c r="V186" s="197"/>
    </row>
    <row r="187" spans="1:23" ht="18" hidden="1" customHeight="1">
      <c r="A187" s="196"/>
      <c r="B187" s="96" t="s">
        <v>416</v>
      </c>
      <c r="C187" s="14"/>
      <c r="D187" s="47">
        <f>T176</f>
        <v>0</v>
      </c>
      <c r="E187" s="14"/>
      <c r="G187" s="211"/>
      <c r="H187" s="27"/>
      <c r="I187" s="101" t="s">
        <v>138</v>
      </c>
      <c r="J187" s="699">
        <f>J99</f>
        <v>0</v>
      </c>
      <c r="K187" s="67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99">
        <f>J100</f>
        <v>0</v>
      </c>
      <c r="K188" s="67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99">
        <f>J101</f>
        <v>0.44875935000000006</v>
      </c>
      <c r="K189" s="67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78">
        <f>SUM(J186:J189)</f>
        <v>0.54875935000000009</v>
      </c>
      <c r="K190" s="67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08">
        <f>S104</f>
        <v>50000</v>
      </c>
      <c r="T192" s="709"/>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64">
        <f>L178</f>
        <v>0</v>
      </c>
      <c r="T193" s="664"/>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69" t="e">
        <f>S192/S193*O178</f>
        <v>#DIV/0!</v>
      </c>
      <c r="T194" s="66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69">
        <f>J190/O178*O178</f>
        <v>0.54875935000000009</v>
      </c>
      <c r="T195" s="669"/>
      <c r="U195" s="204" t="s">
        <v>344</v>
      </c>
      <c r="V195" s="197"/>
    </row>
    <row r="196" spans="1:22" ht="18" hidden="1" customHeight="1">
      <c r="A196" s="180"/>
      <c r="B196" s="5"/>
      <c r="C196" s="47" t="s">
        <v>857</v>
      </c>
      <c r="Q196" s="120" t="s">
        <v>858</v>
      </c>
      <c r="R196" s="28" t="s">
        <v>138</v>
      </c>
      <c r="S196" s="708">
        <f>S108</f>
        <v>50000</v>
      </c>
      <c r="T196" s="709"/>
      <c r="U196" s="14" t="s">
        <v>9</v>
      </c>
      <c r="V196" s="197"/>
    </row>
    <row r="197" spans="1:22" ht="18" hidden="1" customHeight="1">
      <c r="A197" s="311"/>
      <c r="B197" s="291"/>
      <c r="C197" s="47" t="s">
        <v>859</v>
      </c>
      <c r="Q197" s="256" t="s">
        <v>860</v>
      </c>
      <c r="R197" s="28" t="s">
        <v>138</v>
      </c>
      <c r="S197" s="668" t="e">
        <f>S196/S193</f>
        <v>#DIV/0!</v>
      </c>
      <c r="T197" s="668"/>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64" t="s">
        <v>484</v>
      </c>
      <c r="C203" s="664"/>
      <c r="D203" s="28" t="s">
        <v>862</v>
      </c>
      <c r="E203" s="28">
        <v>0.5</v>
      </c>
      <c r="F203" s="28" t="s">
        <v>326</v>
      </c>
      <c r="G203" s="664" t="s">
        <v>855</v>
      </c>
      <c r="H203" s="664"/>
      <c r="I203" s="28" t="s">
        <v>683</v>
      </c>
      <c r="J203" s="664" t="s">
        <v>431</v>
      </c>
      <c r="K203" s="664"/>
      <c r="L203" s="28" t="s">
        <v>358</v>
      </c>
      <c r="M203" s="664" t="s">
        <v>700</v>
      </c>
      <c r="N203" s="664"/>
      <c r="O203" s="14" t="s">
        <v>361</v>
      </c>
      <c r="P203" s="14"/>
      <c r="Q203" s="14"/>
      <c r="R203" s="14"/>
      <c r="T203" s="14"/>
      <c r="U203" s="14"/>
      <c r="V203" s="197"/>
    </row>
    <row r="204" spans="1:22" ht="18" hidden="1" customHeight="1">
      <c r="A204" s="196"/>
      <c r="B204" s="14"/>
      <c r="C204" s="14"/>
      <c r="D204" s="102" t="s">
        <v>138</v>
      </c>
      <c r="E204" s="28">
        <v>0.5</v>
      </c>
      <c r="F204" s="28" t="s">
        <v>326</v>
      </c>
      <c r="G204" s="669" t="e">
        <f>S194</f>
        <v>#DIV/0!</v>
      </c>
      <c r="H204" s="664"/>
      <c r="I204" s="28" t="s">
        <v>683</v>
      </c>
      <c r="J204" s="664">
        <f>L180</f>
        <v>0</v>
      </c>
      <c r="K204" s="664"/>
      <c r="L204" s="28" t="s">
        <v>358</v>
      </c>
      <c r="M204" s="669">
        <f>S195</f>
        <v>0.54875935000000009</v>
      </c>
      <c r="N204" s="664"/>
      <c r="O204" s="14" t="s">
        <v>361</v>
      </c>
      <c r="S204" s="14"/>
      <c r="T204" s="14"/>
      <c r="U204" s="14"/>
      <c r="V204" s="197"/>
    </row>
    <row r="205" spans="1:22" ht="18" hidden="1" customHeight="1">
      <c r="A205" s="196"/>
      <c r="B205" s="14"/>
      <c r="C205" s="14"/>
      <c r="D205" s="102" t="s">
        <v>138</v>
      </c>
      <c r="E205" s="669" t="e">
        <f>E204*G204*(J204+M204)</f>
        <v>#DIV/0!</v>
      </c>
      <c r="F205" s="66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64" t="s">
        <v>484</v>
      </c>
      <c r="C209" s="664"/>
      <c r="D209" s="28" t="s">
        <v>862</v>
      </c>
      <c r="E209" s="664" t="s">
        <v>860</v>
      </c>
      <c r="F209" s="664"/>
      <c r="G209" s="28" t="s">
        <v>683</v>
      </c>
      <c r="H209" s="664" t="s">
        <v>431</v>
      </c>
      <c r="I209" s="664"/>
      <c r="J209" s="28" t="s">
        <v>358</v>
      </c>
      <c r="K209" s="664" t="s">
        <v>700</v>
      </c>
      <c r="L209" s="664"/>
      <c r="M209" s="14" t="s">
        <v>361</v>
      </c>
      <c r="P209" s="14"/>
      <c r="Q209" s="14"/>
      <c r="R209" s="14"/>
      <c r="V209" s="197"/>
    </row>
    <row r="210" spans="1:22" ht="18" hidden="1" customHeight="1">
      <c r="A210" s="196"/>
      <c r="B210" s="14"/>
      <c r="C210" s="14"/>
      <c r="D210" s="102" t="s">
        <v>138</v>
      </c>
      <c r="E210" s="669" t="e">
        <f>S197</f>
        <v>#DIV/0!</v>
      </c>
      <c r="F210" s="664"/>
      <c r="G210" s="28" t="s">
        <v>683</v>
      </c>
      <c r="H210" s="664">
        <f>L180</f>
        <v>0</v>
      </c>
      <c r="I210" s="664"/>
      <c r="J210" s="28" t="s">
        <v>358</v>
      </c>
      <c r="K210" s="669">
        <f>S195</f>
        <v>0.54875935000000009</v>
      </c>
      <c r="L210" s="664"/>
      <c r="M210" s="14" t="s">
        <v>361</v>
      </c>
      <c r="N210" s="14"/>
      <c r="O210" s="14"/>
      <c r="P210" s="14"/>
      <c r="Q210" s="14"/>
      <c r="R210" s="14"/>
      <c r="V210" s="197"/>
    </row>
    <row r="211" spans="1:22" ht="18" hidden="1" customHeight="1">
      <c r="A211" s="196"/>
      <c r="B211" s="14"/>
      <c r="C211" s="14"/>
      <c r="D211" s="102" t="s">
        <v>138</v>
      </c>
      <c r="E211" s="669" t="e">
        <f>E210*(H210+K210)</f>
        <v>#DIV/0!</v>
      </c>
      <c r="F211" s="66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41">
        <f>L181</f>
        <v>0</v>
      </c>
      <c r="F223" s="941"/>
      <c r="G223" s="28" t="e">
        <f>G222</f>
        <v>#DIV/0!</v>
      </c>
      <c r="H223" s="669" t="e">
        <f>E205</f>
        <v>#DIV/0!</v>
      </c>
      <c r="I223" s="66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41">
        <f>L181</f>
        <v>0</v>
      </c>
      <c r="F227" s="941"/>
      <c r="G227" s="28" t="e">
        <f>G226</f>
        <v>#DIV/0!</v>
      </c>
      <c r="H227" s="669" t="e">
        <f>E211</f>
        <v>#DIV/0!</v>
      </c>
      <c r="I227" s="66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16" t="s">
        <v>97</v>
      </c>
      <c r="B264" s="729"/>
      <c r="C264" s="717"/>
      <c r="D264" s="716" t="s">
        <v>98</v>
      </c>
      <c r="E264" s="729"/>
      <c r="F264" s="717"/>
      <c r="G264" s="716" t="s">
        <v>99</v>
      </c>
      <c r="H264" s="717"/>
      <c r="I264" s="716" t="s">
        <v>100</v>
      </c>
      <c r="J264" s="717"/>
      <c r="K264" s="716" t="s">
        <v>513</v>
      </c>
      <c r="L264" s="717"/>
      <c r="M264" s="716" t="s">
        <v>514</v>
      </c>
      <c r="N264" s="717"/>
      <c r="O264" s="716" t="s">
        <v>515</v>
      </c>
      <c r="P264" s="717"/>
      <c r="Q264" s="716" t="s">
        <v>516</v>
      </c>
      <c r="R264" s="717"/>
      <c r="S264" s="716" t="s">
        <v>105</v>
      </c>
      <c r="T264" s="729"/>
      <c r="U264" s="729"/>
      <c r="V264" s="717"/>
    </row>
    <row r="265" spans="1:22" ht="18" customHeight="1">
      <c r="A265" s="718"/>
      <c r="B265" s="730"/>
      <c r="C265" s="719"/>
      <c r="D265" s="718"/>
      <c r="E265" s="730"/>
      <c r="F265" s="719"/>
      <c r="G265" s="718"/>
      <c r="H265" s="719"/>
      <c r="I265" s="718"/>
      <c r="J265" s="719"/>
      <c r="K265" s="718"/>
      <c r="L265" s="719"/>
      <c r="M265" s="718"/>
      <c r="N265" s="719"/>
      <c r="O265" s="718"/>
      <c r="P265" s="719"/>
      <c r="Q265" s="718"/>
      <c r="R265" s="719"/>
      <c r="S265" s="718"/>
      <c r="T265" s="730"/>
      <c r="U265" s="730"/>
      <c r="V265" s="719"/>
    </row>
    <row r="266" spans="1:22" ht="18" customHeight="1">
      <c r="A266" s="718"/>
      <c r="B266" s="730"/>
      <c r="C266" s="719"/>
      <c r="D266" s="718"/>
      <c r="E266" s="730"/>
      <c r="F266" s="719"/>
      <c r="G266" s="718"/>
      <c r="H266" s="719"/>
      <c r="I266" s="718"/>
      <c r="J266" s="719"/>
      <c r="K266" s="718"/>
      <c r="L266" s="719"/>
      <c r="M266" s="718"/>
      <c r="N266" s="719"/>
      <c r="O266" s="718"/>
      <c r="P266" s="719"/>
      <c r="Q266" s="718"/>
      <c r="R266" s="719"/>
      <c r="S266" s="718"/>
      <c r="T266" s="730"/>
      <c r="U266" s="730"/>
      <c r="V266" s="719"/>
    </row>
    <row r="267" spans="1:22" ht="18" customHeight="1">
      <c r="A267" s="720"/>
      <c r="B267" s="731"/>
      <c r="C267" s="721"/>
      <c r="D267" s="720"/>
      <c r="E267" s="731"/>
      <c r="F267" s="721"/>
      <c r="G267" s="720"/>
      <c r="H267" s="721"/>
      <c r="I267" s="720"/>
      <c r="J267" s="721"/>
      <c r="K267" s="720"/>
      <c r="L267" s="721"/>
      <c r="M267" s="720"/>
      <c r="N267" s="721"/>
      <c r="O267" s="720"/>
      <c r="P267" s="721"/>
      <c r="Q267" s="720"/>
      <c r="R267" s="721"/>
      <c r="S267" s="720"/>
      <c r="T267" s="731"/>
      <c r="U267" s="731"/>
      <c r="V267" s="721"/>
    </row>
    <row r="268" spans="1:22" ht="18" customHeight="1">
      <c r="A268" s="806" t="str">
        <f>B7</f>
        <v>T1</v>
      </c>
      <c r="B268" s="782" t="str">
        <f>D7</f>
        <v>Core5</v>
      </c>
      <c r="C268" s="711"/>
      <c r="D268" s="819">
        <f>H10</f>
        <v>2500</v>
      </c>
      <c r="E268" s="821"/>
      <c r="F268" s="734">
        <f>O10</f>
        <v>1</v>
      </c>
      <c r="G268" s="734">
        <f>'CT-VT Burdens'!S19</f>
        <v>50</v>
      </c>
      <c r="H268" s="722">
        <f>'CT-VT Burdens'!S10</f>
        <v>6</v>
      </c>
      <c r="I268" s="802" t="str">
        <f>H11</f>
        <v>PX-B</v>
      </c>
      <c r="J268" s="847"/>
      <c r="K268" s="852">
        <f>H12</f>
        <v>5</v>
      </c>
      <c r="L268" s="853"/>
      <c r="M268" s="852">
        <f>H13</f>
        <v>750</v>
      </c>
      <c r="N268" s="853"/>
      <c r="O268" s="819">
        <f>H14</f>
        <v>60</v>
      </c>
      <c r="P268" s="821"/>
      <c r="Q268" s="839" t="str">
        <f>T7</f>
        <v>P743</v>
      </c>
      <c r="R268" s="840"/>
      <c r="S268" s="1059" t="str">
        <f>H58</f>
        <v>Suitably Dimentioned</v>
      </c>
      <c r="T268" s="1060"/>
      <c r="U268" s="1060"/>
      <c r="V268" s="1061"/>
    </row>
    <row r="269" spans="1:22" ht="18" customHeight="1">
      <c r="A269" s="854"/>
      <c r="B269" s="783"/>
      <c r="C269" s="784"/>
      <c r="D269" s="812" t="s">
        <v>7</v>
      </c>
      <c r="E269" s="814"/>
      <c r="F269" s="735"/>
      <c r="G269" s="735"/>
      <c r="H269" s="723"/>
      <c r="I269" s="848"/>
      <c r="J269" s="849"/>
      <c r="K269" s="869" t="s">
        <v>7</v>
      </c>
      <c r="L269" s="870"/>
      <c r="M269" s="869" t="s">
        <v>7</v>
      </c>
      <c r="N269" s="870"/>
      <c r="O269" s="812" t="s">
        <v>7</v>
      </c>
      <c r="P269" s="814"/>
      <c r="Q269" s="841"/>
      <c r="R269" s="842"/>
      <c r="S269" s="1062" t="s">
        <v>7</v>
      </c>
      <c r="T269" s="1063"/>
      <c r="U269" s="1063"/>
      <c r="V269" s="1064"/>
    </row>
    <row r="270" spans="1:22" ht="18" customHeight="1">
      <c r="A270" s="855"/>
      <c r="B270" s="712"/>
      <c r="C270" s="713"/>
      <c r="D270" s="812" t="s">
        <v>7</v>
      </c>
      <c r="E270" s="814"/>
      <c r="F270" s="736"/>
      <c r="G270" s="736"/>
      <c r="H270" s="724"/>
      <c r="I270" s="850"/>
      <c r="J270" s="851"/>
      <c r="K270" s="869" t="s">
        <v>7</v>
      </c>
      <c r="L270" s="870"/>
      <c r="M270" s="869" t="s">
        <v>7</v>
      </c>
      <c r="N270" s="870"/>
      <c r="O270" s="812" t="s">
        <v>7</v>
      </c>
      <c r="P270" s="814"/>
      <c r="Q270" s="843"/>
      <c r="R270" s="844"/>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B175:C175"/>
    <mergeCell ref="D175:E175"/>
    <mergeCell ref="H175:M175"/>
    <mergeCell ref="E117:F117"/>
    <mergeCell ref="B121:C121"/>
    <mergeCell ref="E121:F121"/>
    <mergeCell ref="H121:I121"/>
    <mergeCell ref="K121:L121"/>
    <mergeCell ref="E122:F122"/>
    <mergeCell ref="H122:I122"/>
    <mergeCell ref="K122:L122"/>
    <mergeCell ref="T175:U175"/>
    <mergeCell ref="T176:U176"/>
    <mergeCell ref="H177:I177"/>
    <mergeCell ref="J177:K177"/>
    <mergeCell ref="L177:M177"/>
    <mergeCell ref="T177:U177"/>
    <mergeCell ref="E123:F123"/>
    <mergeCell ref="E135:F135"/>
    <mergeCell ref="H135:I135"/>
    <mergeCell ref="E139:F139"/>
    <mergeCell ref="H139:I139"/>
    <mergeCell ref="L182:M182"/>
    <mergeCell ref="J186:K186"/>
    <mergeCell ref="J187:K187"/>
    <mergeCell ref="J188:K188"/>
    <mergeCell ref="J189:K189"/>
    <mergeCell ref="J190:K190"/>
    <mergeCell ref="H178:I178"/>
    <mergeCell ref="J178:K178"/>
    <mergeCell ref="L178:M178"/>
    <mergeCell ref="L179:M179"/>
    <mergeCell ref="L180:M180"/>
    <mergeCell ref="L181:M181"/>
    <mergeCell ref="M203:N203"/>
    <mergeCell ref="G204:H204"/>
    <mergeCell ref="J204:K204"/>
    <mergeCell ref="M204:N204"/>
    <mergeCell ref="S192:T192"/>
    <mergeCell ref="S193:T193"/>
    <mergeCell ref="S194:T194"/>
    <mergeCell ref="S195:T195"/>
    <mergeCell ref="S196:T196"/>
    <mergeCell ref="S197:T197"/>
    <mergeCell ref="E205:F205"/>
    <mergeCell ref="B209:C209"/>
    <mergeCell ref="E209:F209"/>
    <mergeCell ref="H209:I209"/>
    <mergeCell ref="K209:L209"/>
    <mergeCell ref="E210:F210"/>
    <mergeCell ref="H210:I210"/>
    <mergeCell ref="K210:L210"/>
    <mergeCell ref="B203:C203"/>
    <mergeCell ref="G203:H203"/>
    <mergeCell ref="J203:K203"/>
    <mergeCell ref="S270:V270"/>
    <mergeCell ref="S269:V269"/>
    <mergeCell ref="S268:V268"/>
    <mergeCell ref="S264:V267"/>
    <mergeCell ref="E211:F211"/>
    <mergeCell ref="E223:F223"/>
    <mergeCell ref="H223:I223"/>
    <mergeCell ref="E227:F227"/>
    <mergeCell ref="H227:I227"/>
    <mergeCell ref="M270:N270"/>
    <mergeCell ref="O270:P270"/>
    <mergeCell ref="I268:J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118</v>
      </c>
      <c r="E7" s="654"/>
      <c r="F7" s="267"/>
      <c r="H7" s="665" t="s">
        <v>948</v>
      </c>
      <c r="I7" s="665"/>
      <c r="J7" s="665"/>
      <c r="K7" s="665"/>
      <c r="L7" s="665"/>
      <c r="M7" s="665"/>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2000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10</v>
      </c>
      <c r="I13" s="654"/>
      <c r="T13" s="307"/>
      <c r="U13" s="18"/>
      <c r="V13" s="197"/>
      <c r="W13" s="30" t="str">
        <f>J47</f>
        <v>Not suitable</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0.45675935000000006</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2000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0.45675935000000006</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10</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0.45675935000000006</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0.45675935000000006</v>
      </c>
      <c r="S38" s="308" t="s">
        <v>361</v>
      </c>
      <c r="V38" s="197"/>
    </row>
    <row r="39" spans="1:22" ht="18" customHeight="1">
      <c r="A39" s="196"/>
      <c r="I39" s="27" t="s">
        <v>138</v>
      </c>
      <c r="J39" s="680">
        <f>J38*((L38+N38)/(P38+R38))</f>
        <v>27.488842805574699</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0.45675935000000006</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&lt;</v>
      </c>
      <c r="J46" s="668">
        <f>J39</f>
        <v>27.488842805574699</v>
      </c>
      <c r="K46" s="668"/>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Core6</v>
      </c>
      <c r="E50" s="684"/>
      <c r="F50" s="267"/>
      <c r="H50" s="665" t="str">
        <f>H7</f>
        <v>(Metering)</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2000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0.2S</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697">
        <f t="shared" si="0"/>
        <v>0</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0.45675935000000006</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0.45675935000000006</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0.45675935000000006</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0.45675935000000006</v>
      </c>
      <c r="S81" s="308" t="s">
        <v>361</v>
      </c>
      <c r="V81" s="197"/>
    </row>
    <row r="82" spans="1:22" ht="18" hidden="1" customHeight="1">
      <c r="A82" s="196"/>
      <c r="I82" s="27" t="s">
        <v>138</v>
      </c>
      <c r="J82" s="680">
        <f>J81*((L81+N81)/(P81+R81))</f>
        <v>18.32589520371647</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0.45675935000000006</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18.32589520371647</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Core6</v>
      </c>
      <c r="E95" s="809"/>
      <c r="F95" s="267"/>
      <c r="H95" s="665" t="str">
        <f>H50</f>
        <v>(Metering)</v>
      </c>
      <c r="I95" s="665"/>
      <c r="J95" s="665"/>
      <c r="K95" s="665"/>
      <c r="L95" s="665"/>
      <c r="M95" s="665"/>
      <c r="P95" s="198"/>
      <c r="V95" s="197"/>
    </row>
    <row r="96" spans="1:22" ht="18" hidden="1" customHeight="1">
      <c r="A96" s="196"/>
      <c r="B96" s="708">
        <f>B51</f>
        <v>0</v>
      </c>
      <c r="C96" s="709"/>
      <c r="D96" s="1193"/>
      <c r="E96" s="1194"/>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2000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0.2S</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99">
        <f t="shared" ref="J106:J111" si="1">J61</f>
        <v>8.0000000000000002E-3</v>
      </c>
      <c r="K106" s="678"/>
      <c r="L106" s="3" t="s">
        <v>168</v>
      </c>
      <c r="N106" s="209" t="s">
        <v>521</v>
      </c>
      <c r="V106" s="197"/>
    </row>
    <row r="107" spans="1:23" ht="18" hidden="1" customHeight="1">
      <c r="A107" s="196"/>
      <c r="B107" s="96" t="s">
        <v>416</v>
      </c>
      <c r="D107" s="308">
        <f>D62</f>
        <v>0</v>
      </c>
      <c r="I107" s="189" t="s">
        <v>138</v>
      </c>
      <c r="J107" s="699">
        <f t="shared" si="1"/>
        <v>0</v>
      </c>
      <c r="K107" s="678"/>
      <c r="L107" s="210" t="s">
        <v>168</v>
      </c>
      <c r="P107" s="256"/>
      <c r="V107" s="197"/>
    </row>
    <row r="108" spans="1:23" ht="18" hidden="1" customHeight="1">
      <c r="A108" s="196"/>
      <c r="B108" s="96" t="s">
        <v>416</v>
      </c>
      <c r="C108" s="14"/>
      <c r="D108" s="47">
        <f>D63</f>
        <v>0</v>
      </c>
      <c r="E108" s="14"/>
      <c r="G108" s="211"/>
      <c r="H108" s="27"/>
      <c r="I108" s="101" t="s">
        <v>138</v>
      </c>
      <c r="J108" s="699">
        <f t="shared" si="1"/>
        <v>0</v>
      </c>
      <c r="K108" s="67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67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99">
        <f t="shared" si="1"/>
        <v>0.44875935000000006</v>
      </c>
      <c r="K110" s="678"/>
      <c r="L110" s="309" t="s">
        <v>168</v>
      </c>
      <c r="O110" s="27" t="s">
        <v>138</v>
      </c>
      <c r="P110" s="668" t="e">
        <f>P109*R109*T109</f>
        <v>#VALUE!</v>
      </c>
      <c r="Q110" s="668"/>
      <c r="R110" s="27" t="s">
        <v>168</v>
      </c>
      <c r="S110" s="27"/>
      <c r="T110" s="27"/>
      <c r="V110" s="197"/>
    </row>
    <row r="111" spans="1:23" ht="18" hidden="1" customHeight="1">
      <c r="A111" s="196"/>
      <c r="B111" s="1" t="s">
        <v>424</v>
      </c>
      <c r="C111" s="2"/>
      <c r="D111" s="2"/>
      <c r="E111" s="2"/>
      <c r="F111" s="208"/>
      <c r="G111" s="208"/>
      <c r="H111" s="236" t="s">
        <v>523</v>
      </c>
      <c r="I111" s="195" t="s">
        <v>138</v>
      </c>
      <c r="J111" s="699">
        <f t="shared" si="1"/>
        <v>0.45675935000000006</v>
      </c>
      <c r="K111" s="678"/>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8"/>
      <c r="L116" s="28" t="s">
        <v>358</v>
      </c>
      <c r="M116" s="668">
        <f>J111</f>
        <v>0.45675935000000006</v>
      </c>
      <c r="N116" s="668"/>
      <c r="V116" s="197"/>
    </row>
    <row r="117" spans="1:22" ht="18" hidden="1" customHeight="1">
      <c r="A117" s="196"/>
      <c r="I117" s="28" t="s">
        <v>138</v>
      </c>
      <c r="J117" s="668" t="e">
        <f>J116+M116</f>
        <v>#VALUE!</v>
      </c>
      <c r="K117" s="668"/>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0.45675935000000006</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8"/>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Core6</v>
      </c>
      <c r="C144" s="733"/>
      <c r="D144" s="732">
        <f>H98</f>
        <v>2000</v>
      </c>
      <c r="E144" s="732"/>
      <c r="F144" s="734">
        <f>O98</f>
        <v>1</v>
      </c>
      <c r="G144" s="737">
        <f>'CT-VT Burdens'!S19</f>
        <v>50</v>
      </c>
      <c r="H144" s="740">
        <f>'CT-VT Burdens'!S10</f>
        <v>6</v>
      </c>
      <c r="I144" s="794" t="str">
        <f>L99</f>
        <v>0.2S</v>
      </c>
      <c r="J144" s="794"/>
      <c r="K144" s="728">
        <f>H12</f>
        <v>5</v>
      </c>
      <c r="L144" s="728"/>
      <c r="M144" s="728">
        <f>H14</f>
        <v>10</v>
      </c>
      <c r="N144" s="728"/>
      <c r="O144" s="732" t="s">
        <v>7</v>
      </c>
      <c r="P144" s="732"/>
      <c r="Q144" s="739" t="str">
        <f>CONCATENATE(T7," ",T8," ",T9," ",T10)</f>
        <v xml:space="preserve">XC-RACK   </v>
      </c>
      <c r="R144" s="739"/>
      <c r="S144" s="738" t="str">
        <f>J47</f>
        <v>Not suitable</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1:U11"/>
    <mergeCell ref="H7:M7"/>
    <mergeCell ref="T7:U7"/>
    <mergeCell ref="T8:U8"/>
    <mergeCell ref="H9:I9"/>
    <mergeCell ref="J9:K9"/>
    <mergeCell ref="L9:M9"/>
    <mergeCell ref="T9:U9"/>
    <mergeCell ref="L10:M10"/>
    <mergeCell ref="T10:U10"/>
    <mergeCell ref="H11:I11"/>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T52:U52"/>
    <mergeCell ref="H53:I53"/>
    <mergeCell ref="J53:K53"/>
    <mergeCell ref="L53:M53"/>
    <mergeCell ref="T53:U53"/>
    <mergeCell ref="B50:C50"/>
    <mergeCell ref="D50:E51"/>
    <mergeCell ref="H50:M50"/>
    <mergeCell ref="T50:U50"/>
    <mergeCell ref="B51:C51"/>
    <mergeCell ref="T51:U51"/>
    <mergeCell ref="J54:K54"/>
    <mergeCell ref="J55:K55"/>
    <mergeCell ref="J56:K56"/>
    <mergeCell ref="J57:K57"/>
    <mergeCell ref="J61:K61"/>
    <mergeCell ref="J62:K62"/>
    <mergeCell ref="H52:I52"/>
    <mergeCell ref="J52:K52"/>
    <mergeCell ref="L52:M52"/>
    <mergeCell ref="P69:Q69"/>
    <mergeCell ref="P70:Q70"/>
    <mergeCell ref="P71:Q71"/>
    <mergeCell ref="P72:Q72"/>
    <mergeCell ref="P73:Q73"/>
    <mergeCell ref="S75:T75"/>
    <mergeCell ref="J63:K63"/>
    <mergeCell ref="J64:K64"/>
    <mergeCell ref="J65:K65"/>
    <mergeCell ref="P65:Q65"/>
    <mergeCell ref="J66:K66"/>
    <mergeCell ref="P68:Q68"/>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L102:M102"/>
    <mergeCell ref="J106:K106"/>
    <mergeCell ref="J107:K107"/>
    <mergeCell ref="J108:K108"/>
    <mergeCell ref="J109:K109"/>
    <mergeCell ref="J110:K110"/>
    <mergeCell ref="P110:Q110"/>
    <mergeCell ref="J111:K111"/>
    <mergeCell ref="S113:T113"/>
    <mergeCell ref="G128:H128"/>
    <mergeCell ref="J125:K125"/>
    <mergeCell ref="G125:H125"/>
    <mergeCell ref="J121:K121"/>
    <mergeCell ref="A140:C143"/>
    <mergeCell ref="D140:F143"/>
    <mergeCell ref="G140:H143"/>
    <mergeCell ref="I140:J143"/>
    <mergeCell ref="K140:L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944</v>
      </c>
      <c r="E7" s="654"/>
      <c r="F7" s="267"/>
      <c r="H7" s="665" t="s">
        <v>948</v>
      </c>
      <c r="I7" s="665"/>
      <c r="J7" s="665"/>
      <c r="K7" s="665"/>
      <c r="L7" s="665"/>
      <c r="M7" s="665"/>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2000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10</v>
      </c>
      <c r="I13" s="654"/>
      <c r="T13" s="307"/>
      <c r="U13" s="18"/>
      <c r="V13" s="197"/>
      <c r="W13" s="30" t="str">
        <f>J47</f>
        <v>Not suitable</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0.44875935000000006</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0.45675935000000006</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2000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0.45675935000000006</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10</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0.45675935000000006</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0.45675935000000006</v>
      </c>
      <c r="S38" s="308" t="s">
        <v>361</v>
      </c>
      <c r="V38" s="197"/>
    </row>
    <row r="39" spans="1:22" ht="18" customHeight="1">
      <c r="A39" s="196"/>
      <c r="I39" s="27" t="s">
        <v>138</v>
      </c>
      <c r="J39" s="680">
        <f>J38*((L38+N38)/(P38+R38))</f>
        <v>27.488842805574699</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0.45675935000000006</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&lt;</v>
      </c>
      <c r="J46" s="668">
        <f>J39</f>
        <v>27.488842805574699</v>
      </c>
      <c r="K46" s="668"/>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Core7</v>
      </c>
      <c r="E50" s="684"/>
      <c r="F50" s="267"/>
      <c r="H50" s="665" t="str">
        <f>H7</f>
        <v>(Metering)</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2000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0.2S</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697">
        <f t="shared" si="0"/>
        <v>0</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0.44875935000000006</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0.45675935000000006</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0.45675935000000006</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0.45675935000000006</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0.45675935000000006</v>
      </c>
      <c r="S81" s="308" t="s">
        <v>361</v>
      </c>
      <c r="V81" s="197"/>
    </row>
    <row r="82" spans="1:22" ht="18" hidden="1" customHeight="1">
      <c r="A82" s="196"/>
      <c r="I82" s="27" t="s">
        <v>138</v>
      </c>
      <c r="J82" s="680">
        <f>J81*((L81+N81)/(P81+R81))</f>
        <v>18.32589520371647</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0.45675935000000006</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18.32589520371647</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Core7</v>
      </c>
      <c r="E95" s="711"/>
      <c r="F95" s="267"/>
      <c r="H95" s="665" t="str">
        <f>H50</f>
        <v>(Metering)</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2000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0.2S</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f>D62</f>
        <v>0</v>
      </c>
      <c r="I107" s="189" t="s">
        <v>138</v>
      </c>
      <c r="J107" s="697">
        <f t="shared" si="1"/>
        <v>0</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0.44875935000000006</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0.45675935000000006</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0.45675935000000006</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0.45675935000000006</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Core7</v>
      </c>
      <c r="C144" s="733"/>
      <c r="D144" s="732">
        <f>H98</f>
        <v>2000</v>
      </c>
      <c r="E144" s="732"/>
      <c r="F144" s="734">
        <f>O98</f>
        <v>1</v>
      </c>
      <c r="G144" s="737">
        <f>'CT-VT Burdens'!S19</f>
        <v>50</v>
      </c>
      <c r="H144" s="740">
        <f>'CT-VT Burdens'!S10</f>
        <v>6</v>
      </c>
      <c r="I144" s="794" t="str">
        <f>L99</f>
        <v>0.2S</v>
      </c>
      <c r="J144" s="794"/>
      <c r="K144" s="728">
        <f>H12</f>
        <v>5</v>
      </c>
      <c r="L144" s="728"/>
      <c r="M144" s="728">
        <f>H14</f>
        <v>10</v>
      </c>
      <c r="N144" s="728"/>
      <c r="O144" s="732" t="s">
        <v>7</v>
      </c>
      <c r="P144" s="732"/>
      <c r="Q144" s="739" t="str">
        <f>CONCATENATE(T7," ",T8," ",T9," ",T10)</f>
        <v xml:space="preserve">XC-RACK   </v>
      </c>
      <c r="R144" s="739"/>
      <c r="S144" s="738" t="str">
        <f>J47</f>
        <v>Not suitable</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H7:M7"/>
    <mergeCell ref="T7:U7"/>
    <mergeCell ref="T8:U8"/>
    <mergeCell ref="H9:I9"/>
    <mergeCell ref="J9:K9"/>
    <mergeCell ref="L9:M9"/>
    <mergeCell ref="T9:U9"/>
    <mergeCell ref="L10:M10"/>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940</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4" t="str">
        <f>Title!R1</f>
        <v>N-19957.1-DF5W</v>
      </c>
      <c r="S1" s="775"/>
      <c r="T1" s="775"/>
      <c r="U1" s="775"/>
      <c r="V1" s="776"/>
      <c r="W1" s="14"/>
      <c r="X1" s="14"/>
    </row>
    <row r="2" spans="1:35" ht="18" customHeight="1">
      <c r="A2" s="630"/>
      <c r="B2" s="631"/>
      <c r="C2" s="631"/>
      <c r="D2" s="631"/>
      <c r="E2" s="631"/>
      <c r="F2" s="631"/>
      <c r="G2" s="632"/>
      <c r="H2" s="639" t="str">
        <f>Title!H2</f>
        <v>ADEQUACY CHECK</v>
      </c>
      <c r="I2" s="640"/>
      <c r="J2" s="640"/>
      <c r="K2" s="640"/>
      <c r="L2" s="640"/>
      <c r="M2" s="640"/>
      <c r="N2" s="641"/>
      <c r="O2" s="612" t="str">
        <f>Title!O2</f>
        <v>Date</v>
      </c>
      <c r="P2" s="613"/>
      <c r="Q2" s="614"/>
      <c r="R2" s="777">
        <f>Title!R2</f>
        <v>46106</v>
      </c>
      <c r="S2" s="775"/>
      <c r="T2" s="775"/>
      <c r="U2" s="775"/>
      <c r="V2" s="776"/>
      <c r="W2" s="14"/>
      <c r="X2" s="14"/>
    </row>
    <row r="3" spans="1:35" ht="21"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35" ht="18" customHeight="1">
      <c r="A4" s="633"/>
      <c r="B4" s="634"/>
      <c r="C4" s="634"/>
      <c r="D4" s="634"/>
      <c r="E4" s="634"/>
      <c r="F4" s="634"/>
      <c r="G4" s="635"/>
      <c r="H4" s="648"/>
      <c r="I4" s="649"/>
      <c r="J4" s="649"/>
      <c r="K4" s="649"/>
      <c r="L4" s="649"/>
      <c r="M4" s="649"/>
      <c r="N4" s="650"/>
      <c r="O4" s="612" t="str">
        <f>Title!O4</f>
        <v>Revision No.</v>
      </c>
      <c r="P4" s="613"/>
      <c r="Q4" s="614"/>
      <c r="R4" s="774" t="str">
        <f>Title!R4</f>
        <v>A</v>
      </c>
      <c r="S4" s="775"/>
      <c r="T4" s="775"/>
      <c r="U4" s="775"/>
      <c r="V4" s="776"/>
      <c r="W4" s="14"/>
      <c r="X4" s="14"/>
    </row>
    <row r="5" spans="1:35" ht="18" customHeight="1">
      <c r="A5" s="618" t="str">
        <f>Title!A5</f>
        <v>Prep. By</v>
      </c>
      <c r="B5" s="619"/>
      <c r="C5" s="25" t="str">
        <f>Title!C5</f>
        <v>AP</v>
      </c>
      <c r="D5" s="618" t="str">
        <f>Title!D5</f>
        <v>Checked By</v>
      </c>
      <c r="E5" s="620"/>
      <c r="F5" s="619"/>
      <c r="G5" s="25" t="str">
        <f>Title!G5</f>
        <v>RB</v>
      </c>
      <c r="H5" s="1195" t="s">
        <v>936</v>
      </c>
      <c r="I5" s="1196"/>
      <c r="J5" s="1196"/>
      <c r="K5" s="1196"/>
      <c r="L5" s="1196"/>
      <c r="M5" s="1196"/>
      <c r="N5" s="1197"/>
      <c r="O5" s="624" t="str">
        <f>Title!O5</f>
        <v>Contractor</v>
      </c>
      <c r="P5" s="625"/>
      <c r="Q5" s="626"/>
      <c r="R5" s="774" t="str">
        <f>Title!R5</f>
        <v>HITACHI</v>
      </c>
      <c r="S5" s="775"/>
      <c r="T5" s="775"/>
      <c r="U5" s="775"/>
      <c r="V5" s="776"/>
      <c r="W5" s="14"/>
      <c r="X5" s="14"/>
    </row>
    <row r="6" spans="1:35" ht="18" customHeight="1">
      <c r="A6" s="196"/>
      <c r="V6" s="197"/>
    </row>
    <row r="7" spans="1:35" ht="18" customHeight="1">
      <c r="A7" s="196"/>
      <c r="B7" s="653" t="s">
        <v>120</v>
      </c>
      <c r="C7" s="654"/>
      <c r="D7" s="890" t="s">
        <v>396</v>
      </c>
      <c r="E7" s="98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3" t="s">
        <v>806</v>
      </c>
      <c r="I10" s="654"/>
      <c r="V10" s="197"/>
    </row>
    <row r="11" spans="1:35" ht="18" customHeight="1">
      <c r="A11" s="196"/>
      <c r="B11" s="30" t="s">
        <v>573</v>
      </c>
      <c r="H11" s="653">
        <v>50</v>
      </c>
      <c r="I11" s="654"/>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74">
        <f>'CT-VT Burdens'!Q48</f>
        <v>0.02</v>
      </c>
      <c r="L14" s="675"/>
      <c r="M14" s="3" t="s">
        <v>168</v>
      </c>
      <c r="O14" s="14"/>
      <c r="V14" s="197"/>
    </row>
    <row r="15" spans="1:35" ht="18" customHeight="1">
      <c r="A15" s="196"/>
      <c r="C15" s="96" t="s">
        <v>416</v>
      </c>
      <c r="D15" s="14"/>
      <c r="E15" s="30" t="s">
        <v>920</v>
      </c>
      <c r="F15" s="14"/>
      <c r="G15" s="14"/>
      <c r="H15" s="211"/>
      <c r="I15" s="27"/>
      <c r="J15" s="101" t="s">
        <v>138</v>
      </c>
      <c r="K15" s="674">
        <f>'CT-VT Burdens'!Q99</f>
        <v>0.02</v>
      </c>
      <c r="L15" s="675"/>
      <c r="M15" s="214" t="s">
        <v>168</v>
      </c>
      <c r="O15" s="14"/>
      <c r="V15" s="197"/>
      <c r="Y15" s="96" t="s">
        <v>416</v>
      </c>
      <c r="Z15" s="14"/>
      <c r="AA15" s="47" t="s">
        <v>789</v>
      </c>
      <c r="AB15" s="14"/>
      <c r="AD15" s="211"/>
      <c r="AE15" s="27"/>
      <c r="AF15" s="101" t="s">
        <v>138</v>
      </c>
      <c r="AG15" s="674">
        <f>'CT-VT Burdens'!AO48</f>
        <v>0</v>
      </c>
      <c r="AH15" s="675"/>
      <c r="AI15" s="214" t="s">
        <v>168</v>
      </c>
    </row>
    <row r="16" spans="1:35" ht="18" customHeight="1">
      <c r="A16" s="196"/>
      <c r="C16" s="96" t="s">
        <v>416</v>
      </c>
      <c r="D16" s="14"/>
      <c r="E16" s="989" t="s">
        <v>928</v>
      </c>
      <c r="F16" s="991"/>
      <c r="H16" s="211"/>
      <c r="I16" s="27"/>
      <c r="J16" s="101" t="s">
        <v>138</v>
      </c>
      <c r="K16" s="674">
        <f>'CT-VT Burdens'!Q48</f>
        <v>0.02</v>
      </c>
      <c r="L16" s="675"/>
      <c r="M16" s="214" t="s">
        <v>168</v>
      </c>
      <c r="O16" s="14"/>
      <c r="V16" s="197"/>
      <c r="Y16" s="96" t="s">
        <v>416</v>
      </c>
      <c r="Z16" s="14"/>
      <c r="AA16" s="47" t="s">
        <v>205</v>
      </c>
      <c r="AB16" s="14"/>
      <c r="AD16" s="211"/>
      <c r="AE16" s="27"/>
      <c r="AF16" s="101" t="s">
        <v>138</v>
      </c>
      <c r="AG16" s="674">
        <f>'CT-VT Burdens'!AO92</f>
        <v>0</v>
      </c>
      <c r="AH16" s="675"/>
      <c r="AI16" s="214" t="s">
        <v>168</v>
      </c>
    </row>
    <row r="17" spans="1:35" ht="18" customHeight="1">
      <c r="A17" s="196"/>
      <c r="C17" s="96" t="s">
        <v>416</v>
      </c>
      <c r="D17" s="14"/>
      <c r="E17" s="308" t="s">
        <v>519</v>
      </c>
      <c r="F17" s="14"/>
      <c r="H17" s="211"/>
      <c r="I17" s="28"/>
      <c r="J17" s="101" t="s">
        <v>138</v>
      </c>
      <c r="K17" s="674">
        <f>'CT-VT Burdens'!Q48</f>
        <v>0.02</v>
      </c>
      <c r="L17" s="675"/>
      <c r="M17" s="214" t="s">
        <v>168</v>
      </c>
      <c r="O17" s="14"/>
      <c r="V17" s="197"/>
      <c r="Y17" s="96" t="s">
        <v>416</v>
      </c>
      <c r="Z17" s="14"/>
      <c r="AA17" s="47" t="s">
        <v>790</v>
      </c>
      <c r="AB17" s="14"/>
      <c r="AD17" s="211"/>
      <c r="AE17" s="28" t="s">
        <v>140</v>
      </c>
      <c r="AF17" s="101" t="s">
        <v>138</v>
      </c>
      <c r="AG17" s="674">
        <v>0.2</v>
      </c>
      <c r="AH17" s="675"/>
      <c r="AI17" s="214" t="s">
        <v>168</v>
      </c>
    </row>
    <row r="18" spans="1:35" ht="18" customHeight="1">
      <c r="A18" s="196"/>
      <c r="C18" s="96" t="s">
        <v>416</v>
      </c>
      <c r="D18" s="14"/>
      <c r="E18" s="308" t="s">
        <v>929</v>
      </c>
      <c r="F18" s="14"/>
      <c r="H18" s="211"/>
      <c r="I18" s="28"/>
      <c r="J18" s="189" t="s">
        <v>138</v>
      </c>
      <c r="K18" s="674">
        <f>'CT-VT Burdens'!Q92</f>
        <v>5.8000000000000003E-2</v>
      </c>
      <c r="L18" s="675"/>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674">
        <f>'CT-VT Burdens'!Q49</f>
        <v>0.01</v>
      </c>
      <c r="L19" s="675"/>
      <c r="M19" s="214" t="s">
        <v>168</v>
      </c>
      <c r="N19" s="14"/>
      <c r="O19" s="14"/>
      <c r="P19" s="28"/>
      <c r="Q19" s="211"/>
      <c r="R19" s="14"/>
      <c r="S19" s="14"/>
      <c r="T19" s="14"/>
      <c r="U19" s="14"/>
      <c r="V19" s="197"/>
      <c r="Y19" s="96" t="s">
        <v>416</v>
      </c>
      <c r="Z19" s="14"/>
      <c r="AA19" s="47" t="s">
        <v>791</v>
      </c>
      <c r="AB19" s="14"/>
      <c r="AD19" s="211"/>
      <c r="AE19" s="28" t="s">
        <v>140</v>
      </c>
      <c r="AF19" s="101" t="s">
        <v>138</v>
      </c>
      <c r="AG19" s="674">
        <v>1</v>
      </c>
      <c r="AH19" s="675"/>
      <c r="AI19" s="214" t="s">
        <v>168</v>
      </c>
    </row>
    <row r="20" spans="1:35" ht="18" customHeight="1">
      <c r="A20" s="196"/>
      <c r="B20" s="117"/>
      <c r="C20" s="96" t="s">
        <v>416</v>
      </c>
      <c r="D20" s="14"/>
      <c r="E20" s="308" t="s">
        <v>917</v>
      </c>
      <c r="F20" s="14"/>
      <c r="H20" s="211"/>
      <c r="I20" s="28"/>
      <c r="J20" s="189" t="s">
        <v>138</v>
      </c>
      <c r="K20" s="674">
        <f>'CT-VT Burdens'!Q98</f>
        <v>0.1</v>
      </c>
      <c r="L20" s="670"/>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699">
        <f>SUM(K14:L20)</f>
        <v>0.24800000000000003</v>
      </c>
      <c r="L21" s="700"/>
      <c r="M21" s="214" t="s">
        <v>168</v>
      </c>
      <c r="R21" s="14"/>
      <c r="S21" s="14"/>
      <c r="T21" s="14"/>
      <c r="U21" s="293"/>
      <c r="V21" s="197"/>
    </row>
    <row r="22" spans="1:35" ht="18" customHeight="1">
      <c r="A22" s="196"/>
      <c r="C22" s="196" t="s">
        <v>423</v>
      </c>
      <c r="D22" s="14"/>
      <c r="E22" s="14"/>
      <c r="F22" s="14"/>
      <c r="I22" s="27"/>
      <c r="J22" s="101" t="s">
        <v>138</v>
      </c>
      <c r="K22" s="699">
        <f>'CT-VT Burdens'!S39</f>
        <v>2.7035014500000001</v>
      </c>
      <c r="L22" s="876"/>
      <c r="M22" s="309" t="s">
        <v>168</v>
      </c>
      <c r="R22" s="14"/>
      <c r="S22" s="14"/>
      <c r="T22" s="14"/>
      <c r="U22" s="293"/>
      <c r="V22" s="197"/>
    </row>
    <row r="23" spans="1:35" ht="18" customHeight="1">
      <c r="A23" s="196"/>
      <c r="C23" s="1" t="s">
        <v>424</v>
      </c>
      <c r="D23" s="2"/>
      <c r="E23" s="2"/>
      <c r="F23" s="2"/>
      <c r="G23" s="208"/>
      <c r="H23" s="208"/>
      <c r="I23" s="236" t="s">
        <v>523</v>
      </c>
      <c r="J23" s="195" t="s">
        <v>138</v>
      </c>
      <c r="K23" s="1198">
        <f>K21+K22</f>
        <v>2.9515014500000003</v>
      </c>
      <c r="L23" s="1199"/>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669">
        <f>K21</f>
        <v>0.24800000000000003</v>
      </c>
      <c r="L29" s="664"/>
      <c r="M29" s="102" t="s">
        <v>353</v>
      </c>
      <c r="N29" s="669">
        <f>K9/SQRT(3)*1000</f>
        <v>63.508529610858844</v>
      </c>
      <c r="O29" s="664"/>
      <c r="V29" s="197"/>
    </row>
    <row r="30" spans="1:35" ht="18" customHeight="1">
      <c r="A30" s="196"/>
      <c r="B30" s="14"/>
      <c r="C30" s="14"/>
      <c r="D30" s="120"/>
      <c r="J30" s="28" t="s">
        <v>138</v>
      </c>
      <c r="K30" s="906">
        <f>K29/N29</f>
        <v>3.904987275246196E-3</v>
      </c>
      <c r="L30" s="906"/>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664" t="s">
        <v>797</v>
      </c>
      <c r="L32" s="664"/>
      <c r="M32" s="28" t="s">
        <v>326</v>
      </c>
      <c r="N32" s="47" t="s">
        <v>798</v>
      </c>
      <c r="O32" s="14"/>
      <c r="P32" s="28"/>
      <c r="Q32" s="479"/>
      <c r="V32" s="197"/>
    </row>
    <row r="33" spans="1:22" ht="18" customHeight="1">
      <c r="A33" s="196"/>
      <c r="J33" s="28" t="s">
        <v>138</v>
      </c>
      <c r="K33" s="665">
        <f>K30*K30</f>
        <v>1.524892561983471E-5</v>
      </c>
      <c r="L33" s="665"/>
      <c r="M33" s="28" t="s">
        <v>326</v>
      </c>
      <c r="N33" s="668">
        <f>'CT-VT Burdens'!S39</f>
        <v>2.7035014500000001</v>
      </c>
      <c r="O33" s="668"/>
      <c r="V33" s="197"/>
    </row>
    <row r="34" spans="1:22" ht="18" customHeight="1">
      <c r="A34" s="196"/>
      <c r="J34" s="28" t="s">
        <v>138</v>
      </c>
      <c r="K34" s="1158">
        <f>K33*N33</f>
        <v>4.1225492524165291E-5</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65">
        <f>H11</f>
        <v>50</v>
      </c>
      <c r="E38" s="665"/>
      <c r="F38" s="27" t="str">
        <f>F37</f>
        <v>&gt;</v>
      </c>
      <c r="G38" s="1158">
        <f>K23</f>
        <v>2.9515014500000003</v>
      </c>
      <c r="H38" s="665"/>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3" t="str">
        <f>B7</f>
        <v>T1</v>
      </c>
      <c r="C47" s="654"/>
      <c r="D47" s="890" t="s">
        <v>517</v>
      </c>
      <c r="E47" s="98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3">
        <v>0.2</v>
      </c>
      <c r="I50" s="654"/>
      <c r="V50" s="197"/>
    </row>
    <row r="51" spans="1:23" ht="18" customHeight="1">
      <c r="A51" s="196"/>
      <c r="B51" s="30" t="s">
        <v>573</v>
      </c>
      <c r="H51" s="653">
        <v>50</v>
      </c>
      <c r="I51" s="654"/>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74">
        <f>'CT-VT Burdens'!Q85</f>
        <v>8.0000000000000002E-3</v>
      </c>
      <c r="L54" s="675"/>
      <c r="M54" s="3" t="s">
        <v>168</v>
      </c>
      <c r="V54" s="197"/>
    </row>
    <row r="55" spans="1:23" ht="18" customHeight="1">
      <c r="A55" s="196"/>
      <c r="C55" s="96" t="s">
        <v>416</v>
      </c>
      <c r="D55" s="14"/>
      <c r="E55" s="308"/>
      <c r="F55" s="14"/>
      <c r="H55" s="211"/>
      <c r="I55" s="27"/>
      <c r="J55" s="101" t="s">
        <v>138</v>
      </c>
      <c r="K55" s="674"/>
      <c r="L55" s="675"/>
      <c r="M55" s="214" t="s">
        <v>168</v>
      </c>
      <c r="V55" s="197"/>
    </row>
    <row r="56" spans="1:23" ht="18" customHeight="1">
      <c r="A56" s="196"/>
      <c r="C56" s="96" t="s">
        <v>416</v>
      </c>
      <c r="D56" s="14"/>
      <c r="E56" s="308"/>
      <c r="F56" s="14"/>
      <c r="H56" s="211"/>
      <c r="I56" s="27"/>
      <c r="J56" s="101" t="s">
        <v>138</v>
      </c>
      <c r="K56" s="674"/>
      <c r="L56" s="675"/>
      <c r="M56" s="214" t="s">
        <v>168</v>
      </c>
      <c r="V56" s="197"/>
    </row>
    <row r="57" spans="1:23" ht="18" customHeight="1">
      <c r="A57" s="196"/>
      <c r="C57" s="96" t="s">
        <v>416</v>
      </c>
      <c r="D57" s="14"/>
      <c r="E57" s="308"/>
      <c r="F57" s="14"/>
      <c r="H57" s="211"/>
      <c r="I57" s="28"/>
      <c r="J57" s="101" t="s">
        <v>138</v>
      </c>
      <c r="K57" s="674"/>
      <c r="L57" s="675"/>
      <c r="M57" s="214" t="s">
        <v>168</v>
      </c>
      <c r="V57" s="197"/>
    </row>
    <row r="58" spans="1:23" ht="18" customHeight="1">
      <c r="A58" s="196"/>
      <c r="C58" s="96" t="s">
        <v>416</v>
      </c>
      <c r="D58" s="14"/>
      <c r="E58" s="308"/>
      <c r="F58" s="14"/>
      <c r="H58" s="211"/>
      <c r="I58" s="28"/>
      <c r="J58" s="189" t="s">
        <v>138</v>
      </c>
      <c r="K58" s="674"/>
      <c r="L58" s="675"/>
      <c r="M58" s="214" t="s">
        <v>168</v>
      </c>
      <c r="V58" s="197"/>
    </row>
    <row r="59" spans="1:23" ht="18" customHeight="1">
      <c r="A59" s="196"/>
      <c r="C59" s="96" t="s">
        <v>416</v>
      </c>
      <c r="D59" s="14"/>
      <c r="E59" s="308"/>
      <c r="F59" s="14"/>
      <c r="H59" s="211"/>
      <c r="I59" s="28"/>
      <c r="J59" s="189" t="s">
        <v>138</v>
      </c>
      <c r="K59" s="674"/>
      <c r="L59" s="670"/>
      <c r="M59" s="214" t="s">
        <v>168</v>
      </c>
      <c r="V59" s="197"/>
    </row>
    <row r="60" spans="1:23" ht="18" customHeight="1">
      <c r="A60" s="196"/>
      <c r="C60" s="96" t="s">
        <v>416</v>
      </c>
      <c r="D60" s="14"/>
      <c r="E60" s="308"/>
      <c r="F60" s="14"/>
      <c r="H60" s="211"/>
      <c r="I60" s="28"/>
      <c r="J60" s="189" t="s">
        <v>138</v>
      </c>
      <c r="K60" s="674"/>
      <c r="L60" s="670"/>
      <c r="M60" s="214" t="s">
        <v>168</v>
      </c>
      <c r="V60" s="197"/>
    </row>
    <row r="61" spans="1:23" ht="18" hidden="1" customHeight="1">
      <c r="A61" s="196"/>
      <c r="C61" s="96" t="s">
        <v>416</v>
      </c>
      <c r="D61" s="14"/>
      <c r="E61" s="308" t="s">
        <v>259</v>
      </c>
      <c r="F61" s="14"/>
      <c r="H61" s="211"/>
      <c r="I61" s="28"/>
      <c r="J61" s="101"/>
      <c r="K61" s="674"/>
      <c r="L61" s="670"/>
      <c r="M61" s="214" t="s">
        <v>168</v>
      </c>
      <c r="V61" s="197"/>
    </row>
    <row r="62" spans="1:23" ht="18" customHeight="1">
      <c r="A62" s="196"/>
      <c r="B62" s="117"/>
      <c r="C62" s="96" t="s">
        <v>416</v>
      </c>
      <c r="D62" s="14"/>
      <c r="E62" s="47"/>
      <c r="F62" s="14"/>
      <c r="H62" s="211"/>
      <c r="I62" s="28"/>
      <c r="J62" s="101" t="s">
        <v>138</v>
      </c>
      <c r="K62" s="674"/>
      <c r="L62" s="675"/>
      <c r="M62" s="214" t="s">
        <v>168</v>
      </c>
      <c r="N62" s="14"/>
      <c r="P62" s="28"/>
      <c r="Q62" s="211"/>
      <c r="R62" s="14"/>
      <c r="S62" s="14"/>
      <c r="T62" s="14"/>
      <c r="U62" s="14"/>
      <c r="V62" s="197"/>
    </row>
    <row r="63" spans="1:23" ht="18" customHeight="1">
      <c r="A63" s="196"/>
      <c r="C63" s="96" t="s">
        <v>792</v>
      </c>
      <c r="D63" s="14"/>
      <c r="E63" s="47"/>
      <c r="F63" s="14"/>
      <c r="H63" s="211"/>
      <c r="I63" s="27"/>
      <c r="J63" s="101" t="s">
        <v>138</v>
      </c>
      <c r="K63" s="699">
        <f>SUM(K54:L62)</f>
        <v>8.0000000000000002E-3</v>
      </c>
      <c r="L63" s="700"/>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69">
        <f>K63</f>
        <v>8.0000000000000002E-3</v>
      </c>
      <c r="L71" s="664"/>
      <c r="M71" s="102" t="s">
        <v>353</v>
      </c>
      <c r="N71" s="669">
        <f>K49/SQRT(3)*1000</f>
        <v>63.508529610858844</v>
      </c>
      <c r="O71" s="664"/>
      <c r="V71" s="197"/>
    </row>
    <row r="72" spans="1:22" ht="18" customHeight="1">
      <c r="A72" s="196"/>
      <c r="B72" s="14"/>
      <c r="C72" s="14"/>
      <c r="D72" s="120"/>
      <c r="J72" s="28" t="s">
        <v>138</v>
      </c>
      <c r="K72" s="906">
        <f>K71/N71</f>
        <v>1.259673314595547E-4</v>
      </c>
      <c r="L72" s="906"/>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64" t="s">
        <v>797</v>
      </c>
      <c r="L74" s="664"/>
      <c r="M74" s="28" t="s">
        <v>326</v>
      </c>
      <c r="N74" s="47" t="s">
        <v>798</v>
      </c>
      <c r="O74" s="14"/>
      <c r="P74" s="28"/>
      <c r="Q74" s="479"/>
      <c r="V74" s="197"/>
    </row>
    <row r="75" spans="1:22" ht="18" customHeight="1">
      <c r="A75" s="196"/>
      <c r="J75" s="28" t="s">
        <v>138</v>
      </c>
      <c r="K75" s="665">
        <f>K72*K72</f>
        <v>1.5867768595041319E-8</v>
      </c>
      <c r="L75" s="665"/>
      <c r="M75" s="28" t="s">
        <v>326</v>
      </c>
      <c r="N75" s="668">
        <f>N33</f>
        <v>2.7035014500000001</v>
      </c>
      <c r="O75" s="668"/>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65">
        <f>H51</f>
        <v>50</v>
      </c>
      <c r="E80" s="665"/>
      <c r="F80" s="27" t="str">
        <f>F79</f>
        <v>&gt;</v>
      </c>
      <c r="G80" s="668">
        <f>K65</f>
        <v>2.7115014500000001</v>
      </c>
      <c r="H80" s="668"/>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3" t="s">
        <v>120</v>
      </c>
      <c r="C88" s="654"/>
      <c r="D88" s="890" t="s">
        <v>121</v>
      </c>
      <c r="E88" s="98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3">
        <v>0.2</v>
      </c>
      <c r="I91" s="654"/>
      <c r="V91" s="197"/>
    </row>
    <row r="92" spans="1:23" ht="18" customHeight="1">
      <c r="A92" s="196"/>
      <c r="B92" s="30" t="s">
        <v>573</v>
      </c>
      <c r="H92" s="653">
        <v>50</v>
      </c>
      <c r="I92" s="654"/>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74">
        <f>'CT-VT Burdens'!Q85</f>
        <v>8.0000000000000002E-3</v>
      </c>
      <c r="L95" s="675"/>
      <c r="M95" s="3" t="s">
        <v>168</v>
      </c>
      <c r="V95" s="197"/>
    </row>
    <row r="96" spans="1:23" ht="18" customHeight="1">
      <c r="A96" s="196"/>
      <c r="C96" s="96" t="s">
        <v>416</v>
      </c>
      <c r="D96" s="14"/>
      <c r="E96" s="47"/>
      <c r="F96" s="14"/>
      <c r="H96" s="211"/>
      <c r="I96" s="27"/>
      <c r="J96" s="101" t="s">
        <v>138</v>
      </c>
      <c r="K96" s="674"/>
      <c r="L96" s="675"/>
      <c r="M96" s="214" t="s">
        <v>168</v>
      </c>
      <c r="V96" s="197"/>
    </row>
    <row r="97" spans="1:22" ht="18" customHeight="1">
      <c r="A97" s="196"/>
      <c r="C97" s="96" t="s">
        <v>416</v>
      </c>
      <c r="D97" s="14"/>
      <c r="E97" s="47"/>
      <c r="F97" s="14"/>
      <c r="H97" s="211"/>
      <c r="I97" s="27"/>
      <c r="J97" s="101" t="s">
        <v>138</v>
      </c>
      <c r="K97" s="674"/>
      <c r="L97" s="675"/>
      <c r="M97" s="214" t="s">
        <v>168</v>
      </c>
      <c r="V97" s="197"/>
    </row>
    <row r="98" spans="1:22" ht="18" customHeight="1">
      <c r="A98" s="196"/>
      <c r="C98" s="96" t="s">
        <v>416</v>
      </c>
      <c r="D98" s="14"/>
      <c r="E98" s="47"/>
      <c r="F98" s="14"/>
      <c r="H98" s="211"/>
      <c r="I98" s="27"/>
      <c r="J98" s="101" t="s">
        <v>138</v>
      </c>
      <c r="K98" s="674"/>
      <c r="L98" s="675"/>
      <c r="M98" s="214" t="s">
        <v>168</v>
      </c>
      <c r="V98" s="197"/>
    </row>
    <row r="99" spans="1:22" ht="18" customHeight="1">
      <c r="A99" s="196"/>
      <c r="B99" s="117"/>
      <c r="C99" s="96" t="s">
        <v>416</v>
      </c>
      <c r="D99" s="14"/>
      <c r="E99" s="47"/>
      <c r="F99" s="14"/>
      <c r="H99" s="211"/>
      <c r="I99" s="27"/>
      <c r="J99" s="101" t="s">
        <v>138</v>
      </c>
      <c r="K99" s="674"/>
      <c r="L99" s="675"/>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99">
        <f>SUM(K95:L99)</f>
        <v>8.0000000000000002E-3</v>
      </c>
      <c r="L100" s="700"/>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69">
        <f>K100</f>
        <v>8.0000000000000002E-3</v>
      </c>
      <c r="L108" s="664"/>
      <c r="M108" s="102" t="s">
        <v>353</v>
      </c>
      <c r="N108" s="669">
        <f>K90/SQRT(3)*1000</f>
        <v>63.508529610858844</v>
      </c>
      <c r="O108" s="664"/>
      <c r="V108" s="197"/>
    </row>
    <row r="109" spans="1:22" ht="18" customHeight="1">
      <c r="A109" s="196"/>
      <c r="B109" s="14"/>
      <c r="C109" s="14"/>
      <c r="D109" s="120"/>
      <c r="J109" s="28" t="s">
        <v>138</v>
      </c>
      <c r="K109" s="906">
        <f>K108/N108</f>
        <v>1.259673314595547E-4</v>
      </c>
      <c r="L109" s="906"/>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64" t="s">
        <v>797</v>
      </c>
      <c r="L111" s="664"/>
      <c r="M111" s="28" t="s">
        <v>326</v>
      </c>
      <c r="N111" s="47" t="s">
        <v>798</v>
      </c>
      <c r="O111" s="14"/>
      <c r="P111" s="28"/>
      <c r="V111" s="197"/>
    </row>
    <row r="112" spans="1:22" ht="18" customHeight="1">
      <c r="A112" s="196"/>
      <c r="J112" s="28" t="s">
        <v>138</v>
      </c>
      <c r="K112" s="665">
        <f>K109*K109</f>
        <v>1.5867768595041319E-8</v>
      </c>
      <c r="L112" s="665"/>
      <c r="M112" s="28" t="s">
        <v>326</v>
      </c>
      <c r="N112" s="668">
        <f>N75</f>
        <v>2.7035014500000001</v>
      </c>
      <c r="O112" s="668"/>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65">
        <f>H92</f>
        <v>50</v>
      </c>
      <c r="E117" s="665"/>
      <c r="F117" s="27" t="str">
        <f>F116</f>
        <v>&gt;</v>
      </c>
      <c r="G117" s="1158">
        <f>K102</f>
        <v>2.7115014500000001</v>
      </c>
      <c r="H117" s="665"/>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07" t="s">
        <v>127</v>
      </c>
      <c r="B129" s="707"/>
      <c r="C129" s="707"/>
      <c r="D129" s="707"/>
      <c r="E129" s="707" t="s">
        <v>128</v>
      </c>
      <c r="F129" s="707"/>
      <c r="G129" s="707"/>
      <c r="H129" s="707"/>
      <c r="I129" s="707"/>
      <c r="J129" s="800" t="s">
        <v>129</v>
      </c>
      <c r="K129" s="800"/>
      <c r="L129" s="800" t="s">
        <v>100</v>
      </c>
      <c r="M129" s="800"/>
      <c r="N129" s="800" t="s">
        <v>112</v>
      </c>
      <c r="O129" s="800"/>
      <c r="P129" s="800"/>
      <c r="Q129" s="707" t="s">
        <v>805</v>
      </c>
      <c r="R129" s="707"/>
      <c r="S129" s="707"/>
      <c r="T129" s="707"/>
      <c r="U129" s="707"/>
      <c r="V129" s="707"/>
    </row>
    <row r="130" spans="1:22" ht="18" customHeight="1">
      <c r="A130" s="707"/>
      <c r="B130" s="707"/>
      <c r="C130" s="707"/>
      <c r="D130" s="707"/>
      <c r="E130" s="707"/>
      <c r="F130" s="707"/>
      <c r="G130" s="707"/>
      <c r="H130" s="707"/>
      <c r="I130" s="707"/>
      <c r="J130" s="800"/>
      <c r="K130" s="800"/>
      <c r="L130" s="800"/>
      <c r="M130" s="800"/>
      <c r="N130" s="800"/>
      <c r="O130" s="800"/>
      <c r="P130" s="800"/>
      <c r="Q130" s="707"/>
      <c r="R130" s="707"/>
      <c r="S130" s="707"/>
      <c r="T130" s="707"/>
      <c r="U130" s="707"/>
      <c r="V130" s="707"/>
    </row>
    <row r="131" spans="1:22" ht="18" customHeight="1">
      <c r="A131" s="707"/>
      <c r="B131" s="707"/>
      <c r="C131" s="707"/>
      <c r="D131" s="707"/>
      <c r="E131" s="1206"/>
      <c r="F131" s="1206"/>
      <c r="G131" s="707"/>
      <c r="H131" s="707"/>
      <c r="I131" s="707"/>
      <c r="J131" s="800"/>
      <c r="K131" s="800"/>
      <c r="L131" s="800"/>
      <c r="M131" s="800"/>
      <c r="N131" s="800"/>
      <c r="O131" s="800"/>
      <c r="P131" s="800"/>
      <c r="Q131" s="707"/>
      <c r="R131" s="707"/>
      <c r="S131" s="707"/>
      <c r="T131" s="707"/>
      <c r="U131" s="707"/>
      <c r="V131" s="707"/>
    </row>
    <row r="132" spans="1:22" ht="18" customHeight="1">
      <c r="A132" s="857" t="str">
        <f>B7</f>
        <v>T1</v>
      </c>
      <c r="B132" s="859"/>
      <c r="C132" s="799" t="str">
        <f>D7</f>
        <v>Core1</v>
      </c>
      <c r="D132" s="812"/>
      <c r="E132" s="355">
        <f>H9</f>
        <v>400</v>
      </c>
      <c r="F132" s="258" t="str">
        <f>I9</f>
        <v>/ √3</v>
      </c>
      <c r="G132" s="356" t="s">
        <v>353</v>
      </c>
      <c r="H132" s="255">
        <f>K9</f>
        <v>0.11</v>
      </c>
      <c r="I132" s="258" t="str">
        <f>L9</f>
        <v>/ √3</v>
      </c>
      <c r="J132" s="679">
        <f>'CT-VT Burdens'!S37</f>
        <v>150</v>
      </c>
      <c r="K132" s="1205">
        <f>'CT-VT Burdens'!S28</f>
        <v>2.5</v>
      </c>
      <c r="L132" s="679" t="str">
        <f>H10</f>
        <v>0.5/3P</v>
      </c>
      <c r="M132" s="679"/>
      <c r="N132" s="679">
        <f>H11</f>
        <v>50</v>
      </c>
      <c r="O132" s="679"/>
      <c r="P132" s="679"/>
      <c r="Q132" s="679" t="str">
        <f>G39</f>
        <v>Suitably Dimensioned</v>
      </c>
      <c r="R132" s="679"/>
      <c r="S132" s="679"/>
      <c r="T132" s="679"/>
      <c r="U132" s="679"/>
      <c r="V132" s="679"/>
    </row>
    <row r="133" spans="1:22" ht="18" customHeight="1">
      <c r="A133" s="1202"/>
      <c r="B133" s="1203"/>
      <c r="C133" s="679" t="str">
        <f>D47</f>
        <v>Core2</v>
      </c>
      <c r="D133" s="679"/>
      <c r="E133" s="355">
        <f>H49</f>
        <v>400</v>
      </c>
      <c r="F133" s="258" t="str">
        <f>I49</f>
        <v>/ √3</v>
      </c>
      <c r="G133" s="480" t="s">
        <v>353</v>
      </c>
      <c r="H133" s="255">
        <f>K49</f>
        <v>0.11</v>
      </c>
      <c r="I133" s="258" t="str">
        <f>L49</f>
        <v>/ √3</v>
      </c>
      <c r="J133" s="679"/>
      <c r="K133" s="1205"/>
      <c r="L133" s="679">
        <f>H50</f>
        <v>0.2</v>
      </c>
      <c r="M133" s="679"/>
      <c r="N133" s="679">
        <f>H51</f>
        <v>50</v>
      </c>
      <c r="O133" s="679"/>
      <c r="P133" s="679"/>
      <c r="Q133" s="679" t="str">
        <f>G81</f>
        <v>Suitably Dimensioned</v>
      </c>
      <c r="R133" s="679"/>
      <c r="S133" s="679"/>
      <c r="T133" s="679"/>
      <c r="U133" s="679"/>
      <c r="V133" s="679"/>
    </row>
    <row r="134" spans="1:22" ht="18" customHeight="1">
      <c r="A134" s="1186"/>
      <c r="B134" s="1204"/>
      <c r="C134" s="679" t="str">
        <f>D88</f>
        <v>Core3</v>
      </c>
      <c r="D134" s="679"/>
      <c r="E134" s="355">
        <f>H90</f>
        <v>400</v>
      </c>
      <c r="F134" s="573" t="str">
        <f>I90</f>
        <v>/ √3</v>
      </c>
      <c r="G134" s="584" t="s">
        <v>353</v>
      </c>
      <c r="H134" s="583">
        <f>K90</f>
        <v>0.11</v>
      </c>
      <c r="I134" s="573" t="str">
        <f>L90</f>
        <v>/ √3</v>
      </c>
      <c r="J134" s="679"/>
      <c r="K134" s="1205"/>
      <c r="L134" s="897">
        <f>H91</f>
        <v>0.2</v>
      </c>
      <c r="M134" s="897"/>
      <c r="N134" s="897">
        <f>H92</f>
        <v>50</v>
      </c>
      <c r="O134" s="897"/>
      <c r="P134" s="897"/>
      <c r="Q134" s="679" t="str">
        <f>G118</f>
        <v>Suitably Dimensioned</v>
      </c>
      <c r="R134" s="679"/>
      <c r="S134" s="679"/>
      <c r="T134" s="679"/>
      <c r="U134" s="679"/>
      <c r="V134" s="67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B88:C88"/>
    <mergeCell ref="D88:E88"/>
    <mergeCell ref="H91:I91"/>
    <mergeCell ref="H92:I92"/>
    <mergeCell ref="K95:L95"/>
    <mergeCell ref="K96:L96"/>
    <mergeCell ref="K75:L75"/>
    <mergeCell ref="N75:O75"/>
    <mergeCell ref="K76:L76"/>
    <mergeCell ref="D80:E80"/>
    <mergeCell ref="G80:H80"/>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S45:T45"/>
    <mergeCell ref="B47:C47"/>
    <mergeCell ref="D47:E47"/>
    <mergeCell ref="H50:I50"/>
    <mergeCell ref="H51:I51"/>
    <mergeCell ref="K54:L54"/>
    <mergeCell ref="K30:L30"/>
    <mergeCell ref="K32:L32"/>
    <mergeCell ref="K33:L33"/>
    <mergeCell ref="N33:O33"/>
    <mergeCell ref="K34:L34"/>
    <mergeCell ref="D38:E38"/>
    <mergeCell ref="G38:H38"/>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4" t="str">
        <f>Title!R1</f>
        <v>N-19957.1-DF5W</v>
      </c>
      <c r="S1" s="775"/>
      <c r="T1" s="775"/>
      <c r="U1" s="775"/>
      <c r="V1" s="776"/>
      <c r="W1" s="14"/>
      <c r="X1" s="14"/>
    </row>
    <row r="2" spans="1:35" ht="18" customHeight="1">
      <c r="A2" s="630"/>
      <c r="B2" s="631"/>
      <c r="C2" s="631"/>
      <c r="D2" s="631"/>
      <c r="E2" s="631"/>
      <c r="F2" s="631"/>
      <c r="G2" s="632"/>
      <c r="H2" s="639" t="str">
        <f>Title!H2</f>
        <v>ADEQUACY CHECK</v>
      </c>
      <c r="I2" s="640"/>
      <c r="J2" s="640"/>
      <c r="K2" s="640"/>
      <c r="L2" s="640"/>
      <c r="M2" s="640"/>
      <c r="N2" s="641"/>
      <c r="O2" s="612" t="str">
        <f>Title!O2</f>
        <v>Date</v>
      </c>
      <c r="P2" s="613"/>
      <c r="Q2" s="614"/>
      <c r="R2" s="777">
        <f>Title!R2</f>
        <v>46106</v>
      </c>
      <c r="S2" s="775"/>
      <c r="T2" s="775"/>
      <c r="U2" s="775"/>
      <c r="V2" s="776"/>
      <c r="W2" s="14"/>
      <c r="X2" s="14"/>
    </row>
    <row r="3" spans="1:35" ht="21"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35" ht="18" customHeight="1">
      <c r="A4" s="633"/>
      <c r="B4" s="634"/>
      <c r="C4" s="634"/>
      <c r="D4" s="634"/>
      <c r="E4" s="634"/>
      <c r="F4" s="634"/>
      <c r="G4" s="635"/>
      <c r="H4" s="648"/>
      <c r="I4" s="649"/>
      <c r="J4" s="649"/>
      <c r="K4" s="649"/>
      <c r="L4" s="649"/>
      <c r="M4" s="649"/>
      <c r="N4" s="650"/>
      <c r="O4" s="612" t="str">
        <f>Title!O4</f>
        <v>Revision No.</v>
      </c>
      <c r="P4" s="613"/>
      <c r="Q4" s="614"/>
      <c r="R4" s="774" t="str">
        <f>Title!R4</f>
        <v>A</v>
      </c>
      <c r="S4" s="775"/>
      <c r="T4" s="775"/>
      <c r="U4" s="775"/>
      <c r="V4" s="776"/>
      <c r="W4" s="14"/>
      <c r="X4" s="14"/>
    </row>
    <row r="5" spans="1:35" ht="18" customHeight="1">
      <c r="A5" s="618" t="str">
        <f>Title!A5</f>
        <v>Prep. By</v>
      </c>
      <c r="B5" s="619"/>
      <c r="C5" s="25" t="str">
        <f>Title!C5</f>
        <v>AP</v>
      </c>
      <c r="D5" s="618" t="str">
        <f>Title!D5</f>
        <v>Checked By</v>
      </c>
      <c r="E5" s="620"/>
      <c r="F5" s="619"/>
      <c r="G5" s="25" t="str">
        <f>Title!G5</f>
        <v>RB</v>
      </c>
      <c r="H5" s="1195" t="s">
        <v>953</v>
      </c>
      <c r="I5" s="1196"/>
      <c r="J5" s="1196"/>
      <c r="K5" s="1196"/>
      <c r="L5" s="1196"/>
      <c r="M5" s="1196"/>
      <c r="N5" s="1197"/>
      <c r="O5" s="624" t="str">
        <f>Title!O5</f>
        <v>Contractor</v>
      </c>
      <c r="P5" s="625"/>
      <c r="Q5" s="626"/>
      <c r="R5" s="774" t="str">
        <f>Title!R5</f>
        <v>HITACHI</v>
      </c>
      <c r="S5" s="775"/>
      <c r="T5" s="775"/>
      <c r="U5" s="775"/>
      <c r="V5" s="776"/>
      <c r="W5" s="14"/>
      <c r="X5" s="14"/>
    </row>
    <row r="6" spans="1:35" ht="18" customHeight="1">
      <c r="A6" s="196"/>
      <c r="V6" s="197"/>
    </row>
    <row r="7" spans="1:35" ht="18" customHeight="1">
      <c r="A7" s="196"/>
      <c r="B7" s="653" t="s">
        <v>120</v>
      </c>
      <c r="C7" s="654"/>
      <c r="D7" s="890" t="s">
        <v>396</v>
      </c>
      <c r="E7" s="98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3" t="s">
        <v>806</v>
      </c>
      <c r="I10" s="654"/>
      <c r="V10" s="197"/>
    </row>
    <row r="11" spans="1:35" ht="18" customHeight="1">
      <c r="A11" s="196"/>
      <c r="B11" s="30" t="s">
        <v>573</v>
      </c>
      <c r="H11" s="653">
        <v>50</v>
      </c>
      <c r="I11" s="654"/>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74">
        <f>'CT-VT Burdens'!Q48</f>
        <v>0.02</v>
      </c>
      <c r="L14" s="675"/>
      <c r="M14" s="3" t="s">
        <v>168</v>
      </c>
      <c r="O14" s="14"/>
      <c r="V14" s="197"/>
    </row>
    <row r="15" spans="1:35" ht="18" customHeight="1">
      <c r="A15" s="196"/>
      <c r="C15" s="96" t="s">
        <v>416</v>
      </c>
      <c r="D15" s="14"/>
      <c r="E15" s="308" t="s">
        <v>920</v>
      </c>
      <c r="F15" s="14"/>
      <c r="H15" s="211"/>
      <c r="I15" s="27"/>
      <c r="J15" s="101" t="s">
        <v>138</v>
      </c>
      <c r="K15" s="674">
        <f>'CT-VT Burdens'!Q99</f>
        <v>0.02</v>
      </c>
      <c r="L15" s="675"/>
      <c r="M15" s="214" t="s">
        <v>168</v>
      </c>
      <c r="O15" s="14"/>
      <c r="V15" s="197"/>
      <c r="Y15" s="96" t="s">
        <v>416</v>
      </c>
      <c r="Z15" s="14"/>
      <c r="AA15" s="47" t="s">
        <v>789</v>
      </c>
      <c r="AB15" s="14"/>
      <c r="AD15" s="211"/>
      <c r="AE15" s="27"/>
      <c r="AF15" s="101" t="s">
        <v>138</v>
      </c>
      <c r="AG15" s="674">
        <f>'CT-VT Burdens'!AO48</f>
        <v>0</v>
      </c>
      <c r="AH15" s="675"/>
      <c r="AI15" s="214" t="s">
        <v>168</v>
      </c>
    </row>
    <row r="16" spans="1:35" ht="18" customHeight="1">
      <c r="A16" s="196"/>
      <c r="C16" s="96" t="s">
        <v>416</v>
      </c>
      <c r="D16" s="14"/>
      <c r="E16" s="308" t="s">
        <v>928</v>
      </c>
      <c r="F16" s="14"/>
      <c r="H16" s="211"/>
      <c r="I16" s="27"/>
      <c r="J16" s="101" t="s">
        <v>138</v>
      </c>
      <c r="K16" s="674">
        <f>'CT-VT Burdens'!Q48</f>
        <v>0.02</v>
      </c>
      <c r="L16" s="675"/>
      <c r="M16" s="214" t="s">
        <v>168</v>
      </c>
      <c r="O16" s="14"/>
      <c r="V16" s="197"/>
      <c r="Y16" s="96" t="s">
        <v>416</v>
      </c>
      <c r="Z16" s="14"/>
      <c r="AA16" s="47" t="s">
        <v>205</v>
      </c>
      <c r="AB16" s="14"/>
      <c r="AD16" s="211"/>
      <c r="AE16" s="27"/>
      <c r="AF16" s="101" t="s">
        <v>138</v>
      </c>
      <c r="AG16" s="674">
        <f>'CT-VT Burdens'!AO92</f>
        <v>0</v>
      </c>
      <c r="AH16" s="675"/>
      <c r="AI16" s="214" t="s">
        <v>168</v>
      </c>
    </row>
    <row r="17" spans="1:35" ht="18" customHeight="1">
      <c r="A17" s="196"/>
      <c r="C17" s="96" t="s">
        <v>416</v>
      </c>
      <c r="D17" s="14"/>
      <c r="E17" s="308" t="s">
        <v>519</v>
      </c>
      <c r="F17" s="14"/>
      <c r="H17" s="211"/>
      <c r="I17" s="28"/>
      <c r="J17" s="101" t="s">
        <v>138</v>
      </c>
      <c r="K17" s="674">
        <f>'CT-VT Burdens'!Q48</f>
        <v>0.02</v>
      </c>
      <c r="L17" s="675"/>
      <c r="M17" s="214" t="s">
        <v>168</v>
      </c>
      <c r="O17" s="14"/>
      <c r="V17" s="197"/>
      <c r="Y17" s="96" t="s">
        <v>416</v>
      </c>
      <c r="Z17" s="14"/>
      <c r="AA17" s="47" t="s">
        <v>790</v>
      </c>
      <c r="AB17" s="14"/>
      <c r="AD17" s="211"/>
      <c r="AE17" s="28" t="s">
        <v>140</v>
      </c>
      <c r="AF17" s="101" t="s">
        <v>138</v>
      </c>
      <c r="AG17" s="674">
        <v>0.2</v>
      </c>
      <c r="AH17" s="675"/>
      <c r="AI17" s="214" t="s">
        <v>168</v>
      </c>
    </row>
    <row r="18" spans="1:35" ht="18" customHeight="1">
      <c r="A18" s="196"/>
      <c r="C18" s="96" t="s">
        <v>416</v>
      </c>
      <c r="D18" s="14"/>
      <c r="E18" s="308" t="s">
        <v>929</v>
      </c>
      <c r="F18" s="14"/>
      <c r="H18" s="211"/>
      <c r="I18" s="28"/>
      <c r="J18" s="101"/>
      <c r="K18" s="674">
        <f>'CT-VT Burdens'!Q92</f>
        <v>5.8000000000000003E-2</v>
      </c>
      <c r="L18" s="675"/>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674">
        <f>'CT-VT Burdens'!Q48</f>
        <v>0.02</v>
      </c>
      <c r="L19" s="675"/>
      <c r="M19" s="214" t="s">
        <v>168</v>
      </c>
      <c r="N19" s="14"/>
      <c r="O19" s="14"/>
      <c r="P19" s="28"/>
      <c r="Q19" s="211"/>
      <c r="R19" s="14"/>
      <c r="S19" s="14"/>
      <c r="T19" s="14"/>
      <c r="U19" s="14"/>
      <c r="V19" s="197"/>
      <c r="Y19" s="96" t="s">
        <v>416</v>
      </c>
      <c r="Z19" s="14"/>
      <c r="AA19" s="47" t="s">
        <v>791</v>
      </c>
      <c r="AB19" s="14"/>
      <c r="AD19" s="211"/>
      <c r="AE19" s="28" t="s">
        <v>140</v>
      </c>
      <c r="AF19" s="101" t="s">
        <v>138</v>
      </c>
      <c r="AG19" s="674">
        <v>1</v>
      </c>
      <c r="AH19" s="675"/>
      <c r="AI19" s="214" t="s">
        <v>168</v>
      </c>
    </row>
    <row r="20" spans="1:35" ht="18" customHeight="1">
      <c r="A20" s="196"/>
      <c r="B20" s="117"/>
      <c r="C20" s="96" t="s">
        <v>416</v>
      </c>
      <c r="D20" s="14"/>
      <c r="E20" s="308" t="s">
        <v>190</v>
      </c>
      <c r="F20" s="14"/>
      <c r="H20" s="211"/>
      <c r="I20" s="28"/>
      <c r="J20" s="101"/>
      <c r="K20" s="674">
        <f>'CT-VT Burdens'!Q49</f>
        <v>0.01</v>
      </c>
      <c r="L20" s="670"/>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674">
        <f>'CT-VT Burdens'!Q98</f>
        <v>0.1</v>
      </c>
      <c r="L21" s="670"/>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699">
        <f>SUM(K14:L21)</f>
        <v>0.26800000000000002</v>
      </c>
      <c r="L22" s="700"/>
      <c r="M22" s="214" t="s">
        <v>168</v>
      </c>
      <c r="R22" s="14"/>
      <c r="S22" s="14"/>
      <c r="T22" s="14"/>
      <c r="U22" s="293"/>
      <c r="V22" s="197"/>
    </row>
    <row r="23" spans="1:35" ht="18" customHeight="1">
      <c r="A23" s="196"/>
      <c r="C23" s="196" t="s">
        <v>423</v>
      </c>
      <c r="D23" s="14"/>
      <c r="E23" s="14"/>
      <c r="F23" s="14"/>
      <c r="I23" s="27"/>
      <c r="J23" s="101" t="s">
        <v>138</v>
      </c>
      <c r="K23" s="1198">
        <f>'CT-VT Burdens'!S39</f>
        <v>2.7035014500000001</v>
      </c>
      <c r="L23" s="1199"/>
      <c r="M23" s="309" t="s">
        <v>168</v>
      </c>
      <c r="R23" s="14"/>
      <c r="S23" s="14"/>
      <c r="T23" s="14"/>
      <c r="U23" s="293"/>
      <c r="V23" s="197"/>
    </row>
    <row r="24" spans="1:35" ht="18" customHeight="1">
      <c r="A24" s="196"/>
      <c r="C24" s="1" t="s">
        <v>424</v>
      </c>
      <c r="D24" s="2"/>
      <c r="E24" s="2"/>
      <c r="F24" s="2"/>
      <c r="G24" s="208"/>
      <c r="H24" s="208"/>
      <c r="I24" s="236" t="s">
        <v>523</v>
      </c>
      <c r="J24" s="195" t="s">
        <v>138</v>
      </c>
      <c r="K24" s="1198">
        <f>K22+K23</f>
        <v>2.9715014499999999</v>
      </c>
      <c r="L24" s="1199"/>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669">
        <f>K22</f>
        <v>0.26800000000000002</v>
      </c>
      <c r="L30" s="664"/>
      <c r="M30" s="102" t="s">
        <v>353</v>
      </c>
      <c r="N30" s="669">
        <f>K9/SQRT(3)*1000</f>
        <v>63.508529610858844</v>
      </c>
      <c r="O30" s="664"/>
      <c r="V30" s="197"/>
    </row>
    <row r="31" spans="1:35" ht="18" customHeight="1">
      <c r="A31" s="196"/>
      <c r="B31" s="14"/>
      <c r="C31" s="14"/>
      <c r="D31" s="120"/>
      <c r="J31" s="28" t="s">
        <v>138</v>
      </c>
      <c r="K31" s="906">
        <f>K30/N30</f>
        <v>4.2199056038950827E-3</v>
      </c>
      <c r="L31" s="906"/>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664" t="s">
        <v>797</v>
      </c>
      <c r="L33" s="664"/>
      <c r="M33" s="28" t="s">
        <v>326</v>
      </c>
      <c r="N33" s="47" t="s">
        <v>798</v>
      </c>
      <c r="O33" s="14"/>
      <c r="P33" s="28"/>
      <c r="Q33" s="479"/>
      <c r="V33" s="197"/>
    </row>
    <row r="34" spans="1:22" ht="18" customHeight="1">
      <c r="A34" s="196"/>
      <c r="J34" s="28" t="s">
        <v>138</v>
      </c>
      <c r="K34" s="665">
        <f>K31*K31</f>
        <v>1.7807603305785122E-5</v>
      </c>
      <c r="L34" s="665"/>
      <c r="M34" s="28" t="s">
        <v>326</v>
      </c>
      <c r="N34" s="668">
        <f>'CT-VT Burdens'!S39</f>
        <v>2.7035014500000001</v>
      </c>
      <c r="O34" s="668"/>
      <c r="V34" s="197"/>
    </row>
    <row r="35" spans="1:22" ht="18" customHeight="1">
      <c r="A35" s="196"/>
      <c r="J35" s="28" t="s">
        <v>138</v>
      </c>
      <c r="K35" s="1158">
        <f>K34*N34</f>
        <v>4.8142881358214873E-5</v>
      </c>
      <c r="L35" s="1158"/>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665">
        <f>H11</f>
        <v>50</v>
      </c>
      <c r="E39" s="665"/>
      <c r="F39" s="27" t="str">
        <f>F38</f>
        <v>&gt;</v>
      </c>
      <c r="G39" s="1158">
        <f>K24</f>
        <v>2.9715014499999999</v>
      </c>
      <c r="H39" s="665"/>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3" t="str">
        <f>B7</f>
        <v>T1</v>
      </c>
      <c r="C47" s="654"/>
      <c r="D47" s="890" t="s">
        <v>517</v>
      </c>
      <c r="E47" s="98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3" t="s">
        <v>938</v>
      </c>
      <c r="I50" s="654"/>
      <c r="V50" s="197"/>
    </row>
    <row r="51" spans="1:23" ht="18" customHeight="1">
      <c r="A51" s="196"/>
      <c r="B51" s="30" t="s">
        <v>573</v>
      </c>
      <c r="H51" s="653">
        <v>50</v>
      </c>
      <c r="I51" s="654"/>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74">
        <f>'CT-VT Burdens'!Q85</f>
        <v>8.0000000000000002E-3</v>
      </c>
      <c r="L54" s="675"/>
      <c r="M54" s="3" t="s">
        <v>168</v>
      </c>
      <c r="V54" s="197"/>
    </row>
    <row r="55" spans="1:23" ht="18" customHeight="1">
      <c r="A55" s="196"/>
      <c r="C55" s="96" t="s">
        <v>416</v>
      </c>
      <c r="D55" s="14"/>
      <c r="E55" s="308"/>
      <c r="F55" s="14"/>
      <c r="H55" s="211"/>
      <c r="I55" s="27"/>
      <c r="J55" s="101" t="s">
        <v>138</v>
      </c>
      <c r="K55" s="674"/>
      <c r="L55" s="675"/>
      <c r="M55" s="214" t="s">
        <v>168</v>
      </c>
      <c r="V55" s="197"/>
    </row>
    <row r="56" spans="1:23" ht="18" customHeight="1">
      <c r="A56" s="196"/>
      <c r="C56" s="96" t="s">
        <v>416</v>
      </c>
      <c r="D56" s="14"/>
      <c r="E56" s="308"/>
      <c r="F56" s="14"/>
      <c r="H56" s="211"/>
      <c r="I56" s="27"/>
      <c r="J56" s="101" t="s">
        <v>138</v>
      </c>
      <c r="K56" s="674"/>
      <c r="L56" s="675"/>
      <c r="M56" s="214" t="s">
        <v>168</v>
      </c>
      <c r="V56" s="197"/>
    </row>
    <row r="57" spans="1:23" ht="18" customHeight="1">
      <c r="A57" s="196"/>
      <c r="C57" s="96" t="s">
        <v>416</v>
      </c>
      <c r="D57" s="14"/>
      <c r="E57" s="308"/>
      <c r="F57" s="14"/>
      <c r="H57" s="211"/>
      <c r="I57" s="28"/>
      <c r="J57" s="101" t="s">
        <v>138</v>
      </c>
      <c r="K57" s="674"/>
      <c r="L57" s="675"/>
      <c r="M57" s="214" t="s">
        <v>168</v>
      </c>
      <c r="V57" s="197"/>
    </row>
    <row r="58" spans="1:23" ht="18" customHeight="1">
      <c r="A58" s="196"/>
      <c r="C58" s="96" t="s">
        <v>416</v>
      </c>
      <c r="D58" s="14"/>
      <c r="E58" s="308"/>
      <c r="F58" s="14"/>
      <c r="H58" s="211"/>
      <c r="I58" s="28"/>
      <c r="J58" s="189" t="s">
        <v>138</v>
      </c>
      <c r="K58" s="674"/>
      <c r="L58" s="675"/>
      <c r="M58" s="214" t="s">
        <v>168</v>
      </c>
      <c r="V58" s="197"/>
    </row>
    <row r="59" spans="1:23" ht="18" customHeight="1">
      <c r="A59" s="196"/>
      <c r="C59" s="96" t="s">
        <v>416</v>
      </c>
      <c r="D59" s="14"/>
      <c r="E59" s="308"/>
      <c r="F59" s="14"/>
      <c r="H59" s="211"/>
      <c r="I59" s="28"/>
      <c r="J59" s="189" t="s">
        <v>138</v>
      </c>
      <c r="K59" s="674"/>
      <c r="L59" s="670"/>
      <c r="M59" s="214" t="s">
        <v>168</v>
      </c>
      <c r="V59" s="197"/>
    </row>
    <row r="60" spans="1:23" ht="18" customHeight="1">
      <c r="A60" s="196"/>
      <c r="C60" s="96" t="s">
        <v>416</v>
      </c>
      <c r="D60" s="14"/>
      <c r="E60" s="308"/>
      <c r="F60" s="14"/>
      <c r="H60" s="211"/>
      <c r="I60" s="28"/>
      <c r="J60" s="189" t="s">
        <v>138</v>
      </c>
      <c r="K60" s="674"/>
      <c r="L60" s="670"/>
      <c r="M60" s="214" t="s">
        <v>168</v>
      </c>
      <c r="V60" s="197"/>
    </row>
    <row r="61" spans="1:23" ht="18" hidden="1" customHeight="1">
      <c r="A61" s="196"/>
      <c r="C61" s="96" t="s">
        <v>416</v>
      </c>
      <c r="D61" s="14"/>
      <c r="E61" s="308" t="s">
        <v>259</v>
      </c>
      <c r="F61" s="14"/>
      <c r="H61" s="211"/>
      <c r="I61" s="28"/>
      <c r="J61" s="101"/>
      <c r="K61" s="674"/>
      <c r="L61" s="670"/>
      <c r="M61" s="214" t="s">
        <v>168</v>
      </c>
      <c r="V61" s="197"/>
    </row>
    <row r="62" spans="1:23" ht="18" customHeight="1">
      <c r="A62" s="196"/>
      <c r="B62" s="117"/>
      <c r="C62" s="96" t="s">
        <v>416</v>
      </c>
      <c r="D62" s="14"/>
      <c r="E62" s="47"/>
      <c r="F62" s="14"/>
      <c r="H62" s="211"/>
      <c r="I62" s="28"/>
      <c r="J62" s="101" t="s">
        <v>138</v>
      </c>
      <c r="K62" s="674"/>
      <c r="L62" s="675"/>
      <c r="M62" s="214" t="s">
        <v>168</v>
      </c>
      <c r="N62" s="14"/>
      <c r="P62" s="28"/>
      <c r="Q62" s="211"/>
      <c r="R62" s="14"/>
      <c r="S62" s="14"/>
      <c r="T62" s="14"/>
      <c r="U62" s="14"/>
      <c r="V62" s="197"/>
    </row>
    <row r="63" spans="1:23" ht="18" customHeight="1">
      <c r="A63" s="196"/>
      <c r="C63" s="96" t="s">
        <v>792</v>
      </c>
      <c r="D63" s="14"/>
      <c r="E63" s="47"/>
      <c r="F63" s="14"/>
      <c r="H63" s="211"/>
      <c r="I63" s="27"/>
      <c r="J63" s="101" t="s">
        <v>138</v>
      </c>
      <c r="K63" s="699">
        <f>SUM(K54:L62)</f>
        <v>8.0000000000000002E-3</v>
      </c>
      <c r="L63" s="700"/>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69">
        <f>K63</f>
        <v>8.0000000000000002E-3</v>
      </c>
      <c r="L71" s="664"/>
      <c r="M71" s="102" t="s">
        <v>353</v>
      </c>
      <c r="N71" s="669">
        <f>K49/SQRT(3)*1000</f>
        <v>63.508529610858844</v>
      </c>
      <c r="O71" s="664"/>
      <c r="V71" s="197"/>
    </row>
    <row r="72" spans="1:22" ht="18" customHeight="1">
      <c r="A72" s="196"/>
      <c r="B72" s="14"/>
      <c r="C72" s="14"/>
      <c r="D72" s="120"/>
      <c r="J72" s="28" t="s">
        <v>138</v>
      </c>
      <c r="K72" s="906">
        <f>K71/N71</f>
        <v>1.259673314595547E-4</v>
      </c>
      <c r="L72" s="906"/>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64" t="s">
        <v>797</v>
      </c>
      <c r="L74" s="664"/>
      <c r="M74" s="28" t="s">
        <v>326</v>
      </c>
      <c r="N74" s="47" t="s">
        <v>798</v>
      </c>
      <c r="O74" s="14"/>
      <c r="P74" s="28"/>
      <c r="Q74" s="479"/>
      <c r="V74" s="197"/>
    </row>
    <row r="75" spans="1:22" ht="18" customHeight="1">
      <c r="A75" s="196"/>
      <c r="J75" s="28" t="s">
        <v>138</v>
      </c>
      <c r="K75" s="665">
        <f>K72*K72</f>
        <v>1.5867768595041319E-8</v>
      </c>
      <c r="L75" s="665"/>
      <c r="M75" s="28" t="s">
        <v>326</v>
      </c>
      <c r="N75" s="668">
        <f>N34</f>
        <v>2.7035014500000001</v>
      </c>
      <c r="O75" s="668"/>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65">
        <f>H51</f>
        <v>50</v>
      </c>
      <c r="E80" s="665"/>
      <c r="F80" s="27" t="str">
        <f>F79</f>
        <v>&gt;</v>
      </c>
      <c r="G80" s="668">
        <f>K65</f>
        <v>2.7115014500000001</v>
      </c>
      <c r="H80" s="668"/>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3" t="s">
        <v>120</v>
      </c>
      <c r="C88" s="654"/>
      <c r="D88" s="890" t="s">
        <v>121</v>
      </c>
      <c r="E88" s="98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3" t="s">
        <v>938</v>
      </c>
      <c r="I91" s="654"/>
      <c r="V91" s="197"/>
    </row>
    <row r="92" spans="1:23" ht="18" customHeight="1">
      <c r="A92" s="196"/>
      <c r="B92" s="30" t="s">
        <v>573</v>
      </c>
      <c r="H92" s="653">
        <v>50</v>
      </c>
      <c r="I92" s="654"/>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74">
        <f>'CT-VT Burdens'!Q85</f>
        <v>8.0000000000000002E-3</v>
      </c>
      <c r="L95" s="675"/>
      <c r="M95" s="3" t="s">
        <v>168</v>
      </c>
      <c r="V95" s="197"/>
    </row>
    <row r="96" spans="1:23" ht="18" customHeight="1">
      <c r="A96" s="196"/>
      <c r="C96" s="96" t="s">
        <v>416</v>
      </c>
      <c r="D96" s="14"/>
      <c r="E96" s="47"/>
      <c r="F96" s="14"/>
      <c r="H96" s="211"/>
      <c r="I96" s="27"/>
      <c r="J96" s="101" t="s">
        <v>138</v>
      </c>
      <c r="K96" s="674"/>
      <c r="L96" s="675"/>
      <c r="M96" s="214" t="s">
        <v>168</v>
      </c>
      <c r="V96" s="197"/>
    </row>
    <row r="97" spans="1:22" ht="18" customHeight="1">
      <c r="A97" s="196"/>
      <c r="C97" s="96" t="s">
        <v>416</v>
      </c>
      <c r="D97" s="14"/>
      <c r="E97" s="47"/>
      <c r="F97" s="14"/>
      <c r="H97" s="211"/>
      <c r="I97" s="27"/>
      <c r="J97" s="101" t="s">
        <v>138</v>
      </c>
      <c r="K97" s="674"/>
      <c r="L97" s="675"/>
      <c r="M97" s="214" t="s">
        <v>168</v>
      </c>
      <c r="V97" s="197"/>
    </row>
    <row r="98" spans="1:22" ht="18" customHeight="1">
      <c r="A98" s="196"/>
      <c r="C98" s="96" t="s">
        <v>416</v>
      </c>
      <c r="D98" s="14"/>
      <c r="E98" s="47"/>
      <c r="F98" s="14"/>
      <c r="H98" s="211"/>
      <c r="I98" s="27"/>
      <c r="J98" s="101" t="s">
        <v>138</v>
      </c>
      <c r="K98" s="674"/>
      <c r="L98" s="675"/>
      <c r="M98" s="214" t="s">
        <v>168</v>
      </c>
      <c r="V98" s="197"/>
    </row>
    <row r="99" spans="1:22" ht="18" customHeight="1">
      <c r="A99" s="196"/>
      <c r="B99" s="117"/>
      <c r="C99" s="96" t="s">
        <v>416</v>
      </c>
      <c r="D99" s="14"/>
      <c r="E99" s="47"/>
      <c r="F99" s="14"/>
      <c r="H99" s="211"/>
      <c r="I99" s="27"/>
      <c r="J99" s="101" t="s">
        <v>138</v>
      </c>
      <c r="K99" s="674"/>
      <c r="L99" s="675"/>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99">
        <f>SUM(K95:L99)</f>
        <v>8.0000000000000002E-3</v>
      </c>
      <c r="L100" s="700"/>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69">
        <f>K100</f>
        <v>8.0000000000000002E-3</v>
      </c>
      <c r="L108" s="664"/>
      <c r="M108" s="102" t="s">
        <v>353</v>
      </c>
      <c r="N108" s="669">
        <f>K90/SQRT(3)*1000</f>
        <v>63.508529610858844</v>
      </c>
      <c r="O108" s="664"/>
      <c r="V108" s="197"/>
    </row>
    <row r="109" spans="1:22" ht="18" customHeight="1">
      <c r="A109" s="196"/>
      <c r="B109" s="14"/>
      <c r="C109" s="14"/>
      <c r="D109" s="120"/>
      <c r="J109" s="28" t="s">
        <v>138</v>
      </c>
      <c r="K109" s="906">
        <f>K108/N108</f>
        <v>1.259673314595547E-4</v>
      </c>
      <c r="L109" s="906"/>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64" t="s">
        <v>797</v>
      </c>
      <c r="L111" s="664"/>
      <c r="M111" s="28" t="s">
        <v>326</v>
      </c>
      <c r="N111" s="47" t="s">
        <v>798</v>
      </c>
      <c r="O111" s="14"/>
      <c r="P111" s="28"/>
      <c r="V111" s="197"/>
    </row>
    <row r="112" spans="1:22" ht="18" customHeight="1">
      <c r="A112" s="196"/>
      <c r="J112" s="28" t="s">
        <v>138</v>
      </c>
      <c r="K112" s="665">
        <f>K109*K109</f>
        <v>1.5867768595041319E-8</v>
      </c>
      <c r="L112" s="665"/>
      <c r="M112" s="28" t="s">
        <v>326</v>
      </c>
      <c r="N112" s="668">
        <f>N75</f>
        <v>2.7035014500000001</v>
      </c>
      <c r="O112" s="668"/>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65">
        <f>H92</f>
        <v>50</v>
      </c>
      <c r="E117" s="665"/>
      <c r="F117" s="27" t="str">
        <f>F116</f>
        <v>&gt;</v>
      </c>
      <c r="G117" s="1158">
        <f>K102</f>
        <v>2.7115014500000001</v>
      </c>
      <c r="H117" s="665"/>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07" t="s">
        <v>127</v>
      </c>
      <c r="B129" s="707"/>
      <c r="C129" s="707"/>
      <c r="D129" s="707"/>
      <c r="E129" s="707" t="s">
        <v>128</v>
      </c>
      <c r="F129" s="707"/>
      <c r="G129" s="707"/>
      <c r="H129" s="707"/>
      <c r="I129" s="707"/>
      <c r="J129" s="800" t="s">
        <v>129</v>
      </c>
      <c r="K129" s="800"/>
      <c r="L129" s="800" t="s">
        <v>100</v>
      </c>
      <c r="M129" s="800"/>
      <c r="N129" s="800" t="s">
        <v>112</v>
      </c>
      <c r="O129" s="800"/>
      <c r="P129" s="800"/>
      <c r="Q129" s="707" t="s">
        <v>805</v>
      </c>
      <c r="R129" s="707"/>
      <c r="S129" s="707"/>
      <c r="T129" s="707"/>
      <c r="U129" s="707"/>
      <c r="V129" s="707"/>
    </row>
    <row r="130" spans="1:22" ht="18" customHeight="1">
      <c r="A130" s="707"/>
      <c r="B130" s="707"/>
      <c r="C130" s="707"/>
      <c r="D130" s="707"/>
      <c r="E130" s="707"/>
      <c r="F130" s="707"/>
      <c r="G130" s="707"/>
      <c r="H130" s="707"/>
      <c r="I130" s="707"/>
      <c r="J130" s="800"/>
      <c r="K130" s="800"/>
      <c r="L130" s="800"/>
      <c r="M130" s="800"/>
      <c r="N130" s="800"/>
      <c r="O130" s="800"/>
      <c r="P130" s="800"/>
      <c r="Q130" s="707"/>
      <c r="R130" s="707"/>
      <c r="S130" s="707"/>
      <c r="T130" s="707"/>
      <c r="U130" s="707"/>
      <c r="V130" s="707"/>
    </row>
    <row r="131" spans="1:22" ht="18" customHeight="1">
      <c r="A131" s="707"/>
      <c r="B131" s="707"/>
      <c r="C131" s="707"/>
      <c r="D131" s="707"/>
      <c r="E131" s="1206"/>
      <c r="F131" s="1206"/>
      <c r="G131" s="707"/>
      <c r="H131" s="707"/>
      <c r="I131" s="707"/>
      <c r="J131" s="800"/>
      <c r="K131" s="800"/>
      <c r="L131" s="800"/>
      <c r="M131" s="800"/>
      <c r="N131" s="800"/>
      <c r="O131" s="800"/>
      <c r="P131" s="800"/>
      <c r="Q131" s="707"/>
      <c r="R131" s="707"/>
      <c r="S131" s="707"/>
      <c r="T131" s="707"/>
      <c r="U131" s="707"/>
      <c r="V131" s="707"/>
    </row>
    <row r="132" spans="1:22" ht="18" customHeight="1">
      <c r="A132" s="857" t="str">
        <f>B7</f>
        <v>T1</v>
      </c>
      <c r="B132" s="859"/>
      <c r="C132" s="799" t="str">
        <f>D7</f>
        <v>Core1</v>
      </c>
      <c r="D132" s="812"/>
      <c r="E132" s="355">
        <f>H9</f>
        <v>400</v>
      </c>
      <c r="F132" s="258" t="str">
        <f>I9</f>
        <v>/ √3</v>
      </c>
      <c r="G132" s="356" t="s">
        <v>353</v>
      </c>
      <c r="H132" s="255">
        <f>K9</f>
        <v>0.11</v>
      </c>
      <c r="I132" s="258" t="str">
        <f>L9</f>
        <v>/ √3</v>
      </c>
      <c r="J132" s="679">
        <f>'CT-VT Burdens'!S37</f>
        <v>150</v>
      </c>
      <c r="K132" s="1205">
        <f>'CT-VT Burdens'!S28</f>
        <v>2.5</v>
      </c>
      <c r="L132" s="679" t="str">
        <f>H10</f>
        <v>0.5/3P</v>
      </c>
      <c r="M132" s="679"/>
      <c r="N132" s="679">
        <f>H11</f>
        <v>50</v>
      </c>
      <c r="O132" s="679"/>
      <c r="P132" s="679"/>
      <c r="Q132" s="679" t="str">
        <f>G40</f>
        <v>Suitably Dimensioned</v>
      </c>
      <c r="R132" s="679"/>
      <c r="S132" s="679"/>
      <c r="T132" s="679"/>
      <c r="U132" s="679"/>
      <c r="V132" s="679"/>
    </row>
    <row r="133" spans="1:22" ht="18" customHeight="1">
      <c r="A133" s="1202"/>
      <c r="B133" s="1203"/>
      <c r="C133" s="679" t="str">
        <f>D47</f>
        <v>Core2</v>
      </c>
      <c r="D133" s="679"/>
      <c r="E133" s="355">
        <f>H49</f>
        <v>400</v>
      </c>
      <c r="F133" s="258" t="str">
        <f>I49</f>
        <v>/ √3</v>
      </c>
      <c r="G133" s="480" t="s">
        <v>353</v>
      </c>
      <c r="H133" s="255">
        <f>K49</f>
        <v>0.11</v>
      </c>
      <c r="I133" s="258" t="str">
        <f>L49</f>
        <v>/ √3</v>
      </c>
      <c r="J133" s="679"/>
      <c r="K133" s="1205"/>
      <c r="L133" s="679" t="str">
        <f>H50</f>
        <v>0.2S</v>
      </c>
      <c r="M133" s="679"/>
      <c r="N133" s="679">
        <f>H51</f>
        <v>50</v>
      </c>
      <c r="O133" s="679"/>
      <c r="P133" s="679"/>
      <c r="Q133" s="679" t="str">
        <f>G81</f>
        <v>Suitably Dimensioned</v>
      </c>
      <c r="R133" s="679"/>
      <c r="S133" s="679"/>
      <c r="T133" s="679"/>
      <c r="U133" s="679"/>
      <c r="V133" s="679"/>
    </row>
    <row r="134" spans="1:22" ht="18" customHeight="1">
      <c r="A134" s="1186"/>
      <c r="B134" s="1204"/>
      <c r="C134" s="679" t="str">
        <f>D88</f>
        <v>Core3</v>
      </c>
      <c r="D134" s="679"/>
      <c r="E134" s="355">
        <f>H90</f>
        <v>400</v>
      </c>
      <c r="F134" s="573" t="str">
        <f>I90</f>
        <v>/ √3</v>
      </c>
      <c r="G134" s="584" t="s">
        <v>353</v>
      </c>
      <c r="H134" s="583">
        <f>K90</f>
        <v>0.11</v>
      </c>
      <c r="I134" s="573" t="str">
        <f>L90</f>
        <v>/ √3</v>
      </c>
      <c r="J134" s="679"/>
      <c r="K134" s="1205"/>
      <c r="L134" s="897" t="str">
        <f>H91</f>
        <v>0.2S</v>
      </c>
      <c r="M134" s="897"/>
      <c r="N134" s="897">
        <f>H92</f>
        <v>50</v>
      </c>
      <c r="O134" s="897"/>
      <c r="P134" s="897"/>
      <c r="Q134" s="679" t="str">
        <f>G118</f>
        <v>Suitably Dimensioned</v>
      </c>
      <c r="R134" s="679"/>
      <c r="S134" s="679"/>
      <c r="T134" s="679"/>
      <c r="U134" s="679"/>
      <c r="V134" s="67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S45:T45"/>
    <mergeCell ref="B47:C47"/>
    <mergeCell ref="D47:E47"/>
    <mergeCell ref="H50:I50"/>
    <mergeCell ref="H51:I51"/>
    <mergeCell ref="K54:L54"/>
    <mergeCell ref="K31:L31"/>
    <mergeCell ref="K33:L33"/>
    <mergeCell ref="K34:L34"/>
    <mergeCell ref="N34:O34"/>
    <mergeCell ref="K35:L35"/>
    <mergeCell ref="D39:E39"/>
    <mergeCell ref="G39:H39"/>
    <mergeCell ref="K61:L61"/>
    <mergeCell ref="K62:L62"/>
    <mergeCell ref="K63:L63"/>
    <mergeCell ref="K64:L64"/>
    <mergeCell ref="K65:L65"/>
    <mergeCell ref="K71:L71"/>
    <mergeCell ref="K55:L55"/>
    <mergeCell ref="K56:L56"/>
    <mergeCell ref="K57:L57"/>
    <mergeCell ref="K58:L58"/>
    <mergeCell ref="K59:L59"/>
    <mergeCell ref="K60:L60"/>
    <mergeCell ref="B88:C88"/>
    <mergeCell ref="D88:E88"/>
    <mergeCell ref="H91:I91"/>
    <mergeCell ref="N71:O71"/>
    <mergeCell ref="K72:L72"/>
    <mergeCell ref="K74:L74"/>
    <mergeCell ref="K75:L75"/>
    <mergeCell ref="N75:O75"/>
    <mergeCell ref="K76:L76"/>
    <mergeCell ref="H92:I92"/>
    <mergeCell ref="K95:L95"/>
    <mergeCell ref="K96:L96"/>
    <mergeCell ref="K97:L97"/>
    <mergeCell ref="K98:L98"/>
    <mergeCell ref="K99:L99"/>
    <mergeCell ref="D80:E80"/>
    <mergeCell ref="G80:H80"/>
    <mergeCell ref="S86:T86"/>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A132:B134"/>
    <mergeCell ref="C132:D132"/>
    <mergeCell ref="J132:J134"/>
    <mergeCell ref="K132:K134"/>
    <mergeCell ref="L132:M132"/>
    <mergeCell ref="N132:P132"/>
    <mergeCell ref="A129:D131"/>
    <mergeCell ref="E129:I131"/>
    <mergeCell ref="J129:K131"/>
    <mergeCell ref="L129:M131"/>
    <mergeCell ref="N129:P131"/>
    <mergeCell ref="S166:T166"/>
    <mergeCell ref="Q132:V132"/>
    <mergeCell ref="C133:D133"/>
    <mergeCell ref="L133:M133"/>
    <mergeCell ref="N133:P133"/>
    <mergeCell ref="Q133:V133"/>
    <mergeCell ref="C134:D134"/>
    <mergeCell ref="L134:M134"/>
    <mergeCell ref="N134:P134"/>
    <mergeCell ref="Q134:V134"/>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4" t="str">
        <f>Title!R1</f>
        <v>N-19957.1-DF5W</v>
      </c>
      <c r="S1" s="775"/>
      <c r="T1" s="775"/>
      <c r="U1" s="775"/>
      <c r="V1" s="776"/>
      <c r="W1" s="14"/>
      <c r="X1" s="14"/>
    </row>
    <row r="2" spans="1:35" ht="18" customHeight="1">
      <c r="A2" s="630"/>
      <c r="B2" s="631"/>
      <c r="C2" s="631"/>
      <c r="D2" s="631"/>
      <c r="E2" s="631"/>
      <c r="F2" s="631"/>
      <c r="G2" s="632"/>
      <c r="H2" s="639" t="str">
        <f>Title!H2</f>
        <v>ADEQUACY CHECK</v>
      </c>
      <c r="I2" s="640"/>
      <c r="J2" s="640"/>
      <c r="K2" s="640"/>
      <c r="L2" s="640"/>
      <c r="M2" s="640"/>
      <c r="N2" s="641"/>
      <c r="O2" s="612" t="str">
        <f>Title!O2</f>
        <v>Date</v>
      </c>
      <c r="P2" s="613"/>
      <c r="Q2" s="614"/>
      <c r="R2" s="777">
        <f>Title!R2</f>
        <v>46106</v>
      </c>
      <c r="S2" s="775"/>
      <c r="T2" s="775"/>
      <c r="U2" s="775"/>
      <c r="V2" s="776"/>
      <c r="W2" s="14"/>
      <c r="X2" s="14"/>
    </row>
    <row r="3" spans="1:35" ht="21"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35" ht="18" customHeight="1">
      <c r="A4" s="633"/>
      <c r="B4" s="634"/>
      <c r="C4" s="634"/>
      <c r="D4" s="634"/>
      <c r="E4" s="634"/>
      <c r="F4" s="634"/>
      <c r="G4" s="635"/>
      <c r="H4" s="648"/>
      <c r="I4" s="649"/>
      <c r="J4" s="649"/>
      <c r="K4" s="649"/>
      <c r="L4" s="649"/>
      <c r="M4" s="649"/>
      <c r="N4" s="650"/>
      <c r="O4" s="612" t="str">
        <f>Title!O4</f>
        <v>Revision No.</v>
      </c>
      <c r="P4" s="613"/>
      <c r="Q4" s="614"/>
      <c r="R4" s="774" t="str">
        <f>Title!R4</f>
        <v>A</v>
      </c>
      <c r="S4" s="775"/>
      <c r="T4" s="775"/>
      <c r="U4" s="775"/>
      <c r="V4" s="776"/>
      <c r="W4" s="14"/>
      <c r="X4" s="14"/>
    </row>
    <row r="5" spans="1:35" ht="18" customHeight="1">
      <c r="A5" s="618" t="str">
        <f>Title!A5</f>
        <v>Prep. By</v>
      </c>
      <c r="B5" s="619"/>
      <c r="C5" s="25" t="str">
        <f>Title!C5</f>
        <v>AP</v>
      </c>
      <c r="D5" s="618" t="str">
        <f>Title!D5</f>
        <v>Checked By</v>
      </c>
      <c r="E5" s="620"/>
      <c r="F5" s="619"/>
      <c r="G5" s="25" t="str">
        <f>Title!G5</f>
        <v>RB</v>
      </c>
      <c r="H5" s="1195" t="s">
        <v>979</v>
      </c>
      <c r="I5" s="1196"/>
      <c r="J5" s="1196"/>
      <c r="K5" s="1196"/>
      <c r="L5" s="1196"/>
      <c r="M5" s="1196"/>
      <c r="N5" s="1197"/>
      <c r="O5" s="624" t="str">
        <f>Title!O5</f>
        <v>Contractor</v>
      </c>
      <c r="P5" s="625"/>
      <c r="Q5" s="626"/>
      <c r="R5" s="774" t="str">
        <f>Title!R5</f>
        <v>HITACHI</v>
      </c>
      <c r="S5" s="775"/>
      <c r="T5" s="775"/>
      <c r="U5" s="775"/>
      <c r="V5" s="776"/>
      <c r="W5" s="14"/>
      <c r="X5" s="14"/>
    </row>
    <row r="6" spans="1:35" ht="18" customHeight="1">
      <c r="A6" s="196"/>
      <c r="V6" s="197"/>
    </row>
    <row r="7" spans="1:35" ht="18" customHeight="1">
      <c r="A7" s="196"/>
      <c r="B7" s="653" t="s">
        <v>120</v>
      </c>
      <c r="C7" s="654"/>
      <c r="D7" s="890" t="s">
        <v>396</v>
      </c>
      <c r="E7" s="98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3" t="s">
        <v>822</v>
      </c>
      <c r="I10" s="654"/>
      <c r="V10" s="197"/>
    </row>
    <row r="11" spans="1:35" ht="18" customHeight="1">
      <c r="A11" s="196"/>
      <c r="B11" s="30" t="s">
        <v>573</v>
      </c>
      <c r="H11" s="653">
        <v>50</v>
      </c>
      <c r="I11" s="654"/>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674">
        <f>'CT-VT Burdens'!Q48</f>
        <v>0.02</v>
      </c>
      <c r="L14" s="675"/>
      <c r="M14" s="3" t="s">
        <v>168</v>
      </c>
      <c r="O14" s="14"/>
      <c r="V14" s="197"/>
    </row>
    <row r="15" spans="1:35" ht="18" customHeight="1">
      <c r="A15" s="196"/>
      <c r="C15" s="96" t="s">
        <v>416</v>
      </c>
      <c r="D15" s="14"/>
      <c r="E15" s="308" t="s">
        <v>950</v>
      </c>
      <c r="F15" s="14"/>
      <c r="H15" s="211"/>
      <c r="I15" s="27"/>
      <c r="J15" s="101" t="s">
        <v>138</v>
      </c>
      <c r="K15" s="674"/>
      <c r="L15" s="675"/>
      <c r="M15" s="214" t="s">
        <v>168</v>
      </c>
      <c r="O15" s="14"/>
      <c r="V15" s="197"/>
      <c r="Y15" s="96" t="s">
        <v>416</v>
      </c>
      <c r="Z15" s="14"/>
      <c r="AA15" s="47" t="s">
        <v>789</v>
      </c>
      <c r="AB15" s="14"/>
      <c r="AD15" s="211"/>
      <c r="AE15" s="27"/>
      <c r="AF15" s="101" t="s">
        <v>138</v>
      </c>
      <c r="AG15" s="674">
        <f>'CT-VT Burdens'!AO48</f>
        <v>0</v>
      </c>
      <c r="AH15" s="675"/>
      <c r="AI15" s="214" t="s">
        <v>168</v>
      </c>
    </row>
    <row r="16" spans="1:35" ht="18" customHeight="1">
      <c r="A16" s="196"/>
      <c r="C16" s="96" t="s">
        <v>416</v>
      </c>
      <c r="D16" s="14"/>
      <c r="E16" s="308" t="s">
        <v>928</v>
      </c>
      <c r="F16" s="14"/>
      <c r="H16" s="211"/>
      <c r="I16" s="27"/>
      <c r="J16" s="101" t="s">
        <v>138</v>
      </c>
      <c r="K16" s="674">
        <f>'CT-VT Burdens'!Q48</f>
        <v>0.02</v>
      </c>
      <c r="L16" s="675"/>
      <c r="M16" s="214" t="s">
        <v>168</v>
      </c>
      <c r="O16" s="14"/>
      <c r="V16" s="197"/>
      <c r="Y16" s="96" t="s">
        <v>416</v>
      </c>
      <c r="Z16" s="14"/>
      <c r="AA16" s="47" t="s">
        <v>205</v>
      </c>
      <c r="AB16" s="14"/>
      <c r="AD16" s="211"/>
      <c r="AE16" s="27"/>
      <c r="AF16" s="101" t="s">
        <v>138</v>
      </c>
      <c r="AG16" s="674">
        <f>'CT-VT Burdens'!AO92</f>
        <v>0</v>
      </c>
      <c r="AH16" s="675"/>
      <c r="AI16" s="214" t="s">
        <v>168</v>
      </c>
    </row>
    <row r="17" spans="1:35" ht="18" customHeight="1">
      <c r="A17" s="196"/>
      <c r="C17" s="96" t="s">
        <v>416</v>
      </c>
      <c r="D17" s="14"/>
      <c r="E17" s="308" t="s">
        <v>933</v>
      </c>
      <c r="F17" s="14"/>
      <c r="H17" s="211"/>
      <c r="I17" s="28"/>
      <c r="J17" s="101" t="s">
        <v>138</v>
      </c>
      <c r="K17" s="674">
        <f>'CT-VT Burdens'!Q100</f>
        <v>0.04</v>
      </c>
      <c r="L17" s="675"/>
      <c r="M17" s="214" t="s">
        <v>168</v>
      </c>
      <c r="O17" s="14"/>
      <c r="V17" s="197"/>
      <c r="Y17" s="96" t="s">
        <v>416</v>
      </c>
      <c r="Z17" s="14"/>
      <c r="AA17" s="47" t="s">
        <v>790</v>
      </c>
      <c r="AB17" s="14"/>
      <c r="AD17" s="211"/>
      <c r="AE17" s="28" t="s">
        <v>140</v>
      </c>
      <c r="AF17" s="101" t="s">
        <v>138</v>
      </c>
      <c r="AG17" s="674">
        <v>0.2</v>
      </c>
      <c r="AH17" s="675"/>
      <c r="AI17" s="214" t="s">
        <v>168</v>
      </c>
    </row>
    <row r="18" spans="1:35" ht="18" customHeight="1">
      <c r="A18" s="196"/>
      <c r="C18" s="96" t="s">
        <v>416</v>
      </c>
      <c r="D18" s="14"/>
      <c r="E18" s="308" t="s">
        <v>519</v>
      </c>
      <c r="F18" s="14"/>
      <c r="H18" s="211"/>
      <c r="I18" s="28"/>
      <c r="J18" s="189" t="s">
        <v>138</v>
      </c>
      <c r="K18" s="674">
        <f>'CT-VT Burdens'!Q48</f>
        <v>0.02</v>
      </c>
      <c r="L18" s="675"/>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674">
        <f>'CT-VT Burdens'!Q92</f>
        <v>5.8000000000000003E-2</v>
      </c>
      <c r="L19" s="675"/>
      <c r="M19" s="214" t="s">
        <v>168</v>
      </c>
      <c r="N19" s="14"/>
      <c r="O19" s="14"/>
      <c r="P19" s="28"/>
      <c r="Q19" s="211"/>
      <c r="R19" s="14"/>
      <c r="S19" s="14"/>
      <c r="T19" s="14"/>
      <c r="U19" s="14"/>
      <c r="V19" s="197"/>
      <c r="Y19" s="96" t="s">
        <v>416</v>
      </c>
      <c r="Z19" s="14"/>
      <c r="AA19" s="47" t="s">
        <v>791</v>
      </c>
      <c r="AB19" s="14"/>
      <c r="AD19" s="211"/>
      <c r="AE19" s="28" t="s">
        <v>140</v>
      </c>
      <c r="AF19" s="101" t="s">
        <v>138</v>
      </c>
      <c r="AG19" s="674">
        <v>1</v>
      </c>
      <c r="AH19" s="675"/>
      <c r="AI19" s="214" t="s">
        <v>168</v>
      </c>
    </row>
    <row r="20" spans="1:35" ht="18" customHeight="1">
      <c r="A20" s="196"/>
      <c r="B20" s="117"/>
      <c r="C20" s="196" t="s">
        <v>416</v>
      </c>
      <c r="D20" s="14"/>
      <c r="E20" s="308" t="s">
        <v>952</v>
      </c>
      <c r="H20" s="211"/>
      <c r="I20" s="28"/>
      <c r="J20" s="101"/>
      <c r="K20" s="674"/>
      <c r="L20" s="670"/>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674">
        <f>'CT-VT Burdens'!Q49</f>
        <v>0.01</v>
      </c>
      <c r="L21" s="670"/>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674">
        <f>'CT-VT Burdens'!Q98</f>
        <v>0.1</v>
      </c>
      <c r="L22" s="670"/>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699">
        <f>SUM(K14:L22)</f>
        <v>0.26800000000000002</v>
      </c>
      <c r="L23" s="700"/>
      <c r="M23" s="214" t="s">
        <v>168</v>
      </c>
      <c r="R23" s="14"/>
      <c r="S23" s="14"/>
      <c r="T23" s="14"/>
      <c r="U23" s="293"/>
      <c r="V23" s="197"/>
    </row>
    <row r="24" spans="1:35" ht="18" customHeight="1">
      <c r="A24" s="196"/>
      <c r="C24" s="196" t="s">
        <v>423</v>
      </c>
      <c r="D24" s="14"/>
      <c r="E24" s="14"/>
      <c r="F24" s="14"/>
      <c r="I24" s="27"/>
      <c r="J24" s="101" t="s">
        <v>138</v>
      </c>
      <c r="K24" s="1198">
        <f>'CT-VT Burdens'!S39</f>
        <v>2.7035014500000001</v>
      </c>
      <c r="L24" s="1199"/>
      <c r="M24" s="309" t="s">
        <v>168</v>
      </c>
      <c r="R24" s="14"/>
      <c r="S24" s="14"/>
      <c r="T24" s="14"/>
      <c r="U24" s="293"/>
      <c r="V24" s="197"/>
    </row>
    <row r="25" spans="1:35" ht="18" customHeight="1">
      <c r="A25" s="196"/>
      <c r="C25" s="1" t="s">
        <v>424</v>
      </c>
      <c r="D25" s="2"/>
      <c r="E25" s="2"/>
      <c r="F25" s="2"/>
      <c r="G25" s="208"/>
      <c r="H25" s="208"/>
      <c r="I25" s="236" t="s">
        <v>523</v>
      </c>
      <c r="J25" s="195" t="s">
        <v>138</v>
      </c>
      <c r="K25" s="1198">
        <f>K23+K24</f>
        <v>2.9715014499999999</v>
      </c>
      <c r="L25" s="1199"/>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669">
        <f>K23</f>
        <v>0.26800000000000002</v>
      </c>
      <c r="L31" s="664"/>
      <c r="M31" s="102" t="s">
        <v>353</v>
      </c>
      <c r="N31" s="669">
        <f>K9/SQRT(3)*1000</f>
        <v>63.508529610858844</v>
      </c>
      <c r="O31" s="664"/>
      <c r="V31" s="197"/>
    </row>
    <row r="32" spans="1:35" ht="18" customHeight="1">
      <c r="A32" s="196"/>
      <c r="B32" s="14"/>
      <c r="C32" s="14"/>
      <c r="D32" s="120"/>
      <c r="J32" s="28" t="s">
        <v>138</v>
      </c>
      <c r="K32" s="906">
        <f>K31/N31</f>
        <v>4.2199056038950827E-3</v>
      </c>
      <c r="L32" s="906"/>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664" t="s">
        <v>797</v>
      </c>
      <c r="L34" s="664"/>
      <c r="M34" s="28" t="s">
        <v>326</v>
      </c>
      <c r="N34" s="47" t="s">
        <v>798</v>
      </c>
      <c r="O34" s="14"/>
      <c r="P34" s="28"/>
      <c r="Q34" s="479"/>
      <c r="V34" s="197"/>
    </row>
    <row r="35" spans="1:22" ht="18" customHeight="1">
      <c r="A35" s="196"/>
      <c r="J35" s="28" t="s">
        <v>138</v>
      </c>
      <c r="K35" s="665">
        <f>K32*K32</f>
        <v>1.7807603305785122E-5</v>
      </c>
      <c r="L35" s="665"/>
      <c r="M35" s="28" t="s">
        <v>326</v>
      </c>
      <c r="N35" s="668">
        <f>'CT-VT Burdens'!S39</f>
        <v>2.7035014500000001</v>
      </c>
      <c r="O35" s="668"/>
      <c r="V35" s="197"/>
    </row>
    <row r="36" spans="1:22" ht="18" customHeight="1">
      <c r="A36" s="196"/>
      <c r="J36" s="28" t="s">
        <v>138</v>
      </c>
      <c r="K36" s="665">
        <f>K35*N35</f>
        <v>4.8142881358214873E-5</v>
      </c>
      <c r="L36" s="665"/>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665">
        <f>H11</f>
        <v>50</v>
      </c>
      <c r="E40" s="665"/>
      <c r="F40" s="27" t="str">
        <f>F39</f>
        <v>&gt;</v>
      </c>
      <c r="G40" s="1158">
        <f>K25</f>
        <v>2.9715014499999999</v>
      </c>
      <c r="H40" s="665"/>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200"/>
      <c r="T48" s="1201"/>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53" t="str">
        <f>B7</f>
        <v>T1</v>
      </c>
      <c r="C50" s="654"/>
      <c r="D50" s="890" t="s">
        <v>517</v>
      </c>
      <c r="E50" s="985"/>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653">
        <v>0.2</v>
      </c>
      <c r="I53" s="654"/>
      <c r="V53" s="197"/>
    </row>
    <row r="54" spans="1:23" ht="18" hidden="1" customHeight="1">
      <c r="A54" s="196"/>
      <c r="B54" s="30" t="s">
        <v>573</v>
      </c>
      <c r="H54" s="653">
        <v>10</v>
      </c>
      <c r="I54" s="654"/>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674">
        <f>'CT-VT Burdens'!Q85</f>
        <v>8.0000000000000002E-3</v>
      </c>
      <c r="L57" s="675"/>
      <c r="M57" s="3" t="s">
        <v>168</v>
      </c>
      <c r="V57" s="197"/>
    </row>
    <row r="58" spans="1:23" ht="18" hidden="1" customHeight="1">
      <c r="A58" s="196"/>
      <c r="C58" s="96" t="s">
        <v>416</v>
      </c>
      <c r="D58" s="14"/>
      <c r="E58" s="308" t="s">
        <v>802</v>
      </c>
      <c r="F58" s="14"/>
      <c r="H58" s="211"/>
      <c r="I58" s="27"/>
      <c r="J58" s="101" t="s">
        <v>138</v>
      </c>
      <c r="K58" s="674">
        <f>'CT-VT Burdens'!S96</f>
        <v>3.75</v>
      </c>
      <c r="L58" s="675"/>
      <c r="M58" s="214" t="s">
        <v>168</v>
      </c>
      <c r="V58" s="197"/>
    </row>
    <row r="59" spans="1:23" ht="18" hidden="1" customHeight="1">
      <c r="A59" s="196"/>
      <c r="C59" s="96" t="s">
        <v>416</v>
      </c>
      <c r="D59" s="14"/>
      <c r="E59" s="308" t="s">
        <v>676</v>
      </c>
      <c r="F59" s="14"/>
      <c r="H59" s="211"/>
      <c r="I59" s="27"/>
      <c r="J59" s="101" t="s">
        <v>138</v>
      </c>
      <c r="K59" s="674"/>
      <c r="L59" s="675"/>
      <c r="M59" s="214" t="s">
        <v>168</v>
      </c>
      <c r="V59" s="197"/>
    </row>
    <row r="60" spans="1:23" ht="18" hidden="1" customHeight="1">
      <c r="A60" s="196"/>
      <c r="C60" s="96" t="s">
        <v>416</v>
      </c>
      <c r="D60" s="14"/>
      <c r="E60" s="308" t="s">
        <v>205</v>
      </c>
      <c r="F60" s="14"/>
      <c r="H60" s="211"/>
      <c r="I60" s="28"/>
      <c r="J60" s="101" t="s">
        <v>138</v>
      </c>
      <c r="K60" s="674"/>
      <c r="L60" s="675"/>
      <c r="M60" s="214" t="s">
        <v>168</v>
      </c>
      <c r="V60" s="197"/>
    </row>
    <row r="61" spans="1:23" ht="18" hidden="1" customHeight="1">
      <c r="A61" s="196"/>
      <c r="C61" s="96" t="s">
        <v>416</v>
      </c>
      <c r="D61" s="14"/>
      <c r="E61" s="308" t="s">
        <v>803</v>
      </c>
      <c r="F61" s="14"/>
      <c r="H61" s="211"/>
      <c r="I61" s="28"/>
      <c r="J61" s="189" t="s">
        <v>138</v>
      </c>
      <c r="K61" s="674"/>
      <c r="L61" s="675"/>
      <c r="M61" s="214" t="s">
        <v>168</v>
      </c>
      <c r="V61" s="197"/>
    </row>
    <row r="62" spans="1:23" ht="18" hidden="1" customHeight="1">
      <c r="A62" s="196"/>
      <c r="C62" s="96" t="s">
        <v>416</v>
      </c>
      <c r="D62" s="14"/>
      <c r="E62" s="308" t="s">
        <v>519</v>
      </c>
      <c r="F62" s="14"/>
      <c r="H62" s="211"/>
      <c r="I62" s="28"/>
      <c r="J62" s="189" t="s">
        <v>138</v>
      </c>
      <c r="K62" s="674"/>
      <c r="L62" s="670"/>
      <c r="M62" s="214" t="s">
        <v>168</v>
      </c>
      <c r="V62" s="197"/>
    </row>
    <row r="63" spans="1:23" ht="18" hidden="1" customHeight="1">
      <c r="A63" s="196"/>
      <c r="C63" s="96" t="s">
        <v>416</v>
      </c>
      <c r="D63" s="14"/>
      <c r="E63" s="308" t="s">
        <v>520</v>
      </c>
      <c r="F63" s="14"/>
      <c r="H63" s="211"/>
      <c r="I63" s="28"/>
      <c r="J63" s="101"/>
      <c r="K63" s="674"/>
      <c r="L63" s="670"/>
      <c r="M63" s="214" t="s">
        <v>168</v>
      </c>
      <c r="V63" s="197"/>
    </row>
    <row r="64" spans="1:23" ht="18" hidden="1" customHeight="1">
      <c r="A64" s="196"/>
      <c r="C64" s="96" t="s">
        <v>416</v>
      </c>
      <c r="D64" s="14"/>
      <c r="E64" s="308" t="s">
        <v>259</v>
      </c>
      <c r="F64" s="14"/>
      <c r="H64" s="211"/>
      <c r="I64" s="28"/>
      <c r="J64" s="101"/>
      <c r="K64" s="674"/>
      <c r="L64" s="670"/>
      <c r="M64" s="214" t="s">
        <v>168</v>
      </c>
      <c r="V64" s="197"/>
    </row>
    <row r="65" spans="1:22" ht="18" hidden="1" customHeight="1">
      <c r="A65" s="196"/>
      <c r="B65" s="117"/>
      <c r="C65" s="96" t="s">
        <v>416</v>
      </c>
      <c r="D65" s="14"/>
      <c r="E65" s="47"/>
      <c r="F65" s="14"/>
      <c r="H65" s="211"/>
      <c r="I65" s="28"/>
      <c r="J65" s="101" t="s">
        <v>138</v>
      </c>
      <c r="K65" s="674"/>
      <c r="L65" s="675"/>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699">
        <f>SUM(K57:L65)</f>
        <v>3.758</v>
      </c>
      <c r="L66" s="700"/>
      <c r="M66" s="214" t="s">
        <v>168</v>
      </c>
      <c r="R66" s="14"/>
      <c r="S66" s="14"/>
      <c r="T66" s="14"/>
      <c r="U66" s="293"/>
      <c r="V66" s="197"/>
    </row>
    <row r="67" spans="1:22" ht="18" hidden="1" customHeight="1">
      <c r="A67" s="196"/>
      <c r="C67" s="196" t="s">
        <v>423</v>
      </c>
      <c r="D67" s="14"/>
      <c r="E67" s="14"/>
      <c r="F67" s="14"/>
      <c r="I67" s="27"/>
      <c r="J67" s="101" t="s">
        <v>138</v>
      </c>
      <c r="K67" s="1198">
        <f>'CT-VT Burdens'!S39</f>
        <v>2.7035014500000001</v>
      </c>
      <c r="L67" s="1199"/>
      <c r="M67" s="309" t="s">
        <v>168</v>
      </c>
      <c r="R67" s="14"/>
      <c r="S67" s="14"/>
      <c r="T67" s="14"/>
      <c r="U67" s="293"/>
      <c r="V67" s="197"/>
    </row>
    <row r="68" spans="1:22" ht="18" hidden="1" customHeight="1">
      <c r="A68" s="196"/>
      <c r="C68" s="1" t="s">
        <v>424</v>
      </c>
      <c r="D68" s="2"/>
      <c r="E68" s="2"/>
      <c r="F68" s="2"/>
      <c r="G68" s="208"/>
      <c r="H68" s="208"/>
      <c r="I68" s="236" t="s">
        <v>523</v>
      </c>
      <c r="J68" s="195" t="s">
        <v>138</v>
      </c>
      <c r="K68" s="1198">
        <f>K66+K67</f>
        <v>6.4615014500000001</v>
      </c>
      <c r="L68" s="1199"/>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669">
        <f>K66</f>
        <v>3.758</v>
      </c>
      <c r="L74" s="664"/>
      <c r="M74" s="102" t="s">
        <v>353</v>
      </c>
      <c r="N74" s="669">
        <f>K52/SQRT(3)*1000</f>
        <v>63.508529610858844</v>
      </c>
      <c r="O74" s="664"/>
      <c r="V74" s="197"/>
    </row>
    <row r="75" spans="1:22" ht="18" hidden="1" customHeight="1">
      <c r="A75" s="196"/>
      <c r="B75" s="14"/>
      <c r="C75" s="14"/>
      <c r="D75" s="120"/>
      <c r="J75" s="28" t="s">
        <v>138</v>
      </c>
      <c r="K75" s="906">
        <f>K74/N74</f>
        <v>5.917315395312582E-2</v>
      </c>
      <c r="L75" s="906"/>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664" t="s">
        <v>797</v>
      </c>
      <c r="L77" s="664"/>
      <c r="M77" s="28" t="s">
        <v>326</v>
      </c>
      <c r="N77" s="47" t="s">
        <v>798</v>
      </c>
      <c r="O77" s="14"/>
      <c r="P77" s="28"/>
      <c r="Q77" s="479"/>
      <c r="V77" s="197"/>
    </row>
    <row r="78" spans="1:22" ht="18" hidden="1" customHeight="1">
      <c r="A78" s="196"/>
      <c r="J78" s="28" t="s">
        <v>138</v>
      </c>
      <c r="K78" s="665">
        <f>K75*K75</f>
        <v>3.5014621487603299E-3</v>
      </c>
      <c r="L78" s="665"/>
      <c r="M78" s="28" t="s">
        <v>326</v>
      </c>
      <c r="N78" s="668">
        <f>N35</f>
        <v>2.7035014500000001</v>
      </c>
      <c r="O78" s="668"/>
      <c r="V78" s="197"/>
    </row>
    <row r="79" spans="1:22" ht="18" hidden="1" customHeight="1">
      <c r="A79" s="196"/>
      <c r="J79" s="28" t="s">
        <v>138</v>
      </c>
      <c r="K79" s="1158">
        <f>K78*N78</f>
        <v>9.4662079962936681E-3</v>
      </c>
      <c r="L79" s="1158"/>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665">
        <f>H54</f>
        <v>10</v>
      </c>
      <c r="E83" s="665"/>
      <c r="F83" s="27" t="str">
        <f>F82</f>
        <v>&gt;</v>
      </c>
      <c r="G83" s="1158">
        <f>K68</f>
        <v>6.4615014500000001</v>
      </c>
      <c r="H83" s="665"/>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200"/>
      <c r="T94" s="1201"/>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653"/>
      <c r="C96" s="654"/>
      <c r="D96" s="890"/>
      <c r="E96" s="985"/>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653"/>
      <c r="I99" s="654"/>
      <c r="V99" s="197"/>
    </row>
    <row r="100" spans="1:23" ht="18" hidden="1" customHeight="1">
      <c r="A100" s="196"/>
      <c r="B100" s="30" t="s">
        <v>573</v>
      </c>
      <c r="H100" s="653"/>
      <c r="I100" s="654"/>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674"/>
      <c r="L103" s="675"/>
      <c r="M103" s="3" t="s">
        <v>168</v>
      </c>
      <c r="V103" s="197"/>
    </row>
    <row r="104" spans="1:23" ht="18" hidden="1" customHeight="1">
      <c r="A104" s="196"/>
      <c r="C104" s="96" t="s">
        <v>416</v>
      </c>
      <c r="D104" s="14"/>
      <c r="E104" s="47"/>
      <c r="F104" s="14"/>
      <c r="H104" s="211"/>
      <c r="I104" s="27"/>
      <c r="J104" s="101" t="s">
        <v>138</v>
      </c>
      <c r="K104" s="674"/>
      <c r="L104" s="675"/>
      <c r="M104" s="214" t="s">
        <v>168</v>
      </c>
      <c r="V104" s="197"/>
    </row>
    <row r="105" spans="1:23" ht="18" hidden="1" customHeight="1">
      <c r="A105" s="196"/>
      <c r="C105" s="96" t="s">
        <v>416</v>
      </c>
      <c r="D105" s="14"/>
      <c r="E105" s="47"/>
      <c r="F105" s="14"/>
      <c r="H105" s="211"/>
      <c r="I105" s="27"/>
      <c r="J105" s="101" t="s">
        <v>138</v>
      </c>
      <c r="K105" s="674"/>
      <c r="L105" s="675"/>
      <c r="M105" s="214" t="s">
        <v>168</v>
      </c>
      <c r="V105" s="197"/>
    </row>
    <row r="106" spans="1:23" ht="18" hidden="1" customHeight="1">
      <c r="A106" s="196"/>
      <c r="C106" s="96" t="s">
        <v>416</v>
      </c>
      <c r="D106" s="14"/>
      <c r="E106" s="47"/>
      <c r="F106" s="14"/>
      <c r="H106" s="211"/>
      <c r="I106" s="27"/>
      <c r="J106" s="101" t="s">
        <v>138</v>
      </c>
      <c r="K106" s="674"/>
      <c r="L106" s="675"/>
      <c r="M106" s="214" t="s">
        <v>168</v>
      </c>
      <c r="V106" s="197"/>
    </row>
    <row r="107" spans="1:23" ht="18" hidden="1" customHeight="1">
      <c r="A107" s="196"/>
      <c r="B107" s="117"/>
      <c r="C107" s="96" t="s">
        <v>416</v>
      </c>
      <c r="D107" s="14"/>
      <c r="E107" s="47"/>
      <c r="F107" s="14"/>
      <c r="H107" s="211"/>
      <c r="I107" s="27"/>
      <c r="J107" s="101" t="s">
        <v>138</v>
      </c>
      <c r="K107" s="674">
        <v>4</v>
      </c>
      <c r="L107" s="675"/>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699">
        <f>SUM(K103:L107)</f>
        <v>4</v>
      </c>
      <c r="L108" s="700"/>
      <c r="M108" s="214" t="s">
        <v>168</v>
      </c>
      <c r="R108" s="14"/>
      <c r="S108" s="14"/>
      <c r="T108" s="14"/>
      <c r="U108" s="293"/>
      <c r="V108" s="197"/>
    </row>
    <row r="109" spans="1:23" ht="18" hidden="1" customHeight="1">
      <c r="A109" s="196"/>
      <c r="C109" s="196" t="s">
        <v>423</v>
      </c>
      <c r="D109" s="14"/>
      <c r="E109" s="14"/>
      <c r="F109" s="14"/>
      <c r="I109" s="27"/>
      <c r="J109" s="101" t="s">
        <v>138</v>
      </c>
      <c r="K109" s="1198" t="e">
        <f>K121</f>
        <v>#DIV/0!</v>
      </c>
      <c r="L109" s="1199"/>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8" t="e">
        <f>K108+K109</f>
        <v>#DIV/0!</v>
      </c>
      <c r="L110" s="1199"/>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669">
        <f>K108</f>
        <v>4</v>
      </c>
      <c r="L116" s="664"/>
      <c r="M116" s="102" t="s">
        <v>353</v>
      </c>
      <c r="N116" s="669">
        <f>K98/SQRT(3)*1000</f>
        <v>0</v>
      </c>
      <c r="O116" s="664"/>
      <c r="V116" s="197"/>
    </row>
    <row r="117" spans="1:22" ht="18" hidden="1" customHeight="1">
      <c r="A117" s="196"/>
      <c r="B117" s="14"/>
      <c r="C117" s="14"/>
      <c r="D117" s="120"/>
      <c r="J117" s="28" t="s">
        <v>138</v>
      </c>
      <c r="K117" s="906" t="e">
        <f>K116/N116</f>
        <v>#DIV/0!</v>
      </c>
      <c r="L117" s="906"/>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664" t="s">
        <v>797</v>
      </c>
      <c r="L119" s="664"/>
      <c r="M119" s="28" t="s">
        <v>326</v>
      </c>
      <c r="N119" s="47" t="s">
        <v>798</v>
      </c>
      <c r="O119" s="14"/>
      <c r="P119" s="28"/>
      <c r="V119" s="197"/>
    </row>
    <row r="120" spans="1:22" ht="18" hidden="1" customHeight="1">
      <c r="A120" s="196"/>
      <c r="J120" s="28" t="s">
        <v>138</v>
      </c>
      <c r="K120" s="665" t="e">
        <f>K117*K117</f>
        <v>#DIV/0!</v>
      </c>
      <c r="L120" s="665"/>
      <c r="M120" s="28" t="s">
        <v>326</v>
      </c>
      <c r="N120" s="668">
        <f>N78</f>
        <v>2.7035014500000001</v>
      </c>
      <c r="O120" s="668"/>
      <c r="V120" s="197"/>
    </row>
    <row r="121" spans="1:22" ht="18" hidden="1" customHeight="1">
      <c r="A121" s="196"/>
      <c r="J121" s="28" t="s">
        <v>138</v>
      </c>
      <c r="K121" s="1158" t="e">
        <f>K120*N120</f>
        <v>#DIV/0!</v>
      </c>
      <c r="L121" s="1158"/>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665">
        <f>H100</f>
        <v>0</v>
      </c>
      <c r="E125" s="665"/>
      <c r="F125" s="27" t="e">
        <f>F124</f>
        <v>#DIV/0!</v>
      </c>
      <c r="G125" s="1158" t="e">
        <f>K110</f>
        <v>#DIV/0!</v>
      </c>
      <c r="H125" s="665"/>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07" t="s">
        <v>127</v>
      </c>
      <c r="B141" s="707"/>
      <c r="C141" s="707"/>
      <c r="D141" s="707"/>
      <c r="E141" s="707" t="s">
        <v>128</v>
      </c>
      <c r="F141" s="707"/>
      <c r="G141" s="707"/>
      <c r="H141" s="707"/>
      <c r="I141" s="707"/>
      <c r="J141" s="800" t="s">
        <v>129</v>
      </c>
      <c r="K141" s="800"/>
      <c r="L141" s="800" t="s">
        <v>100</v>
      </c>
      <c r="M141" s="800"/>
      <c r="N141" s="800" t="s">
        <v>112</v>
      </c>
      <c r="O141" s="800"/>
      <c r="P141" s="800"/>
      <c r="Q141" s="707" t="s">
        <v>805</v>
      </c>
      <c r="R141" s="707"/>
      <c r="S141" s="707"/>
      <c r="T141" s="707"/>
      <c r="U141" s="707"/>
      <c r="V141" s="707"/>
    </row>
    <row r="142" spans="1:22" ht="18" customHeight="1">
      <c r="A142" s="707"/>
      <c r="B142" s="707"/>
      <c r="C142" s="707"/>
      <c r="D142" s="707"/>
      <c r="E142" s="707"/>
      <c r="F142" s="707"/>
      <c r="G142" s="707"/>
      <c r="H142" s="707"/>
      <c r="I142" s="707"/>
      <c r="J142" s="800"/>
      <c r="K142" s="800"/>
      <c r="L142" s="800"/>
      <c r="M142" s="800"/>
      <c r="N142" s="800"/>
      <c r="O142" s="800"/>
      <c r="P142" s="800"/>
      <c r="Q142" s="707"/>
      <c r="R142" s="707"/>
      <c r="S142" s="707"/>
      <c r="T142" s="707"/>
      <c r="U142" s="707"/>
      <c r="V142" s="707"/>
    </row>
    <row r="143" spans="1:22" ht="18" customHeight="1">
      <c r="A143" s="707"/>
      <c r="B143" s="707"/>
      <c r="C143" s="707"/>
      <c r="D143" s="707"/>
      <c r="E143" s="1206"/>
      <c r="F143" s="1206"/>
      <c r="G143" s="707"/>
      <c r="H143" s="707"/>
      <c r="I143" s="707"/>
      <c r="J143" s="800"/>
      <c r="K143" s="800"/>
      <c r="L143" s="800"/>
      <c r="M143" s="800"/>
      <c r="N143" s="800"/>
      <c r="O143" s="800"/>
      <c r="P143" s="800"/>
      <c r="Q143" s="707"/>
      <c r="R143" s="707"/>
      <c r="S143" s="707"/>
      <c r="T143" s="707"/>
      <c r="U143" s="707"/>
      <c r="V143" s="707"/>
    </row>
    <row r="144" spans="1:22" ht="18" customHeight="1">
      <c r="A144" s="857" t="str">
        <f>B7</f>
        <v>T1</v>
      </c>
      <c r="B144" s="859"/>
      <c r="C144" s="799" t="str">
        <f>D7</f>
        <v>Core1</v>
      </c>
      <c r="D144" s="812"/>
      <c r="E144" s="355">
        <f>H9</f>
        <v>400</v>
      </c>
      <c r="F144" s="258" t="str">
        <f>I9</f>
        <v>/ √3</v>
      </c>
      <c r="G144" s="356" t="s">
        <v>353</v>
      </c>
      <c r="H144" s="255">
        <f>K9</f>
        <v>0.11</v>
      </c>
      <c r="I144" s="258" t="str">
        <f>L9</f>
        <v>/ √3</v>
      </c>
      <c r="J144" s="679">
        <f>'CT-VT Burdens'!S37</f>
        <v>150</v>
      </c>
      <c r="K144" s="1205">
        <f>'CT-VT Burdens'!S28</f>
        <v>2.5</v>
      </c>
      <c r="L144" s="679" t="str">
        <f>H10</f>
        <v>3P</v>
      </c>
      <c r="M144" s="679"/>
      <c r="N144" s="679">
        <f>H11</f>
        <v>50</v>
      </c>
      <c r="O144" s="679"/>
      <c r="P144" s="679"/>
      <c r="Q144" s="679" t="str">
        <f>G41</f>
        <v>Suitably Dimensioned</v>
      </c>
      <c r="R144" s="679"/>
      <c r="S144" s="679"/>
      <c r="T144" s="679"/>
      <c r="U144" s="679"/>
      <c r="V144" s="679"/>
    </row>
    <row r="145" spans="1:22" ht="18" customHeight="1">
      <c r="A145" s="1202"/>
      <c r="B145" s="1203"/>
      <c r="C145" s="679" t="s">
        <v>7</v>
      </c>
      <c r="D145" s="679"/>
      <c r="E145" s="860" t="s">
        <v>7</v>
      </c>
      <c r="F145" s="700"/>
      <c r="G145" s="480" t="s">
        <v>7</v>
      </c>
      <c r="H145" s="875" t="s">
        <v>7</v>
      </c>
      <c r="I145" s="876"/>
      <c r="J145" s="679"/>
      <c r="K145" s="1205"/>
      <c r="L145" s="679" t="s">
        <v>7</v>
      </c>
      <c r="M145" s="679"/>
      <c r="N145" s="679" t="s">
        <v>7</v>
      </c>
      <c r="O145" s="679"/>
      <c r="P145" s="679"/>
      <c r="Q145" s="679" t="s">
        <v>7</v>
      </c>
      <c r="R145" s="679"/>
      <c r="S145" s="679"/>
      <c r="T145" s="679"/>
      <c r="U145" s="679"/>
      <c r="V145" s="679"/>
    </row>
    <row r="146" spans="1:22" ht="18" customHeight="1">
      <c r="A146" s="1186"/>
      <c r="B146" s="1204"/>
      <c r="C146" s="679" t="s">
        <v>7</v>
      </c>
      <c r="D146" s="679"/>
      <c r="E146" s="860" t="s">
        <v>7</v>
      </c>
      <c r="F146" s="700"/>
      <c r="G146" s="480" t="s">
        <v>7</v>
      </c>
      <c r="H146" s="875" t="s">
        <v>7</v>
      </c>
      <c r="I146" s="876"/>
      <c r="J146" s="679"/>
      <c r="K146" s="1205"/>
      <c r="L146" s="679" t="s">
        <v>7</v>
      </c>
      <c r="M146" s="679"/>
      <c r="N146" s="679" t="s">
        <v>7</v>
      </c>
      <c r="O146" s="679"/>
      <c r="P146" s="679"/>
      <c r="Q146" s="679" t="s">
        <v>7</v>
      </c>
      <c r="R146" s="679"/>
      <c r="S146" s="679"/>
      <c r="T146" s="679"/>
      <c r="U146" s="679"/>
      <c r="V146" s="679"/>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200"/>
      <c r="T177" s="1201"/>
      <c r="U177" s="207"/>
      <c r="V177" s="140"/>
    </row>
  </sheetData>
  <mergeCells count="121">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H100:I100"/>
    <mergeCell ref="K103:L103"/>
    <mergeCell ref="K104:L104"/>
    <mergeCell ref="K105:L105"/>
    <mergeCell ref="K106:L106"/>
    <mergeCell ref="K107:L107"/>
    <mergeCell ref="D83:E83"/>
    <mergeCell ref="G83:H83"/>
    <mergeCell ref="S94:T94"/>
    <mergeCell ref="B96:C96"/>
    <mergeCell ref="D96:E96"/>
    <mergeCell ref="H99:I99"/>
    <mergeCell ref="N74:O74"/>
    <mergeCell ref="K75:L75"/>
    <mergeCell ref="K77:L77"/>
    <mergeCell ref="K78:L78"/>
    <mergeCell ref="N78:O78"/>
    <mergeCell ref="K79:L79"/>
    <mergeCell ref="K64:L64"/>
    <mergeCell ref="K65:L65"/>
    <mergeCell ref="K66:L66"/>
    <mergeCell ref="K67:L67"/>
    <mergeCell ref="K68:L68"/>
    <mergeCell ref="K74:L74"/>
    <mergeCell ref="K58:L58"/>
    <mergeCell ref="K59:L59"/>
    <mergeCell ref="K60:L60"/>
    <mergeCell ref="K61:L61"/>
    <mergeCell ref="K62:L62"/>
    <mergeCell ref="K63:L63"/>
    <mergeCell ref="S48:T48"/>
    <mergeCell ref="B50:C50"/>
    <mergeCell ref="D50:E50"/>
    <mergeCell ref="H53:I53"/>
    <mergeCell ref="H54:I54"/>
    <mergeCell ref="K57:L57"/>
    <mergeCell ref="K32:L32"/>
    <mergeCell ref="K34:L34"/>
    <mergeCell ref="K35:L35"/>
    <mergeCell ref="N35:O35"/>
    <mergeCell ref="K36:L36"/>
    <mergeCell ref="D40:E40"/>
    <mergeCell ref="G40:H40"/>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4" t="str">
        <f>Title!R1</f>
        <v>N-19957.1-DF5W</v>
      </c>
      <c r="S1" s="775"/>
      <c r="T1" s="775"/>
      <c r="U1" s="775"/>
      <c r="V1" s="776"/>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777">
        <f>Title!R2</f>
        <v>46106</v>
      </c>
      <c r="S2" s="775"/>
      <c r="T2" s="775"/>
      <c r="U2" s="775"/>
      <c r="V2" s="776"/>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774" t="str">
        <f>Title!R3</f>
        <v>-</v>
      </c>
      <c r="S3" s="775"/>
      <c r="T3" s="775"/>
      <c r="U3" s="775"/>
      <c r="V3" s="776"/>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774" t="str">
        <f>Title!R4</f>
        <v>A</v>
      </c>
      <c r="S4" s="775"/>
      <c r="T4" s="775"/>
      <c r="U4" s="775"/>
      <c r="V4" s="776"/>
      <c r="W4" s="14"/>
      <c r="X4" s="14"/>
    </row>
    <row r="5" spans="1:24" ht="18" customHeight="1">
      <c r="A5" s="618" t="str">
        <f>Title!A5</f>
        <v>Prep. By</v>
      </c>
      <c r="B5" s="619"/>
      <c r="C5" s="25" t="str">
        <f>Title!C5</f>
        <v>AP</v>
      </c>
      <c r="D5" s="618" t="str">
        <f>Title!D5</f>
        <v>Checked By</v>
      </c>
      <c r="E5" s="620"/>
      <c r="F5" s="619"/>
      <c r="G5" s="25" t="str">
        <f>Title!G5</f>
        <v>RB</v>
      </c>
      <c r="H5" s="621" t="s">
        <v>807</v>
      </c>
      <c r="I5" s="622"/>
      <c r="J5" s="622"/>
      <c r="K5" s="622"/>
      <c r="L5" s="622"/>
      <c r="M5" s="622"/>
      <c r="N5" s="623"/>
      <c r="O5" s="624" t="str">
        <f>Title!O5</f>
        <v>Contractor</v>
      </c>
      <c r="P5" s="625"/>
      <c r="Q5" s="626"/>
      <c r="R5" s="774" t="str">
        <f>Title!R5</f>
        <v>HITACHI</v>
      </c>
      <c r="S5" s="775"/>
      <c r="T5" s="775"/>
      <c r="U5" s="775"/>
      <c r="V5" s="776"/>
      <c r="W5" s="14"/>
      <c r="X5" s="14"/>
    </row>
    <row r="6" spans="1:24" ht="18" customHeight="1">
      <c r="A6" s="196"/>
      <c r="V6" s="197"/>
    </row>
    <row r="7" spans="1:24" ht="18" customHeight="1">
      <c r="A7" s="196"/>
      <c r="B7" s="653" t="s">
        <v>808</v>
      </c>
      <c r="C7" s="654"/>
      <c r="D7" s="659" t="s">
        <v>396</v>
      </c>
      <c r="E7" s="660"/>
      <c r="V7" s="197"/>
    </row>
    <row r="8" spans="1:24" ht="18" customHeight="1">
      <c r="A8" s="196"/>
      <c r="B8" s="653" t="s">
        <v>809</v>
      </c>
      <c r="C8" s="654"/>
      <c r="D8" s="1208"/>
      <c r="E8" s="1209"/>
      <c r="V8" s="197"/>
    </row>
    <row r="9" spans="1:24" ht="18" customHeight="1">
      <c r="A9" s="196"/>
      <c r="B9" s="653" t="s">
        <v>810</v>
      </c>
      <c r="C9" s="654"/>
      <c r="D9" s="657"/>
      <c r="E9" s="65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3">
        <v>0.2</v>
      </c>
      <c r="I12" s="654"/>
      <c r="V12" s="197"/>
    </row>
    <row r="13" spans="1:24" ht="18" customHeight="1">
      <c r="A13" s="196"/>
      <c r="B13" s="30" t="s">
        <v>573</v>
      </c>
      <c r="H13" s="653">
        <v>100</v>
      </c>
      <c r="I13" s="654"/>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674">
        <f>'CT-VT Burdens'!S85*10</f>
        <v>27</v>
      </c>
      <c r="L16" s="675"/>
      <c r="M16" s="3" t="s">
        <v>168</v>
      </c>
      <c r="V16" s="197"/>
    </row>
    <row r="17" spans="1:22" ht="18" customHeight="1">
      <c r="A17" s="196"/>
      <c r="C17" s="96" t="s">
        <v>416</v>
      </c>
      <c r="D17" s="14"/>
      <c r="E17" s="308"/>
      <c r="F17" s="14"/>
      <c r="H17" s="211"/>
      <c r="I17" s="27"/>
      <c r="J17" s="101" t="s">
        <v>138</v>
      </c>
      <c r="K17" s="674"/>
      <c r="L17" s="675"/>
      <c r="M17" s="214" t="s">
        <v>168</v>
      </c>
      <c r="V17" s="197"/>
    </row>
    <row r="18" spans="1:22" ht="18" customHeight="1">
      <c r="A18" s="196"/>
      <c r="C18" s="96" t="s">
        <v>416</v>
      </c>
      <c r="D18" s="14"/>
      <c r="E18" s="308"/>
      <c r="F18" s="14"/>
      <c r="H18" s="211"/>
      <c r="I18" s="27"/>
      <c r="J18" s="101" t="s">
        <v>138</v>
      </c>
      <c r="K18" s="674"/>
      <c r="L18" s="675"/>
      <c r="M18" s="214" t="s">
        <v>168</v>
      </c>
      <c r="V18" s="197"/>
    </row>
    <row r="19" spans="1:22" ht="18" customHeight="1">
      <c r="A19" s="196"/>
      <c r="C19" s="96" t="s">
        <v>416</v>
      </c>
      <c r="D19" s="14"/>
      <c r="E19" s="47"/>
      <c r="F19" s="14"/>
      <c r="H19" s="211"/>
      <c r="I19" s="27"/>
      <c r="J19" s="101" t="s">
        <v>138</v>
      </c>
      <c r="K19" s="674"/>
      <c r="L19" s="675"/>
      <c r="M19" s="214" t="s">
        <v>168</v>
      </c>
      <c r="V19" s="197"/>
    </row>
    <row r="20" spans="1:22" ht="18" customHeight="1">
      <c r="A20" s="196"/>
      <c r="B20" s="117"/>
      <c r="C20" s="96" t="s">
        <v>416</v>
      </c>
      <c r="D20" s="14"/>
      <c r="E20" s="47"/>
      <c r="F20" s="14"/>
      <c r="H20" s="211"/>
      <c r="I20" s="27"/>
      <c r="J20" s="101" t="s">
        <v>138</v>
      </c>
      <c r="K20" s="674"/>
      <c r="L20" s="675"/>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699">
        <f>SUM(K16:L20)</f>
        <v>27</v>
      </c>
      <c r="L21" s="700"/>
      <c r="M21" s="214" t="s">
        <v>168</v>
      </c>
      <c r="R21" s="14"/>
      <c r="S21" s="14"/>
      <c r="T21" s="14"/>
      <c r="U21" s="293"/>
      <c r="V21" s="197"/>
    </row>
    <row r="22" spans="1:22" ht="18" customHeight="1">
      <c r="A22" s="196"/>
      <c r="C22" s="196" t="s">
        <v>423</v>
      </c>
      <c r="D22" s="14"/>
      <c r="E22" s="14"/>
      <c r="F22" s="14"/>
      <c r="I22" s="27"/>
      <c r="J22" s="101" t="s">
        <v>138</v>
      </c>
      <c r="K22" s="1198">
        <f>'CT-VT Burdens'!S39*10</f>
        <v>27.035014500000003</v>
      </c>
      <c r="L22" s="1199"/>
      <c r="M22" s="309" t="s">
        <v>168</v>
      </c>
      <c r="R22" s="14"/>
      <c r="S22" s="14"/>
      <c r="T22" s="14"/>
      <c r="U22" s="293"/>
      <c r="V22" s="197"/>
    </row>
    <row r="23" spans="1:22" ht="18" customHeight="1">
      <c r="A23" s="196"/>
      <c r="C23" s="1" t="s">
        <v>424</v>
      </c>
      <c r="D23" s="2"/>
      <c r="E23" s="2"/>
      <c r="F23" s="2"/>
      <c r="G23" s="208"/>
      <c r="H23" s="208"/>
      <c r="I23" s="236" t="s">
        <v>523</v>
      </c>
      <c r="J23" s="195" t="s">
        <v>138</v>
      </c>
      <c r="K23" s="1198">
        <f>K21+K22</f>
        <v>54.035014500000003</v>
      </c>
      <c r="L23" s="1199"/>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669">
        <f>K21</f>
        <v>27</v>
      </c>
      <c r="L29" s="664"/>
      <c r="M29" s="102" t="s">
        <v>353</v>
      </c>
      <c r="N29" s="669">
        <f>K11/SQRT(3)*1000</f>
        <v>63.508529610858844</v>
      </c>
      <c r="O29" s="664"/>
      <c r="V29" s="197"/>
    </row>
    <row r="30" spans="1:22" ht="18" customHeight="1">
      <c r="A30" s="196"/>
      <c r="B30" s="14"/>
      <c r="C30" s="14"/>
      <c r="D30" s="120"/>
      <c r="J30" s="28" t="s">
        <v>138</v>
      </c>
      <c r="K30" s="906">
        <f>K29/N29</f>
        <v>0.42513974367599711</v>
      </c>
      <c r="L30" s="906"/>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664" t="s">
        <v>797</v>
      </c>
      <c r="L32" s="664"/>
      <c r="M32" s="28" t="s">
        <v>326</v>
      </c>
      <c r="N32" s="47" t="s">
        <v>798</v>
      </c>
      <c r="O32" s="14"/>
      <c r="P32" s="28"/>
      <c r="V32" s="197"/>
    </row>
    <row r="33" spans="1:22" ht="18" customHeight="1">
      <c r="A33" s="196"/>
      <c r="J33" s="28" t="s">
        <v>138</v>
      </c>
      <c r="K33" s="665">
        <f>K30*K30</f>
        <v>0.18074380165289253</v>
      </c>
      <c r="L33" s="665"/>
      <c r="M33" s="28" t="s">
        <v>326</v>
      </c>
      <c r="N33" s="668">
        <f>'CT-VT Burdens'!S39</f>
        <v>2.7035014500000001</v>
      </c>
      <c r="O33" s="668"/>
      <c r="V33" s="197"/>
    </row>
    <row r="34" spans="1:22" ht="18" customHeight="1">
      <c r="A34" s="196"/>
      <c r="J34" s="28" t="s">
        <v>138</v>
      </c>
      <c r="K34" s="1158">
        <f>K33*N33</f>
        <v>0.48864112984710734</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65">
        <f>H13</f>
        <v>100</v>
      </c>
      <c r="E38" s="665"/>
      <c r="F38" s="27" t="str">
        <f>F37</f>
        <v>&gt;</v>
      </c>
      <c r="G38" s="1158">
        <f>K23</f>
        <v>54.035014500000003</v>
      </c>
      <c r="H38" s="665"/>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53" t="str">
        <f>B7</f>
        <v>T15/T25</v>
      </c>
      <c r="C48" s="654"/>
      <c r="D48" s="659" t="s">
        <v>517</v>
      </c>
      <c r="E48" s="660"/>
      <c r="V48" s="197"/>
    </row>
    <row r="49" spans="1:23" ht="18" customHeight="1">
      <c r="A49" s="196"/>
      <c r="B49" s="653" t="str">
        <f>B8</f>
        <v>T16/T26</v>
      </c>
      <c r="C49" s="654"/>
      <c r="D49" s="1208"/>
      <c r="E49" s="1209"/>
      <c r="V49" s="197"/>
    </row>
    <row r="50" spans="1:23" ht="18" customHeight="1">
      <c r="A50" s="196"/>
      <c r="B50" s="653" t="str">
        <f>B9</f>
        <v>T17/T27</v>
      </c>
      <c r="C50" s="654"/>
      <c r="D50" s="657"/>
      <c r="E50" s="65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3" t="s">
        <v>788</v>
      </c>
      <c r="I53" s="654"/>
      <c r="V53" s="197"/>
    </row>
    <row r="54" spans="1:23" ht="18" customHeight="1">
      <c r="A54" s="196"/>
      <c r="B54" s="30" t="s">
        <v>573</v>
      </c>
      <c r="H54" s="653">
        <v>100</v>
      </c>
      <c r="I54" s="654"/>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674">
        <f>'CT-VT Burdens'!S85*10</f>
        <v>27</v>
      </c>
      <c r="L57" s="675"/>
      <c r="M57" s="3" t="s">
        <v>168</v>
      </c>
      <c r="V57" s="197"/>
    </row>
    <row r="58" spans="1:23" ht="18" customHeight="1">
      <c r="A58" s="196"/>
      <c r="C58" s="96" t="s">
        <v>416</v>
      </c>
      <c r="D58" s="14"/>
      <c r="E58" s="308" t="s">
        <v>271</v>
      </c>
      <c r="F58" s="14"/>
      <c r="H58" s="211"/>
      <c r="I58" s="27"/>
      <c r="J58" s="101" t="s">
        <v>138</v>
      </c>
      <c r="K58" s="674">
        <f>'CT-VT Burdens'!S96</f>
        <v>3.75</v>
      </c>
      <c r="L58" s="675"/>
      <c r="M58" s="214" t="s">
        <v>168</v>
      </c>
      <c r="V58" s="197"/>
    </row>
    <row r="59" spans="1:23" ht="18" customHeight="1">
      <c r="A59" s="196"/>
      <c r="C59" s="96" t="s">
        <v>416</v>
      </c>
      <c r="D59" s="14"/>
      <c r="E59" s="308" t="s">
        <v>813</v>
      </c>
      <c r="F59" s="14"/>
      <c r="H59" s="211"/>
      <c r="I59" s="27"/>
      <c r="J59" s="101" t="s">
        <v>138</v>
      </c>
      <c r="K59" s="674">
        <f>'CT-VT Burdens'!S77</f>
        <v>0.1</v>
      </c>
      <c r="L59" s="675"/>
      <c r="M59" s="214" t="s">
        <v>168</v>
      </c>
      <c r="V59" s="197"/>
    </row>
    <row r="60" spans="1:23" ht="18" customHeight="1">
      <c r="A60" s="196"/>
      <c r="C60" s="96" t="s">
        <v>416</v>
      </c>
      <c r="D60" s="14"/>
      <c r="E60" s="308" t="s">
        <v>814</v>
      </c>
      <c r="F60" s="14"/>
      <c r="H60" s="211"/>
      <c r="I60" s="27"/>
      <c r="J60" s="101" t="s">
        <v>138</v>
      </c>
      <c r="K60" s="674">
        <f>'CT-VT Burdens'!S48</f>
        <v>0.02</v>
      </c>
      <c r="L60" s="675"/>
      <c r="M60" s="214" t="s">
        <v>168</v>
      </c>
      <c r="V60" s="197"/>
    </row>
    <row r="61" spans="1:23" ht="18" customHeight="1">
      <c r="A61" s="196"/>
      <c r="B61" s="117"/>
      <c r="C61" s="96" t="s">
        <v>416</v>
      </c>
      <c r="D61" s="14"/>
      <c r="E61" s="47"/>
      <c r="F61" s="14"/>
      <c r="H61" s="211"/>
      <c r="I61" s="27"/>
      <c r="J61" s="101" t="s">
        <v>138</v>
      </c>
      <c r="K61" s="674"/>
      <c r="L61" s="675"/>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699">
        <f>SUM(K57:L61)</f>
        <v>30.87</v>
      </c>
      <c r="L62" s="700"/>
      <c r="M62" s="214" t="s">
        <v>168</v>
      </c>
      <c r="R62" s="14"/>
      <c r="S62" s="14"/>
      <c r="T62" s="14"/>
      <c r="U62" s="293"/>
      <c r="V62" s="197"/>
    </row>
    <row r="63" spans="1:23" ht="18" customHeight="1">
      <c r="A63" s="196"/>
      <c r="C63" s="196" t="s">
        <v>423</v>
      </c>
      <c r="D63" s="14"/>
      <c r="E63" s="14"/>
      <c r="F63" s="14"/>
      <c r="I63" s="27"/>
      <c r="J63" s="101" t="s">
        <v>138</v>
      </c>
      <c r="K63" s="1198">
        <f>'CT-VT Burdens'!S39*10</f>
        <v>27.035014500000003</v>
      </c>
      <c r="L63" s="1199"/>
      <c r="M63" s="309" t="s">
        <v>168</v>
      </c>
      <c r="R63" s="14"/>
      <c r="S63" s="14"/>
      <c r="T63" s="14"/>
      <c r="U63" s="293"/>
      <c r="V63" s="197"/>
    </row>
    <row r="64" spans="1:23" ht="18" customHeight="1">
      <c r="A64" s="196"/>
      <c r="C64" s="1" t="s">
        <v>424</v>
      </c>
      <c r="D64" s="2"/>
      <c r="E64" s="2"/>
      <c r="F64" s="2"/>
      <c r="G64" s="208"/>
      <c r="H64" s="208"/>
      <c r="I64" s="236" t="s">
        <v>523</v>
      </c>
      <c r="J64" s="195" t="s">
        <v>138</v>
      </c>
      <c r="K64" s="1198">
        <f>K62+K63</f>
        <v>57.905014500000007</v>
      </c>
      <c r="L64" s="1199"/>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669">
        <f>K62</f>
        <v>30.87</v>
      </c>
      <c r="L70" s="664"/>
      <c r="M70" s="102" t="s">
        <v>353</v>
      </c>
      <c r="N70" s="669">
        <f>K52/SQRT(3)*1000</f>
        <v>63.508529610858844</v>
      </c>
      <c r="O70" s="664"/>
      <c r="V70" s="197"/>
    </row>
    <row r="71" spans="1:22" ht="18" customHeight="1">
      <c r="A71" s="196"/>
      <c r="B71" s="14"/>
      <c r="C71" s="14"/>
      <c r="D71" s="120"/>
      <c r="J71" s="28" t="s">
        <v>138</v>
      </c>
      <c r="K71" s="906">
        <f>K70/N70</f>
        <v>0.48607644026955671</v>
      </c>
      <c r="L71" s="906"/>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664" t="s">
        <v>797</v>
      </c>
      <c r="L73" s="664"/>
      <c r="M73" s="28" t="s">
        <v>326</v>
      </c>
      <c r="N73" s="47" t="s">
        <v>798</v>
      </c>
      <c r="O73" s="14"/>
      <c r="P73" s="28"/>
      <c r="V73" s="197"/>
    </row>
    <row r="74" spans="1:22" ht="18" customHeight="1">
      <c r="A74" s="196"/>
      <c r="J74" s="28" t="s">
        <v>138</v>
      </c>
      <c r="K74" s="665">
        <f>K71*K71</f>
        <v>0.23627030578512392</v>
      </c>
      <c r="L74" s="665"/>
      <c r="M74" s="28" t="s">
        <v>326</v>
      </c>
      <c r="N74" s="668">
        <f>N33</f>
        <v>2.7035014500000001</v>
      </c>
      <c r="O74" s="668"/>
      <c r="V74" s="197"/>
    </row>
    <row r="75" spans="1:22" ht="18" customHeight="1">
      <c r="A75" s="196"/>
      <c r="J75" s="28" t="s">
        <v>138</v>
      </c>
      <c r="K75" s="1158">
        <f>K74*N74</f>
        <v>0.63875711428202597</v>
      </c>
      <c r="L75" s="1158"/>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665">
        <f>H54</f>
        <v>100</v>
      </c>
      <c r="E79" s="665"/>
      <c r="F79" s="27" t="str">
        <f>F78</f>
        <v>&gt;</v>
      </c>
      <c r="G79" s="1158">
        <f>K64</f>
        <v>57.905014500000007</v>
      </c>
      <c r="H79" s="665"/>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653" t="str">
        <f>B48</f>
        <v>T15/T25</v>
      </c>
      <c r="C89" s="654"/>
      <c r="D89" s="659" t="s">
        <v>121</v>
      </c>
      <c r="E89" s="660"/>
      <c r="V89" s="197"/>
    </row>
    <row r="90" spans="1:23" ht="18" customHeight="1">
      <c r="A90" s="196"/>
      <c r="B90" s="653" t="str">
        <f>B49</f>
        <v>T16/T26</v>
      </c>
      <c r="C90" s="654"/>
      <c r="D90" s="1208"/>
      <c r="E90" s="1209"/>
      <c r="V90" s="197"/>
    </row>
    <row r="91" spans="1:23" ht="18" customHeight="1">
      <c r="A91" s="196"/>
      <c r="B91" s="653" t="str">
        <f>B50</f>
        <v>T17/T27</v>
      </c>
      <c r="C91" s="654"/>
      <c r="D91" s="657"/>
      <c r="E91" s="658"/>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653" t="s">
        <v>788</v>
      </c>
      <c r="I95" s="654"/>
      <c r="V95" s="197"/>
    </row>
    <row r="96" spans="1:23" ht="18" customHeight="1">
      <c r="A96" s="196"/>
      <c r="B96" s="30" t="s">
        <v>573</v>
      </c>
      <c r="H96" s="653">
        <v>100</v>
      </c>
      <c r="I96" s="654"/>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674">
        <f>'CT-VT Burdens'!S77*12</f>
        <v>1.2000000000000002</v>
      </c>
      <c r="L99" s="675"/>
      <c r="M99" s="3" t="s">
        <v>168</v>
      </c>
      <c r="V99" s="197"/>
    </row>
    <row r="100" spans="1:22" ht="18" customHeight="1">
      <c r="A100" s="196"/>
      <c r="C100" s="96" t="s">
        <v>416</v>
      </c>
      <c r="D100" s="14"/>
      <c r="E100" s="308" t="s">
        <v>815</v>
      </c>
      <c r="F100" s="14"/>
      <c r="H100" s="211"/>
      <c r="I100" s="27"/>
      <c r="J100" s="101" t="s">
        <v>138</v>
      </c>
      <c r="K100" s="674">
        <f>'CT-VT Burdens'!S92*2</f>
        <v>0.75600000000000001</v>
      </c>
      <c r="L100" s="675"/>
      <c r="M100" s="214" t="s">
        <v>168</v>
      </c>
      <c r="V100" s="197"/>
    </row>
    <row r="101" spans="1:22" ht="18" customHeight="1">
      <c r="A101" s="196"/>
      <c r="C101" s="96" t="s">
        <v>416</v>
      </c>
      <c r="D101" s="14"/>
      <c r="E101" s="308" t="s">
        <v>571</v>
      </c>
      <c r="F101" s="14"/>
      <c r="H101" s="211"/>
      <c r="I101" s="27"/>
      <c r="J101" s="101" t="s">
        <v>138</v>
      </c>
      <c r="K101" s="674">
        <f>'CT-VT Burdens'!S76*16</f>
        <v>1.6</v>
      </c>
      <c r="L101" s="675"/>
      <c r="M101" s="214" t="s">
        <v>168</v>
      </c>
      <c r="V101" s="197"/>
    </row>
    <row r="102" spans="1:22" ht="18" customHeight="1">
      <c r="A102" s="196"/>
      <c r="C102" s="96" t="s">
        <v>416</v>
      </c>
      <c r="D102" s="14"/>
      <c r="E102" s="308" t="s">
        <v>816</v>
      </c>
      <c r="F102" s="14"/>
      <c r="H102" s="211"/>
      <c r="I102" s="27"/>
      <c r="J102" s="101" t="s">
        <v>138</v>
      </c>
      <c r="K102" s="674">
        <f>'CT-VT Burdens'!S48*12</f>
        <v>0.24</v>
      </c>
      <c r="L102" s="675"/>
      <c r="M102" s="214" t="s">
        <v>168</v>
      </c>
      <c r="V102" s="197"/>
    </row>
    <row r="103" spans="1:22" ht="18" customHeight="1">
      <c r="A103" s="196"/>
      <c r="B103" s="117"/>
      <c r="C103" s="96" t="s">
        <v>416</v>
      </c>
      <c r="D103" s="14"/>
      <c r="E103" s="47"/>
      <c r="F103" s="14"/>
      <c r="H103" s="211"/>
      <c r="I103" s="27"/>
      <c r="J103" s="101" t="s">
        <v>138</v>
      </c>
      <c r="K103" s="674"/>
      <c r="L103" s="675"/>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699">
        <f>SUM(K99:L103)</f>
        <v>3.7960000000000003</v>
      </c>
      <c r="L104" s="700"/>
      <c r="M104" s="214" t="s">
        <v>168</v>
      </c>
      <c r="R104" s="14"/>
      <c r="S104" s="14"/>
      <c r="T104" s="14"/>
      <c r="U104" s="293"/>
      <c r="V104" s="197"/>
    </row>
    <row r="105" spans="1:22" ht="18" customHeight="1">
      <c r="A105" s="196"/>
      <c r="C105" s="196" t="s">
        <v>423</v>
      </c>
      <c r="D105" s="14"/>
      <c r="E105" s="14"/>
      <c r="F105" s="14"/>
      <c r="I105" s="27"/>
      <c r="J105" s="101" t="s">
        <v>138</v>
      </c>
      <c r="K105" s="1198">
        <f>'CT-VT Burdens'!S39*10</f>
        <v>27.035014500000003</v>
      </c>
      <c r="L105" s="1199"/>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8">
        <f>K104+K105</f>
        <v>30.831014500000002</v>
      </c>
      <c r="L106" s="1199"/>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669">
        <f>K104</f>
        <v>3.7960000000000003</v>
      </c>
      <c r="L112" s="664"/>
      <c r="M112" s="102" t="s">
        <v>353</v>
      </c>
      <c r="N112" s="669">
        <f>K94/SQRT(3)*1000</f>
        <v>63.508529610858844</v>
      </c>
      <c r="O112" s="664"/>
      <c r="V112" s="197"/>
    </row>
    <row r="113" spans="1:22" ht="18" customHeight="1">
      <c r="A113" s="196"/>
      <c r="B113" s="14"/>
      <c r="C113" s="14"/>
      <c r="D113" s="120"/>
      <c r="J113" s="28" t="s">
        <v>138</v>
      </c>
      <c r="K113" s="906">
        <f>K112/N112</f>
        <v>5.9771498777558704E-2</v>
      </c>
      <c r="L113" s="906"/>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664" t="s">
        <v>797</v>
      </c>
      <c r="L115" s="664"/>
      <c r="M115" s="28" t="s">
        <v>326</v>
      </c>
      <c r="N115" s="47" t="s">
        <v>798</v>
      </c>
      <c r="O115" s="14"/>
      <c r="P115" s="28"/>
      <c r="Q115" s="479"/>
      <c r="V115" s="197"/>
    </row>
    <row r="116" spans="1:22" ht="18" customHeight="1">
      <c r="A116" s="196"/>
      <c r="J116" s="28" t="s">
        <v>138</v>
      </c>
      <c r="K116" s="665">
        <f>K113*K113</f>
        <v>3.5726320661157015E-3</v>
      </c>
      <c r="L116" s="665"/>
      <c r="M116" s="28" t="s">
        <v>326</v>
      </c>
      <c r="N116" s="668">
        <f>N74</f>
        <v>2.7035014500000001</v>
      </c>
      <c r="O116" s="668"/>
      <c r="V116" s="197"/>
    </row>
    <row r="117" spans="1:22" ht="18" customHeight="1">
      <c r="A117" s="196"/>
      <c r="J117" s="28" t="s">
        <v>138</v>
      </c>
      <c r="K117" s="1158">
        <f>K116*N116</f>
        <v>9.6586159710602953E-3</v>
      </c>
      <c r="L117" s="1158"/>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665">
        <f>H96</f>
        <v>100</v>
      </c>
      <c r="E121" s="665"/>
      <c r="F121" s="27" t="str">
        <f>F120</f>
        <v>&gt;</v>
      </c>
      <c r="G121" s="1158">
        <f>K106</f>
        <v>30.831014500000002</v>
      </c>
      <c r="H121" s="665"/>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200"/>
      <c r="T128" s="1201"/>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07" t="s">
        <v>127</v>
      </c>
      <c r="B131" s="707"/>
      <c r="C131" s="707"/>
      <c r="D131" s="707"/>
      <c r="E131" s="707" t="s">
        <v>128</v>
      </c>
      <c r="F131" s="707"/>
      <c r="G131" s="707"/>
      <c r="H131" s="707"/>
      <c r="I131" s="707"/>
      <c r="J131" s="800" t="s">
        <v>129</v>
      </c>
      <c r="K131" s="800"/>
      <c r="L131" s="800" t="s">
        <v>100</v>
      </c>
      <c r="M131" s="800"/>
      <c r="N131" s="800" t="s">
        <v>112</v>
      </c>
      <c r="O131" s="800"/>
      <c r="P131" s="800"/>
      <c r="Q131" s="707" t="s">
        <v>805</v>
      </c>
      <c r="R131" s="707"/>
      <c r="S131" s="707"/>
      <c r="T131" s="707"/>
      <c r="U131" s="707"/>
      <c r="V131" s="707"/>
    </row>
    <row r="132" spans="1:22" ht="18" customHeight="1">
      <c r="A132" s="707"/>
      <c r="B132" s="707"/>
      <c r="C132" s="707"/>
      <c r="D132" s="707"/>
      <c r="E132" s="707"/>
      <c r="F132" s="707"/>
      <c r="G132" s="707"/>
      <c r="H132" s="707"/>
      <c r="I132" s="707"/>
      <c r="J132" s="800"/>
      <c r="K132" s="800"/>
      <c r="L132" s="800"/>
      <c r="M132" s="800"/>
      <c r="N132" s="800"/>
      <c r="O132" s="800"/>
      <c r="P132" s="800"/>
      <c r="Q132" s="707"/>
      <c r="R132" s="707"/>
      <c r="S132" s="707"/>
      <c r="T132" s="707"/>
      <c r="U132" s="707"/>
      <c r="V132" s="707"/>
    </row>
    <row r="133" spans="1:22" ht="18" customHeight="1">
      <c r="A133" s="707"/>
      <c r="B133" s="707"/>
      <c r="C133" s="707"/>
      <c r="D133" s="707"/>
      <c r="E133" s="1206"/>
      <c r="F133" s="1206"/>
      <c r="G133" s="707"/>
      <c r="H133" s="707"/>
      <c r="I133" s="707"/>
      <c r="J133" s="800"/>
      <c r="K133" s="800"/>
      <c r="L133" s="800"/>
      <c r="M133" s="800"/>
      <c r="N133" s="800"/>
      <c r="O133" s="800"/>
      <c r="P133" s="800"/>
      <c r="Q133" s="707"/>
      <c r="R133" s="707"/>
      <c r="S133" s="707"/>
      <c r="T133" s="707"/>
      <c r="U133" s="707"/>
      <c r="V133" s="707"/>
    </row>
    <row r="134" spans="1:22" ht="18" customHeight="1">
      <c r="A134" s="865" t="str">
        <f>B7&amp;","&amp;B8&amp;","&amp;B9</f>
        <v>T15/T25,T16/T26,T17/T27</v>
      </c>
      <c r="B134" s="866"/>
      <c r="C134" s="799" t="str">
        <f>D7</f>
        <v>Core1</v>
      </c>
      <c r="D134" s="812"/>
      <c r="E134" s="355">
        <f>H11</f>
        <v>33</v>
      </c>
      <c r="F134" s="258" t="str">
        <f>I11</f>
        <v>/ √3</v>
      </c>
      <c r="G134" s="356" t="s">
        <v>353</v>
      </c>
      <c r="H134" s="255">
        <f>K11</f>
        <v>0.11</v>
      </c>
      <c r="I134" s="258" t="str">
        <f>L11</f>
        <v>/ √3</v>
      </c>
      <c r="J134" s="878">
        <f>'CT-VT Burdens'!S37</f>
        <v>150</v>
      </c>
      <c r="K134" s="862">
        <f>'CT-VT Burdens'!S28</f>
        <v>2.5</v>
      </c>
      <c r="L134" s="679">
        <f>H12</f>
        <v>0.2</v>
      </c>
      <c r="M134" s="679"/>
      <c r="N134" s="679">
        <f>H13</f>
        <v>100</v>
      </c>
      <c r="O134" s="679"/>
      <c r="P134" s="679"/>
      <c r="Q134" s="679" t="str">
        <f>G39</f>
        <v>Suitably Dimensioned</v>
      </c>
      <c r="R134" s="679"/>
      <c r="S134" s="679"/>
      <c r="T134" s="679"/>
      <c r="U134" s="679"/>
      <c r="V134" s="679"/>
    </row>
    <row r="135" spans="1:22" ht="18" customHeight="1">
      <c r="A135" s="1210"/>
      <c r="B135" s="1211"/>
      <c r="C135" s="679" t="str">
        <f>D48</f>
        <v>Core2</v>
      </c>
      <c r="D135" s="679"/>
      <c r="E135" s="355">
        <f>H52</f>
        <v>33</v>
      </c>
      <c r="F135" s="258" t="str">
        <f>I52</f>
        <v>/ √3</v>
      </c>
      <c r="G135" s="480" t="s">
        <v>353</v>
      </c>
      <c r="H135" s="255">
        <f>K52</f>
        <v>0.11</v>
      </c>
      <c r="I135" s="258" t="str">
        <f>L52</f>
        <v>/ √3</v>
      </c>
      <c r="J135" s="878"/>
      <c r="K135" s="679"/>
      <c r="L135" s="679" t="str">
        <f>H53</f>
        <v>0.2/3P</v>
      </c>
      <c r="M135" s="679"/>
      <c r="N135" s="679">
        <f>H54</f>
        <v>100</v>
      </c>
      <c r="O135" s="679"/>
      <c r="P135" s="679"/>
      <c r="Q135" s="679" t="str">
        <f>G80</f>
        <v>Suitably Dimensioned</v>
      </c>
      <c r="R135" s="679"/>
      <c r="S135" s="679"/>
      <c r="T135" s="679"/>
      <c r="U135" s="679"/>
      <c r="V135" s="679"/>
    </row>
    <row r="136" spans="1:22" ht="18" customHeight="1">
      <c r="A136" s="1212"/>
      <c r="B136" s="1213"/>
      <c r="C136" s="679" t="str">
        <f>D89</f>
        <v>Core3</v>
      </c>
      <c r="D136" s="679"/>
      <c r="E136" s="355">
        <f>H94</f>
        <v>33</v>
      </c>
      <c r="F136" s="258" t="str">
        <f>I94</f>
        <v>/ √3</v>
      </c>
      <c r="G136" s="480" t="s">
        <v>353</v>
      </c>
      <c r="H136" s="255">
        <f>K94</f>
        <v>0.11</v>
      </c>
      <c r="I136" s="258" t="str">
        <f>L94</f>
        <v>/ √3</v>
      </c>
      <c r="J136" s="878"/>
      <c r="K136" s="679"/>
      <c r="L136" s="679" t="str">
        <f>H95</f>
        <v>0.2/3P</v>
      </c>
      <c r="M136" s="679"/>
      <c r="N136" s="679">
        <f>H96</f>
        <v>100</v>
      </c>
      <c r="O136" s="679"/>
      <c r="P136" s="679"/>
      <c r="Q136" s="679" t="str">
        <f>G122</f>
        <v>Suitably Dimensioned</v>
      </c>
      <c r="R136" s="679"/>
      <c r="S136" s="679"/>
      <c r="T136" s="679"/>
      <c r="U136" s="679"/>
      <c r="V136" s="679"/>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200"/>
      <c r="T169" s="1201"/>
      <c r="U169" s="207"/>
      <c r="V169" s="140"/>
    </row>
  </sheetData>
  <mergeCells count="111">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 ref="E131:I133"/>
    <mergeCell ref="J131:K133"/>
    <mergeCell ref="L131:M133"/>
    <mergeCell ref="N131:P133"/>
    <mergeCell ref="Q131:V133"/>
    <mergeCell ref="K112:L112"/>
    <mergeCell ref="N112:O112"/>
    <mergeCell ref="K113:L113"/>
    <mergeCell ref="K115:L115"/>
    <mergeCell ref="K116:L116"/>
    <mergeCell ref="N116:O116"/>
    <mergeCell ref="K101:L101"/>
    <mergeCell ref="K102:L102"/>
    <mergeCell ref="K103:L103"/>
    <mergeCell ref="K104:L104"/>
    <mergeCell ref="K105:L105"/>
    <mergeCell ref="K106:L106"/>
    <mergeCell ref="B89:C89"/>
    <mergeCell ref="H95:I95"/>
    <mergeCell ref="H96:I96"/>
    <mergeCell ref="K99:L99"/>
    <mergeCell ref="K100:L100"/>
    <mergeCell ref="K74:L74"/>
    <mergeCell ref="N74:O74"/>
    <mergeCell ref="K75:L75"/>
    <mergeCell ref="D79:E79"/>
    <mergeCell ref="G79:H79"/>
    <mergeCell ref="S87:T87"/>
    <mergeCell ref="K63:L63"/>
    <mergeCell ref="K64:L64"/>
    <mergeCell ref="K70:L70"/>
    <mergeCell ref="N70:O70"/>
    <mergeCell ref="K71:L71"/>
    <mergeCell ref="K73:L73"/>
    <mergeCell ref="K57:L57"/>
    <mergeCell ref="K58:L58"/>
    <mergeCell ref="K59:L59"/>
    <mergeCell ref="K60:L60"/>
    <mergeCell ref="K61:L61"/>
    <mergeCell ref="K62:L62"/>
    <mergeCell ref="B48:C48"/>
    <mergeCell ref="D48:E50"/>
    <mergeCell ref="B49:C49"/>
    <mergeCell ref="B50:C50"/>
    <mergeCell ref="H53:I53"/>
    <mergeCell ref="H54:I54"/>
    <mergeCell ref="K33:L33"/>
    <mergeCell ref="N33:O33"/>
    <mergeCell ref="K34:L34"/>
    <mergeCell ref="D38:E38"/>
    <mergeCell ref="G38:H38"/>
    <mergeCell ref="S46:T46"/>
    <mergeCell ref="K22:L22"/>
    <mergeCell ref="K23:L23"/>
    <mergeCell ref="K29:L29"/>
    <mergeCell ref="N29:O29"/>
    <mergeCell ref="K30:L30"/>
    <mergeCell ref="K32:L32"/>
    <mergeCell ref="K16:L16"/>
    <mergeCell ref="K17:L17"/>
    <mergeCell ref="K18:L18"/>
    <mergeCell ref="K19:L19"/>
    <mergeCell ref="K20:L20"/>
    <mergeCell ref="K21:L21"/>
    <mergeCell ref="B7:C7"/>
    <mergeCell ref="D7:E9"/>
    <mergeCell ref="B8:C8"/>
    <mergeCell ref="B9:C9"/>
    <mergeCell ref="H12:I12"/>
    <mergeCell ref="H13:I1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4" t="str">
        <f>Title!R1</f>
        <v>N-19957.1-DF5W</v>
      </c>
      <c r="S1" s="775"/>
      <c r="T1" s="775"/>
      <c r="U1" s="775"/>
      <c r="V1" s="776"/>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777">
        <f>Title!R2</f>
        <v>46106</v>
      </c>
      <c r="S2" s="775"/>
      <c r="T2" s="775"/>
      <c r="U2" s="775"/>
      <c r="V2" s="776"/>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774" t="str">
        <f>Title!R3</f>
        <v>-</v>
      </c>
      <c r="S3" s="775"/>
      <c r="T3" s="775"/>
      <c r="U3" s="775"/>
      <c r="V3" s="776"/>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774" t="str">
        <f>Title!R4</f>
        <v>A</v>
      </c>
      <c r="S4" s="775"/>
      <c r="T4" s="775"/>
      <c r="U4" s="775"/>
      <c r="V4" s="776"/>
      <c r="W4" s="14"/>
      <c r="X4" s="14"/>
    </row>
    <row r="5" spans="1:24" ht="18" customHeight="1">
      <c r="A5" s="618" t="str">
        <f>Title!A5</f>
        <v>Prep. By</v>
      </c>
      <c r="B5" s="619"/>
      <c r="C5" s="25" t="str">
        <f>Title!C5</f>
        <v>AP</v>
      </c>
      <c r="D5" s="618" t="str">
        <f>Title!D5</f>
        <v>Checked By</v>
      </c>
      <c r="E5" s="620"/>
      <c r="F5" s="619"/>
      <c r="G5" s="25" t="str">
        <f>Title!G5</f>
        <v>RB</v>
      </c>
      <c r="H5" s="621" t="s">
        <v>807</v>
      </c>
      <c r="I5" s="622"/>
      <c r="J5" s="622"/>
      <c r="K5" s="622"/>
      <c r="L5" s="622"/>
      <c r="M5" s="622"/>
      <c r="N5" s="623"/>
      <c r="O5" s="624" t="str">
        <f>Title!O5</f>
        <v>Contractor</v>
      </c>
      <c r="P5" s="625"/>
      <c r="Q5" s="626"/>
      <c r="R5" s="774" t="str">
        <f>Title!R5</f>
        <v>HITACHI</v>
      </c>
      <c r="S5" s="775"/>
      <c r="T5" s="775"/>
      <c r="U5" s="775"/>
      <c r="V5" s="776"/>
      <c r="W5" s="14"/>
      <c r="X5" s="14"/>
    </row>
    <row r="6" spans="1:24" ht="18" customHeight="1">
      <c r="A6" s="196"/>
      <c r="V6" s="197"/>
    </row>
    <row r="7" spans="1:24" ht="18" customHeight="1">
      <c r="A7" s="196"/>
      <c r="B7" s="890" t="s">
        <v>818</v>
      </c>
      <c r="C7" s="890"/>
      <c r="D7" s="890" t="s">
        <v>396</v>
      </c>
      <c r="E7" s="890"/>
      <c r="V7" s="197"/>
    </row>
    <row r="8" spans="1:24" ht="18" customHeight="1">
      <c r="A8" s="196"/>
      <c r="B8" s="890" t="s">
        <v>819</v>
      </c>
      <c r="C8" s="890"/>
      <c r="D8" s="890"/>
      <c r="E8" s="890"/>
      <c r="V8" s="197"/>
    </row>
    <row r="9" spans="1:24" ht="18" customHeight="1">
      <c r="A9" s="196"/>
      <c r="B9" s="890" t="s">
        <v>820</v>
      </c>
      <c r="C9" s="890"/>
      <c r="D9" s="890"/>
      <c r="E9" s="890"/>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3" t="s">
        <v>806</v>
      </c>
      <c r="I12" s="654"/>
      <c r="V12" s="197"/>
    </row>
    <row r="13" spans="1:24" ht="18" customHeight="1">
      <c r="A13" s="196"/>
      <c r="B13" s="30" t="s">
        <v>573</v>
      </c>
      <c r="H13" s="653">
        <v>20</v>
      </c>
      <c r="I13" s="654"/>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674">
        <f>'CT-VT Burdens'!S48</f>
        <v>0.02</v>
      </c>
      <c r="L16" s="675"/>
      <c r="M16" s="3" t="s">
        <v>168</v>
      </c>
      <c r="V16" s="197"/>
    </row>
    <row r="17" spans="1:25" ht="18" customHeight="1">
      <c r="A17" s="196"/>
      <c r="C17" s="96" t="s">
        <v>416</v>
      </c>
      <c r="D17" s="14"/>
      <c r="E17" s="30" t="s">
        <v>803</v>
      </c>
      <c r="F17" s="14"/>
      <c r="H17" s="211"/>
      <c r="I17" s="27"/>
      <c r="J17" s="101" t="s">
        <v>138</v>
      </c>
      <c r="K17" s="674">
        <f>'CT-VT Burdens'!S55</f>
        <v>0.05</v>
      </c>
      <c r="L17" s="675"/>
      <c r="M17" s="214" t="s">
        <v>168</v>
      </c>
      <c r="V17" s="197"/>
      <c r="Y17" s="308" t="s">
        <v>243</v>
      </c>
    </row>
    <row r="18" spans="1:25" ht="18" customHeight="1">
      <c r="A18" s="196"/>
      <c r="C18" s="96" t="s">
        <v>416</v>
      </c>
      <c r="D18" s="14"/>
      <c r="E18" s="30" t="s">
        <v>399</v>
      </c>
      <c r="F18" s="14"/>
      <c r="H18" s="211"/>
      <c r="I18" s="27"/>
      <c r="J18" s="101" t="s">
        <v>138</v>
      </c>
      <c r="K18" s="674">
        <f>'CT-VT Burdens'!S48</f>
        <v>0.02</v>
      </c>
      <c r="L18" s="675"/>
      <c r="M18" s="214" t="s">
        <v>168</v>
      </c>
      <c r="V18" s="197"/>
      <c r="Y18" s="308" t="s">
        <v>519</v>
      </c>
    </row>
    <row r="19" spans="1:25" ht="18" customHeight="1">
      <c r="A19" s="196"/>
      <c r="C19" s="96" t="s">
        <v>416</v>
      </c>
      <c r="D19" s="14"/>
      <c r="E19" s="30" t="s">
        <v>519</v>
      </c>
      <c r="F19" s="14"/>
      <c r="H19" s="211"/>
      <c r="I19" s="27"/>
      <c r="J19" s="101" t="s">
        <v>138</v>
      </c>
      <c r="K19" s="674">
        <f>'CT-VT Burdens'!S48</f>
        <v>0.02</v>
      </c>
      <c r="L19" s="675"/>
      <c r="M19" s="214" t="s">
        <v>168</v>
      </c>
      <c r="V19" s="197"/>
      <c r="Y19" s="308" t="s">
        <v>399</v>
      </c>
    </row>
    <row r="20" spans="1:25" ht="13.2">
      <c r="A20" s="196"/>
      <c r="B20" s="117"/>
      <c r="C20" s="196" t="s">
        <v>416</v>
      </c>
      <c r="D20" s="14"/>
      <c r="E20" s="308"/>
      <c r="F20" s="14"/>
      <c r="H20" s="211"/>
      <c r="I20" s="27"/>
      <c r="J20" s="101" t="s">
        <v>138</v>
      </c>
      <c r="K20" s="674"/>
      <c r="L20" s="675"/>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699">
        <f>SUM(K16:L20)</f>
        <v>0.11000000000000001</v>
      </c>
      <c r="L21" s="700"/>
      <c r="M21" s="214" t="s">
        <v>168</v>
      </c>
      <c r="R21" s="14"/>
      <c r="S21" s="14"/>
      <c r="T21" s="14"/>
      <c r="U21" s="293"/>
      <c r="V21" s="197"/>
    </row>
    <row r="22" spans="1:25" ht="18" customHeight="1">
      <c r="A22" s="196"/>
      <c r="C22" s="196" t="s">
        <v>423</v>
      </c>
      <c r="D22" s="14"/>
      <c r="E22" s="14"/>
      <c r="F22" s="14"/>
      <c r="I22" s="27"/>
      <c r="J22" s="101" t="s">
        <v>138</v>
      </c>
      <c r="K22" s="1198">
        <f>'CT-VT Burdens'!S39</f>
        <v>2.7035014500000001</v>
      </c>
      <c r="L22" s="1199"/>
      <c r="M22" s="309" t="s">
        <v>168</v>
      </c>
      <c r="R22" s="14"/>
      <c r="S22" s="14"/>
      <c r="T22" s="14"/>
      <c r="U22" s="293"/>
      <c r="V22" s="197"/>
    </row>
    <row r="23" spans="1:25" ht="18" customHeight="1">
      <c r="A23" s="196"/>
      <c r="C23" s="1" t="s">
        <v>424</v>
      </c>
      <c r="D23" s="2"/>
      <c r="E23" s="2"/>
      <c r="F23" s="2"/>
      <c r="G23" s="208"/>
      <c r="H23" s="208"/>
      <c r="I23" s="236" t="s">
        <v>523</v>
      </c>
      <c r="J23" s="195" t="s">
        <v>138</v>
      </c>
      <c r="K23" s="1198">
        <f>K21+K22</f>
        <v>2.81350145</v>
      </c>
      <c r="L23" s="1199"/>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669">
        <f>K21</f>
        <v>0.11000000000000001</v>
      </c>
      <c r="L29" s="664"/>
      <c r="M29" s="102" t="s">
        <v>353</v>
      </c>
      <c r="N29" s="669">
        <f>K11/SQRT(3)*1000</f>
        <v>63.508529610858844</v>
      </c>
      <c r="O29" s="664"/>
      <c r="V29" s="197"/>
    </row>
    <row r="30" spans="1:25" ht="18" customHeight="1">
      <c r="A30" s="196"/>
      <c r="B30" s="14"/>
      <c r="C30" s="14"/>
      <c r="D30" s="120"/>
      <c r="J30" s="28" t="s">
        <v>138</v>
      </c>
      <c r="K30" s="906">
        <f>K29/N29</f>
        <v>1.7320508075688772E-3</v>
      </c>
      <c r="L30" s="906"/>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664" t="s">
        <v>797</v>
      </c>
      <c r="L32" s="664"/>
      <c r="M32" s="28" t="s">
        <v>326</v>
      </c>
      <c r="N32" s="47" t="s">
        <v>798</v>
      </c>
      <c r="O32" s="14"/>
      <c r="P32" s="28"/>
      <c r="V32" s="197"/>
    </row>
    <row r="33" spans="1:22" ht="18" customHeight="1">
      <c r="A33" s="196"/>
      <c r="J33" s="28" t="s">
        <v>138</v>
      </c>
      <c r="K33" s="665">
        <f>K30*K30</f>
        <v>2.9999999999999997E-6</v>
      </c>
      <c r="L33" s="665"/>
      <c r="M33" s="28" t="s">
        <v>326</v>
      </c>
      <c r="N33" s="668">
        <f>'CT-VT Burdens'!S39</f>
        <v>2.7035014500000001</v>
      </c>
      <c r="O33" s="668"/>
      <c r="V33" s="197"/>
    </row>
    <row r="34" spans="1:22" ht="18" customHeight="1">
      <c r="A34" s="196"/>
      <c r="J34" s="28" t="s">
        <v>138</v>
      </c>
      <c r="K34" s="1158">
        <f>K33*N33</f>
        <v>8.1105043499999996E-6</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65">
        <f>H13</f>
        <v>20</v>
      </c>
      <c r="E38" s="665"/>
      <c r="F38" s="27" t="str">
        <f>F37</f>
        <v>&gt;</v>
      </c>
      <c r="G38" s="1158">
        <f>K23</f>
        <v>2.81350145</v>
      </c>
      <c r="H38" s="665"/>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890" t="s">
        <v>818</v>
      </c>
      <c r="C48" s="890"/>
      <c r="D48" s="890" t="s">
        <v>517</v>
      </c>
      <c r="E48" s="890"/>
      <c r="V48" s="197"/>
    </row>
    <row r="49" spans="1:23" ht="18" customHeight="1">
      <c r="A49" s="196"/>
      <c r="B49" s="890" t="s">
        <v>819</v>
      </c>
      <c r="C49" s="890"/>
      <c r="D49" s="890"/>
      <c r="E49" s="890"/>
      <c r="V49" s="197"/>
    </row>
    <row r="50" spans="1:23" ht="18" customHeight="1">
      <c r="A50" s="196"/>
      <c r="B50" s="890" t="s">
        <v>820</v>
      </c>
      <c r="C50" s="890"/>
      <c r="D50" s="890"/>
      <c r="E50" s="890"/>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3">
        <v>0.2</v>
      </c>
      <c r="I53" s="654"/>
      <c r="V53" s="197"/>
    </row>
    <row r="54" spans="1:23" ht="18" customHeight="1">
      <c r="A54" s="196"/>
      <c r="B54" s="30" t="s">
        <v>573</v>
      </c>
      <c r="H54" s="653">
        <v>10</v>
      </c>
      <c r="I54" s="654"/>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674">
        <f>'CT-VT Burdens'!S96</f>
        <v>3.75</v>
      </c>
      <c r="L57" s="675"/>
      <c r="M57" s="3" t="s">
        <v>168</v>
      </c>
      <c r="V57" s="197"/>
    </row>
    <row r="58" spans="1:23" ht="18" customHeight="1">
      <c r="A58" s="196"/>
      <c r="C58" s="96" t="s">
        <v>416</v>
      </c>
      <c r="D58" s="14"/>
      <c r="E58" s="308" t="s">
        <v>205</v>
      </c>
      <c r="F58" s="14"/>
      <c r="H58" s="211"/>
      <c r="I58" s="27"/>
      <c r="J58" s="189" t="s">
        <v>138</v>
      </c>
      <c r="K58" s="1050">
        <f>'CT-VT Burdens'!S92</f>
        <v>0.378</v>
      </c>
      <c r="L58" s="1051"/>
      <c r="M58" s="214" t="s">
        <v>168</v>
      </c>
      <c r="V58" s="197"/>
    </row>
    <row r="59" spans="1:23" ht="18" customHeight="1">
      <c r="A59" s="196"/>
      <c r="C59" s="96" t="s">
        <v>416</v>
      </c>
      <c r="D59" s="14"/>
      <c r="E59" s="308"/>
      <c r="F59" s="14"/>
      <c r="H59" s="211"/>
      <c r="I59" s="27"/>
      <c r="J59" s="189" t="s">
        <v>138</v>
      </c>
      <c r="K59" s="674"/>
      <c r="L59" s="675"/>
      <c r="M59" s="214" t="s">
        <v>168</v>
      </c>
      <c r="V59" s="197"/>
    </row>
    <row r="60" spans="1:23" ht="18" customHeight="1">
      <c r="A60" s="196"/>
      <c r="C60" s="96" t="s">
        <v>416</v>
      </c>
      <c r="D60" s="14"/>
      <c r="E60" s="308"/>
      <c r="F60" s="14"/>
      <c r="H60" s="211"/>
      <c r="I60" s="27"/>
      <c r="J60" s="189" t="s">
        <v>138</v>
      </c>
      <c r="K60" s="674"/>
      <c r="L60" s="675"/>
      <c r="M60" s="214" t="s">
        <v>168</v>
      </c>
      <c r="V60" s="197"/>
    </row>
    <row r="61" spans="1:23" ht="18" customHeight="1">
      <c r="A61" s="196"/>
      <c r="B61" s="117"/>
      <c r="C61" s="96" t="s">
        <v>416</v>
      </c>
      <c r="D61" s="14"/>
      <c r="F61" s="14"/>
      <c r="H61" s="211"/>
      <c r="I61" s="27"/>
      <c r="J61" s="189" t="s">
        <v>138</v>
      </c>
      <c r="K61" s="674"/>
      <c r="L61" s="675"/>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674"/>
      <c r="L62" s="670"/>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674"/>
      <c r="L63" s="670"/>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674"/>
      <c r="L64" s="670"/>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699">
        <f>SUM(K57:L64)</f>
        <v>4.1280000000000001</v>
      </c>
      <c r="L66" s="700"/>
      <c r="M66" s="214" t="s">
        <v>168</v>
      </c>
      <c r="R66" s="14"/>
      <c r="S66" s="14"/>
      <c r="T66" s="14"/>
      <c r="U66" s="293"/>
      <c r="V66" s="197"/>
    </row>
    <row r="67" spans="1:22" ht="18" customHeight="1">
      <c r="A67" s="196"/>
      <c r="C67" s="196" t="s">
        <v>423</v>
      </c>
      <c r="D67" s="14"/>
      <c r="E67" s="14"/>
      <c r="F67" s="14"/>
      <c r="I67" s="27"/>
      <c r="J67" s="101" t="s">
        <v>138</v>
      </c>
      <c r="K67" s="1198">
        <f>'CT-VT Burdens'!S39*1</f>
        <v>2.7035014500000001</v>
      </c>
      <c r="L67" s="1199"/>
      <c r="M67" s="309" t="s">
        <v>168</v>
      </c>
      <c r="R67" s="14"/>
      <c r="S67" s="14"/>
      <c r="T67" s="14"/>
      <c r="U67" s="293"/>
      <c r="V67" s="197"/>
    </row>
    <row r="68" spans="1:22" ht="18" customHeight="1">
      <c r="A68" s="196"/>
      <c r="C68" s="1" t="s">
        <v>424</v>
      </c>
      <c r="D68" s="2"/>
      <c r="E68" s="2"/>
      <c r="F68" s="2"/>
      <c r="G68" s="208"/>
      <c r="H68" s="208"/>
      <c r="I68" s="236" t="s">
        <v>523</v>
      </c>
      <c r="J68" s="195" t="s">
        <v>138</v>
      </c>
      <c r="K68" s="1198">
        <f>K66+K67</f>
        <v>6.8315014500000002</v>
      </c>
      <c r="L68" s="1199"/>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669">
        <f>K66</f>
        <v>4.1280000000000001</v>
      </c>
      <c r="L74" s="664"/>
      <c r="M74" s="102" t="s">
        <v>353</v>
      </c>
      <c r="N74" s="669">
        <f>K52/SQRT(3)*1000</f>
        <v>63.508529610858844</v>
      </c>
      <c r="O74" s="664"/>
      <c r="V74" s="197"/>
    </row>
    <row r="75" spans="1:22" ht="18" customHeight="1">
      <c r="A75" s="196"/>
      <c r="B75" s="14"/>
      <c r="C75" s="14"/>
      <c r="D75" s="120"/>
      <c r="J75" s="28" t="s">
        <v>138</v>
      </c>
      <c r="K75" s="906">
        <f>K74/N74</f>
        <v>6.499914303313023E-2</v>
      </c>
      <c r="L75" s="906"/>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664" t="s">
        <v>797</v>
      </c>
      <c r="L77" s="664"/>
      <c r="M77" s="28" t="s">
        <v>326</v>
      </c>
      <c r="N77" s="47" t="s">
        <v>798</v>
      </c>
      <c r="O77" s="14"/>
      <c r="P77" s="28"/>
      <c r="V77" s="197"/>
    </row>
    <row r="78" spans="1:22" ht="18" customHeight="1">
      <c r="A78" s="196"/>
      <c r="J78" s="28" t="s">
        <v>138</v>
      </c>
      <c r="K78" s="665">
        <f>K75*K75</f>
        <v>4.2248885950413222E-3</v>
      </c>
      <c r="L78" s="665"/>
      <c r="M78" s="28" t="s">
        <v>326</v>
      </c>
      <c r="N78" s="668">
        <f>N33</f>
        <v>2.7035014500000001</v>
      </c>
      <c r="O78" s="668"/>
      <c r="V78" s="197"/>
    </row>
    <row r="79" spans="1:22" ht="18" customHeight="1">
      <c r="A79" s="196"/>
      <c r="J79" s="28" t="s">
        <v>138</v>
      </c>
      <c r="K79" s="1158">
        <f>K78*N78</f>
        <v>1.1421992442782677E-2</v>
      </c>
      <c r="L79" s="1158"/>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665">
        <f>H54</f>
        <v>10</v>
      </c>
      <c r="E83" s="665"/>
      <c r="F83" s="27" t="str">
        <f>F82</f>
        <v>&gt;</v>
      </c>
      <c r="G83" s="1158">
        <f>K68</f>
        <v>6.8315014500000002</v>
      </c>
      <c r="H83" s="665"/>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3" t="s">
        <v>821</v>
      </c>
      <c r="C89" s="654"/>
      <c r="D89" s="890" t="s">
        <v>121</v>
      </c>
      <c r="E89" s="985"/>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653" t="s">
        <v>822</v>
      </c>
      <c r="I92" s="654"/>
      <c r="V92" s="197"/>
    </row>
    <row r="93" spans="1:23" ht="18" hidden="1" customHeight="1">
      <c r="A93" s="196"/>
      <c r="B93" s="30" t="s">
        <v>573</v>
      </c>
      <c r="H93" s="653">
        <v>50</v>
      </c>
      <c r="I93" s="654"/>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674"/>
      <c r="L96" s="675"/>
      <c r="M96" s="3" t="s">
        <v>168</v>
      </c>
      <c r="V96" s="197"/>
    </row>
    <row r="97" spans="1:22" ht="18" hidden="1" customHeight="1">
      <c r="A97" s="196"/>
      <c r="C97" s="96" t="s">
        <v>416</v>
      </c>
      <c r="D97" s="14"/>
      <c r="E97" s="47"/>
      <c r="F97" s="14"/>
      <c r="H97" s="211"/>
      <c r="I97" s="27"/>
      <c r="J97" s="101" t="s">
        <v>138</v>
      </c>
      <c r="K97" s="674"/>
      <c r="L97" s="675"/>
      <c r="M97" s="214" t="s">
        <v>168</v>
      </c>
      <c r="V97" s="197"/>
    </row>
    <row r="98" spans="1:22" ht="18" hidden="1" customHeight="1">
      <c r="A98" s="196"/>
      <c r="C98" s="96" t="s">
        <v>416</v>
      </c>
      <c r="D98" s="14"/>
      <c r="E98" s="47"/>
      <c r="F98" s="14"/>
      <c r="H98" s="211"/>
      <c r="I98" s="27"/>
      <c r="J98" s="101" t="s">
        <v>138</v>
      </c>
      <c r="K98" s="674"/>
      <c r="L98" s="675"/>
      <c r="M98" s="214" t="s">
        <v>168</v>
      </c>
      <c r="V98" s="197"/>
    </row>
    <row r="99" spans="1:22" ht="18" hidden="1" customHeight="1">
      <c r="A99" s="196"/>
      <c r="C99" s="96" t="s">
        <v>416</v>
      </c>
      <c r="D99" s="14"/>
      <c r="E99" s="47"/>
      <c r="F99" s="14"/>
      <c r="H99" s="211"/>
      <c r="I99" s="27"/>
      <c r="J99" s="101" t="s">
        <v>138</v>
      </c>
      <c r="K99" s="674"/>
      <c r="L99" s="675"/>
      <c r="M99" s="214" t="s">
        <v>168</v>
      </c>
      <c r="V99" s="197"/>
    </row>
    <row r="100" spans="1:22" ht="18" hidden="1" customHeight="1">
      <c r="A100" s="196"/>
      <c r="B100" s="117"/>
      <c r="C100" s="96" t="s">
        <v>416</v>
      </c>
      <c r="D100" s="14"/>
      <c r="E100" s="47"/>
      <c r="F100" s="14"/>
      <c r="H100" s="211"/>
      <c r="I100" s="27"/>
      <c r="J100" s="101" t="s">
        <v>138</v>
      </c>
      <c r="K100" s="674">
        <v>4</v>
      </c>
      <c r="L100" s="675"/>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699">
        <f>SUM(K96:L100)</f>
        <v>4</v>
      </c>
      <c r="L101" s="700"/>
      <c r="M101" s="214" t="s">
        <v>168</v>
      </c>
      <c r="R101" s="14"/>
      <c r="S101" s="14"/>
      <c r="T101" s="14"/>
      <c r="U101" s="293"/>
      <c r="V101" s="197"/>
    </row>
    <row r="102" spans="1:22" ht="18" hidden="1" customHeight="1">
      <c r="A102" s="196"/>
      <c r="C102" s="196" t="s">
        <v>423</v>
      </c>
      <c r="D102" s="14"/>
      <c r="E102" s="14"/>
      <c r="F102" s="14"/>
      <c r="I102" s="27"/>
      <c r="J102" s="101" t="s">
        <v>138</v>
      </c>
      <c r="K102" s="1198">
        <f>K114</f>
        <v>1.0724633851239665E-2</v>
      </c>
      <c r="L102" s="1199"/>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8">
        <f>K101+K102</f>
        <v>4.0107246338512397</v>
      </c>
      <c r="L103" s="1199"/>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669">
        <f>K101</f>
        <v>4</v>
      </c>
      <c r="L109" s="664"/>
      <c r="M109" s="102" t="s">
        <v>353</v>
      </c>
      <c r="N109" s="669">
        <f>K91/SQRT(3)*1000</f>
        <v>63.508529610858844</v>
      </c>
      <c r="O109" s="664"/>
      <c r="V109" s="197"/>
    </row>
    <row r="110" spans="1:22" ht="18" hidden="1" customHeight="1">
      <c r="A110" s="196"/>
      <c r="B110" s="14"/>
      <c r="C110" s="14"/>
      <c r="D110" s="120"/>
      <c r="J110" s="28" t="s">
        <v>138</v>
      </c>
      <c r="K110" s="906">
        <f>K109/N109</f>
        <v>6.2983665729777344E-2</v>
      </c>
      <c r="L110" s="906"/>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664" t="s">
        <v>797</v>
      </c>
      <c r="L112" s="664"/>
      <c r="M112" s="28" t="s">
        <v>326</v>
      </c>
      <c r="N112" s="47" t="s">
        <v>798</v>
      </c>
      <c r="O112" s="14"/>
      <c r="P112" s="28"/>
      <c r="Q112" s="479"/>
      <c r="V112" s="197"/>
    </row>
    <row r="113" spans="1:22" ht="18" hidden="1" customHeight="1">
      <c r="A113" s="196"/>
      <c r="J113" s="28" t="s">
        <v>138</v>
      </c>
      <c r="K113" s="665">
        <f>K110*K110</f>
        <v>3.9669421487603289E-3</v>
      </c>
      <c r="L113" s="665"/>
      <c r="M113" s="28" t="s">
        <v>326</v>
      </c>
      <c r="N113" s="668">
        <f>N78</f>
        <v>2.7035014500000001</v>
      </c>
      <c r="O113" s="668"/>
      <c r="V113" s="197"/>
    </row>
    <row r="114" spans="1:22" ht="18" hidden="1" customHeight="1">
      <c r="A114" s="196"/>
      <c r="J114" s="28" t="s">
        <v>138</v>
      </c>
      <c r="K114" s="1158">
        <f>K113*N113</f>
        <v>1.0724633851239665E-2</v>
      </c>
      <c r="L114" s="1158"/>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665">
        <f>H93</f>
        <v>50</v>
      </c>
      <c r="E118" s="665"/>
      <c r="F118" s="27" t="str">
        <f>F117</f>
        <v>&gt;</v>
      </c>
      <c r="G118" s="1158">
        <f>K103</f>
        <v>4.0107246338512397</v>
      </c>
      <c r="H118" s="665"/>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200"/>
      <c r="T131" s="1201"/>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07" t="s">
        <v>127</v>
      </c>
      <c r="B134" s="707"/>
      <c r="C134" s="707"/>
      <c r="D134" s="707"/>
      <c r="E134" s="707" t="s">
        <v>128</v>
      </c>
      <c r="F134" s="707"/>
      <c r="G134" s="707"/>
      <c r="H134" s="707"/>
      <c r="I134" s="707"/>
      <c r="J134" s="800" t="s">
        <v>129</v>
      </c>
      <c r="K134" s="800"/>
      <c r="L134" s="800" t="s">
        <v>100</v>
      </c>
      <c r="M134" s="800"/>
      <c r="N134" s="800" t="s">
        <v>112</v>
      </c>
      <c r="O134" s="800"/>
      <c r="P134" s="800"/>
      <c r="Q134" s="707" t="s">
        <v>805</v>
      </c>
      <c r="R134" s="707"/>
      <c r="S134" s="707"/>
      <c r="T134" s="707"/>
      <c r="U134" s="707"/>
      <c r="V134" s="707"/>
    </row>
    <row r="135" spans="1:22" ht="18" customHeight="1">
      <c r="A135" s="707"/>
      <c r="B135" s="707"/>
      <c r="C135" s="707"/>
      <c r="D135" s="707"/>
      <c r="E135" s="707"/>
      <c r="F135" s="707"/>
      <c r="G135" s="707"/>
      <c r="H135" s="707"/>
      <c r="I135" s="707"/>
      <c r="J135" s="800"/>
      <c r="K135" s="800"/>
      <c r="L135" s="800"/>
      <c r="M135" s="800"/>
      <c r="N135" s="800"/>
      <c r="O135" s="800"/>
      <c r="P135" s="800"/>
      <c r="Q135" s="707"/>
      <c r="R135" s="707"/>
      <c r="S135" s="707"/>
      <c r="T135" s="707"/>
      <c r="U135" s="707"/>
      <c r="V135" s="707"/>
    </row>
    <row r="136" spans="1:22" ht="18" customHeight="1">
      <c r="A136" s="707"/>
      <c r="B136" s="707"/>
      <c r="C136" s="707"/>
      <c r="D136" s="707"/>
      <c r="E136" s="1206"/>
      <c r="F136" s="1206"/>
      <c r="G136" s="707"/>
      <c r="H136" s="707"/>
      <c r="I136" s="707"/>
      <c r="J136" s="800"/>
      <c r="K136" s="800"/>
      <c r="L136" s="800"/>
      <c r="M136" s="800"/>
      <c r="N136" s="800"/>
      <c r="O136" s="800"/>
      <c r="P136" s="800"/>
      <c r="Q136" s="707"/>
      <c r="R136" s="707"/>
      <c r="S136" s="707"/>
      <c r="T136" s="707"/>
      <c r="U136" s="707"/>
      <c r="V136" s="707"/>
    </row>
    <row r="137" spans="1:22" ht="18" customHeight="1">
      <c r="A137" s="865" t="str">
        <f>B7&amp;","&amp;B8&amp;","&amp;B9</f>
        <v>T15,T16,T17</v>
      </c>
      <c r="B137" s="866"/>
      <c r="C137" s="799" t="str">
        <f>D7</f>
        <v>Core1</v>
      </c>
      <c r="D137" s="812"/>
      <c r="E137" s="355">
        <f>H11</f>
        <v>33</v>
      </c>
      <c r="F137" s="258" t="str">
        <f>I11</f>
        <v>/ √3</v>
      </c>
      <c r="G137" s="356" t="s">
        <v>353</v>
      </c>
      <c r="H137" s="255">
        <f>K11</f>
        <v>0.11</v>
      </c>
      <c r="I137" s="258" t="str">
        <f>L11</f>
        <v>/ √3</v>
      </c>
      <c r="J137" s="878">
        <f>'CT-VT Burdens'!S37</f>
        <v>150</v>
      </c>
      <c r="K137" s="862">
        <f>'CT-VT Burdens'!S28</f>
        <v>2.5</v>
      </c>
      <c r="L137" s="679" t="str">
        <f>H12</f>
        <v>0.5/3P</v>
      </c>
      <c r="M137" s="679"/>
      <c r="N137" s="679">
        <f>H13</f>
        <v>20</v>
      </c>
      <c r="O137" s="679"/>
      <c r="P137" s="679"/>
      <c r="Q137" s="679" t="str">
        <f>G39</f>
        <v>Suitably Dimensioned</v>
      </c>
      <c r="R137" s="679"/>
      <c r="S137" s="679"/>
      <c r="T137" s="679"/>
      <c r="U137" s="679"/>
      <c r="V137" s="679"/>
    </row>
    <row r="138" spans="1:22" ht="18" customHeight="1">
      <c r="A138" s="1210"/>
      <c r="B138" s="1211"/>
      <c r="C138" s="679" t="str">
        <f>D48</f>
        <v>Core2</v>
      </c>
      <c r="D138" s="679"/>
      <c r="E138" s="355">
        <f>H52</f>
        <v>33</v>
      </c>
      <c r="F138" s="258" t="str">
        <f>I52</f>
        <v>/ √3</v>
      </c>
      <c r="G138" s="480" t="s">
        <v>353</v>
      </c>
      <c r="H138" s="255">
        <f>K52</f>
        <v>0.11</v>
      </c>
      <c r="I138" s="258" t="str">
        <f>L52</f>
        <v>/ √3</v>
      </c>
      <c r="J138" s="878"/>
      <c r="K138" s="679"/>
      <c r="L138" s="679">
        <f>H53</f>
        <v>0.2</v>
      </c>
      <c r="M138" s="679"/>
      <c r="N138" s="679">
        <f>H54</f>
        <v>10</v>
      </c>
      <c r="O138" s="679"/>
      <c r="P138" s="679"/>
      <c r="Q138" s="679" t="str">
        <f>G84</f>
        <v>Suitably Dimensioned</v>
      </c>
      <c r="R138" s="679"/>
      <c r="S138" s="679"/>
      <c r="T138" s="679"/>
      <c r="U138" s="679"/>
      <c r="V138" s="679"/>
    </row>
    <row r="139" spans="1:22" ht="18" customHeight="1">
      <c r="A139" s="1212"/>
      <c r="B139" s="1213"/>
      <c r="C139" s="679"/>
      <c r="D139" s="679"/>
      <c r="E139" s="355"/>
      <c r="F139" s="258"/>
      <c r="G139" s="480"/>
      <c r="H139" s="255"/>
      <c r="I139" s="258"/>
      <c r="J139" s="878"/>
      <c r="K139" s="679"/>
      <c r="L139" s="679"/>
      <c r="M139" s="679"/>
      <c r="N139" s="679"/>
      <c r="O139" s="679"/>
      <c r="P139" s="679"/>
      <c r="Q139" s="679"/>
      <c r="R139" s="679"/>
      <c r="S139" s="679"/>
      <c r="T139" s="679"/>
      <c r="U139" s="679"/>
      <c r="V139" s="679"/>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200"/>
      <c r="T172" s="1201"/>
      <c r="U172" s="207"/>
      <c r="V172" s="140"/>
    </row>
  </sheetData>
  <mergeCells count="112">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53:I53"/>
    <mergeCell ref="H54:I54"/>
    <mergeCell ref="K33:L33"/>
    <mergeCell ref="N33:O33"/>
    <mergeCell ref="K34:L34"/>
    <mergeCell ref="D38:E38"/>
    <mergeCell ref="G38:H38"/>
    <mergeCell ref="K63:L63"/>
    <mergeCell ref="K64:L64"/>
    <mergeCell ref="K66:L66"/>
    <mergeCell ref="K67:L67"/>
    <mergeCell ref="K68:L68"/>
    <mergeCell ref="K74:L74"/>
    <mergeCell ref="K57:L57"/>
    <mergeCell ref="K58:L58"/>
    <mergeCell ref="K59:L59"/>
    <mergeCell ref="K60:L60"/>
    <mergeCell ref="K61:L61"/>
    <mergeCell ref="K62:L62"/>
    <mergeCell ref="B89:C89"/>
    <mergeCell ref="D89:E89"/>
    <mergeCell ref="H92:I92"/>
    <mergeCell ref="N74:O74"/>
    <mergeCell ref="K75:L75"/>
    <mergeCell ref="K77:L77"/>
    <mergeCell ref="K78:L78"/>
    <mergeCell ref="N78:O78"/>
    <mergeCell ref="K79:L79"/>
    <mergeCell ref="H93:I93"/>
    <mergeCell ref="K96:L96"/>
    <mergeCell ref="K97:L97"/>
    <mergeCell ref="K98:L98"/>
    <mergeCell ref="K99:L99"/>
    <mergeCell ref="K100:L100"/>
    <mergeCell ref="D83:E83"/>
    <mergeCell ref="G83:H83"/>
    <mergeCell ref="S87:T87"/>
    <mergeCell ref="K112:L112"/>
    <mergeCell ref="K113:L113"/>
    <mergeCell ref="N113:O113"/>
    <mergeCell ref="K114:L114"/>
    <mergeCell ref="D118:E118"/>
    <mergeCell ref="G118:H118"/>
    <mergeCell ref="K101:L101"/>
    <mergeCell ref="K102:L102"/>
    <mergeCell ref="K103:L103"/>
    <mergeCell ref="K109:L109"/>
    <mergeCell ref="N109:O109"/>
    <mergeCell ref="K110:L110"/>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S172:T172"/>
    <mergeCell ref="Q137:V137"/>
    <mergeCell ref="C138:D138"/>
    <mergeCell ref="L138:M138"/>
    <mergeCell ref="N138:P138"/>
    <mergeCell ref="Q138:V138"/>
    <mergeCell ref="C139:D139"/>
    <mergeCell ref="L139:M139"/>
    <mergeCell ref="N139:P139"/>
    <mergeCell ref="Q139:V139"/>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[4]Title!R1</f>
        <v>N-19957.1-DF5W</v>
      </c>
      <c r="S1" s="616"/>
      <c r="T1" s="616"/>
      <c r="U1" s="616"/>
      <c r="V1" s="617"/>
      <c r="W1" s="14"/>
      <c r="X1" s="14"/>
    </row>
    <row r="2" spans="1:29" ht="18" customHeight="1">
      <c r="A2" s="630"/>
      <c r="B2" s="631"/>
      <c r="C2" s="631"/>
      <c r="D2" s="631"/>
      <c r="E2" s="631"/>
      <c r="F2" s="631"/>
      <c r="G2" s="632"/>
      <c r="H2" s="639" t="str">
        <f>[4]Title!H2</f>
        <v>ADEQUACY CHECK</v>
      </c>
      <c r="I2" s="640"/>
      <c r="J2" s="640"/>
      <c r="K2" s="640"/>
      <c r="L2" s="640"/>
      <c r="M2" s="640"/>
      <c r="N2" s="641"/>
      <c r="O2" s="612" t="str">
        <f>[4]Title!O2</f>
        <v>Date</v>
      </c>
      <c r="P2" s="613"/>
      <c r="Q2" s="614"/>
      <c r="R2" s="642">
        <f>[4]Title!R2</f>
        <v>45925</v>
      </c>
      <c r="S2" s="616"/>
      <c r="T2" s="616"/>
      <c r="U2" s="616"/>
      <c r="V2" s="617"/>
      <c r="W2" s="14"/>
      <c r="X2" s="14"/>
    </row>
    <row r="3" spans="1:29" ht="18" customHeight="1">
      <c r="A3" s="630"/>
      <c r="B3" s="631"/>
      <c r="C3" s="631"/>
      <c r="D3" s="631"/>
      <c r="E3" s="631"/>
      <c r="F3" s="631"/>
      <c r="G3" s="632"/>
      <c r="H3" s="645" t="str">
        <f>[4]Title!H3</f>
        <v>33kV DF5W SS</v>
      </c>
      <c r="I3" s="646"/>
      <c r="J3" s="646"/>
      <c r="K3" s="646"/>
      <c r="L3" s="646"/>
      <c r="M3" s="646"/>
      <c r="N3" s="647"/>
      <c r="O3" s="612" t="str">
        <f>[4]Title!O3</f>
        <v>Document No.</v>
      </c>
      <c r="P3" s="613"/>
      <c r="Q3" s="614"/>
      <c r="R3" s="615" t="str">
        <f>[4]Title!R3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[4]Title!O4</f>
        <v>Revision No.</v>
      </c>
      <c r="P4" s="613"/>
      <c r="Q4" s="614"/>
      <c r="R4" s="615" t="str">
        <f>[4]Title!R4</f>
        <v>A</v>
      </c>
      <c r="S4" s="616"/>
      <c r="T4" s="616"/>
      <c r="U4" s="616"/>
      <c r="V4" s="617"/>
      <c r="W4" s="14"/>
      <c r="X4" s="14"/>
    </row>
    <row r="5" spans="1:29" ht="18" customHeight="1">
      <c r="A5" s="618" t="str">
        <f>[4]Title!A5</f>
        <v>Prep. By</v>
      </c>
      <c r="B5" s="619"/>
      <c r="C5" s="25" t="str">
        <f>[4]Title!C5</f>
        <v>AP</v>
      </c>
      <c r="D5" s="618" t="str">
        <f>[4]Title!D5</f>
        <v>Checked By</v>
      </c>
      <c r="E5" s="620"/>
      <c r="F5" s="619"/>
      <c r="G5" s="25" t="str">
        <f>[4]Title!G5</f>
        <v>RB</v>
      </c>
      <c r="H5" s="621" t="s">
        <v>395</v>
      </c>
      <c r="I5" s="622"/>
      <c r="J5" s="622"/>
      <c r="K5" s="622"/>
      <c r="L5" s="622"/>
      <c r="M5" s="622"/>
      <c r="N5" s="623"/>
      <c r="O5" s="624" t="str">
        <f>[4]Title!O5</f>
        <v>Contractor</v>
      </c>
      <c r="P5" s="625"/>
      <c r="Q5" s="626"/>
      <c r="R5" s="615" t="str">
        <f>[4]Title!R5</f>
        <v>HITACHI</v>
      </c>
      <c r="S5" s="616"/>
      <c r="T5" s="616"/>
      <c r="U5" s="616"/>
      <c r="V5" s="617"/>
      <c r="W5" s="14"/>
      <c r="X5" s="14"/>
    </row>
    <row r="6" spans="1:29" ht="18" customHeight="1">
      <c r="A6" s="196"/>
      <c r="V6" s="197"/>
    </row>
    <row r="7" spans="1:29" ht="18" customHeight="1">
      <c r="A7" s="196"/>
      <c r="B7" s="948" t="s">
        <v>870</v>
      </c>
      <c r="C7" s="949"/>
      <c r="D7" s="948" t="s">
        <v>517</v>
      </c>
      <c r="E7" s="949"/>
      <c r="F7" s="1168" t="s">
        <v>871</v>
      </c>
      <c r="G7" s="1168"/>
      <c r="H7" s="664" t="s">
        <v>872</v>
      </c>
      <c r="I7" s="664"/>
      <c r="J7" s="664"/>
      <c r="K7" s="664"/>
      <c r="L7" s="664"/>
      <c r="M7" s="664"/>
      <c r="P7" s="198"/>
      <c r="S7" s="199" t="s">
        <v>398</v>
      </c>
      <c r="T7" s="948" t="s">
        <v>920</v>
      </c>
      <c r="U7" s="949"/>
      <c r="V7" s="197"/>
    </row>
    <row r="8" spans="1:29" ht="18" customHeight="1">
      <c r="A8" s="196"/>
      <c r="B8" s="959" t="s">
        <v>873</v>
      </c>
      <c r="C8" s="959"/>
      <c r="D8" s="948" t="s">
        <v>124</v>
      </c>
      <c r="E8" s="949"/>
      <c r="F8" s="468"/>
      <c r="T8" s="948"/>
      <c r="U8" s="949"/>
      <c r="V8" s="197"/>
    </row>
    <row r="9" spans="1:29" ht="18" customHeight="1">
      <c r="A9" s="196"/>
      <c r="H9" s="666" t="s">
        <v>401</v>
      </c>
      <c r="I9" s="666"/>
      <c r="J9" s="667" t="s">
        <v>402</v>
      </c>
      <c r="K9" s="667"/>
      <c r="L9" s="667" t="s">
        <v>403</v>
      </c>
      <c r="M9" s="667"/>
      <c r="T9" s="948"/>
      <c r="U9" s="949"/>
      <c r="V9" s="197"/>
    </row>
    <row r="10" spans="1:29" ht="18" customHeight="1">
      <c r="A10" s="196"/>
      <c r="B10" s="47" t="s">
        <v>404</v>
      </c>
      <c r="H10" s="957">
        <v>4000</v>
      </c>
      <c r="I10" s="958"/>
      <c r="J10" s="948">
        <v>3000</v>
      </c>
      <c r="K10" s="949"/>
      <c r="L10" s="948" t="s">
        <v>7</v>
      </c>
      <c r="M10" s="949"/>
      <c r="N10" s="203" t="s">
        <v>353</v>
      </c>
      <c r="O10" s="515">
        <v>1</v>
      </c>
      <c r="P10" s="27" t="s">
        <v>9</v>
      </c>
      <c r="V10" s="197"/>
    </row>
    <row r="11" spans="1:29" ht="18" customHeight="1">
      <c r="A11" s="196"/>
      <c r="B11" s="47" t="s">
        <v>405</v>
      </c>
      <c r="H11" s="948" t="s">
        <v>406</v>
      </c>
      <c r="I11" s="949"/>
      <c r="V11" s="197"/>
    </row>
    <row r="12" spans="1:29" ht="18" customHeight="1">
      <c r="A12" s="196"/>
      <c r="B12" s="47" t="s">
        <v>407</v>
      </c>
      <c r="G12" s="120" t="s">
        <v>508</v>
      </c>
      <c r="H12" s="948">
        <v>14</v>
      </c>
      <c r="I12" s="949"/>
      <c r="J12" s="204" t="s">
        <v>344</v>
      </c>
      <c r="V12" s="197"/>
    </row>
    <row r="13" spans="1:29" ht="18" customHeight="1">
      <c r="A13" s="196"/>
      <c r="B13" s="47" t="s">
        <v>409</v>
      </c>
      <c r="G13" s="120" t="s">
        <v>509</v>
      </c>
      <c r="H13" s="948">
        <v>4000</v>
      </c>
      <c r="I13" s="949"/>
      <c r="J13" s="14" t="s">
        <v>316</v>
      </c>
      <c r="V13" s="197"/>
      <c r="W13" s="30" t="s">
        <v>411</v>
      </c>
      <c r="AB13" s="1022">
        <f>M118</f>
        <v>2930.2612520379485</v>
      </c>
      <c r="AC13" s="1023"/>
    </row>
    <row r="14" spans="1:29" ht="18" customHeight="1">
      <c r="A14" s="196"/>
      <c r="B14" s="14" t="s">
        <v>412</v>
      </c>
      <c r="G14" s="120" t="s">
        <v>413</v>
      </c>
      <c r="H14" s="948">
        <v>25</v>
      </c>
      <c r="I14" s="949"/>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'[6]CT-VT Burdens'!S23</f>
        <v>0.56186130000000001</v>
      </c>
      <c r="K21" s="1172"/>
      <c r="L21" s="439" t="s">
        <v>168</v>
      </c>
      <c r="V21" s="197"/>
    </row>
    <row r="22" spans="1:22" ht="18" customHeight="1">
      <c r="A22" s="196"/>
      <c r="B22" s="217" t="s">
        <v>424</v>
      </c>
      <c r="C22" s="218"/>
      <c r="D22" s="218"/>
      <c r="E22" s="218"/>
      <c r="F22" s="219"/>
      <c r="G22" s="219"/>
      <c r="H22" s="202" t="s">
        <v>420</v>
      </c>
      <c r="I22" s="220" t="s">
        <v>138</v>
      </c>
      <c r="J22" s="896">
        <f>SUM(J19:K21)</f>
        <v>0.56186130000000001</v>
      </c>
      <c r="K22" s="860"/>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680">
        <f>D26/(F26*H26)</f>
        <v>0.02</v>
      </c>
      <c r="E27" s="680"/>
      <c r="F27" s="562" t="s">
        <v>344</v>
      </c>
      <c r="G27" s="254"/>
      <c r="H27" s="254"/>
      <c r="I27" s="254"/>
      <c r="J27" s="516"/>
      <c r="K27" s="254"/>
      <c r="L27" s="560"/>
      <c r="M27" s="254"/>
      <c r="N27" s="257" t="s">
        <v>138</v>
      </c>
      <c r="O27" s="680">
        <f>O26/(Q26*S26)</f>
        <v>0.56186130000000001</v>
      </c>
      <c r="P27" s="68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80">
        <f>D27</f>
        <v>0.02</v>
      </c>
      <c r="N29" s="680"/>
      <c r="O29" s="257" t="s">
        <v>358</v>
      </c>
      <c r="P29" s="680">
        <f>O27</f>
        <v>0.56186130000000001</v>
      </c>
      <c r="Q29" s="680"/>
      <c r="R29" s="555" t="s">
        <v>138</v>
      </c>
      <c r="S29" s="680">
        <f>M29+P29</f>
        <v>0.58186130000000003</v>
      </c>
      <c r="T29" s="68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18" t="s">
        <v>879</v>
      </c>
      <c r="B35" s="972"/>
      <c r="C35" s="972"/>
      <c r="D35" s="972"/>
      <c r="E35" s="972"/>
      <c r="F35" s="972"/>
      <c r="G35" s="972"/>
      <c r="H35" s="972"/>
      <c r="I35" s="972"/>
      <c r="J35" s="972"/>
      <c r="K35" s="972"/>
      <c r="L35" s="972"/>
      <c r="M35" s="972"/>
      <c r="N35" s="972"/>
      <c r="O35" s="972"/>
      <c r="P35" s="972"/>
      <c r="Q35" s="972"/>
      <c r="R35" s="972"/>
      <c r="S35" s="972"/>
      <c r="T35" s="972"/>
      <c r="U35" s="972"/>
      <c r="V35" s="973"/>
      <c r="AA35" s="209"/>
    </row>
    <row r="36" spans="1:27" s="291" customFormat="1" ht="18" customHeight="1">
      <c r="A36" s="974"/>
      <c r="B36" s="972"/>
      <c r="C36" s="972"/>
      <c r="D36" s="972"/>
      <c r="E36" s="972"/>
      <c r="F36" s="972"/>
      <c r="G36" s="972"/>
      <c r="H36" s="972"/>
      <c r="I36" s="972"/>
      <c r="J36" s="972"/>
      <c r="K36" s="972"/>
      <c r="L36" s="972"/>
      <c r="M36" s="972"/>
      <c r="N36" s="972"/>
      <c r="O36" s="972"/>
      <c r="P36" s="972"/>
      <c r="Q36" s="972"/>
      <c r="R36" s="972"/>
      <c r="S36" s="972"/>
      <c r="T36" s="972"/>
      <c r="U36" s="972"/>
      <c r="V36" s="973"/>
    </row>
    <row r="37" spans="1:27" s="291" customFormat="1" ht="18" customHeight="1">
      <c r="A37" s="921">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921"/>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664" t="s">
        <v>882</v>
      </c>
      <c r="E39" s="987"/>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64" t="s">
        <v>882</v>
      </c>
      <c r="K41" s="987"/>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664" t="s">
        <v>882</v>
      </c>
      <c r="K48" s="987"/>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3" t="s">
        <v>887</v>
      </c>
      <c r="C51" s="1173"/>
      <c r="D51" s="1173"/>
      <c r="E51" s="1173"/>
      <c r="F51" s="1173"/>
      <c r="G51" s="1173"/>
      <c r="H51" s="1173"/>
      <c r="I51" s="1173"/>
      <c r="J51" s="1173"/>
      <c r="K51" s="1173"/>
      <c r="L51" s="1173"/>
      <c r="M51" s="1173"/>
      <c r="N51" s="1173"/>
      <c r="O51" s="1173"/>
      <c r="P51" s="1173"/>
      <c r="Q51" s="1173"/>
      <c r="R51" s="1173"/>
      <c r="S51" s="1173"/>
      <c r="T51" s="1173"/>
      <c r="U51" s="1173"/>
      <c r="V51" s="1174"/>
    </row>
    <row r="52" spans="1:22" ht="18" customHeight="1">
      <c r="A52" s="284"/>
      <c r="B52" s="120" t="s">
        <v>881</v>
      </c>
      <c r="C52" s="120" t="s">
        <v>430</v>
      </c>
      <c r="D52" s="664" t="s">
        <v>882</v>
      </c>
      <c r="E52" s="987"/>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664" t="s">
        <v>882</v>
      </c>
      <c r="K54" s="987"/>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664" t="s">
        <v>882</v>
      </c>
      <c r="K57" s="987"/>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665">
        <f>'[6]Fault Calc (3)'!Q31</f>
        <v>55677</v>
      </c>
      <c r="U60" s="665"/>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665">
        <f>H10</f>
        <v>4000</v>
      </c>
      <c r="U61" s="665"/>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668">
        <f>T60/T61</f>
        <v>13.91925</v>
      </c>
      <c r="U62" s="668"/>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665">
        <f>H12</f>
        <v>14</v>
      </c>
      <c r="U63" s="665"/>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668">
        <f>S29</f>
        <v>0.58186130000000003</v>
      </c>
      <c r="U64" s="668"/>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665">
        <f>O10</f>
        <v>1</v>
      </c>
      <c r="U65" s="665"/>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6">
        <f>'[6]Fault Calc (3)'!Q11</f>
        <v>23.6</v>
      </c>
      <c r="U66" s="1177"/>
      <c r="V66" s="197"/>
    </row>
    <row r="67" spans="1:22" ht="18" customHeight="1">
      <c r="A67" s="337"/>
      <c r="B67" s="14" t="s">
        <v>893</v>
      </c>
      <c r="F67" s="14"/>
      <c r="G67" s="166"/>
      <c r="H67" s="102"/>
      <c r="I67" s="28"/>
      <c r="J67" s="27"/>
      <c r="K67" s="14"/>
      <c r="O67" s="47"/>
      <c r="P67" s="14"/>
      <c r="Q67" s="14"/>
      <c r="R67" s="14"/>
      <c r="S67" s="120"/>
      <c r="T67" s="948">
        <v>100</v>
      </c>
      <c r="U67" s="949"/>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664" t="s">
        <v>882</v>
      </c>
      <c r="C70" s="664"/>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669">
        <f>T62</f>
        <v>13.91925</v>
      </c>
      <c r="C71" s="669"/>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41">
        <f>B71*E71</f>
        <v>328.49430000000001</v>
      </c>
      <c r="E72" s="1161"/>
      <c r="F72" s="14"/>
      <c r="G72" s="166" t="s">
        <v>710</v>
      </c>
      <c r="H72" s="102"/>
      <c r="I72" s="664">
        <f>I71*K71</f>
        <v>600</v>
      </c>
      <c r="J72" s="665"/>
      <c r="K72" s="14"/>
      <c r="O72" s="47"/>
      <c r="P72" s="14"/>
      <c r="Q72" s="14"/>
      <c r="R72" s="14"/>
      <c r="S72" s="120" t="s">
        <v>895</v>
      </c>
      <c r="T72" s="1175" t="b">
        <f>IF(D72&lt;=I72,TRUE,FALSE)</f>
        <v>1</v>
      </c>
      <c r="U72" s="1175"/>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664" t="s">
        <v>882</v>
      </c>
      <c r="J75" s="987"/>
      <c r="K75" s="28" t="s">
        <v>326</v>
      </c>
      <c r="L75" s="28" t="s">
        <v>352</v>
      </c>
      <c r="M75" s="47" t="s">
        <v>361</v>
      </c>
      <c r="N75" s="196"/>
      <c r="O75" s="47" t="s">
        <v>897</v>
      </c>
      <c r="P75" s="27"/>
      <c r="Q75" s="28" t="s">
        <v>138</v>
      </c>
      <c r="R75" s="668">
        <f>MAX(E77,E78)</f>
        <v>154.973005</v>
      </c>
      <c r="S75" s="665"/>
      <c r="V75" s="197"/>
    </row>
    <row r="76" spans="1:22" ht="18" customHeight="1">
      <c r="A76" s="196"/>
      <c r="B76" s="14"/>
      <c r="C76" s="28"/>
      <c r="D76" s="28" t="s">
        <v>540</v>
      </c>
      <c r="E76" s="28">
        <v>40</v>
      </c>
      <c r="F76" s="28" t="s">
        <v>358</v>
      </c>
      <c r="G76" s="233" t="str">
        <f>IF(T67=150,"0.07","0.35")</f>
        <v>0.35</v>
      </c>
      <c r="H76" s="28" t="s">
        <v>683</v>
      </c>
      <c r="I76" s="669">
        <f>T62</f>
        <v>13.91925</v>
      </c>
      <c r="J76" s="987"/>
      <c r="K76" s="28" t="s">
        <v>326</v>
      </c>
      <c r="L76" s="28">
        <f>T66</f>
        <v>23.6</v>
      </c>
      <c r="M76" s="47" t="s">
        <v>361</v>
      </c>
      <c r="N76" s="196"/>
      <c r="V76" s="197"/>
    </row>
    <row r="77" spans="1:22" ht="18" customHeight="1">
      <c r="A77" s="196"/>
      <c r="B77" s="14"/>
      <c r="C77" s="28"/>
      <c r="D77" s="28" t="s">
        <v>540</v>
      </c>
      <c r="E77" s="669">
        <f>E76+(G76*(I76*L76))</f>
        <v>154.973005</v>
      </c>
      <c r="F77" s="669"/>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664" t="s">
        <v>882</v>
      </c>
      <c r="I80" s="987"/>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669">
        <f>T62</f>
        <v>13.91925</v>
      </c>
      <c r="I81" s="987"/>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8">
        <f>B81*D81</f>
        <v>600</v>
      </c>
      <c r="D82" s="1178"/>
      <c r="E82" s="261"/>
      <c r="F82" s="28" t="s">
        <v>886</v>
      </c>
      <c r="G82" s="14"/>
      <c r="H82" s="14"/>
      <c r="I82" s="941">
        <f>H81*K81</f>
        <v>328.49430000000001</v>
      </c>
      <c r="J82" s="941"/>
      <c r="K82" s="14"/>
      <c r="L82" s="14"/>
      <c r="M82" s="166" t="s">
        <v>710</v>
      </c>
      <c r="N82" s="102"/>
      <c r="O82" s="991">
        <f>O81*Q81</f>
        <v>1600</v>
      </c>
      <c r="P82" s="987"/>
      <c r="Q82" s="14"/>
      <c r="R82" s="14"/>
      <c r="S82" s="120" t="s">
        <v>895</v>
      </c>
      <c r="T82" s="1175" t="b">
        <f>IF(AND(C82&lt;I82,I82&lt;=O82)=TRUE,TRUE,FALSE)</f>
        <v>0</v>
      </c>
      <c r="U82" s="1175"/>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926">
        <f>F90*H90*(J90+L90)</f>
        <v>2259.7948641542066</v>
      </c>
      <c r="G91" s="927"/>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71" t="s">
        <v>901</v>
      </c>
      <c r="B95" s="1074"/>
      <c r="C95" s="1074"/>
      <c r="D95" s="1074"/>
      <c r="E95" s="1074"/>
      <c r="F95" s="1074"/>
      <c r="G95" s="1074"/>
      <c r="H95" s="1074"/>
      <c r="I95" s="1074"/>
      <c r="J95" s="1074"/>
      <c r="K95" s="1074"/>
      <c r="L95" s="1074"/>
      <c r="M95" s="1074"/>
      <c r="N95" s="1074"/>
      <c r="O95" s="1074"/>
      <c r="P95" s="1074"/>
      <c r="Q95" s="1074"/>
      <c r="R95" s="1074"/>
      <c r="S95" s="1074"/>
      <c r="T95" s="1074"/>
      <c r="U95" s="1074"/>
      <c r="V95" s="1075"/>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76" t="s">
        <v>903</v>
      </c>
      <c r="I98" s="976"/>
      <c r="J98" s="27" t="s">
        <v>326</v>
      </c>
      <c r="K98" s="976" t="s">
        <v>855</v>
      </c>
      <c r="L98" s="976"/>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76" t="s">
        <v>903</v>
      </c>
      <c r="H100" s="976"/>
      <c r="I100" s="230" t="s">
        <v>138</v>
      </c>
      <c r="J100" s="216" t="s">
        <v>905</v>
      </c>
      <c r="K100" s="14"/>
      <c r="L100" s="14"/>
      <c r="M100" s="14"/>
      <c r="N100" s="14"/>
      <c r="O100" s="120"/>
      <c r="P100" s="120"/>
      <c r="Q100" s="14"/>
      <c r="R100" s="14"/>
      <c r="S100" s="28" t="s">
        <v>138</v>
      </c>
      <c r="T100" s="47">
        <v>1.4</v>
      </c>
      <c r="U100" s="14"/>
      <c r="V100" s="97"/>
    </row>
    <row r="101" spans="1:22" ht="18" customHeight="1">
      <c r="A101" s="205"/>
      <c r="G101" s="976" t="s">
        <v>855</v>
      </c>
      <c r="H101" s="976"/>
      <c r="I101" s="230" t="s">
        <v>138</v>
      </c>
      <c r="J101" s="216" t="s">
        <v>906</v>
      </c>
      <c r="K101" s="14"/>
      <c r="L101" s="14"/>
      <c r="M101" s="14"/>
      <c r="N101" s="14"/>
      <c r="O101" s="120"/>
      <c r="P101" s="120"/>
      <c r="Q101" s="14"/>
      <c r="R101" s="14"/>
      <c r="S101" s="28" t="s">
        <v>138</v>
      </c>
      <c r="T101" s="993">
        <f>T62</f>
        <v>13.91925</v>
      </c>
      <c r="U101" s="991"/>
      <c r="V101" s="97" t="s">
        <v>9</v>
      </c>
    </row>
    <row r="102" spans="1:22" ht="18" customHeight="1">
      <c r="A102" s="205"/>
      <c r="U102" s="14"/>
      <c r="V102" s="97"/>
    </row>
    <row r="103" spans="1:22" ht="18" customHeight="1">
      <c r="A103" s="205"/>
      <c r="F103" s="30" t="s">
        <v>484</v>
      </c>
      <c r="G103" s="27" t="s">
        <v>540</v>
      </c>
      <c r="H103" s="976" t="s">
        <v>903</v>
      </c>
      <c r="I103" s="976"/>
      <c r="J103" s="27" t="s">
        <v>326</v>
      </c>
      <c r="K103" s="976" t="s">
        <v>855</v>
      </c>
      <c r="L103" s="976"/>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76">
        <f>T100</f>
        <v>1.4</v>
      </c>
      <c r="I104" s="976"/>
      <c r="J104" s="27" t="s">
        <v>326</v>
      </c>
      <c r="K104" s="680">
        <f>T101</f>
        <v>13.91925</v>
      </c>
      <c r="L104" s="976"/>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9">
        <f>H104*K104*(O104+Q104)</f>
        <v>284.15600206003501</v>
      </c>
      <c r="I105" s="1180"/>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88" t="s">
        <v>909</v>
      </c>
      <c r="F109" s="788"/>
      <c r="G109" s="27" t="s">
        <v>326</v>
      </c>
      <c r="H109" s="788" t="s">
        <v>910</v>
      </c>
      <c r="I109" s="78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88" t="s">
        <v>909</v>
      </c>
      <c r="E111" s="976"/>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88" t="s">
        <v>910</v>
      </c>
      <c r="E112" s="976"/>
      <c r="F112" s="230" t="s">
        <v>138</v>
      </c>
      <c r="G112" s="269" t="s">
        <v>913</v>
      </c>
      <c r="H112" s="14"/>
      <c r="I112" s="14"/>
      <c r="J112" s="14"/>
      <c r="K112" s="14"/>
      <c r="L112" s="120"/>
      <c r="M112" s="120"/>
      <c r="N112" s="14"/>
      <c r="O112" s="14"/>
      <c r="S112" s="28" t="s">
        <v>138</v>
      </c>
      <c r="T112" s="993">
        <f>'[6]Fault Calc (3)'!M107/T61</f>
        <v>13.614666949096682</v>
      </c>
      <c r="U112" s="991"/>
      <c r="V112" s="97" t="s">
        <v>9</v>
      </c>
    </row>
    <row r="113" spans="1:22" ht="18" customHeight="1">
      <c r="A113" s="96"/>
      <c r="B113" s="47"/>
      <c r="C113" s="120"/>
      <c r="S113" s="14"/>
      <c r="T113" s="14"/>
      <c r="U113" s="14"/>
      <c r="V113" s="97"/>
    </row>
    <row r="114" spans="1:22" ht="18" customHeight="1">
      <c r="A114" s="196"/>
      <c r="C114" s="30" t="s">
        <v>484</v>
      </c>
      <c r="D114" s="27" t="s">
        <v>540</v>
      </c>
      <c r="E114" s="788" t="s">
        <v>909</v>
      </c>
      <c r="F114" s="788"/>
      <c r="G114" s="27" t="s">
        <v>326</v>
      </c>
      <c r="H114" s="788" t="s">
        <v>910</v>
      </c>
      <c r="I114" s="78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88">
        <f>T111</f>
        <v>0.6</v>
      </c>
      <c r="F115" s="788"/>
      <c r="G115" s="27" t="s">
        <v>326</v>
      </c>
      <c r="H115" s="1080">
        <f>T112</f>
        <v>13.614666949096682</v>
      </c>
      <c r="I115" s="788"/>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81">
        <f>E115*H115*((K115+M115)*(O115+Q115))</f>
        <v>2930.2612520379485</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26">
        <f>MAX(F91,H105,E116)</f>
        <v>2930.2612520379485</v>
      </c>
      <c r="N118" s="92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65">
        <f>H13</f>
        <v>4000</v>
      </c>
      <c r="E121" s="665"/>
      <c r="F121" s="27" t="str">
        <f>F120</f>
        <v>&gt;</v>
      </c>
      <c r="G121" s="816">
        <f>M118</f>
        <v>2930.2612520379485</v>
      </c>
      <c r="H121" s="816"/>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08" t="str">
        <f>B7</f>
        <v>CT7001</v>
      </c>
      <c r="C128" s="709"/>
      <c r="D128" s="1188" t="str">
        <f>D7</f>
        <v>Core2</v>
      </c>
      <c r="E128" s="1189"/>
      <c r="F128" s="1168" t="str">
        <f>F7</f>
        <v>Main-2</v>
      </c>
      <c r="G128" s="1168"/>
      <c r="H128" s="664" t="str">
        <f>H7</f>
        <v>(Differential + Distance)</v>
      </c>
      <c r="I128" s="664"/>
      <c r="J128" s="664"/>
      <c r="K128" s="664"/>
      <c r="L128" s="664"/>
      <c r="M128" s="664"/>
      <c r="P128" s="198"/>
      <c r="S128" s="199" t="s">
        <v>398</v>
      </c>
      <c r="T128" s="708" t="str">
        <f>T7</f>
        <v>P545</v>
      </c>
      <c r="U128" s="709"/>
      <c r="V128" s="197"/>
    </row>
    <row r="129" spans="1:29" ht="18" hidden="1" customHeight="1">
      <c r="A129" s="196"/>
      <c r="B129" s="707" t="str">
        <f>B8</f>
        <v>CT7004</v>
      </c>
      <c r="C129" s="707"/>
      <c r="D129" s="1188" t="str">
        <f>D8</f>
        <v>Core5</v>
      </c>
      <c r="E129" s="1189"/>
      <c r="F129" s="468"/>
      <c r="T129" s="708">
        <f>T8</f>
        <v>0</v>
      </c>
      <c r="U129" s="709"/>
      <c r="V129" s="197"/>
    </row>
    <row r="130" spans="1:29" ht="18" hidden="1" customHeight="1">
      <c r="A130" s="196"/>
      <c r="H130" s="696" t="s">
        <v>401</v>
      </c>
      <c r="I130" s="696"/>
      <c r="J130" s="666" t="s">
        <v>402</v>
      </c>
      <c r="K130" s="666"/>
      <c r="L130" s="667" t="s">
        <v>403</v>
      </c>
      <c r="M130" s="667"/>
      <c r="T130" s="708">
        <f>T9</f>
        <v>0</v>
      </c>
      <c r="U130" s="709"/>
      <c r="V130" s="197"/>
    </row>
    <row r="131" spans="1:29" ht="18" hidden="1" customHeight="1">
      <c r="A131" s="196"/>
      <c r="B131" s="47" t="s">
        <v>404</v>
      </c>
      <c r="H131" s="708">
        <f>H10</f>
        <v>4000</v>
      </c>
      <c r="I131" s="709"/>
      <c r="J131" s="714">
        <f>J10</f>
        <v>3000</v>
      </c>
      <c r="K131" s="715"/>
      <c r="L131" s="708" t="str">
        <f>L10</f>
        <v>-</v>
      </c>
      <c r="M131" s="709"/>
      <c r="N131" s="203" t="s">
        <v>353</v>
      </c>
      <c r="O131" s="268">
        <f>O10</f>
        <v>1</v>
      </c>
      <c r="P131" s="27" t="s">
        <v>9</v>
      </c>
      <c r="V131" s="197"/>
    </row>
    <row r="132" spans="1:29" ht="18" hidden="1" customHeight="1">
      <c r="A132" s="196"/>
      <c r="B132" s="47" t="s">
        <v>405</v>
      </c>
      <c r="J132" s="708" t="str">
        <f>H11</f>
        <v>PX</v>
      </c>
      <c r="K132" s="709"/>
      <c r="V132" s="197"/>
    </row>
    <row r="133" spans="1:29" ht="18" hidden="1" customHeight="1">
      <c r="A133" s="196"/>
      <c r="B133" s="47" t="s">
        <v>407</v>
      </c>
      <c r="I133" s="120" t="s">
        <v>508</v>
      </c>
      <c r="J133" s="948">
        <v>10</v>
      </c>
      <c r="K133" s="949"/>
      <c r="L133" s="204" t="s">
        <v>344</v>
      </c>
      <c r="V133" s="197"/>
    </row>
    <row r="134" spans="1:29" ht="18" hidden="1" customHeight="1">
      <c r="A134" s="196"/>
      <c r="B134" s="47" t="s">
        <v>409</v>
      </c>
      <c r="I134" s="120" t="s">
        <v>509</v>
      </c>
      <c r="J134" s="948">
        <v>3000</v>
      </c>
      <c r="K134" s="949"/>
      <c r="L134" s="14" t="s">
        <v>316</v>
      </c>
      <c r="V134" s="197"/>
      <c r="W134" s="30" t="s">
        <v>411</v>
      </c>
      <c r="AB134" s="1022">
        <f>M238</f>
        <v>2835.268420484374</v>
      </c>
      <c r="AC134" s="1023"/>
    </row>
    <row r="135" spans="1:29" ht="18" hidden="1" customHeight="1">
      <c r="A135" s="196"/>
      <c r="B135" s="14" t="s">
        <v>412</v>
      </c>
      <c r="I135" s="120" t="s">
        <v>413</v>
      </c>
      <c r="J135" s="948">
        <v>30</v>
      </c>
      <c r="K135" s="949"/>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896">
        <f>J18</f>
        <v>0.02</v>
      </c>
      <c r="K139" s="679"/>
      <c r="L139" s="214" t="s">
        <v>168</v>
      </c>
      <c r="V139" s="197"/>
    </row>
    <row r="140" spans="1:29" ht="18" hidden="1" customHeight="1">
      <c r="A140" s="196"/>
      <c r="B140" s="196" t="s">
        <v>416</v>
      </c>
      <c r="D140" s="308">
        <f>T129</f>
        <v>0</v>
      </c>
      <c r="I140" s="28" t="s">
        <v>138</v>
      </c>
      <c r="J140" s="896">
        <f>J19</f>
        <v>0</v>
      </c>
      <c r="K140" s="860"/>
      <c r="L140" s="309" t="s">
        <v>168</v>
      </c>
      <c r="V140" s="197"/>
    </row>
    <row r="141" spans="1:29" ht="18" hidden="1" customHeight="1">
      <c r="A141" s="196"/>
      <c r="B141" s="196" t="s">
        <v>416</v>
      </c>
      <c r="D141" s="308">
        <f>T130</f>
        <v>0</v>
      </c>
      <c r="E141" s="14"/>
      <c r="G141" s="211"/>
      <c r="H141" s="27"/>
      <c r="I141" s="101" t="s">
        <v>138</v>
      </c>
      <c r="J141" s="699">
        <f>J20</f>
        <v>0</v>
      </c>
      <c r="K141" s="861"/>
      <c r="L141" s="439" t="s">
        <v>168</v>
      </c>
      <c r="V141" s="197"/>
    </row>
    <row r="142" spans="1:29" ht="18" hidden="1" customHeight="1">
      <c r="A142" s="196"/>
      <c r="B142" s="196" t="s">
        <v>423</v>
      </c>
      <c r="H142" s="27"/>
      <c r="I142" s="189" t="s">
        <v>138</v>
      </c>
      <c r="J142" s="1026">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896">
        <f>SUM(J140:K142)</f>
        <v>0.56186130000000001</v>
      </c>
      <c r="K143" s="860"/>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680">
        <f>D147/(F147*H147)</f>
        <v>0.02</v>
      </c>
      <c r="E148" s="680"/>
      <c r="F148" s="562" t="s">
        <v>344</v>
      </c>
      <c r="G148" s="254"/>
      <c r="H148" s="254"/>
      <c r="I148" s="254"/>
      <c r="J148" s="516"/>
      <c r="K148" s="254"/>
      <c r="L148" s="560"/>
      <c r="M148" s="254"/>
      <c r="N148" s="257" t="s">
        <v>138</v>
      </c>
      <c r="O148" s="680">
        <f>O147/(Q147*S147)</f>
        <v>0.56186130000000001</v>
      </c>
      <c r="P148" s="680"/>
      <c r="Q148" s="562" t="s">
        <v>344</v>
      </c>
      <c r="R148" s="254"/>
      <c r="S148" s="254"/>
      <c r="T148" s="254"/>
      <c r="V148" s="197"/>
    </row>
    <row r="149" spans="1:22" ht="18" hidden="1" customHeight="1">
      <c r="A149" s="196"/>
      <c r="B149" s="47" t="s">
        <v>874</v>
      </c>
      <c r="C149" s="47"/>
      <c r="D149" s="47"/>
      <c r="E149" s="47"/>
      <c r="H149" s="27"/>
      <c r="I149" s="28"/>
      <c r="J149" s="211"/>
      <c r="L149" s="28" t="s">
        <v>138</v>
      </c>
      <c r="M149" s="680">
        <f>D148</f>
        <v>0.02</v>
      </c>
      <c r="N149" s="680"/>
      <c r="O149" s="257" t="s">
        <v>358</v>
      </c>
      <c r="P149" s="680">
        <f>O148</f>
        <v>0.56186130000000001</v>
      </c>
      <c r="Q149" s="680"/>
      <c r="R149" s="555" t="s">
        <v>138</v>
      </c>
      <c r="S149" s="680">
        <f>M149+P149</f>
        <v>0.58186130000000003</v>
      </c>
      <c r="T149" s="680"/>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1018" t="s">
        <v>879</v>
      </c>
      <c r="B155" s="972"/>
      <c r="C155" s="972"/>
      <c r="D155" s="972"/>
      <c r="E155" s="972"/>
      <c r="F155" s="972"/>
      <c r="G155" s="972"/>
      <c r="H155" s="972"/>
      <c r="I155" s="972"/>
      <c r="J155" s="972"/>
      <c r="K155" s="972"/>
      <c r="L155" s="972"/>
      <c r="M155" s="972"/>
      <c r="N155" s="972"/>
      <c r="O155" s="972"/>
      <c r="P155" s="972"/>
      <c r="Q155" s="972"/>
      <c r="R155" s="972"/>
      <c r="S155" s="972"/>
      <c r="T155" s="972"/>
      <c r="U155" s="972"/>
      <c r="V155" s="973"/>
    </row>
    <row r="156" spans="1:22" s="291" customFormat="1" ht="18" hidden="1" customHeight="1">
      <c r="A156" s="974"/>
      <c r="B156" s="972"/>
      <c r="C156" s="972"/>
      <c r="D156" s="972"/>
      <c r="E156" s="972"/>
      <c r="F156" s="972"/>
      <c r="G156" s="972"/>
      <c r="H156" s="972"/>
      <c r="I156" s="972"/>
      <c r="J156" s="972"/>
      <c r="K156" s="972"/>
      <c r="L156" s="972"/>
      <c r="M156" s="972"/>
      <c r="N156" s="972"/>
      <c r="O156" s="972"/>
      <c r="P156" s="972"/>
      <c r="Q156" s="972"/>
      <c r="R156" s="972"/>
      <c r="S156" s="972"/>
      <c r="T156" s="972"/>
      <c r="U156" s="972"/>
      <c r="V156" s="973"/>
    </row>
    <row r="157" spans="1:22" s="291" customFormat="1" ht="18" hidden="1" customHeight="1">
      <c r="A157" s="921">
        <v>1</v>
      </c>
      <c r="B157" s="1173" t="s">
        <v>880</v>
      </c>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921"/>
      <c r="B158" s="1173"/>
      <c r="C158" s="1173"/>
      <c r="D158" s="1173"/>
      <c r="E158" s="1173"/>
      <c r="F158" s="1173"/>
      <c r="G158" s="1173"/>
      <c r="H158" s="1173"/>
      <c r="I158" s="1173"/>
      <c r="J158" s="1173"/>
      <c r="K158" s="1173"/>
      <c r="L158" s="1173"/>
      <c r="M158" s="1173"/>
      <c r="N158" s="1173"/>
      <c r="O158" s="1173"/>
      <c r="P158" s="1173"/>
      <c r="Q158" s="1173"/>
      <c r="R158" s="1173"/>
      <c r="S158" s="1173"/>
      <c r="T158" s="1173"/>
      <c r="U158" s="1173"/>
      <c r="V158" s="1174"/>
    </row>
    <row r="159" spans="1:22" s="291" customFormat="1" ht="18" hidden="1" customHeight="1">
      <c r="A159" s="96"/>
      <c r="B159" s="120" t="s">
        <v>881</v>
      </c>
      <c r="C159" s="120" t="s">
        <v>430</v>
      </c>
      <c r="D159" s="664" t="s">
        <v>882</v>
      </c>
      <c r="E159" s="987"/>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664" t="s">
        <v>882</v>
      </c>
      <c r="K161" s="987"/>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664" t="s">
        <v>882</v>
      </c>
      <c r="K164" s="987"/>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921">
        <v>2</v>
      </c>
      <c r="B169" s="1173" t="s">
        <v>887</v>
      </c>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921"/>
      <c r="B170" s="1173"/>
      <c r="C170" s="1173"/>
      <c r="D170" s="1173"/>
      <c r="E170" s="1173"/>
      <c r="F170" s="1173"/>
      <c r="G170" s="1173"/>
      <c r="H170" s="1173"/>
      <c r="I170" s="1173"/>
      <c r="J170" s="1173"/>
      <c r="K170" s="1173"/>
      <c r="L170" s="1173"/>
      <c r="M170" s="1173"/>
      <c r="N170" s="1173"/>
      <c r="O170" s="1173"/>
      <c r="P170" s="1173"/>
      <c r="Q170" s="1173"/>
      <c r="R170" s="1173"/>
      <c r="S170" s="1173"/>
      <c r="T170" s="1173"/>
      <c r="U170" s="1173"/>
      <c r="V170" s="1174"/>
    </row>
    <row r="171" spans="1:22" ht="18" hidden="1" customHeight="1">
      <c r="A171" s="284"/>
      <c r="B171" s="120" t="s">
        <v>881</v>
      </c>
      <c r="C171" s="120" t="s">
        <v>430</v>
      </c>
      <c r="D171" s="664" t="s">
        <v>882</v>
      </c>
      <c r="E171" s="987"/>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664" t="s">
        <v>882</v>
      </c>
      <c r="K173" s="987"/>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664" t="s">
        <v>882</v>
      </c>
      <c r="K176" s="987"/>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665">
        <f>T60</f>
        <v>55677</v>
      </c>
      <c r="U179" s="665"/>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665">
        <f>J131</f>
        <v>3000</v>
      </c>
      <c r="U180" s="665"/>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668">
        <f>T179/T180</f>
        <v>18.559000000000001</v>
      </c>
      <c r="U181" s="668"/>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665">
        <f>J133</f>
        <v>10</v>
      </c>
      <c r="U182" s="665"/>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668">
        <f>S149</f>
        <v>0.58186130000000003</v>
      </c>
      <c r="U183" s="668"/>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665">
        <f>O131</f>
        <v>1</v>
      </c>
      <c r="U184" s="665"/>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699">
        <f>T66</f>
        <v>23.6</v>
      </c>
      <c r="U185" s="678"/>
      <c r="V185" s="197"/>
    </row>
    <row r="186" spans="1:22" ht="18" hidden="1" customHeight="1">
      <c r="A186" s="337"/>
      <c r="B186" s="14" t="s">
        <v>893</v>
      </c>
      <c r="F186" s="14"/>
      <c r="G186" s="166"/>
      <c r="H186" s="102"/>
      <c r="I186" s="28"/>
      <c r="J186" s="27"/>
      <c r="K186" s="14"/>
      <c r="O186" s="47"/>
      <c r="P186" s="14"/>
      <c r="Q186" s="14"/>
      <c r="R186" s="14"/>
      <c r="S186" s="120"/>
      <c r="T186" s="615">
        <f>T67</f>
        <v>100</v>
      </c>
      <c r="U186" s="617"/>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664" t="s">
        <v>882</v>
      </c>
      <c r="C189" s="664"/>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669">
        <f>T181</f>
        <v>18.559000000000001</v>
      </c>
      <c r="C190" s="669"/>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41">
        <f>B190*E190</f>
        <v>437.99240000000003</v>
      </c>
      <c r="E191" s="1161"/>
      <c r="F191" s="14"/>
      <c r="G191" s="166" t="s">
        <v>710</v>
      </c>
      <c r="H191" s="102"/>
      <c r="I191" s="664">
        <f>I190*K190</f>
        <v>600</v>
      </c>
      <c r="J191" s="665"/>
      <c r="K191" s="14"/>
      <c r="O191" s="47"/>
      <c r="P191" s="14"/>
      <c r="Q191" s="14"/>
      <c r="R191" s="14"/>
      <c r="S191" s="120" t="s">
        <v>895</v>
      </c>
      <c r="T191" s="1175" t="b">
        <f>IF(D191&lt;=I191,TRUE,FALSE)</f>
        <v>1</v>
      </c>
      <c r="U191" s="1175"/>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664" t="s">
        <v>882</v>
      </c>
      <c r="J194" s="987"/>
      <c r="K194" s="28" t="s">
        <v>326</v>
      </c>
      <c r="L194" s="28" t="s">
        <v>352</v>
      </c>
      <c r="M194" s="47" t="s">
        <v>361</v>
      </c>
      <c r="N194" s="196"/>
      <c r="O194" s="47" t="s">
        <v>897</v>
      </c>
      <c r="P194" s="27"/>
      <c r="Q194" s="28" t="s">
        <v>138</v>
      </c>
      <c r="R194" s="668">
        <f>MAX(E196,E197)</f>
        <v>193.29733999999999</v>
      </c>
      <c r="S194" s="665"/>
      <c r="V194" s="197"/>
    </row>
    <row r="195" spans="1:22" ht="18" hidden="1" customHeight="1">
      <c r="A195" s="196"/>
      <c r="B195" s="14"/>
      <c r="C195" s="28"/>
      <c r="D195" s="28" t="s">
        <v>540</v>
      </c>
      <c r="E195" s="28">
        <v>40</v>
      </c>
      <c r="F195" s="28" t="s">
        <v>358</v>
      </c>
      <c r="G195" s="233" t="str">
        <f>IF(T186=150,"0.07","0.35")</f>
        <v>0.35</v>
      </c>
      <c r="H195" s="28" t="s">
        <v>683</v>
      </c>
      <c r="I195" s="669">
        <f>T181</f>
        <v>18.559000000000001</v>
      </c>
      <c r="J195" s="987"/>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664" t="s">
        <v>882</v>
      </c>
      <c r="I199" s="987"/>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669">
        <f>T181</f>
        <v>18.559000000000001</v>
      </c>
      <c r="I200" s="987"/>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8">
        <f>B200*D200</f>
        <v>600</v>
      </c>
      <c r="D201" s="1178"/>
      <c r="E201" s="261"/>
      <c r="F201" s="28" t="s">
        <v>886</v>
      </c>
      <c r="G201" s="14"/>
      <c r="H201" s="14"/>
      <c r="I201" s="941">
        <f>H200*K200</f>
        <v>437.99240000000003</v>
      </c>
      <c r="J201" s="941"/>
      <c r="K201" s="14"/>
      <c r="L201" s="14"/>
      <c r="M201" s="166" t="s">
        <v>710</v>
      </c>
      <c r="N201" s="102"/>
      <c r="O201" s="991">
        <f>O200*Q200</f>
        <v>1600</v>
      </c>
      <c r="P201" s="987"/>
      <c r="Q201" s="14"/>
      <c r="R201" s="14"/>
      <c r="S201" s="120" t="s">
        <v>895</v>
      </c>
      <c r="T201" s="1175" t="b">
        <f>IF(AND(C201&lt;I201,I201&lt;=O201)=TRUE,TRUE,FALSE)</f>
        <v>0</v>
      </c>
      <c r="U201" s="1175"/>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926">
        <f>F213*H213*(J213+L213)</f>
        <v>2045.4456415389418</v>
      </c>
      <c r="G214" s="927"/>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76" t="s">
        <v>903</v>
      </c>
      <c r="I218" s="976"/>
      <c r="J218" s="27" t="s">
        <v>326</v>
      </c>
      <c r="K218" s="976" t="s">
        <v>855</v>
      </c>
      <c r="L218" s="976"/>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76" t="s">
        <v>903</v>
      </c>
      <c r="H220" s="976"/>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76" t="s">
        <v>855</v>
      </c>
      <c r="H221" s="976"/>
      <c r="I221" s="230" t="s">
        <v>138</v>
      </c>
      <c r="J221" s="216" t="s">
        <v>906</v>
      </c>
      <c r="K221" s="14"/>
      <c r="L221" s="14"/>
      <c r="M221" s="14"/>
      <c r="N221" s="14"/>
      <c r="O221" s="120"/>
      <c r="P221" s="120"/>
      <c r="Q221" s="14"/>
      <c r="R221" s="14"/>
      <c r="S221" s="28" t="s">
        <v>138</v>
      </c>
      <c r="T221" s="669">
        <f>T181</f>
        <v>18.559000000000001</v>
      </c>
      <c r="U221" s="664"/>
      <c r="V221" s="97" t="s">
        <v>9</v>
      </c>
    </row>
    <row r="222" spans="1:22" ht="18" hidden="1" customHeight="1">
      <c r="A222" s="205"/>
      <c r="U222" s="14"/>
      <c r="V222" s="97"/>
    </row>
    <row r="223" spans="1:22" ht="18" hidden="1" customHeight="1">
      <c r="A223" s="205"/>
      <c r="F223" s="30" t="s">
        <v>484</v>
      </c>
      <c r="G223" s="27" t="s">
        <v>540</v>
      </c>
      <c r="H223" s="976" t="s">
        <v>903</v>
      </c>
      <c r="I223" s="976"/>
      <c r="J223" s="27" t="s">
        <v>326</v>
      </c>
      <c r="K223" s="976" t="s">
        <v>855</v>
      </c>
      <c r="L223" s="976"/>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76">
        <f>T220</f>
        <v>1.4</v>
      </c>
      <c r="I224" s="976"/>
      <c r="J224" s="27" t="s">
        <v>326</v>
      </c>
      <c r="K224" s="680">
        <f>T221</f>
        <v>18.559000000000001</v>
      </c>
      <c r="L224" s="976"/>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9">
        <f>H224*K224*(O224+Q224)</f>
        <v>274.94426941338003</v>
      </c>
      <c r="I225" s="1180"/>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788" t="s">
        <v>909</v>
      </c>
      <c r="F229" s="788"/>
      <c r="G229" s="27" t="s">
        <v>326</v>
      </c>
      <c r="H229" s="788" t="s">
        <v>910</v>
      </c>
      <c r="I229" s="788"/>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788" t="s">
        <v>909</v>
      </c>
      <c r="E231" s="976"/>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788" t="s">
        <v>910</v>
      </c>
      <c r="E232" s="976"/>
      <c r="F232" s="230" t="s">
        <v>138</v>
      </c>
      <c r="G232" s="269" t="s">
        <v>913</v>
      </c>
      <c r="H232" s="14"/>
      <c r="I232" s="14"/>
      <c r="J232" s="14"/>
      <c r="K232" s="14"/>
      <c r="L232" s="120"/>
      <c r="M232" s="120"/>
      <c r="N232" s="14"/>
      <c r="O232" s="14"/>
      <c r="S232" s="28" t="s">
        <v>138</v>
      </c>
      <c r="T232" s="669">
        <f>'[6]Fault Calc (3)'!M107/T180</f>
        <v>18.152889265462242</v>
      </c>
      <c r="U232" s="664"/>
      <c r="V232" s="97" t="s">
        <v>9</v>
      </c>
    </row>
    <row r="233" spans="1:22" ht="18" hidden="1" customHeight="1">
      <c r="A233" s="96"/>
      <c r="B233" s="47"/>
      <c r="C233" s="120"/>
      <c r="S233" s="14"/>
      <c r="T233" s="14"/>
      <c r="U233" s="14"/>
      <c r="V233" s="97"/>
    </row>
    <row r="234" spans="1:22" ht="18" hidden="1" customHeight="1">
      <c r="A234" s="196"/>
      <c r="C234" s="27" t="s">
        <v>484</v>
      </c>
      <c r="D234" s="27" t="s">
        <v>540</v>
      </c>
      <c r="E234" s="788" t="s">
        <v>909</v>
      </c>
      <c r="F234" s="788"/>
      <c r="G234" s="27" t="s">
        <v>326</v>
      </c>
      <c r="H234" s="788" t="s">
        <v>910</v>
      </c>
      <c r="I234" s="788"/>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788">
        <f>T231</f>
        <v>0.6</v>
      </c>
      <c r="F235" s="788"/>
      <c r="G235" s="27" t="s">
        <v>326</v>
      </c>
      <c r="H235" s="1080">
        <f>T232</f>
        <v>18.152889265462242</v>
      </c>
      <c r="I235" s="788"/>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81">
        <f>E235*H235*((K235+M235)*(O235+Q235))</f>
        <v>2835.268420484374</v>
      </c>
      <c r="F236" s="1182"/>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926">
        <f>MAX(F214,H225,E236)</f>
        <v>2835.268420484374</v>
      </c>
      <c r="N238" s="927"/>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665">
        <f>J134</f>
        <v>3000</v>
      </c>
      <c r="E241" s="665"/>
      <c r="F241" s="27" t="str">
        <f>F240</f>
        <v>&gt;</v>
      </c>
      <c r="G241" s="816">
        <f>M238</f>
        <v>2835.268420484374</v>
      </c>
      <c r="H241" s="816"/>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08" t="str">
        <f>B128</f>
        <v>CT7001</v>
      </c>
      <c r="C251" s="709"/>
      <c r="D251" s="710" t="str">
        <f>D128</f>
        <v>Core2</v>
      </c>
      <c r="E251" s="711"/>
      <c r="F251" s="1168" t="str">
        <f>F128</f>
        <v>Main-2</v>
      </c>
      <c r="G251" s="1168"/>
      <c r="H251" s="664" t="str">
        <f>H128</f>
        <v>(Differential + Distance)</v>
      </c>
      <c r="I251" s="664"/>
      <c r="J251" s="664"/>
      <c r="K251" s="664"/>
      <c r="L251" s="664"/>
      <c r="M251" s="664"/>
      <c r="P251" s="198"/>
      <c r="S251" s="199" t="s">
        <v>398</v>
      </c>
      <c r="T251" s="708" t="str">
        <f>T128</f>
        <v>P545</v>
      </c>
      <c r="U251" s="709"/>
      <c r="V251" s="197"/>
    </row>
    <row r="252" spans="1:22" ht="18" hidden="1" customHeight="1">
      <c r="A252" s="196"/>
      <c r="B252" s="707" t="str">
        <f>B129</f>
        <v>CT7004</v>
      </c>
      <c r="C252" s="707"/>
      <c r="D252" s="712"/>
      <c r="E252" s="713"/>
      <c r="F252" s="468"/>
      <c r="T252" s="708">
        <f>T129</f>
        <v>0</v>
      </c>
      <c r="U252" s="709"/>
      <c r="V252" s="197"/>
    </row>
    <row r="253" spans="1:22" ht="18" hidden="1" customHeight="1">
      <c r="A253" s="196"/>
      <c r="H253" s="696" t="s">
        <v>401</v>
      </c>
      <c r="I253" s="696"/>
      <c r="J253" s="696" t="s">
        <v>402</v>
      </c>
      <c r="K253" s="696"/>
      <c r="L253" s="666" t="s">
        <v>403</v>
      </c>
      <c r="M253" s="666"/>
      <c r="T253" s="708">
        <f>T130</f>
        <v>0</v>
      </c>
      <c r="U253" s="709"/>
      <c r="V253" s="197"/>
    </row>
    <row r="254" spans="1:22" ht="18" hidden="1" customHeight="1">
      <c r="A254" s="196"/>
      <c r="B254" s="47" t="s">
        <v>404</v>
      </c>
      <c r="H254" s="708">
        <f>H131</f>
        <v>4000</v>
      </c>
      <c r="I254" s="709"/>
      <c r="J254" s="708">
        <f>J131</f>
        <v>3000</v>
      </c>
      <c r="K254" s="709"/>
      <c r="L254" s="714" t="str">
        <f>L131</f>
        <v>-</v>
      </c>
      <c r="M254" s="715"/>
      <c r="N254" s="203" t="s">
        <v>353</v>
      </c>
      <c r="O254" s="268">
        <f>O131</f>
        <v>1</v>
      </c>
      <c r="P254" s="27" t="s">
        <v>9</v>
      </c>
      <c r="V254" s="197"/>
    </row>
    <row r="255" spans="1:22" ht="18" hidden="1" customHeight="1">
      <c r="A255" s="196"/>
      <c r="B255" s="47" t="s">
        <v>405</v>
      </c>
      <c r="L255" s="708" t="str">
        <f>J132</f>
        <v>PX</v>
      </c>
      <c r="M255" s="709"/>
      <c r="V255" s="197"/>
    </row>
    <row r="256" spans="1:22" ht="18" hidden="1" customHeight="1">
      <c r="A256" s="196"/>
      <c r="B256" s="47" t="s">
        <v>407</v>
      </c>
      <c r="K256" s="120" t="s">
        <v>508</v>
      </c>
      <c r="L256" s="948" t="s">
        <v>7</v>
      </c>
      <c r="M256" s="949"/>
      <c r="N256" s="204" t="s">
        <v>344</v>
      </c>
      <c r="V256" s="197"/>
    </row>
    <row r="257" spans="1:29" ht="18" hidden="1" customHeight="1">
      <c r="A257" s="196"/>
      <c r="B257" s="47" t="s">
        <v>409</v>
      </c>
      <c r="K257" s="120" t="s">
        <v>509</v>
      </c>
      <c r="L257" s="948" t="s">
        <v>7</v>
      </c>
      <c r="M257" s="949"/>
      <c r="N257" s="14" t="s">
        <v>316</v>
      </c>
      <c r="V257" s="197"/>
      <c r="W257" s="30" t="s">
        <v>411</v>
      </c>
      <c r="AB257" s="1022" t="e">
        <f>M367</f>
        <v>#VALUE!</v>
      </c>
      <c r="AC257" s="1023"/>
    </row>
    <row r="258" spans="1:29" ht="18" hidden="1" customHeight="1">
      <c r="A258" s="196"/>
      <c r="B258" s="14" t="s">
        <v>412</v>
      </c>
      <c r="K258" s="120" t="s">
        <v>413</v>
      </c>
      <c r="L258" s="948" t="s">
        <v>7</v>
      </c>
      <c r="M258" s="949"/>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896">
        <f>J139</f>
        <v>0.02</v>
      </c>
      <c r="K262" s="679"/>
      <c r="L262" s="214" t="s">
        <v>168</v>
      </c>
      <c r="V262" s="197"/>
    </row>
    <row r="263" spans="1:29" ht="18" hidden="1" customHeight="1">
      <c r="A263" s="196"/>
      <c r="B263" s="196" t="s">
        <v>416</v>
      </c>
      <c r="D263" s="308">
        <f>T252</f>
        <v>0</v>
      </c>
      <c r="I263" s="28" t="s">
        <v>138</v>
      </c>
      <c r="J263" s="896">
        <f>J140</f>
        <v>0</v>
      </c>
      <c r="K263" s="860"/>
      <c r="L263" s="309" t="s">
        <v>168</v>
      </c>
      <c r="V263" s="197"/>
    </row>
    <row r="264" spans="1:29" ht="18" hidden="1" customHeight="1">
      <c r="A264" s="196"/>
      <c r="B264" s="196" t="s">
        <v>416</v>
      </c>
      <c r="D264" s="308">
        <f>T253</f>
        <v>0</v>
      </c>
      <c r="E264" s="14"/>
      <c r="G264" s="211"/>
      <c r="H264" s="27"/>
      <c r="I264" s="101" t="s">
        <v>138</v>
      </c>
      <c r="J264" s="699">
        <f>J141</f>
        <v>0</v>
      </c>
      <c r="K264" s="861"/>
      <c r="L264" s="439" t="s">
        <v>168</v>
      </c>
      <c r="V264" s="197"/>
    </row>
    <row r="265" spans="1:29" ht="18" hidden="1" customHeight="1">
      <c r="A265" s="196"/>
      <c r="B265" s="196" t="s">
        <v>423</v>
      </c>
      <c r="H265" s="27"/>
      <c r="I265" s="189" t="s">
        <v>138</v>
      </c>
      <c r="J265" s="1026">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896">
        <f>SUM(J263:K265)</f>
        <v>0.56186130000000001</v>
      </c>
      <c r="K266" s="860"/>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680">
        <f>D270/(F270*H270)</f>
        <v>0.02</v>
      </c>
      <c r="E271" s="680"/>
      <c r="F271" s="562" t="s">
        <v>344</v>
      </c>
      <c r="G271" s="254"/>
      <c r="H271" s="254"/>
      <c r="I271" s="254"/>
      <c r="J271" s="516"/>
      <c r="K271" s="254"/>
      <c r="L271" s="560"/>
      <c r="M271" s="254"/>
      <c r="N271" s="257" t="s">
        <v>138</v>
      </c>
      <c r="O271" s="680">
        <f>O270/(Q270*S270)</f>
        <v>0.56186130000000001</v>
      </c>
      <c r="P271" s="680"/>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1018" t="s">
        <v>879</v>
      </c>
      <c r="B279" s="972"/>
      <c r="C279" s="972"/>
      <c r="D279" s="972"/>
      <c r="E279" s="972"/>
      <c r="F279" s="972"/>
      <c r="G279" s="972"/>
      <c r="H279" s="972"/>
      <c r="I279" s="972"/>
      <c r="J279" s="972"/>
      <c r="K279" s="972"/>
      <c r="L279" s="972"/>
      <c r="M279" s="972"/>
      <c r="N279" s="972"/>
      <c r="O279" s="972"/>
      <c r="P279" s="972"/>
      <c r="Q279" s="972"/>
      <c r="R279" s="972"/>
      <c r="S279" s="972"/>
      <c r="T279" s="972"/>
      <c r="U279" s="972"/>
      <c r="V279" s="973"/>
    </row>
    <row r="280" spans="1:22" ht="18" hidden="1" customHeight="1">
      <c r="A280" s="974"/>
      <c r="B280" s="972"/>
      <c r="C280" s="972"/>
      <c r="D280" s="972"/>
      <c r="E280" s="972"/>
      <c r="F280" s="972"/>
      <c r="G280" s="972"/>
      <c r="H280" s="972"/>
      <c r="I280" s="972"/>
      <c r="J280" s="972"/>
      <c r="K280" s="972"/>
      <c r="L280" s="972"/>
      <c r="M280" s="972"/>
      <c r="N280" s="972"/>
      <c r="O280" s="972"/>
      <c r="P280" s="972"/>
      <c r="Q280" s="972"/>
      <c r="R280" s="972"/>
      <c r="S280" s="972"/>
      <c r="T280" s="972"/>
      <c r="U280" s="972"/>
      <c r="V280" s="973"/>
    </row>
    <row r="281" spans="1:22" ht="18" hidden="1" customHeight="1">
      <c r="A281" s="921">
        <v>1</v>
      </c>
      <c r="B281" s="1173" t="s">
        <v>880</v>
      </c>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921"/>
      <c r="B282" s="1173"/>
      <c r="C282" s="1173"/>
      <c r="D282" s="1173"/>
      <c r="E282" s="1173"/>
      <c r="F282" s="1173"/>
      <c r="G282" s="1173"/>
      <c r="H282" s="1173"/>
      <c r="I282" s="1173"/>
      <c r="J282" s="1173"/>
      <c r="K282" s="1173"/>
      <c r="L282" s="1173"/>
      <c r="M282" s="1173"/>
      <c r="N282" s="1173"/>
      <c r="O282" s="1173"/>
      <c r="P282" s="1173"/>
      <c r="Q282" s="1173"/>
      <c r="R282" s="1173"/>
      <c r="S282" s="1173"/>
      <c r="T282" s="1173"/>
      <c r="U282" s="1173"/>
      <c r="V282" s="1174"/>
    </row>
    <row r="283" spans="1:22" ht="18" hidden="1" customHeight="1">
      <c r="A283" s="96"/>
      <c r="B283" s="120" t="s">
        <v>881</v>
      </c>
      <c r="C283" s="120" t="s">
        <v>430</v>
      </c>
      <c r="D283" s="664" t="s">
        <v>882</v>
      </c>
      <c r="E283" s="987"/>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664" t="s">
        <v>882</v>
      </c>
      <c r="K285" s="987"/>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664" t="s">
        <v>882</v>
      </c>
      <c r="K295" s="987"/>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921">
        <v>2</v>
      </c>
      <c r="B298" s="1173" t="s">
        <v>887</v>
      </c>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921"/>
      <c r="B299" s="1173"/>
      <c r="C299" s="1173"/>
      <c r="D299" s="1173"/>
      <c r="E299" s="1173"/>
      <c r="F299" s="1173"/>
      <c r="G299" s="1173"/>
      <c r="H299" s="1173"/>
      <c r="I299" s="1173"/>
      <c r="J299" s="1173"/>
      <c r="K299" s="1173"/>
      <c r="L299" s="1173"/>
      <c r="M299" s="1173"/>
      <c r="N299" s="1173"/>
      <c r="O299" s="1173"/>
      <c r="P299" s="1173"/>
      <c r="Q299" s="1173"/>
      <c r="R299" s="1173"/>
      <c r="S299" s="1173"/>
      <c r="T299" s="1173"/>
      <c r="U299" s="1173"/>
      <c r="V299" s="1174"/>
    </row>
    <row r="300" spans="1:22" ht="18" hidden="1" customHeight="1">
      <c r="A300" s="284"/>
      <c r="B300" s="120" t="s">
        <v>881</v>
      </c>
      <c r="C300" s="120" t="s">
        <v>430</v>
      </c>
      <c r="D300" s="664" t="s">
        <v>882</v>
      </c>
      <c r="E300" s="987"/>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664" t="s">
        <v>882</v>
      </c>
      <c r="K302" s="987"/>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664" t="s">
        <v>882</v>
      </c>
      <c r="K305" s="987"/>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665">
        <f>T179</f>
        <v>55677</v>
      </c>
      <c r="U308" s="665"/>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665" t="str">
        <f>L254</f>
        <v>-</v>
      </c>
      <c r="U309" s="665"/>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668" t="e">
        <f>T308/T309</f>
        <v>#VALUE!</v>
      </c>
      <c r="U310" s="668"/>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665" t="str">
        <f>L256</f>
        <v>-</v>
      </c>
      <c r="U311" s="665"/>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668">
        <f>Q273</f>
        <v>0.58186130000000003</v>
      </c>
      <c r="U312" s="668"/>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665">
        <f>O254</f>
        <v>1</v>
      </c>
      <c r="U313" s="665"/>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5">
        <f>T185</f>
        <v>23.6</v>
      </c>
      <c r="U314" s="617"/>
      <c r="V314" s="197"/>
    </row>
    <row r="315" spans="1:22" ht="18" hidden="1" customHeight="1">
      <c r="A315" s="337"/>
      <c r="B315" s="14" t="s">
        <v>893</v>
      </c>
      <c r="F315" s="14"/>
      <c r="G315" s="166"/>
      <c r="H315" s="102"/>
      <c r="I315" s="28"/>
      <c r="J315" s="27"/>
      <c r="K315" s="14"/>
      <c r="O315" s="47"/>
      <c r="P315" s="14"/>
      <c r="Q315" s="14"/>
      <c r="R315" s="14"/>
      <c r="S315" s="120"/>
      <c r="T315" s="615">
        <f>T186</f>
        <v>100</v>
      </c>
      <c r="U315" s="617"/>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664" t="s">
        <v>882</v>
      </c>
      <c r="C318" s="664"/>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669" t="e">
        <f>T310</f>
        <v>#VALUE!</v>
      </c>
      <c r="C319" s="669"/>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664" t="e">
        <f>B319*E319</f>
        <v>#VALUE!</v>
      </c>
      <c r="E320" s="987"/>
      <c r="F320" s="14"/>
      <c r="G320" s="166" t="s">
        <v>710</v>
      </c>
      <c r="H320" s="102"/>
      <c r="I320" s="664">
        <f>I319*K319</f>
        <v>600</v>
      </c>
      <c r="J320" s="665"/>
      <c r="K320" s="14"/>
      <c r="O320" s="47"/>
      <c r="P320" s="14"/>
      <c r="Q320" s="14"/>
      <c r="R320" s="14"/>
      <c r="S320" s="120" t="s">
        <v>895</v>
      </c>
      <c r="T320" s="1175" t="e">
        <f>IF(D320&lt;=I320,TRUE,FALSE)</f>
        <v>#VALUE!</v>
      </c>
      <c r="U320" s="1175"/>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664" t="s">
        <v>882</v>
      </c>
      <c r="J323" s="987"/>
      <c r="K323" s="28" t="s">
        <v>326</v>
      </c>
      <c r="L323" s="28" t="s">
        <v>352</v>
      </c>
      <c r="M323" s="47" t="s">
        <v>361</v>
      </c>
      <c r="N323" s="196"/>
      <c r="O323" s="47" t="s">
        <v>897</v>
      </c>
      <c r="P323" s="27"/>
      <c r="Q323" s="28" t="s">
        <v>138</v>
      </c>
      <c r="R323" s="668" t="e">
        <f>MAX(E325,E326)</f>
        <v>#VALUE!</v>
      </c>
      <c r="S323" s="665"/>
      <c r="V323" s="197"/>
    </row>
    <row r="324" spans="1:22" ht="18" hidden="1" customHeight="1">
      <c r="A324" s="196"/>
      <c r="B324" s="14"/>
      <c r="C324" s="28"/>
      <c r="D324" s="28" t="s">
        <v>540</v>
      </c>
      <c r="E324" s="28">
        <v>40</v>
      </c>
      <c r="F324" s="28" t="s">
        <v>358</v>
      </c>
      <c r="G324" s="233" t="str">
        <f>IF(T315=150,"0.07","0.35")</f>
        <v>0.35</v>
      </c>
      <c r="H324" s="28" t="s">
        <v>683</v>
      </c>
      <c r="I324" s="669" t="e">
        <f>T310</f>
        <v>#VALUE!</v>
      </c>
      <c r="J324" s="987"/>
      <c r="K324" s="28" t="s">
        <v>326</v>
      </c>
      <c r="L324" s="28">
        <f>T314</f>
        <v>23.6</v>
      </c>
      <c r="M324" s="47" t="s">
        <v>361</v>
      </c>
      <c r="N324" s="196"/>
      <c r="V324" s="197"/>
    </row>
    <row r="325" spans="1:22" ht="18" hidden="1" customHeight="1">
      <c r="A325" s="196"/>
      <c r="B325" s="14"/>
      <c r="C325" s="28"/>
      <c r="D325" s="28" t="s">
        <v>540</v>
      </c>
      <c r="E325" s="669" t="e">
        <f>E324+(G324*(I324*L324))</f>
        <v>#VALUE!</v>
      </c>
      <c r="F325" s="669"/>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664" t="s">
        <v>882</v>
      </c>
      <c r="I328" s="987"/>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669" t="e">
        <f>T310</f>
        <v>#VALUE!</v>
      </c>
      <c r="I329" s="987"/>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8">
        <f>B329*D329</f>
        <v>600</v>
      </c>
      <c r="D330" s="1178"/>
      <c r="E330" s="261"/>
      <c r="F330" s="28" t="s">
        <v>886</v>
      </c>
      <c r="G330" s="14"/>
      <c r="H330" s="14"/>
      <c r="I330" s="936" t="e">
        <f>H329*K329</f>
        <v>#VALUE!</v>
      </c>
      <c r="J330" s="936"/>
      <c r="K330" s="14"/>
      <c r="L330" s="14"/>
      <c r="M330" s="166" t="s">
        <v>710</v>
      </c>
      <c r="N330" s="102"/>
      <c r="O330" s="991">
        <f>O329*Q329</f>
        <v>1600</v>
      </c>
      <c r="P330" s="987"/>
      <c r="Q330" s="14"/>
      <c r="R330" s="14"/>
      <c r="S330" s="120" t="s">
        <v>895</v>
      </c>
      <c r="T330" s="1175" t="e">
        <f>IF(AND(C330&lt;I330,I330&lt;=O330)=TRUE,TRUE,FALSE)</f>
        <v>#VALUE!</v>
      </c>
      <c r="U330" s="1175"/>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699" t="e">
        <f>F342*H342*(J342+L342)</f>
        <v>#VALUE!</v>
      </c>
      <c r="G343" s="678"/>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76" t="s">
        <v>903</v>
      </c>
      <c r="I347" s="976"/>
      <c r="J347" s="27" t="s">
        <v>326</v>
      </c>
      <c r="K347" s="976" t="s">
        <v>855</v>
      </c>
      <c r="L347" s="976"/>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76" t="s">
        <v>903</v>
      </c>
      <c r="H349" s="976"/>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76" t="s">
        <v>855</v>
      </c>
      <c r="H350" s="976"/>
      <c r="I350" s="230" t="s">
        <v>138</v>
      </c>
      <c r="J350" s="216" t="s">
        <v>906</v>
      </c>
      <c r="K350" s="14"/>
      <c r="L350" s="14"/>
      <c r="M350" s="14"/>
      <c r="N350" s="14"/>
      <c r="O350" s="120"/>
      <c r="P350" s="120"/>
      <c r="Q350" s="14"/>
      <c r="R350" s="14"/>
      <c r="S350" s="28" t="s">
        <v>138</v>
      </c>
      <c r="T350" s="669" t="e">
        <f>T310</f>
        <v>#VALUE!</v>
      </c>
      <c r="U350" s="664"/>
      <c r="V350" s="97" t="s">
        <v>9</v>
      </c>
    </row>
    <row r="351" spans="1:22" ht="18" hidden="1" customHeight="1">
      <c r="A351" s="205"/>
      <c r="U351" s="14"/>
      <c r="V351" s="97"/>
    </row>
    <row r="352" spans="1:22" ht="18" hidden="1" customHeight="1">
      <c r="A352" s="205"/>
      <c r="F352" s="30" t="s">
        <v>484</v>
      </c>
      <c r="G352" s="27" t="s">
        <v>540</v>
      </c>
      <c r="H352" s="976" t="s">
        <v>903</v>
      </c>
      <c r="I352" s="976"/>
      <c r="J352" s="27" t="s">
        <v>326</v>
      </c>
      <c r="K352" s="976" t="s">
        <v>855</v>
      </c>
      <c r="L352" s="976"/>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76">
        <f>T349</f>
        <v>1.4</v>
      </c>
      <c r="I353" s="976"/>
      <c r="J353" s="27" t="s">
        <v>326</v>
      </c>
      <c r="K353" s="680" t="e">
        <f>T350</f>
        <v>#VALUE!</v>
      </c>
      <c r="L353" s="976"/>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875" t="e">
        <f>H353*K353*(O353+Q353)</f>
        <v>#VALUE!</v>
      </c>
      <c r="I354" s="876"/>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788" t="s">
        <v>909</v>
      </c>
      <c r="F358" s="788"/>
      <c r="G358" s="27" t="s">
        <v>326</v>
      </c>
      <c r="H358" s="788" t="s">
        <v>910</v>
      </c>
      <c r="I358" s="788"/>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788" t="s">
        <v>909</v>
      </c>
      <c r="E360" s="976"/>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788" t="s">
        <v>910</v>
      </c>
      <c r="E361" s="976"/>
      <c r="F361" s="230" t="s">
        <v>138</v>
      </c>
      <c r="G361" s="269" t="s">
        <v>913</v>
      </c>
      <c r="H361" s="14"/>
      <c r="I361" s="14"/>
      <c r="J361" s="14"/>
      <c r="K361" s="14"/>
      <c r="L361" s="120"/>
      <c r="M361" s="120"/>
      <c r="N361" s="14"/>
      <c r="O361" s="14"/>
      <c r="S361" s="28" t="s">
        <v>138</v>
      </c>
      <c r="T361" s="669" t="e">
        <f>'[6]Fault Calc (3)'!M107/T309</f>
        <v>#VALUE!</v>
      </c>
      <c r="U361" s="664"/>
      <c r="V361" s="97" t="s">
        <v>9</v>
      </c>
    </row>
    <row r="362" spans="1:22" ht="18" hidden="1" customHeight="1">
      <c r="A362" s="96"/>
      <c r="B362" s="47"/>
      <c r="C362" s="120"/>
      <c r="S362" s="14"/>
      <c r="T362" s="14"/>
      <c r="U362" s="14"/>
      <c r="V362" s="97"/>
    </row>
    <row r="363" spans="1:22" ht="18" hidden="1" customHeight="1">
      <c r="A363" s="196"/>
      <c r="C363" s="30" t="s">
        <v>484</v>
      </c>
      <c r="D363" s="27" t="s">
        <v>540</v>
      </c>
      <c r="E363" s="788" t="s">
        <v>909</v>
      </c>
      <c r="F363" s="788"/>
      <c r="G363" s="27" t="s">
        <v>326</v>
      </c>
      <c r="H363" s="788" t="s">
        <v>910</v>
      </c>
      <c r="I363" s="788"/>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788">
        <f>T360</f>
        <v>0.6</v>
      </c>
      <c r="F364" s="788"/>
      <c r="G364" s="27" t="s">
        <v>326</v>
      </c>
      <c r="H364" s="1080" t="e">
        <f>T361</f>
        <v>#VALUE!</v>
      </c>
      <c r="I364" s="788"/>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4" t="e">
        <f>E364*H364*((K364+M364)*(O364+Q364))</f>
        <v>#VALUE!</v>
      </c>
      <c r="F365" s="1185"/>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699" t="e">
        <f>MAX(F343,H354,E365)</f>
        <v>#VALUE!</v>
      </c>
      <c r="N367" s="617"/>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665" t="str">
        <f>L257</f>
        <v>-</v>
      </c>
      <c r="E372" s="665"/>
      <c r="F372" s="27" t="e">
        <f>F371</f>
        <v>#VALUE!</v>
      </c>
      <c r="G372" s="668" t="e">
        <f>M367</f>
        <v>#VALUE!</v>
      </c>
      <c r="H372" s="665"/>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800" t="s">
        <v>97</v>
      </c>
      <c r="B384" s="800"/>
      <c r="C384" s="728"/>
      <c r="D384" s="800" t="s">
        <v>98</v>
      </c>
      <c r="E384" s="800"/>
      <c r="F384" s="800"/>
      <c r="G384" s="800" t="s">
        <v>99</v>
      </c>
      <c r="H384" s="800"/>
      <c r="I384" s="800" t="s">
        <v>100</v>
      </c>
      <c r="J384" s="800"/>
      <c r="K384" s="716" t="s">
        <v>101</v>
      </c>
      <c r="L384" s="717"/>
      <c r="M384" s="716" t="s">
        <v>102</v>
      </c>
      <c r="N384" s="717"/>
      <c r="O384" s="716" t="s">
        <v>103</v>
      </c>
      <c r="P384" s="717"/>
      <c r="Q384" s="716" t="s">
        <v>104</v>
      </c>
      <c r="R384" s="717"/>
      <c r="S384" s="800" t="s">
        <v>105</v>
      </c>
      <c r="T384" s="800"/>
      <c r="U384" s="800"/>
      <c r="V384" s="800"/>
    </row>
    <row r="385" spans="1:22" customFormat="1" ht="18" customHeight="1">
      <c r="A385" s="728" t="str">
        <f>B251</f>
        <v>CT7001</v>
      </c>
      <c r="B385" s="733" t="str">
        <f>D251</f>
        <v>Core2</v>
      </c>
      <c r="C385" s="733"/>
      <c r="D385" s="732">
        <f>H254</f>
        <v>4000</v>
      </c>
      <c r="E385" s="732"/>
      <c r="F385" s="734">
        <f>O254</f>
        <v>1</v>
      </c>
      <c r="G385" s="732">
        <f>'[6]CT-VT Burdens'!S20</f>
        <v>75</v>
      </c>
      <c r="H385" s="794">
        <f>'[6]CT-VT Burdens'!S11</f>
        <v>6</v>
      </c>
      <c r="I385" s="794" t="str">
        <f>L255</f>
        <v>PX</v>
      </c>
      <c r="J385" s="794"/>
      <c r="K385" s="728">
        <f>H12</f>
        <v>14</v>
      </c>
      <c r="L385" s="728"/>
      <c r="M385" s="728">
        <f>H13</f>
        <v>4000</v>
      </c>
      <c r="N385" s="728"/>
      <c r="O385" s="732">
        <f>H14</f>
        <v>25</v>
      </c>
      <c r="P385" s="732"/>
      <c r="Q385" s="739" t="str">
        <f>IF(T8="",T7,IF(T9="",T7&amp;"+"&amp;T8,T7&amp;"+"&amp;T8&amp;"+"&amp;T9))</f>
        <v>P545</v>
      </c>
      <c r="R385" s="739"/>
      <c r="S385" s="738" t="str">
        <f>G122</f>
        <v>Suitably Dimensioned</v>
      </c>
      <c r="T385" s="738"/>
      <c r="U385" s="738"/>
      <c r="V385" s="738"/>
    </row>
    <row r="386" spans="1:22" customFormat="1" ht="18" customHeight="1">
      <c r="A386" s="728"/>
      <c r="B386" s="733"/>
      <c r="C386" s="733"/>
      <c r="D386" s="732">
        <f>J254</f>
        <v>3000</v>
      </c>
      <c r="E386" s="732"/>
      <c r="F386" s="735"/>
      <c r="G386" s="732"/>
      <c r="H386" s="732"/>
      <c r="I386" s="794"/>
      <c r="J386" s="794"/>
      <c r="K386" s="728">
        <f>J133</f>
        <v>10</v>
      </c>
      <c r="L386" s="728"/>
      <c r="M386" s="728">
        <f>J134</f>
        <v>3000</v>
      </c>
      <c r="N386" s="728"/>
      <c r="O386" s="732">
        <f>J135</f>
        <v>30</v>
      </c>
      <c r="P386" s="732"/>
      <c r="Q386" s="739"/>
      <c r="R386" s="739"/>
      <c r="S386" s="738" t="str">
        <f>G242</f>
        <v>Suitably Dimensioned</v>
      </c>
      <c r="T386" s="738"/>
      <c r="U386" s="738"/>
      <c r="V386" s="738"/>
    </row>
    <row r="387" spans="1:22" customFormat="1" ht="18" customHeight="1">
      <c r="A387" s="728"/>
      <c r="B387" s="733"/>
      <c r="C387" s="733"/>
      <c r="D387" s="732" t="str">
        <f>L254</f>
        <v>-</v>
      </c>
      <c r="E387" s="732"/>
      <c r="F387" s="736"/>
      <c r="G387" s="732"/>
      <c r="H387" s="732"/>
      <c r="I387" s="794"/>
      <c r="J387" s="794"/>
      <c r="K387" s="728" t="str">
        <f>L256</f>
        <v>-</v>
      </c>
      <c r="L387" s="728"/>
      <c r="M387" s="728" t="str">
        <f>L257</f>
        <v>-</v>
      </c>
      <c r="N387" s="728"/>
      <c r="O387" s="732" t="str">
        <f>L258</f>
        <v>-</v>
      </c>
      <c r="P387" s="732"/>
      <c r="Q387" s="739"/>
      <c r="R387" s="739"/>
      <c r="S387" s="738"/>
      <c r="T387" s="738"/>
      <c r="U387" s="738"/>
      <c r="V387" s="738"/>
    </row>
    <row r="388" spans="1:22" customFormat="1" ht="18" customHeight="1">
      <c r="A388" s="728" t="str">
        <f>B8</f>
        <v>CT7004</v>
      </c>
      <c r="B388" s="733" t="str">
        <f>D8</f>
        <v>Core5</v>
      </c>
      <c r="C388" s="733"/>
      <c r="D388" s="732">
        <f>D385</f>
        <v>4000</v>
      </c>
      <c r="E388" s="732"/>
      <c r="F388" s="734">
        <f>F385</f>
        <v>1</v>
      </c>
      <c r="G388" s="732">
        <f>G385</f>
        <v>75</v>
      </c>
      <c r="H388" s="794">
        <f>H385</f>
        <v>6</v>
      </c>
      <c r="I388" s="794" t="str">
        <f>I385</f>
        <v>PX</v>
      </c>
      <c r="J388" s="794"/>
      <c r="K388" s="728">
        <f>K385</f>
        <v>14</v>
      </c>
      <c r="L388" s="728"/>
      <c r="M388" s="728">
        <f>M385</f>
        <v>4000</v>
      </c>
      <c r="N388" s="728"/>
      <c r="O388" s="732">
        <f>O385</f>
        <v>25</v>
      </c>
      <c r="P388" s="732"/>
      <c r="Q388" s="739" t="str">
        <f>Q385</f>
        <v>P545</v>
      </c>
      <c r="R388" s="739"/>
      <c r="S388" s="738" t="str">
        <f>S385</f>
        <v>Suitably Dimensioned</v>
      </c>
      <c r="T388" s="738"/>
      <c r="U388" s="738"/>
      <c r="V388" s="738"/>
    </row>
    <row r="389" spans="1:22" customFormat="1" ht="18" customHeight="1">
      <c r="A389" s="728"/>
      <c r="B389" s="733"/>
      <c r="C389" s="733"/>
      <c r="D389" s="732">
        <f>D386</f>
        <v>3000</v>
      </c>
      <c r="E389" s="732"/>
      <c r="F389" s="735"/>
      <c r="G389" s="732"/>
      <c r="H389" s="732"/>
      <c r="I389" s="794"/>
      <c r="J389" s="794"/>
      <c r="K389" s="728">
        <f>K386</f>
        <v>10</v>
      </c>
      <c r="L389" s="728"/>
      <c r="M389" s="728">
        <f>M386</f>
        <v>3000</v>
      </c>
      <c r="N389" s="728"/>
      <c r="O389" s="732">
        <f>O386</f>
        <v>30</v>
      </c>
      <c r="P389" s="732"/>
      <c r="Q389" s="739"/>
      <c r="R389" s="739"/>
      <c r="S389" s="738" t="str">
        <f>S386</f>
        <v>Suitably Dimensioned</v>
      </c>
      <c r="T389" s="738"/>
      <c r="U389" s="738"/>
      <c r="V389" s="738"/>
    </row>
    <row r="390" spans="1:22" customFormat="1" ht="18" customHeight="1">
      <c r="A390" s="728"/>
      <c r="B390" s="733"/>
      <c r="C390" s="733"/>
      <c r="D390" s="732" t="str">
        <f>D387</f>
        <v>-</v>
      </c>
      <c r="E390" s="732"/>
      <c r="F390" s="736"/>
      <c r="G390" s="732"/>
      <c r="H390" s="732"/>
      <c r="I390" s="794"/>
      <c r="J390" s="794"/>
      <c r="K390" s="728" t="str">
        <f>K387</f>
        <v>-</v>
      </c>
      <c r="L390" s="728"/>
      <c r="M390" s="728" t="str">
        <f>M387</f>
        <v>-</v>
      </c>
      <c r="N390" s="728"/>
      <c r="O390" s="732" t="str">
        <f>O387</f>
        <v>-</v>
      </c>
      <c r="P390" s="732"/>
      <c r="Q390" s="739"/>
      <c r="R390" s="739"/>
      <c r="S390" s="738">
        <f>S387</f>
        <v>0</v>
      </c>
      <c r="T390" s="738"/>
      <c r="U390" s="738"/>
      <c r="V390" s="738"/>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AB13:AC13"/>
    <mergeCell ref="H14:I14"/>
    <mergeCell ref="J18:K18"/>
    <mergeCell ref="H9:I9"/>
    <mergeCell ref="J9:K9"/>
    <mergeCell ref="L9:M9"/>
    <mergeCell ref="T9:U9"/>
    <mergeCell ref="H10:I10"/>
    <mergeCell ref="J10:K10"/>
    <mergeCell ref="L10:M10"/>
    <mergeCell ref="R3:V3"/>
    <mergeCell ref="J19:K19"/>
    <mergeCell ref="J20:K20"/>
    <mergeCell ref="J21:K21"/>
    <mergeCell ref="J22:K22"/>
    <mergeCell ref="D27:E27"/>
    <mergeCell ref="O27:P27"/>
    <mergeCell ref="H11:I11"/>
    <mergeCell ref="H12:I12"/>
    <mergeCell ref="H13:I13"/>
    <mergeCell ref="D39:E39"/>
    <mergeCell ref="J41:K41"/>
    <mergeCell ref="J48:K48"/>
    <mergeCell ref="B51:V51"/>
    <mergeCell ref="D52:E52"/>
    <mergeCell ref="J54:K54"/>
    <mergeCell ref="M29:N29"/>
    <mergeCell ref="P29:Q29"/>
    <mergeCell ref="S29:T29"/>
    <mergeCell ref="A35:V36"/>
    <mergeCell ref="A37:A38"/>
    <mergeCell ref="B37:V38"/>
    <mergeCell ref="B70:C70"/>
    <mergeCell ref="B71:C71"/>
    <mergeCell ref="D72:E72"/>
    <mergeCell ref="I72:J72"/>
    <mergeCell ref="T72:U72"/>
    <mergeCell ref="J57:K57"/>
    <mergeCell ref="T60:U60"/>
    <mergeCell ref="T61:U61"/>
    <mergeCell ref="T62:U62"/>
    <mergeCell ref="T63:U63"/>
    <mergeCell ref="T64:U64"/>
    <mergeCell ref="I75:J75"/>
    <mergeCell ref="R75:S75"/>
    <mergeCell ref="I76:J76"/>
    <mergeCell ref="E77:F77"/>
    <mergeCell ref="H80:I80"/>
    <mergeCell ref="H81:I81"/>
    <mergeCell ref="T65:U65"/>
    <mergeCell ref="T66:U66"/>
    <mergeCell ref="T67:U67"/>
    <mergeCell ref="H96:I96"/>
    <mergeCell ref="H98:I98"/>
    <mergeCell ref="K98:L98"/>
    <mergeCell ref="G100:H100"/>
    <mergeCell ref="G101:H101"/>
    <mergeCell ref="T101:U101"/>
    <mergeCell ref="C82:D82"/>
    <mergeCell ref="I82:J82"/>
    <mergeCell ref="O82:P82"/>
    <mergeCell ref="T82:U82"/>
    <mergeCell ref="F91:G91"/>
    <mergeCell ref="A95:V95"/>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A155:V156"/>
    <mergeCell ref="A157:A158"/>
    <mergeCell ref="B157:V158"/>
    <mergeCell ref="D159:E159"/>
    <mergeCell ref="J161:K161"/>
    <mergeCell ref="J164:K164"/>
    <mergeCell ref="J143:K143"/>
    <mergeCell ref="D148:E148"/>
    <mergeCell ref="O148:P148"/>
    <mergeCell ref="M149:N149"/>
    <mergeCell ref="P149:Q149"/>
    <mergeCell ref="S149:T149"/>
    <mergeCell ref="T180:U180"/>
    <mergeCell ref="T181:U181"/>
    <mergeCell ref="T182:U182"/>
    <mergeCell ref="T183:U183"/>
    <mergeCell ref="T184:U184"/>
    <mergeCell ref="T185:U185"/>
    <mergeCell ref="A169:A170"/>
    <mergeCell ref="B169:V170"/>
    <mergeCell ref="D171:E171"/>
    <mergeCell ref="J173:K173"/>
    <mergeCell ref="J176:K176"/>
    <mergeCell ref="T179:U179"/>
    <mergeCell ref="I194:J194"/>
    <mergeCell ref="R194:S194"/>
    <mergeCell ref="I195:J195"/>
    <mergeCell ref="E196:F196"/>
    <mergeCell ref="H199:I199"/>
    <mergeCell ref="H200:I200"/>
    <mergeCell ref="T186:U186"/>
    <mergeCell ref="B189:C189"/>
    <mergeCell ref="B190:C190"/>
    <mergeCell ref="D191:E191"/>
    <mergeCell ref="I191:J191"/>
    <mergeCell ref="T191:U191"/>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E234:F234"/>
    <mergeCell ref="H234:I234"/>
    <mergeCell ref="E235:F235"/>
    <mergeCell ref="H235:I235"/>
    <mergeCell ref="E236:F236"/>
    <mergeCell ref="M238:N238"/>
    <mergeCell ref="H225:I225"/>
    <mergeCell ref="E229:F229"/>
    <mergeCell ref="H229:I229"/>
    <mergeCell ref="D231:E231"/>
    <mergeCell ref="D232:E232"/>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D283:E283"/>
    <mergeCell ref="J285:K285"/>
    <mergeCell ref="J295:K295"/>
    <mergeCell ref="A298:A299"/>
    <mergeCell ref="B298:V299"/>
    <mergeCell ref="D300:E300"/>
    <mergeCell ref="J266:K266"/>
    <mergeCell ref="D271:E271"/>
    <mergeCell ref="O271:P271"/>
    <mergeCell ref="A279:V280"/>
    <mergeCell ref="A281:A282"/>
    <mergeCell ref="B281:V282"/>
    <mergeCell ref="T312:U312"/>
    <mergeCell ref="T313:U313"/>
    <mergeCell ref="T314:U314"/>
    <mergeCell ref="T315:U315"/>
    <mergeCell ref="B318:C318"/>
    <mergeCell ref="B319:C319"/>
    <mergeCell ref="J302:K302"/>
    <mergeCell ref="J305:K305"/>
    <mergeCell ref="T308:U308"/>
    <mergeCell ref="T309:U309"/>
    <mergeCell ref="T310:U310"/>
    <mergeCell ref="T311:U311"/>
    <mergeCell ref="C330:D330"/>
    <mergeCell ref="I330:J330"/>
    <mergeCell ref="O330:P330"/>
    <mergeCell ref="D320:E320"/>
    <mergeCell ref="I320:J320"/>
    <mergeCell ref="T320:U320"/>
    <mergeCell ref="I323:J323"/>
    <mergeCell ref="R323:S323"/>
    <mergeCell ref="I324:J324"/>
    <mergeCell ref="T330:U330"/>
    <mergeCell ref="F343:G343"/>
    <mergeCell ref="H347:I347"/>
    <mergeCell ref="K347:L347"/>
    <mergeCell ref="G349:H349"/>
    <mergeCell ref="G350:H350"/>
    <mergeCell ref="T350:U350"/>
    <mergeCell ref="E325:F325"/>
    <mergeCell ref="H328:I328"/>
    <mergeCell ref="H329:I329"/>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E365:F365"/>
    <mergeCell ref="M367:N367"/>
    <mergeCell ref="D372:E372"/>
    <mergeCell ref="G372:H372"/>
    <mergeCell ref="A384:C384"/>
    <mergeCell ref="D384:F384"/>
    <mergeCell ref="G384:H384"/>
    <mergeCell ref="I384:J384"/>
    <mergeCell ref="K384:L384"/>
    <mergeCell ref="M384:N384"/>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395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948" t="s">
        <v>545</v>
      </c>
      <c r="C7" s="949"/>
      <c r="D7" s="959" t="s">
        <v>396</v>
      </c>
      <c r="E7" s="960"/>
      <c r="F7" s="468"/>
      <c r="H7" s="665" t="s">
        <v>546</v>
      </c>
      <c r="I7" s="665"/>
      <c r="J7" s="665"/>
      <c r="K7" s="665"/>
      <c r="L7" s="665"/>
      <c r="M7" s="665"/>
      <c r="P7" s="198"/>
      <c r="S7" s="199" t="s">
        <v>398</v>
      </c>
      <c r="T7" s="948"/>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800</v>
      </c>
      <c r="I10" s="958"/>
      <c r="J10" s="948">
        <v>2000</v>
      </c>
      <c r="K10" s="949"/>
      <c r="L10" s="948">
        <v>1000</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2.8</v>
      </c>
      <c r="I12" s="949"/>
      <c r="J12" s="204" t="s">
        <v>344</v>
      </c>
      <c r="V12" s="197"/>
    </row>
    <row r="13" spans="1:24" ht="18" customHeight="1">
      <c r="A13" s="196"/>
      <c r="B13" s="47" t="s">
        <v>409</v>
      </c>
      <c r="G13" s="120" t="s">
        <v>509</v>
      </c>
      <c r="H13" s="948">
        <v>326</v>
      </c>
      <c r="I13" s="949"/>
      <c r="J13" s="14" t="s">
        <v>316</v>
      </c>
      <c r="T13" s="307"/>
      <c r="U13" s="18"/>
      <c r="V13" s="197"/>
      <c r="W13" s="30" t="str">
        <f>G56</f>
        <v>Suitably Dimentioned</v>
      </c>
    </row>
    <row r="14" spans="1:24" ht="18" customHeight="1">
      <c r="A14" s="196"/>
      <c r="B14" s="14" t="s">
        <v>412</v>
      </c>
      <c r="G14" s="120" t="s">
        <v>413</v>
      </c>
      <c r="H14" s="948">
        <v>40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950"/>
      <c r="K18" s="951"/>
      <c r="L18" s="3" t="s">
        <v>168</v>
      </c>
      <c r="N18" s="209" t="s">
        <v>521</v>
      </c>
      <c r="V18" s="197"/>
    </row>
    <row r="19" spans="1:22" ht="18" customHeight="1">
      <c r="A19" s="196"/>
      <c r="B19" s="96" t="s">
        <v>416</v>
      </c>
      <c r="C19" s="14"/>
      <c r="D19" s="47">
        <f>T8</f>
        <v>0</v>
      </c>
      <c r="H19" s="28"/>
      <c r="I19" s="101" t="s">
        <v>138</v>
      </c>
      <c r="J19" s="950"/>
      <c r="K19" s="951"/>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950"/>
      <c r="K20" s="951"/>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954">
        <f>'[7]CT-VT Burdens'!S22</f>
        <v>0.23593310000000001</v>
      </c>
      <c r="K21" s="955"/>
      <c r="L21" s="309" t="s">
        <v>168</v>
      </c>
      <c r="O21" s="27" t="s">
        <v>138</v>
      </c>
      <c r="P21" s="668">
        <f>P20*R20*T20</f>
        <v>2.8</v>
      </c>
      <c r="Q21" s="665"/>
      <c r="R21" s="27" t="s">
        <v>168</v>
      </c>
      <c r="V21" s="197"/>
    </row>
    <row r="22" spans="1:22" ht="18" customHeight="1">
      <c r="A22" s="196"/>
      <c r="B22" s="1" t="s">
        <v>424</v>
      </c>
      <c r="C22" s="2"/>
      <c r="D22" s="2"/>
      <c r="E22" s="2"/>
      <c r="F22" s="208"/>
      <c r="G22" s="208"/>
      <c r="H22" s="236" t="s">
        <v>523</v>
      </c>
      <c r="I22" s="195" t="s">
        <v>138</v>
      </c>
      <c r="J22" s="678">
        <f>SUM(J18:J21)</f>
        <v>0.23593310000000001</v>
      </c>
      <c r="K22" s="679"/>
      <c r="L22" s="3" t="s">
        <v>168</v>
      </c>
      <c r="V22" s="197"/>
    </row>
    <row r="23" spans="1:22" ht="18" customHeight="1">
      <c r="A23" s="196"/>
      <c r="B23" s="47"/>
      <c r="C23" s="47"/>
      <c r="D23" s="47"/>
      <c r="E23" s="47"/>
      <c r="H23" s="27"/>
      <c r="I23" s="28"/>
      <c r="J23" s="211"/>
      <c r="L23" s="47"/>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'[7]Parameters &amp; Fault Cal.'!Q31</f>
        <v>17140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800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326</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P21</f>
        <v>2.8</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0.23593310000000001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10</v>
      </c>
      <c r="T37" s="664"/>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664" t="s">
        <v>484</v>
      </c>
      <c r="I40" s="936"/>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664">
        <f>S33</f>
        <v>326</v>
      </c>
      <c r="I41" s="936"/>
      <c r="J41" s="28" t="s">
        <v>326</v>
      </c>
      <c r="K41" s="28">
        <f>S36</f>
        <v>1</v>
      </c>
      <c r="L41" s="28" t="s">
        <v>552</v>
      </c>
      <c r="M41" s="28">
        <f>S37</f>
        <v>10</v>
      </c>
      <c r="N41" s="47" t="s">
        <v>553</v>
      </c>
      <c r="O41" s="516">
        <f>S34</f>
        <v>2.8</v>
      </c>
      <c r="V41" s="197"/>
    </row>
    <row r="42" spans="1:25" ht="18" customHeight="1">
      <c r="A42" s="196"/>
      <c r="D42" s="27" t="s">
        <v>138</v>
      </c>
      <c r="E42" s="665">
        <f>((F41*H41*K41)/M41)-O41</f>
        <v>39.580000000000005</v>
      </c>
      <c r="F42" s="665"/>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664" t="s">
        <v>555</v>
      </c>
      <c r="H46" s="664"/>
      <c r="I46" s="203" t="s">
        <v>353</v>
      </c>
      <c r="J46" s="665" t="s">
        <v>434</v>
      </c>
      <c r="K46" s="665"/>
      <c r="V46" s="197"/>
    </row>
    <row r="47" spans="1:25" ht="18" customHeight="1">
      <c r="A47" s="196"/>
      <c r="F47" s="27" t="s">
        <v>138</v>
      </c>
      <c r="G47" s="665">
        <f>S31</f>
        <v>17140</v>
      </c>
      <c r="H47" s="665"/>
      <c r="I47" s="203" t="s">
        <v>353</v>
      </c>
      <c r="J47" s="665">
        <f>S32</f>
        <v>800</v>
      </c>
      <c r="K47" s="665"/>
      <c r="V47" s="197"/>
    </row>
    <row r="48" spans="1:25" ht="18" customHeight="1">
      <c r="A48" s="196"/>
      <c r="F48" s="27" t="s">
        <v>138</v>
      </c>
      <c r="G48" s="668">
        <f>G47/J47</f>
        <v>21.425000000000001</v>
      </c>
      <c r="H48" s="668"/>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668">
        <f>G51*((I51+K51)/(M51+O51))</f>
        <v>139.59464390042061</v>
      </c>
      <c r="H52" s="668"/>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68">
        <f>G52</f>
        <v>139.59464390042061</v>
      </c>
      <c r="E55" s="668"/>
      <c r="F55" s="27" t="str">
        <f>F54</f>
        <v>&gt;</v>
      </c>
      <c r="G55" s="668">
        <f>G48</f>
        <v>21.425000000000001</v>
      </c>
      <c r="H55" s="668"/>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08" t="str">
        <f>B7</f>
        <v>CT1L</v>
      </c>
      <c r="C90" s="709"/>
      <c r="D90" s="707" t="str">
        <f>D7</f>
        <v>Core1</v>
      </c>
      <c r="E90" s="733"/>
      <c r="F90" s="468"/>
      <c r="H90" s="665" t="str">
        <f>H7</f>
        <v>(OC+FMS+BFR)</v>
      </c>
      <c r="I90" s="665"/>
      <c r="J90" s="665"/>
      <c r="K90" s="665"/>
      <c r="L90" s="665"/>
      <c r="M90" s="665"/>
      <c r="P90" s="198"/>
      <c r="S90" s="199" t="s">
        <v>398</v>
      </c>
      <c r="T90" s="705">
        <f>T7</f>
        <v>0</v>
      </c>
      <c r="U90" s="706"/>
      <c r="V90" s="197"/>
    </row>
    <row r="91" spans="1:23" ht="18" customHeight="1">
      <c r="A91" s="469"/>
      <c r="F91" s="468"/>
      <c r="T91" s="705">
        <f>T8</f>
        <v>0</v>
      </c>
      <c r="U91" s="706"/>
      <c r="V91" s="197"/>
    </row>
    <row r="92" spans="1:23" ht="18" customHeight="1">
      <c r="A92" s="196"/>
      <c r="H92" s="696" t="s">
        <v>401</v>
      </c>
      <c r="I92" s="696"/>
      <c r="J92" s="666" t="s">
        <v>402</v>
      </c>
      <c r="K92" s="666"/>
      <c r="L92" s="667" t="s">
        <v>403</v>
      </c>
      <c r="M92" s="667"/>
      <c r="T92" s="705">
        <f>T9</f>
        <v>0</v>
      </c>
      <c r="U92" s="706"/>
      <c r="V92" s="197"/>
    </row>
    <row r="93" spans="1:23" ht="18" customHeight="1">
      <c r="A93" s="196"/>
      <c r="B93" s="47" t="s">
        <v>404</v>
      </c>
      <c r="H93" s="708">
        <f>H10</f>
        <v>800</v>
      </c>
      <c r="I93" s="709"/>
      <c r="J93" s="714">
        <f>J10</f>
        <v>2000</v>
      </c>
      <c r="K93" s="715"/>
      <c r="L93" s="708">
        <f>L10</f>
        <v>1000</v>
      </c>
      <c r="M93" s="709"/>
      <c r="N93" s="203" t="s">
        <v>353</v>
      </c>
      <c r="O93" s="268">
        <f>O10</f>
        <v>1</v>
      </c>
      <c r="P93" s="27" t="s">
        <v>9</v>
      </c>
      <c r="R93" s="267"/>
      <c r="S93" s="267"/>
      <c r="V93" s="197"/>
    </row>
    <row r="94" spans="1:23" ht="18" customHeight="1">
      <c r="A94" s="196"/>
      <c r="B94" s="47" t="s">
        <v>405</v>
      </c>
      <c r="J94" s="708" t="str">
        <f>H11</f>
        <v>PX</v>
      </c>
      <c r="K94" s="709"/>
      <c r="V94" s="197"/>
    </row>
    <row r="95" spans="1:23" ht="18" customHeight="1">
      <c r="A95" s="196"/>
      <c r="B95" s="47" t="s">
        <v>407</v>
      </c>
      <c r="I95" s="120" t="s">
        <v>508</v>
      </c>
      <c r="J95" s="948">
        <v>12</v>
      </c>
      <c r="K95" s="949"/>
      <c r="L95" s="204" t="s">
        <v>344</v>
      </c>
      <c r="V95" s="197"/>
    </row>
    <row r="96" spans="1:23" ht="18" customHeight="1">
      <c r="A96" s="196"/>
      <c r="B96" s="47" t="s">
        <v>409</v>
      </c>
      <c r="I96" s="120" t="s">
        <v>509</v>
      </c>
      <c r="J96" s="948">
        <v>1200</v>
      </c>
      <c r="K96" s="949"/>
      <c r="L96" s="14" t="s">
        <v>316</v>
      </c>
      <c r="T96" s="307"/>
      <c r="U96" s="18"/>
      <c r="V96" s="197"/>
      <c r="W96" s="30" t="str">
        <f>G144</f>
        <v>Suitably Dimentioned</v>
      </c>
    </row>
    <row r="97" spans="1:22" ht="18" customHeight="1">
      <c r="A97" s="196"/>
      <c r="B97" s="14" t="s">
        <v>412</v>
      </c>
      <c r="I97" s="120" t="s">
        <v>413</v>
      </c>
      <c r="J97" s="948">
        <v>50</v>
      </c>
      <c r="K97" s="949"/>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678">
        <f>J18</f>
        <v>0</v>
      </c>
      <c r="K101" s="679"/>
      <c r="L101" s="3" t="s">
        <v>168</v>
      </c>
      <c r="N101" s="209" t="s">
        <v>521</v>
      </c>
      <c r="V101" s="197"/>
    </row>
    <row r="102" spans="1:22" ht="18" customHeight="1">
      <c r="A102" s="196"/>
      <c r="B102" s="96" t="s">
        <v>416</v>
      </c>
      <c r="C102" s="14"/>
      <c r="D102" s="47">
        <f>T91</f>
        <v>0</v>
      </c>
      <c r="H102" s="28"/>
      <c r="I102" s="101" t="s">
        <v>138</v>
      </c>
      <c r="J102" s="678">
        <f>J19</f>
        <v>0</v>
      </c>
      <c r="K102" s="679"/>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678">
        <f>J20</f>
        <v>0</v>
      </c>
      <c r="K103" s="679"/>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701">
        <f>J21</f>
        <v>0.23593310000000001</v>
      </c>
      <c r="K104" s="702"/>
      <c r="L104" s="309" t="s">
        <v>168</v>
      </c>
      <c r="O104" s="27" t="s">
        <v>138</v>
      </c>
      <c r="P104" s="668">
        <f>P103*R103*T103</f>
        <v>12</v>
      </c>
      <c r="Q104" s="665"/>
      <c r="R104" s="27" t="s">
        <v>168</v>
      </c>
      <c r="V104" s="197"/>
    </row>
    <row r="105" spans="1:22" ht="18" customHeight="1">
      <c r="A105" s="196"/>
      <c r="B105" s="1" t="s">
        <v>424</v>
      </c>
      <c r="C105" s="2"/>
      <c r="D105" s="2"/>
      <c r="E105" s="2"/>
      <c r="F105" s="208"/>
      <c r="G105" s="208"/>
      <c r="H105" s="236" t="s">
        <v>523</v>
      </c>
      <c r="I105" s="195" t="s">
        <v>138</v>
      </c>
      <c r="J105" s="678">
        <f>SUM(J101:J104)</f>
        <v>0.23593310000000001</v>
      </c>
      <c r="K105" s="679"/>
      <c r="L105" s="3" t="s">
        <v>168</v>
      </c>
      <c r="V105" s="197"/>
    </row>
    <row r="106" spans="1:22" ht="18" customHeight="1">
      <c r="A106" s="196"/>
      <c r="B106" s="47"/>
      <c r="C106" s="47"/>
      <c r="D106" s="47"/>
      <c r="E106" s="47"/>
      <c r="H106" s="27"/>
      <c r="I106" s="28"/>
      <c r="J106" s="211"/>
      <c r="L106" s="47"/>
      <c r="S106" s="27"/>
      <c r="V106" s="197"/>
    </row>
    <row r="107" spans="1:22" ht="18" customHeight="1">
      <c r="A107" s="971" t="s">
        <v>547</v>
      </c>
      <c r="B107" s="972"/>
      <c r="C107" s="972"/>
      <c r="D107" s="972"/>
      <c r="E107" s="972"/>
      <c r="F107" s="972"/>
      <c r="G107" s="972"/>
      <c r="H107" s="972"/>
      <c r="I107" s="972"/>
      <c r="J107" s="972"/>
      <c r="K107" s="972"/>
      <c r="L107" s="972"/>
      <c r="M107" s="972"/>
      <c r="N107" s="972"/>
      <c r="O107" s="972"/>
      <c r="P107" s="972"/>
      <c r="Q107" s="972"/>
      <c r="R107" s="972"/>
      <c r="S107" s="972"/>
      <c r="T107" s="972"/>
      <c r="U107" s="972"/>
      <c r="V107" s="973"/>
    </row>
    <row r="108" spans="1:22" ht="18" customHeight="1">
      <c r="A108" s="974"/>
      <c r="B108" s="972"/>
      <c r="C108" s="972"/>
      <c r="D108" s="972"/>
      <c r="E108" s="972"/>
      <c r="F108" s="972"/>
      <c r="G108" s="972"/>
      <c r="H108" s="972"/>
      <c r="I108" s="972"/>
      <c r="J108" s="972"/>
      <c r="K108" s="972"/>
      <c r="L108" s="972"/>
      <c r="M108" s="972"/>
      <c r="N108" s="972"/>
      <c r="O108" s="972"/>
      <c r="P108" s="972"/>
      <c r="Q108" s="972"/>
      <c r="R108" s="972"/>
      <c r="S108" s="972"/>
      <c r="T108" s="972"/>
      <c r="U108" s="972"/>
      <c r="V108" s="973"/>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664" t="s">
        <v>484</v>
      </c>
      <c r="I112" s="936"/>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664">
        <f>S31</f>
        <v>17140</v>
      </c>
      <c r="T114" s="664"/>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664">
        <f>J93</f>
        <v>2000</v>
      </c>
      <c r="T115" s="664"/>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664">
        <f>J96</f>
        <v>1200</v>
      </c>
      <c r="T116" s="664"/>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669">
        <f>P104</f>
        <v>12</v>
      </c>
      <c r="T117" s="664"/>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669">
        <f>J105</f>
        <v>0.23593310000000001</v>
      </c>
      <c r="T118" s="664"/>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664">
        <f>O93</f>
        <v>1</v>
      </c>
      <c r="T119" s="664"/>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664">
        <v>20</v>
      </c>
      <c r="T120" s="664"/>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664" t="s">
        <v>484</v>
      </c>
      <c r="I123" s="936"/>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664">
        <f>S116</f>
        <v>1200</v>
      </c>
      <c r="I124" s="936"/>
      <c r="J124" s="28" t="s">
        <v>326</v>
      </c>
      <c r="K124" s="28">
        <f>S119</f>
        <v>1</v>
      </c>
      <c r="L124" s="28" t="s">
        <v>552</v>
      </c>
      <c r="M124" s="28">
        <f>S120</f>
        <v>20</v>
      </c>
      <c r="N124" s="47" t="s">
        <v>553</v>
      </c>
      <c r="O124" s="516">
        <f>S117</f>
        <v>12</v>
      </c>
      <c r="V124" s="197"/>
    </row>
    <row r="125" spans="1:25" ht="18" customHeight="1">
      <c r="A125" s="196"/>
      <c r="D125" s="27" t="s">
        <v>138</v>
      </c>
      <c r="E125" s="665">
        <f>((F124*H124*K124)/M124)-O124</f>
        <v>66</v>
      </c>
      <c r="F125" s="665"/>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664" t="s">
        <v>555</v>
      </c>
      <c r="H134" s="664"/>
      <c r="I134" s="203" t="s">
        <v>353</v>
      </c>
      <c r="J134" s="665" t="s">
        <v>434</v>
      </c>
      <c r="K134" s="665"/>
      <c r="V134" s="197"/>
    </row>
    <row r="135" spans="1:22" ht="18" customHeight="1">
      <c r="A135" s="196"/>
      <c r="F135" s="27" t="s">
        <v>138</v>
      </c>
      <c r="G135" s="665">
        <f>S114</f>
        <v>17140</v>
      </c>
      <c r="H135" s="665"/>
      <c r="I135" s="203" t="s">
        <v>353</v>
      </c>
      <c r="J135" s="665">
        <f>S115</f>
        <v>2000</v>
      </c>
      <c r="K135" s="665"/>
      <c r="V135" s="197"/>
    </row>
    <row r="136" spans="1:22" ht="18" customHeight="1">
      <c r="A136" s="196"/>
      <c r="F136" s="27" t="s">
        <v>138</v>
      </c>
      <c r="G136" s="668">
        <f>G135/J135</f>
        <v>8.57</v>
      </c>
      <c r="H136" s="668"/>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668">
        <f>G139*((I139+K139)/(M139+O139))</f>
        <v>127.49334172152346</v>
      </c>
      <c r="H140" s="668"/>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668">
        <f>G140</f>
        <v>127.49334172152346</v>
      </c>
      <c r="E143" s="668"/>
      <c r="F143" s="27" t="str">
        <f>F142</f>
        <v>&gt;</v>
      </c>
      <c r="G143" s="668">
        <f>G136</f>
        <v>8.57</v>
      </c>
      <c r="H143" s="668"/>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08" t="str">
        <f>B90</f>
        <v>CT1L</v>
      </c>
      <c r="C178" s="709"/>
      <c r="D178" s="707" t="str">
        <f>D90</f>
        <v>Core1</v>
      </c>
      <c r="E178" s="733"/>
      <c r="F178" s="468"/>
      <c r="H178" s="665" t="str">
        <f>H90</f>
        <v>(OC+FMS+BFR)</v>
      </c>
      <c r="I178" s="665"/>
      <c r="J178" s="665"/>
      <c r="K178" s="665"/>
      <c r="L178" s="665"/>
      <c r="M178" s="665"/>
      <c r="P178" s="198"/>
      <c r="S178" s="199" t="s">
        <v>398</v>
      </c>
      <c r="T178" s="705">
        <f>T90</f>
        <v>0</v>
      </c>
      <c r="U178" s="706"/>
      <c r="V178" s="197"/>
    </row>
    <row r="179" spans="1:23" ht="18" customHeight="1">
      <c r="A179" s="469"/>
      <c r="F179" s="468"/>
      <c r="T179" s="705">
        <f>T91</f>
        <v>0</v>
      </c>
      <c r="U179" s="706"/>
      <c r="V179" s="197"/>
    </row>
    <row r="180" spans="1:23" ht="18" customHeight="1">
      <c r="A180" s="196"/>
      <c r="H180" s="696" t="s">
        <v>401</v>
      </c>
      <c r="I180" s="696"/>
      <c r="J180" s="696" t="s">
        <v>402</v>
      </c>
      <c r="K180" s="696"/>
      <c r="L180" s="666" t="s">
        <v>403</v>
      </c>
      <c r="M180" s="666"/>
      <c r="T180" s="705">
        <f>T92</f>
        <v>0</v>
      </c>
      <c r="U180" s="706"/>
      <c r="V180" s="197"/>
    </row>
    <row r="181" spans="1:23" ht="18" customHeight="1">
      <c r="A181" s="196"/>
      <c r="B181" s="47" t="s">
        <v>404</v>
      </c>
      <c r="H181" s="708">
        <f>H93</f>
        <v>800</v>
      </c>
      <c r="I181" s="709"/>
      <c r="J181" s="708">
        <f>J93</f>
        <v>2000</v>
      </c>
      <c r="K181" s="709"/>
      <c r="L181" s="714">
        <f>L93</f>
        <v>1000</v>
      </c>
      <c r="M181" s="715"/>
      <c r="N181" s="203" t="s">
        <v>353</v>
      </c>
      <c r="O181" s="268">
        <f>O93</f>
        <v>1</v>
      </c>
      <c r="P181" s="27" t="s">
        <v>9</v>
      </c>
      <c r="R181" s="267"/>
      <c r="S181" s="267"/>
      <c r="V181" s="197"/>
    </row>
    <row r="182" spans="1:23" ht="18" customHeight="1">
      <c r="A182" s="196"/>
      <c r="B182" s="47" t="s">
        <v>405</v>
      </c>
      <c r="L182" s="708" t="str">
        <f>J94</f>
        <v>PX</v>
      </c>
      <c r="M182" s="709"/>
      <c r="V182" s="197"/>
    </row>
    <row r="183" spans="1:23" ht="18" customHeight="1">
      <c r="A183" s="196"/>
      <c r="B183" s="47" t="s">
        <v>407</v>
      </c>
      <c r="K183" s="120" t="s">
        <v>508</v>
      </c>
      <c r="L183" s="948">
        <v>8</v>
      </c>
      <c r="M183" s="949"/>
      <c r="N183" s="204" t="s">
        <v>344</v>
      </c>
      <c r="V183" s="197"/>
    </row>
    <row r="184" spans="1:23" ht="18" customHeight="1">
      <c r="A184" s="196"/>
      <c r="B184" s="47" t="s">
        <v>409</v>
      </c>
      <c r="K184" s="120" t="s">
        <v>509</v>
      </c>
      <c r="L184" s="948">
        <v>800</v>
      </c>
      <c r="M184" s="949"/>
      <c r="N184" s="14" t="s">
        <v>316</v>
      </c>
      <c r="V184" s="197"/>
      <c r="W184" s="30" t="str">
        <f>G232</f>
        <v>Suitably Dimentioned</v>
      </c>
    </row>
    <row r="185" spans="1:23" ht="18" customHeight="1">
      <c r="A185" s="196"/>
      <c r="B185" s="14" t="s">
        <v>412</v>
      </c>
      <c r="K185" s="120" t="s">
        <v>413</v>
      </c>
      <c r="L185" s="948">
        <v>75</v>
      </c>
      <c r="M185" s="949"/>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678">
        <f>J101</f>
        <v>0</v>
      </c>
      <c r="K189" s="679"/>
      <c r="L189" s="3" t="s">
        <v>168</v>
      </c>
      <c r="N189" s="209" t="s">
        <v>521</v>
      </c>
      <c r="V189" s="197"/>
    </row>
    <row r="190" spans="1:23" ht="18" customHeight="1">
      <c r="A190" s="196"/>
      <c r="B190" s="96" t="s">
        <v>416</v>
      </c>
      <c r="C190" s="14"/>
      <c r="D190" s="47">
        <f>T179</f>
        <v>0</v>
      </c>
      <c r="H190" s="28"/>
      <c r="I190" s="101" t="s">
        <v>138</v>
      </c>
      <c r="J190" s="678">
        <f>J102</f>
        <v>0</v>
      </c>
      <c r="K190" s="679"/>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678">
        <f>J103</f>
        <v>0</v>
      </c>
      <c r="K191" s="679"/>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701">
        <f>J104</f>
        <v>0.23593310000000001</v>
      </c>
      <c r="K192" s="702"/>
      <c r="L192" s="309" t="s">
        <v>168</v>
      </c>
      <c r="O192" s="27" t="s">
        <v>138</v>
      </c>
      <c r="P192" s="668">
        <f>P191*R191*T191</f>
        <v>8</v>
      </c>
      <c r="Q192" s="665"/>
      <c r="R192" s="27" t="s">
        <v>168</v>
      </c>
      <c r="V192" s="197"/>
    </row>
    <row r="193" spans="1:25" ht="18" customHeight="1">
      <c r="A193" s="196"/>
      <c r="B193" s="1" t="s">
        <v>424</v>
      </c>
      <c r="C193" s="2"/>
      <c r="D193" s="2"/>
      <c r="E193" s="2"/>
      <c r="F193" s="208"/>
      <c r="G193" s="208"/>
      <c r="H193" s="236" t="s">
        <v>523</v>
      </c>
      <c r="I193" s="195" t="s">
        <v>138</v>
      </c>
      <c r="J193" s="678">
        <f>SUM(J189:J192)</f>
        <v>0.23593310000000001</v>
      </c>
      <c r="K193" s="679"/>
      <c r="L193" s="3" t="s">
        <v>168</v>
      </c>
      <c r="V193" s="197"/>
    </row>
    <row r="194" spans="1:25" ht="18" customHeight="1">
      <c r="A194" s="196"/>
      <c r="B194" s="47"/>
      <c r="C194" s="47"/>
      <c r="D194" s="47"/>
      <c r="E194" s="47"/>
      <c r="H194" s="27"/>
      <c r="I194" s="28"/>
      <c r="J194" s="211"/>
      <c r="L194" s="47"/>
      <c r="S194" s="27"/>
      <c r="V194" s="197"/>
    </row>
    <row r="195" spans="1:25" ht="18" customHeight="1">
      <c r="A195" s="971" t="s">
        <v>547</v>
      </c>
      <c r="B195" s="972"/>
      <c r="C195" s="972"/>
      <c r="D195" s="972"/>
      <c r="E195" s="972"/>
      <c r="F195" s="972"/>
      <c r="G195" s="972"/>
      <c r="H195" s="972"/>
      <c r="I195" s="972"/>
      <c r="J195" s="972"/>
      <c r="K195" s="972"/>
      <c r="L195" s="972"/>
      <c r="M195" s="972"/>
      <c r="N195" s="972"/>
      <c r="O195" s="972"/>
      <c r="P195" s="972"/>
      <c r="Q195" s="972"/>
      <c r="R195" s="972"/>
      <c r="S195" s="972"/>
      <c r="T195" s="972"/>
      <c r="U195" s="972"/>
      <c r="V195" s="973"/>
    </row>
    <row r="196" spans="1:25" ht="18" customHeight="1">
      <c r="A196" s="974"/>
      <c r="B196" s="972"/>
      <c r="C196" s="972"/>
      <c r="D196" s="972"/>
      <c r="E196" s="972"/>
      <c r="F196" s="972"/>
      <c r="G196" s="972"/>
      <c r="H196" s="972"/>
      <c r="I196" s="972"/>
      <c r="J196" s="972"/>
      <c r="K196" s="972"/>
      <c r="L196" s="972"/>
      <c r="M196" s="972"/>
      <c r="N196" s="972"/>
      <c r="O196" s="972"/>
      <c r="P196" s="972"/>
      <c r="Q196" s="972"/>
      <c r="R196" s="972"/>
      <c r="S196" s="972"/>
      <c r="T196" s="972"/>
      <c r="U196" s="972"/>
      <c r="V196" s="973"/>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664" t="s">
        <v>484</v>
      </c>
      <c r="I200" s="936"/>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664">
        <f>S114</f>
        <v>17140</v>
      </c>
      <c r="T202" s="664"/>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664">
        <f>L181</f>
        <v>1000</v>
      </c>
      <c r="T203" s="664"/>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664">
        <f>L184</f>
        <v>800</v>
      </c>
      <c r="T204" s="664"/>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669">
        <f>P192</f>
        <v>8</v>
      </c>
      <c r="T205" s="664"/>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669">
        <f>J193</f>
        <v>0.23593310000000001</v>
      </c>
      <c r="T206" s="664"/>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664">
        <f>O181</f>
        <v>1</v>
      </c>
      <c r="T207" s="664"/>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664">
        <v>20</v>
      </c>
      <c r="T208" s="664"/>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664" t="s">
        <v>484</v>
      </c>
      <c r="I211" s="936"/>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664">
        <f>S204</f>
        <v>800</v>
      </c>
      <c r="I212" s="936"/>
      <c r="J212" s="28" t="s">
        <v>326</v>
      </c>
      <c r="K212" s="28">
        <f>S207</f>
        <v>1</v>
      </c>
      <c r="L212" s="28" t="s">
        <v>552</v>
      </c>
      <c r="M212" s="28">
        <f>S208</f>
        <v>20</v>
      </c>
      <c r="N212" s="47" t="s">
        <v>553</v>
      </c>
      <c r="O212" s="516">
        <f>S205</f>
        <v>8</v>
      </c>
      <c r="V212" s="197"/>
    </row>
    <row r="213" spans="1:25" ht="18" customHeight="1">
      <c r="A213" s="196"/>
      <c r="D213" s="27" t="s">
        <v>138</v>
      </c>
      <c r="E213" s="665">
        <f>((F212*H212*K212)/M212)-O212</f>
        <v>44</v>
      </c>
      <c r="F213" s="665"/>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664" t="s">
        <v>555</v>
      </c>
      <c r="H222" s="664"/>
      <c r="I222" s="203" t="s">
        <v>353</v>
      </c>
      <c r="J222" s="665" t="s">
        <v>434</v>
      </c>
      <c r="K222" s="665"/>
      <c r="V222" s="197"/>
    </row>
    <row r="223" spans="1:25" ht="18" customHeight="1">
      <c r="A223" s="196"/>
      <c r="F223" s="27" t="s">
        <v>138</v>
      </c>
      <c r="G223" s="665">
        <f>S202</f>
        <v>17140</v>
      </c>
      <c r="H223" s="665"/>
      <c r="I223" s="203" t="s">
        <v>353</v>
      </c>
      <c r="J223" s="665">
        <f>S203</f>
        <v>1000</v>
      </c>
      <c r="K223" s="665"/>
      <c r="V223" s="197"/>
    </row>
    <row r="224" spans="1:25" ht="18" customHeight="1">
      <c r="A224" s="196"/>
      <c r="F224" s="27" t="s">
        <v>138</v>
      </c>
      <c r="G224" s="668">
        <f>G223/J223</f>
        <v>17.14</v>
      </c>
      <c r="H224" s="668"/>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668">
        <f>G227*((I227+K227)/(M227+O227))</f>
        <v>126.27591644716006</v>
      </c>
      <c r="H228" s="668"/>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668">
        <f>G228</f>
        <v>126.27591644716006</v>
      </c>
      <c r="E231" s="668"/>
      <c r="F231" s="27" t="str">
        <f>F230</f>
        <v>&gt;</v>
      </c>
      <c r="G231" s="668">
        <f>G224</f>
        <v>17.14</v>
      </c>
      <c r="H231" s="668"/>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16" t="s">
        <v>97</v>
      </c>
      <c r="B267" s="729"/>
      <c r="C267" s="1101"/>
      <c r="D267" s="716" t="s">
        <v>98</v>
      </c>
      <c r="E267" s="1104"/>
      <c r="F267" s="1104"/>
      <c r="G267" s="1101"/>
      <c r="H267" s="716" t="s">
        <v>99</v>
      </c>
      <c r="I267" s="717"/>
      <c r="J267" s="716" t="s">
        <v>100</v>
      </c>
      <c r="K267" s="1101"/>
      <c r="L267" s="716" t="s">
        <v>513</v>
      </c>
      <c r="M267" s="729"/>
      <c r="N267" s="717" t="s">
        <v>567</v>
      </c>
      <c r="O267" s="716" t="s">
        <v>568</v>
      </c>
      <c r="P267" s="729"/>
      <c r="Q267" s="1101"/>
      <c r="R267" s="716" t="s">
        <v>569</v>
      </c>
      <c r="S267" s="1106"/>
      <c r="T267" s="1102"/>
      <c r="U267" s="716" t="s">
        <v>516</v>
      </c>
      <c r="V267" s="1115"/>
    </row>
    <row r="268" spans="1:22" ht="18" customHeight="1">
      <c r="A268" s="718"/>
      <c r="B268" s="730"/>
      <c r="C268" s="1102"/>
      <c r="D268" s="1105"/>
      <c r="E268" s="1106"/>
      <c r="F268" s="1106"/>
      <c r="G268" s="1102"/>
      <c r="H268" s="718"/>
      <c r="I268" s="719"/>
      <c r="J268" s="1105"/>
      <c r="K268" s="1102"/>
      <c r="L268" s="718"/>
      <c r="M268" s="730"/>
      <c r="N268" s="719"/>
      <c r="O268" s="718"/>
      <c r="P268" s="730"/>
      <c r="Q268" s="1102"/>
      <c r="R268" s="1105"/>
      <c r="S268" s="1106"/>
      <c r="T268" s="1102"/>
      <c r="U268" s="1079"/>
      <c r="V268" s="1116"/>
    </row>
    <row r="269" spans="1:22" ht="18" customHeight="1">
      <c r="A269" s="720"/>
      <c r="B269" s="731"/>
      <c r="C269" s="1103"/>
      <c r="D269" s="1107"/>
      <c r="E269" s="1108"/>
      <c r="F269" s="1108"/>
      <c r="G269" s="1103"/>
      <c r="H269" s="720"/>
      <c r="I269" s="721"/>
      <c r="J269" s="1107"/>
      <c r="K269" s="1103"/>
      <c r="L269" s="720"/>
      <c r="M269" s="731"/>
      <c r="N269" s="721"/>
      <c r="O269" s="720"/>
      <c r="P269" s="731"/>
      <c r="Q269" s="1103"/>
      <c r="R269" s="1107"/>
      <c r="S269" s="1108"/>
      <c r="T269" s="1103"/>
      <c r="U269" s="1117"/>
      <c r="V269" s="1118"/>
    </row>
    <row r="270" spans="1:22" ht="18" customHeight="1">
      <c r="A270" s="733" t="str">
        <f>B178</f>
        <v>CT1L</v>
      </c>
      <c r="B270" s="1098" t="str">
        <f>B178</f>
        <v>CT1L</v>
      </c>
      <c r="C270" s="734" t="str">
        <f>D178</f>
        <v>Core1</v>
      </c>
      <c r="D270" s="734">
        <f>H181</f>
        <v>800</v>
      </c>
      <c r="E270" s="734">
        <f>J181</f>
        <v>2000</v>
      </c>
      <c r="F270" s="734">
        <f>L181</f>
        <v>1000</v>
      </c>
      <c r="G270" s="734">
        <f>O181</f>
        <v>1</v>
      </c>
      <c r="H270" s="734">
        <f>'[7]CT-VT Burdens'!S19</f>
        <v>20</v>
      </c>
      <c r="I270" s="722">
        <f>'[7]CT-VT Burdens'!S10</f>
        <v>4</v>
      </c>
      <c r="J270" s="728" t="str">
        <f>L182</f>
        <v>PX</v>
      </c>
      <c r="K270" s="728"/>
      <c r="L270" s="734">
        <f>H12</f>
        <v>2.8</v>
      </c>
      <c r="M270" s="734">
        <f>J95</f>
        <v>12</v>
      </c>
      <c r="N270" s="734">
        <f>L183</f>
        <v>8</v>
      </c>
      <c r="O270" s="734">
        <f>H13</f>
        <v>326</v>
      </c>
      <c r="P270" s="734">
        <f>J96</f>
        <v>1200</v>
      </c>
      <c r="Q270" s="734">
        <f>L184</f>
        <v>800</v>
      </c>
      <c r="R270" s="734">
        <f>H14</f>
        <v>40</v>
      </c>
      <c r="S270" s="734">
        <f>J97</f>
        <v>50</v>
      </c>
      <c r="T270" s="734">
        <f>L185</f>
        <v>75</v>
      </c>
      <c r="U270" s="615">
        <f>T178</f>
        <v>0</v>
      </c>
      <c r="V270" s="617"/>
    </row>
    <row r="271" spans="1:22" ht="18" customHeight="1">
      <c r="A271" s="733"/>
      <c r="B271" s="1098"/>
      <c r="C271" s="1121"/>
      <c r="D271" s="1121"/>
      <c r="E271" s="1121"/>
      <c r="F271" s="1121"/>
      <c r="G271" s="1121"/>
      <c r="H271" s="1121"/>
      <c r="I271" s="1121"/>
      <c r="J271" s="1123"/>
      <c r="K271" s="1123"/>
      <c r="L271" s="1121"/>
      <c r="M271" s="1121"/>
      <c r="N271" s="1121"/>
      <c r="O271" s="1121"/>
      <c r="P271" s="1121"/>
      <c r="Q271" s="1121"/>
      <c r="R271" s="1121"/>
      <c r="S271" s="1121"/>
      <c r="T271" s="1121"/>
      <c r="U271" s="615">
        <f>T179</f>
        <v>0</v>
      </c>
      <c r="V271" s="617"/>
    </row>
    <row r="272" spans="1:22" ht="18" customHeight="1">
      <c r="A272" s="733"/>
      <c r="B272" s="1098"/>
      <c r="C272" s="1122"/>
      <c r="D272" s="1122"/>
      <c r="E272" s="1122"/>
      <c r="F272" s="1122"/>
      <c r="G272" s="1122"/>
      <c r="H272" s="1122"/>
      <c r="I272" s="1122"/>
      <c r="J272" s="1123"/>
      <c r="K272" s="1123"/>
      <c r="L272" s="1122"/>
      <c r="M272" s="1122"/>
      <c r="N272" s="1122"/>
      <c r="O272" s="1122"/>
      <c r="P272" s="1122"/>
      <c r="Q272" s="1122"/>
      <c r="R272" s="1122"/>
      <c r="S272" s="1122"/>
      <c r="T272" s="1122"/>
      <c r="U272" s="615">
        <f>T180</f>
        <v>0</v>
      </c>
      <c r="V272" s="61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G228:H228"/>
    <mergeCell ref="D231:E231"/>
    <mergeCell ref="G231:H231"/>
    <mergeCell ref="A267:C269"/>
    <mergeCell ref="D267:G269"/>
    <mergeCell ref="H267:I269"/>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J193:K193"/>
    <mergeCell ref="A195:V196"/>
    <mergeCell ref="H200:I200"/>
    <mergeCell ref="S202:T202"/>
    <mergeCell ref="S203:T203"/>
    <mergeCell ref="S204:T204"/>
    <mergeCell ref="L185:M185"/>
    <mergeCell ref="J189:K189"/>
    <mergeCell ref="J190:K190"/>
    <mergeCell ref="J191:K191"/>
    <mergeCell ref="J192:K192"/>
    <mergeCell ref="P192:Q192"/>
    <mergeCell ref="H181:I181"/>
    <mergeCell ref="J181:K181"/>
    <mergeCell ref="L181:M181"/>
    <mergeCell ref="L182:M182"/>
    <mergeCell ref="L183:M183"/>
    <mergeCell ref="L184:M184"/>
    <mergeCell ref="T178:U178"/>
    <mergeCell ref="T179:U179"/>
    <mergeCell ref="H180:I180"/>
    <mergeCell ref="J180:K180"/>
    <mergeCell ref="L180:M180"/>
    <mergeCell ref="T180:U180"/>
    <mergeCell ref="G140:H140"/>
    <mergeCell ref="D143:E143"/>
    <mergeCell ref="G143:H143"/>
    <mergeCell ref="B178:C178"/>
    <mergeCell ref="D178:E178"/>
    <mergeCell ref="H178:M178"/>
    <mergeCell ref="E125:F125"/>
    <mergeCell ref="G134:H134"/>
    <mergeCell ref="J134:K134"/>
    <mergeCell ref="G135:H135"/>
    <mergeCell ref="J135:K135"/>
    <mergeCell ref="G136:H136"/>
    <mergeCell ref="S117:T117"/>
    <mergeCell ref="S118:T118"/>
    <mergeCell ref="S119:T119"/>
    <mergeCell ref="S120:T120"/>
    <mergeCell ref="H123:I123"/>
    <mergeCell ref="H124:I124"/>
    <mergeCell ref="J105:K105"/>
    <mergeCell ref="A107:V108"/>
    <mergeCell ref="H112:I112"/>
    <mergeCell ref="S114:T114"/>
    <mergeCell ref="S115:T115"/>
    <mergeCell ref="S116:T116"/>
    <mergeCell ref="J97:K97"/>
    <mergeCell ref="J101:K101"/>
    <mergeCell ref="J102:K102"/>
    <mergeCell ref="J103:K103"/>
    <mergeCell ref="J104:K104"/>
    <mergeCell ref="P104:Q104"/>
    <mergeCell ref="H93:I93"/>
    <mergeCell ref="J93:K93"/>
    <mergeCell ref="L93:M93"/>
    <mergeCell ref="J94:K94"/>
    <mergeCell ref="J95:K95"/>
    <mergeCell ref="J96:K96"/>
    <mergeCell ref="B90:C90"/>
    <mergeCell ref="D90:E90"/>
    <mergeCell ref="H90:M90"/>
    <mergeCell ref="T90:U90"/>
    <mergeCell ref="T91:U91"/>
    <mergeCell ref="H92:I92"/>
    <mergeCell ref="J92:K92"/>
    <mergeCell ref="L92:M92"/>
    <mergeCell ref="T92:U92"/>
    <mergeCell ref="G47:H47"/>
    <mergeCell ref="J47:K47"/>
    <mergeCell ref="G48:H48"/>
    <mergeCell ref="G52:H52"/>
    <mergeCell ref="D55:E55"/>
    <mergeCell ref="G55:H55"/>
    <mergeCell ref="S37:T37"/>
    <mergeCell ref="H40:I40"/>
    <mergeCell ref="H41:I41"/>
    <mergeCell ref="E42:F42"/>
    <mergeCell ref="G46:H46"/>
    <mergeCell ref="J46:K46"/>
    <mergeCell ref="S31:T31"/>
    <mergeCell ref="S32:T32"/>
    <mergeCell ref="S33:T33"/>
    <mergeCell ref="S34:T34"/>
    <mergeCell ref="S35:T35"/>
    <mergeCell ref="S36:T36"/>
    <mergeCell ref="J20:K20"/>
    <mergeCell ref="J21:K21"/>
    <mergeCell ref="P21:Q21"/>
    <mergeCell ref="J22:K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A5:B5"/>
    <mergeCell ref="D5:F5"/>
    <mergeCell ref="H5:N5"/>
    <mergeCell ref="O5:Q5"/>
    <mergeCell ref="R5:V5"/>
    <mergeCell ref="B7:C7"/>
    <mergeCell ref="D7:E7"/>
    <mergeCell ref="H7:M7"/>
    <mergeCell ref="T7:U7"/>
    <mergeCell ref="H3:N4"/>
    <mergeCell ref="O3:Q3"/>
    <mergeCell ref="R3:V3"/>
    <mergeCell ref="O4:Q4"/>
    <mergeCell ref="R4:V4"/>
    <mergeCell ref="A1:G4"/>
    <mergeCell ref="H1:N1"/>
    <mergeCell ref="O1:Q1"/>
    <mergeCell ref="R1:V1"/>
    <mergeCell ref="H2:N2"/>
    <mergeCell ref="O2:Q2"/>
    <mergeCell ref="R2:V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7FAC3-CDD6-443C-8DD1-C7A1148199FD}">
  <ds:schemaRefs>
    <ds:schemaRef ds:uri="http://schemas.microsoft.com/sharepoint/v3/contenttype/forms"/>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2026-07-26T17:56:34Z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