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8_{D59AF58F-B76B-42A1-893C-4B470A2744DD}" xr6:coauthVersionLast="47" xr6:coauthVersionMax="47" xr10:uidLastSave="{00000000-0000-0000-0000-000000000000}"/>
  <bookViews>
    <workbookView xWindow="-108" yWindow="-108" windowWidth="23256" windowHeight="12576" firstSheet="1" activeTab="5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C118" i="8"/>
  <c r="D118" i="8" s="1"/>
  <c r="E118" i="8" s="1"/>
  <c r="F118" i="8" s="1"/>
  <c r="G118" i="8" s="1"/>
  <c r="H118" i="8" s="1"/>
  <c r="D117" i="8"/>
  <c r="E117" i="8" s="1"/>
  <c r="F117" i="8" s="1"/>
  <c r="G117" i="8" s="1"/>
  <c r="H117" i="8" s="1"/>
  <c r="C117" i="8"/>
  <c r="C116" i="8"/>
  <c r="D116" i="8" s="1"/>
  <c r="E116" i="8" s="1"/>
  <c r="F116" i="8" s="1"/>
  <c r="G116" i="8" s="1"/>
  <c r="H116" i="8" s="1"/>
  <c r="B109" i="8"/>
  <c r="B108" i="8"/>
  <c r="B107" i="8"/>
  <c r="B104" i="8"/>
  <c r="B103" i="8"/>
  <c r="B102" i="8"/>
  <c r="B99" i="8"/>
  <c r="E91" i="8"/>
  <c r="H90" i="8"/>
  <c r="G90" i="8"/>
  <c r="F90" i="8"/>
  <c r="E90" i="8"/>
  <c r="D90" i="8"/>
  <c r="B90" i="8"/>
  <c r="H89" i="8"/>
  <c r="G89" i="8"/>
  <c r="F89" i="8"/>
  <c r="E89" i="8"/>
  <c r="D89" i="8"/>
  <c r="B89" i="8"/>
  <c r="H88" i="8"/>
  <c r="H91" i="8" s="1"/>
  <c r="G88" i="8"/>
  <c r="G91" i="8" s="1"/>
  <c r="G23" i="8" s="1"/>
  <c r="G64" i="8" s="1"/>
  <c r="F88" i="8"/>
  <c r="F91" i="8" s="1"/>
  <c r="E88" i="8"/>
  <c r="D88" i="8"/>
  <c r="D91" i="8" s="1"/>
  <c r="D39" i="8" s="1"/>
  <c r="B88" i="8"/>
  <c r="H84" i="8"/>
  <c r="G84" i="8"/>
  <c r="F84" i="8"/>
  <c r="E84" i="8"/>
  <c r="D84" i="8"/>
  <c r="E79" i="8"/>
  <c r="F79" i="8" s="1"/>
  <c r="G79" i="8" s="1"/>
  <c r="H79" i="8" s="1"/>
  <c r="H75" i="8"/>
  <c r="D75" i="8"/>
  <c r="H74" i="8"/>
  <c r="G74" i="8"/>
  <c r="F74" i="8"/>
  <c r="E74" i="8"/>
  <c r="E75" i="8" s="1"/>
  <c r="D74" i="8"/>
  <c r="H73" i="8"/>
  <c r="G73" i="8"/>
  <c r="G75" i="8" s="1"/>
  <c r="F73" i="8"/>
  <c r="F75" i="8" s="1"/>
  <c r="E73" i="8"/>
  <c r="D73" i="8"/>
  <c r="H71" i="8"/>
  <c r="G71" i="8"/>
  <c r="H70" i="8"/>
  <c r="G70" i="8"/>
  <c r="F70" i="8"/>
  <c r="F71" i="8" s="1"/>
  <c r="E70" i="8"/>
  <c r="E71" i="8" s="1"/>
  <c r="D70" i="8"/>
  <c r="D71" i="8" s="1"/>
  <c r="B67" i="8"/>
  <c r="B66" i="8"/>
  <c r="B65" i="8"/>
  <c r="E64" i="8"/>
  <c r="G61" i="8"/>
  <c r="H61" i="8" s="1"/>
  <c r="F61" i="8"/>
  <c r="E61" i="8"/>
  <c r="C55" i="8"/>
  <c r="E53" i="8"/>
  <c r="F53" i="8" s="1"/>
  <c r="D53" i="8"/>
  <c r="C50" i="8"/>
  <c r="D49" i="8"/>
  <c r="C47" i="8"/>
  <c r="C51" i="8" s="1"/>
  <c r="C56" i="8" s="1"/>
  <c r="C40" i="8"/>
  <c r="C41" i="8" s="1"/>
  <c r="E39" i="8"/>
  <c r="F39" i="8" s="1"/>
  <c r="G39" i="8" s="1"/>
  <c r="H39" i="8" s="1"/>
  <c r="D38" i="8"/>
  <c r="E38" i="8" s="1"/>
  <c r="F38" i="8" s="1"/>
  <c r="C36" i="8"/>
  <c r="H23" i="8"/>
  <c r="H64" i="8" s="1"/>
  <c r="F23" i="8"/>
  <c r="F64" i="8" s="1"/>
  <c r="E23" i="8"/>
  <c r="D23" i="8"/>
  <c r="D64" i="8" s="1"/>
  <c r="E20" i="8"/>
  <c r="F19" i="8"/>
  <c r="E19" i="8"/>
  <c r="F18" i="8"/>
  <c r="E18" i="8"/>
  <c r="E21" i="8" s="1"/>
  <c r="F13" i="8"/>
  <c r="E13" i="8"/>
  <c r="E14" i="8" s="1"/>
  <c r="E115" i="8" s="1"/>
  <c r="E45" i="8" s="1"/>
  <c r="H12" i="8"/>
  <c r="F12" i="8"/>
  <c r="H11" i="8"/>
  <c r="E11" i="8"/>
  <c r="E8" i="8"/>
  <c r="E9" i="8" s="1"/>
  <c r="H7" i="8"/>
  <c r="H19" i="8" s="1"/>
  <c r="G7" i="8"/>
  <c r="G13" i="8" s="1"/>
  <c r="F7" i="8"/>
  <c r="E7" i="8"/>
  <c r="E12" i="8" s="1"/>
  <c r="D7" i="8"/>
  <c r="C16" i="5"/>
  <c r="C14" i="5"/>
  <c r="D19" i="4"/>
  <c r="C42" i="8" l="1"/>
  <c r="C58" i="8" s="1"/>
  <c r="G53" i="8"/>
  <c r="E114" i="8"/>
  <c r="E15" i="8"/>
  <c r="F40" i="8"/>
  <c r="F41" i="8" s="1"/>
  <c r="G38" i="8"/>
  <c r="G18" i="8"/>
  <c r="H20" i="8"/>
  <c r="E40" i="8"/>
  <c r="E41" i="8" s="1"/>
  <c r="D124" i="8"/>
  <c r="D25" i="8" s="1"/>
  <c r="E49" i="8"/>
  <c r="D18" i="8"/>
  <c r="D13" i="8"/>
  <c r="D8" i="8"/>
  <c r="D9" i="8" s="1"/>
  <c r="D11" i="8"/>
  <c r="D115" i="8" s="1"/>
  <c r="D45" i="8" s="1"/>
  <c r="D12" i="8"/>
  <c r="D40" i="8"/>
  <c r="D41" i="8" s="1"/>
  <c r="F20" i="8"/>
  <c r="F21" i="8" s="1"/>
  <c r="F11" i="8"/>
  <c r="F14" i="8" s="1"/>
  <c r="F115" i="8" s="1"/>
  <c r="F45" i="8" s="1"/>
  <c r="F8" i="8"/>
  <c r="F9" i="8" s="1"/>
  <c r="G11" i="8"/>
  <c r="G12" i="8"/>
  <c r="D19" i="8"/>
  <c r="D20" i="8"/>
  <c r="D50" i="8"/>
  <c r="G19" i="8"/>
  <c r="G8" i="8"/>
  <c r="G9" i="8" s="1"/>
  <c r="H18" i="8"/>
  <c r="H21" i="8" s="1"/>
  <c r="H13" i="8"/>
  <c r="H14" i="8" s="1"/>
  <c r="H115" i="8" s="1"/>
  <c r="H45" i="8" s="1"/>
  <c r="H8" i="8"/>
  <c r="H9" i="8" s="1"/>
  <c r="G20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G114" i="8" l="1"/>
  <c r="F114" i="8"/>
  <c r="F15" i="8"/>
  <c r="D114" i="8"/>
  <c r="D15" i="8"/>
  <c r="D66" i="8"/>
  <c r="E66" i="8"/>
  <c r="E124" i="8"/>
  <c r="E25" i="8" s="1"/>
  <c r="E50" i="8"/>
  <c r="F49" i="8"/>
  <c r="G21" i="8"/>
  <c r="H114" i="8"/>
  <c r="H15" i="8"/>
  <c r="H38" i="8"/>
  <c r="H40" i="8" s="1"/>
  <c r="H41" i="8" s="1"/>
  <c r="G40" i="8"/>
  <c r="G41" i="8" s="1"/>
  <c r="E16" i="8"/>
  <c r="E22" i="8"/>
  <c r="E24" i="8" s="1"/>
  <c r="F66" i="8"/>
  <c r="G14" i="8"/>
  <c r="G115" i="8" s="1"/>
  <c r="G45" i="8" s="1"/>
  <c r="D21" i="8"/>
  <c r="E35" i="8"/>
  <c r="E46" i="8"/>
  <c r="H53" i="8"/>
  <c r="C21" i="6"/>
  <c r="C22" i="6" s="1"/>
  <c r="F9" i="6"/>
  <c r="E10" i="6"/>
  <c r="E21" i="6" s="1"/>
  <c r="D22" i="6"/>
  <c r="G66" i="8" l="1"/>
  <c r="E47" i="8"/>
  <c r="E51" i="8" s="1"/>
  <c r="F46" i="8"/>
  <c r="F35" i="8"/>
  <c r="F65" i="8" s="1"/>
  <c r="F124" i="8"/>
  <c r="F25" i="8" s="1"/>
  <c r="F50" i="8"/>
  <c r="G49" i="8"/>
  <c r="D22" i="8"/>
  <c r="D24" i="8" s="1"/>
  <c r="D26" i="8" s="1"/>
  <c r="D16" i="8"/>
  <c r="G15" i="8"/>
  <c r="H46" i="8"/>
  <c r="H35" i="8"/>
  <c r="H65" i="8" s="1"/>
  <c r="H66" i="8"/>
  <c r="F22" i="8"/>
  <c r="F24" i="8" s="1"/>
  <c r="F16" i="8"/>
  <c r="E26" i="8"/>
  <c r="H22" i="8"/>
  <c r="H24" i="8" s="1"/>
  <c r="H16" i="8"/>
  <c r="D46" i="8"/>
  <c r="E67" i="8" s="1"/>
  <c r="D35" i="8"/>
  <c r="D65" i="8" s="1"/>
  <c r="G46" i="8"/>
  <c r="G67" i="8" s="1"/>
  <c r="G35" i="8"/>
  <c r="G65" i="8" s="1"/>
  <c r="G68" i="8" s="1"/>
  <c r="E22" i="6"/>
  <c r="G9" i="6"/>
  <c r="F10" i="6"/>
  <c r="F21" i="6" s="1"/>
  <c r="F22" i="6" s="1"/>
  <c r="H67" i="8" l="1"/>
  <c r="H68" i="8" s="1"/>
  <c r="H47" i="8"/>
  <c r="D27" i="8"/>
  <c r="D28" i="8" s="1"/>
  <c r="E65" i="8"/>
  <c r="E68" i="8" s="1"/>
  <c r="E28" i="8"/>
  <c r="E63" i="8" s="1"/>
  <c r="E27" i="8"/>
  <c r="G124" i="8"/>
  <c r="G25" i="8" s="1"/>
  <c r="G50" i="8"/>
  <c r="H49" i="8"/>
  <c r="G47" i="8"/>
  <c r="D67" i="8"/>
  <c r="D68" i="8" s="1"/>
  <c r="D47" i="8"/>
  <c r="D51" i="8" s="1"/>
  <c r="F26" i="8"/>
  <c r="G16" i="8"/>
  <c r="G22" i="8"/>
  <c r="G24" i="8" s="1"/>
  <c r="G26" i="8" s="1"/>
  <c r="F67" i="8"/>
  <c r="F68" i="8" s="1"/>
  <c r="F47" i="8"/>
  <c r="F51" i="8" s="1"/>
  <c r="H9" i="6"/>
  <c r="G10" i="6"/>
  <c r="G21" i="6" s="1"/>
  <c r="G22" i="6" s="1"/>
  <c r="D63" i="8" l="1"/>
  <c r="D76" i="8" s="1"/>
  <c r="D34" i="8" s="1"/>
  <c r="D54" i="8"/>
  <c r="G27" i="8"/>
  <c r="G28" i="8" s="1"/>
  <c r="G63" i="8" s="1"/>
  <c r="G76" i="8" s="1"/>
  <c r="G51" i="8"/>
  <c r="F27" i="8"/>
  <c r="F28" i="8" s="1"/>
  <c r="F63" i="8" s="1"/>
  <c r="F76" i="8" s="1"/>
  <c r="H124" i="8"/>
  <c r="H25" i="8" s="1"/>
  <c r="H26" i="8" s="1"/>
  <c r="H50" i="8"/>
  <c r="E76" i="8"/>
  <c r="H51" i="8"/>
  <c r="I9" i="6"/>
  <c r="H10" i="6"/>
  <c r="H21" i="6" s="1"/>
  <c r="H22" i="6" s="1"/>
  <c r="H27" i="8" l="1"/>
  <c r="H28" i="8" s="1"/>
  <c r="H63" i="8" s="1"/>
  <c r="H76" i="8" s="1"/>
  <c r="D55" i="8"/>
  <c r="D56" i="8" s="1"/>
  <c r="E54" i="8"/>
  <c r="E34" i="8"/>
  <c r="D36" i="8"/>
  <c r="D42" i="8" s="1"/>
  <c r="J9" i="6"/>
  <c r="I10" i="6"/>
  <c r="I21" i="6" s="1"/>
  <c r="I22" i="6" s="1"/>
  <c r="D58" i="8" l="1"/>
  <c r="E36" i="8"/>
  <c r="E42" i="8" s="1"/>
  <c r="F34" i="8"/>
  <c r="F54" i="8"/>
  <c r="E55" i="8"/>
  <c r="E56" i="8" s="1"/>
  <c r="K9" i="6"/>
  <c r="J10" i="6"/>
  <c r="J21" i="6" s="1"/>
  <c r="J22" i="6" s="1"/>
  <c r="G54" i="8" l="1"/>
  <c r="F55" i="8"/>
  <c r="F56" i="8" s="1"/>
  <c r="F36" i="8"/>
  <c r="F42" i="8" s="1"/>
  <c r="F58" i="8" s="1"/>
  <c r="G34" i="8"/>
  <c r="E58" i="8"/>
  <c r="K10" i="6"/>
  <c r="K21" i="6" s="1"/>
  <c r="K22" i="6" s="1"/>
  <c r="L9" i="6"/>
  <c r="H34" i="8" l="1"/>
  <c r="H36" i="8" s="1"/>
  <c r="H42" i="8" s="1"/>
  <c r="G36" i="8"/>
  <c r="G42" i="8" s="1"/>
  <c r="H54" i="8"/>
  <c r="H55" i="8" s="1"/>
  <c r="H56" i="8" s="1"/>
  <c r="G55" i="8"/>
  <c r="G56" i="8" s="1"/>
  <c r="L10" i="6"/>
  <c r="L21" i="6" s="1"/>
  <c r="L22" i="6" s="1"/>
  <c r="M9" i="6"/>
  <c r="G58" i="8" l="1"/>
  <c r="H58" i="8"/>
  <c r="M10" i="6"/>
  <c r="M21" i="6" s="1"/>
  <c r="M22" i="6" s="1"/>
  <c r="N9" i="6"/>
  <c r="N10" i="6" s="1"/>
  <c r="N21" i="6" s="1"/>
  <c r="N22" i="6" s="1"/>
  <c r="C32" i="5" l="1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C34" i="5" l="1"/>
  <c r="G26" i="5"/>
  <c r="H26" i="5"/>
  <c r="D10" i="5"/>
  <c r="E10" i="5"/>
  <c r="F10" i="5"/>
  <c r="C18" i="5" s="1"/>
  <c r="C10" i="5"/>
  <c r="C30" i="5"/>
  <c r="G10" i="5" l="1"/>
  <c r="H10" i="5" s="1"/>
  <c r="I10" i="5" s="1"/>
  <c r="J10" i="5" s="1"/>
  <c r="C19" i="4"/>
  <c r="C18" i="4"/>
  <c r="C17" i="4"/>
  <c r="C16" i="4"/>
  <c r="C14" i="4"/>
  <c r="C8" i="4"/>
  <c r="C9" i="4"/>
  <c r="F19" i="4" l="1"/>
  <c r="C15" i="4"/>
  <c r="D8" i="4"/>
  <c r="F8" i="4" s="1"/>
  <c r="D9" i="4"/>
  <c r="F9" i="4" s="1"/>
  <c r="D10" i="4"/>
  <c r="D11" i="4" s="1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G9" i="4" l="1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</calcChain>
</file>

<file path=xl/sharedStrings.xml><?xml version="1.0" encoding="utf-8"?>
<sst xmlns="http://schemas.openxmlformats.org/spreadsheetml/2006/main" count="346" uniqueCount="202">
  <si>
    <t>Budget vs. Actual Dashboard</t>
  </si>
  <si>
    <t>Current Month -&gt;</t>
  </si>
  <si>
    <t>April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</si>
  <si>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</si>
  <si>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</si>
  <si>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</si>
  <si>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</si>
  <si>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</si>
  <si>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</si>
  <si>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</si>
  <si>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</si>
  <si>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</si>
  <si>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</si>
  <si>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</si>
  <si>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</si>
  <si>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</si>
  <si>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</si>
  <si>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</si>
  <si>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</si>
  <si>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</si>
  <si>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</si>
  <si>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</si>
  <si>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</si>
  <si>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</si>
  <si>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</si>
  <si>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</si>
  <si>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</si>
  <si>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</si>
  <si>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</si>
  <si>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</si>
  <si>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</si>
  <si>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</si>
  <si>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</si>
  <si>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</si>
  <si>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</si>
  <si>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</si>
  <si>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</si>
  <si>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</si>
  <si>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</si>
  <si>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</si>
  <si>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</si>
  <si>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</si>
  <si>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</si>
  <si>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</si>
  <si>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</si>
  <si>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</si>
  <si>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</si>
  <si>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</si>
  <si>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</si>
  <si>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</si>
  <si>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</si>
  <si>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</si>
  <si>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</si>
  <si>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</si>
  <si>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</si>
  <si>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</si>
  <si>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</si>
  <si>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</si>
  <si>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</si>
  <si>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</si>
  <si>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</si>
  <si>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</si>
  <si>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</si>
  <si>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</si>
  <si>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</si>
  <si>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</si>
  <si>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</si>
  <si>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</si>
  <si>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</si>
  <si>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</si>
  <si>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</si>
  <si>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</si>
  <si>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</si>
  <si>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</si>
  <si>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</si>
  <si>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</si>
  <si>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</si>
  <si>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</si>
  <si>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</si>
  <si>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</si>
  <si>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</si>
  <si>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</si>
  <si>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</si>
  <si>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</si>
  <si>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</si>
  <si>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</si>
  <si>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</si>
  <si>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</si>
  <si>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</si>
  <si>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</si>
  <si>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</si>
  <si>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</si>
  <si>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</si>
  <si>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</si>
  <si>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</si>
  <si>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</si>
  <si>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</si>
  <si>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</si>
  <si>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</si>
  <si>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</si>
  <si>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</si>
  <si>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</si>
  <si>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</si>
  <si>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</si>
  <si>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</si>
  <si>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</si>
  <si>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</si>
  <si>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</si>
  <si>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</si>
  <si>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</si>
  <si>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</si>
  <si>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</si>
  <si>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</si>
  <si>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</si>
  <si>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</si>
  <si>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</si>
  <si>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</si>
  <si>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</si>
  <si>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</si>
  <si>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</si>
  <si>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</si>
  <si>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</si>
  <si>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</si>
  <si>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</si>
  <si>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</si>
  <si>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</si>
  <si>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</si>
  <si>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</si>
  <si>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</si>
  <si>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</si>
  <si>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</si>
  <si>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</si>
  <si>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</si>
  <si>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</si>
  <si>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</si>
  <si>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</si>
  <si>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</si>
  <si>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</si>
  <si>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</si>
  <si>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</si>
  <si>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</si>
  <si>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</si>
  <si>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</si>
  <si>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</si>
  <si>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</si>
  <si>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</si>
  <si>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</si>
  <si>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</si>
  <si>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</si>
  <si>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</si>
  <si>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</si>
  <si>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</si>
  <si>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</si>
  <si>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</si>
  <si>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</si>
  <si>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</si>
  <si>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</si>
  <si>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</si>
  <si>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</si>
  <si>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</si>
  <si>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</si>
  <si>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</si>
  <si>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</si>
  <si>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</si>
  <si>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</si>
  <si>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</si>
  <si>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</si>
  <si>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</si>
  <si>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</si>
  <si>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</si>
  <si>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</si>
  <si>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</si>
  <si>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</si>
  <si>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</si>
  <si>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</si>
  <si>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</si>
  <si>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</si>
  <si>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</si>
  <si>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</si>
  <si>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</si>
  <si>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</si>
  <si>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</si>
  <si>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</si>
  <si>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</si>
  <si>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</si>
  <si>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</si>
  <si>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</si>
  <si>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</si>
  <si>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</si>
  <si>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</si>
  <si>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</si>
  <si>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</si>
  <si>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</si>
  <si>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</si>
  <si>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</si>
  <si>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</si>
  <si>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</si>
  <si>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</si>
  <si>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</si>
  <si>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</si>
  <si>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INR in actual figures</t>
  </si>
  <si>
    <t>Figures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</si>
</sst>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  <numFmt numFmtId="179" formatCode="_ [$₹-4009]\ * #,##0.00_ ;_ [$₹-4009]\ * \-#,##0.00_ ;_ [$₹-4009]\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93D68"/>
      <name val="Times New Roman"/>
      <family val="1"/>
    </font>
    <font>
      <b/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741EE"/>
      <name val="Times New Roman"/>
      <family val="1"/>
    </font>
    <font>
      <sz val="12"/>
      <color theme="0"/>
      <name val="Times New Roman"/>
      <family val="1"/>
    </font>
    <font>
      <sz val="12"/>
      <color theme="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</cellStyleXfs>
  <cellXfs count="246">
    <xf numFmtId="0" fontId="0" fillId="0" borderId="0" xfId="0"/>
    <xf numFmtId="0" fontId="2" fillId="0" borderId="6" xfId="0" applyFont="1" applyBorder="1"/>
    <xf numFmtId="0" fontId="0" fillId="0" borderId="6" xfId="0" applyBorder="1"/>
    <xf numFmtId="0" fontId="8" fillId="0" borderId="2" xfId="4" applyFont="1" applyBorder="1"/>
    <xf numFmtId="0" fontId="4" fillId="0" borderId="2" xfId="4" applyBorder="1"/>
    <xf numFmtId="0" fontId="4" fillId="0" borderId="0" xfId="4"/>
    <xf numFmtId="0" fontId="9" fillId="0" borderId="0" xfId="4" applyFont="1" applyAlignment="1">
      <alignment horizontal="right"/>
    </xf>
    <xf numFmtId="0" fontId="6" fillId="3" borderId="5" xfId="4" applyFont="1" applyFill="1" applyBorder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Alignment="1">
      <alignment horizontal="center"/>
    </xf>
    <xf numFmtId="0" fontId="10" fillId="0" borderId="0" xfId="4" applyFont="1"/>
    <xf numFmtId="0" fontId="7" fillId="0" borderId="0" xfId="4" applyFont="1"/>
    <xf numFmtId="0" fontId="5" fillId="0" borderId="0" xfId="4" applyFont="1"/>
    <xf numFmtId="0" fontId="3" fillId="0" borderId="0" xfId="4" applyFont="1"/>
    <xf numFmtId="170" fontId="0" fillId="0" borderId="0" xfId="5" applyNumberFormat="1" applyFont="1" applyFill="1" applyBorder="1"/>
    <xf numFmtId="170" fontId="6" fillId="0" borderId="4" xfId="5" applyNumberFormat="1" applyFont="1" applyBorder="1"/>
    <xf numFmtId="170" fontId="6" fillId="0" borderId="0" xfId="5" applyNumberFormat="1" applyFont="1" applyFill="1" applyBorder="1"/>
    <xf numFmtId="0" fontId="6" fillId="0" borderId="0" xfId="4" applyFont="1"/>
    <xf numFmtId="170" fontId="6" fillId="0" borderId="0" xfId="5" applyNumberFormat="1" applyFont="1" applyBorder="1"/>
    <xf numFmtId="170" fontId="4" fillId="0" borderId="0" xfId="4" applyNumberFormat="1"/>
    <xf numFmtId="170" fontId="6" fillId="0" borderId="4" xfId="4" applyNumberFormat="1" applyFont="1" applyBorder="1"/>
    <xf numFmtId="170" fontId="6" fillId="0" borderId="0" xfId="4" applyNumberFormat="1" applyFont="1"/>
    <xf numFmtId="0" fontId="6" fillId="0" borderId="2" xfId="4" applyFont="1" applyBorder="1"/>
    <xf numFmtId="166" fontId="11" fillId="4" borderId="0" xfId="5" applyNumberFormat="1" applyFont="1" applyFill="1" applyBorder="1"/>
    <xf numFmtId="176" fontId="4" fillId="0" borderId="0" xfId="4" applyNumberFormat="1"/>
    <xf numFmtId="177" fontId="4" fillId="0" borderId="0" xfId="4" applyNumberFormat="1"/>
    <xf numFmtId="9" fontId="4" fillId="0" borderId="0" xfId="4" applyNumberFormat="1"/>
    <xf numFmtId="166" fontId="6" fillId="0" borderId="0" xfId="4" applyNumberFormat="1" applyFont="1"/>
    <xf numFmtId="0" fontId="6" fillId="0" borderId="0" xfId="4" applyFont="1" applyAlignment="1">
      <alignment horizontal="right"/>
    </xf>
    <xf numFmtId="9" fontId="7" fillId="0" borderId="5" xfId="4" applyNumberFormat="1" applyFont="1" applyBorder="1" applyAlignment="1">
      <alignment horizontal="center"/>
    </xf>
    <xf numFmtId="176" fontId="6" fillId="3" borderId="5" xfId="4" applyNumberFormat="1" applyFont="1" applyFill="1" applyBorder="1"/>
    <xf numFmtId="10" fontId="6" fillId="3" borderId="5" xfId="4" applyNumberFormat="1" applyFont="1" applyFill="1" applyBorder="1" applyAlignment="1">
      <alignment horizontal="center"/>
    </xf>
    <xf numFmtId="178" fontId="6" fillId="3" borderId="5" xfId="4" applyNumberFormat="1" applyFont="1" applyFill="1" applyBorder="1" applyAlignment="1">
      <alignment horizontal="center"/>
    </xf>
    <xf numFmtId="176" fontId="6" fillId="3" borderId="5" xfId="4" applyNumberFormat="1" applyFont="1" applyFill="1" applyBorder="1" applyAlignment="1">
      <alignment horizontal="center"/>
    </xf>
    <xf numFmtId="0" fontId="12" fillId="0" borderId="0" xfId="4" applyFont="1"/>
    <xf numFmtId="170" fontId="4" fillId="0" borderId="0" xfId="5" applyNumberFormat="1" applyFont="1" applyBorder="1"/>
    <xf numFmtId="170" fontId="5" fillId="0" borderId="0" xfId="5" applyNumberFormat="1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1" applyNumberFormat="1" applyFont="1" applyBorder="1"/>
    <xf numFmtId="172" fontId="5" fillId="0" borderId="0" xfId="1" applyNumberFormat="1" applyFont="1" applyBorder="1"/>
    <xf numFmtId="172" fontId="4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6" fillId="2" borderId="0" xfId="0" applyFont="1" applyFill="1"/>
    <xf numFmtId="173" fontId="6" fillId="2" borderId="0" xfId="0" applyNumberFormat="1" applyFont="1" applyFill="1"/>
    <xf numFmtId="174" fontId="0" fillId="0" borderId="0" xfId="0" applyNumberForma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2" borderId="0" xfId="0" applyFill="1"/>
    <xf numFmtId="0" fontId="13" fillId="5" borderId="0" xfId="0" applyFont="1" applyFill="1"/>
    <xf numFmtId="0" fontId="6" fillId="3" borderId="11" xfId="0" applyFont="1" applyFill="1" applyBorder="1"/>
    <xf numFmtId="174" fontId="6" fillId="3" borderId="11" xfId="0" applyNumberFormat="1" applyFont="1" applyFill="1" applyBorder="1"/>
    <xf numFmtId="172" fontId="7" fillId="3" borderId="11" xfId="1" applyNumberFormat="1" applyFont="1" applyFill="1" applyBorder="1"/>
    <xf numFmtId="164" fontId="6" fillId="3" borderId="11" xfId="1" applyNumberFormat="1" applyFont="1" applyFill="1" applyBorder="1"/>
    <xf numFmtId="0" fontId="0" fillId="2" borderId="12" xfId="0" applyFill="1" applyBorder="1"/>
    <xf numFmtId="173" fontId="0" fillId="2" borderId="12" xfId="0" applyNumberForma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164" fontId="5" fillId="2" borderId="11" xfId="1" applyNumberFormat="1" applyFont="1" applyFill="1" applyBorder="1"/>
    <xf numFmtId="172" fontId="5" fillId="2" borderId="11" xfId="1" applyNumberFormat="1" applyFont="1" applyFill="1" applyBorder="1"/>
    <xf numFmtId="172" fontId="4" fillId="2" borderId="11" xfId="1" applyNumberFormat="1" applyFont="1" applyFill="1" applyBorder="1"/>
    <xf numFmtId="172" fontId="0" fillId="2" borderId="11" xfId="1" applyNumberFormat="1" applyFont="1" applyFill="1" applyBorder="1"/>
    <xf numFmtId="173" fontId="0" fillId="2" borderId="11" xfId="1" applyNumberFormat="1" applyFont="1" applyFill="1" applyBorder="1"/>
    <xf numFmtId="0" fontId="0" fillId="0" borderId="15" xfId="0" applyBorder="1"/>
    <xf numFmtId="0" fontId="0" fillId="0" borderId="21" xfId="0" applyBorder="1"/>
    <xf numFmtId="0" fontId="0" fillId="0" borderId="21" xfId="0" applyBorder="1" applyAlignment="1">
      <alignment horizontal="left" indent="1"/>
    </xf>
    <xf numFmtId="0" fontId="4" fillId="0" borderId="21" xfId="4" applyBorder="1"/>
    <xf numFmtId="0" fontId="10" fillId="0" borderId="15" xfId="4" applyFont="1" applyBorder="1"/>
    <xf numFmtId="0" fontId="4" fillId="0" borderId="21" xfId="4" applyBorder="1" applyAlignment="1">
      <alignment horizontal="left" indent="1"/>
    </xf>
    <xf numFmtId="170" fontId="4" fillId="0" borderId="15" xfId="5" applyNumberFormat="1" applyFont="1" applyBorder="1"/>
    <xf numFmtId="0" fontId="6" fillId="0" borderId="33" xfId="4" applyFont="1" applyBorder="1" applyAlignment="1">
      <alignment horizontal="left"/>
    </xf>
    <xf numFmtId="170" fontId="6" fillId="0" borderId="34" xfId="5" applyNumberFormat="1" applyFont="1" applyBorder="1"/>
    <xf numFmtId="0" fontId="6" fillId="0" borderId="21" xfId="4" applyFont="1" applyBorder="1" applyAlignment="1">
      <alignment horizontal="left"/>
    </xf>
    <xf numFmtId="170" fontId="6" fillId="0" borderId="15" xfId="5" applyNumberFormat="1" applyFont="1" applyBorder="1"/>
    <xf numFmtId="170" fontId="4" fillId="0" borderId="15" xfId="4" applyNumberFormat="1" applyBorder="1"/>
    <xf numFmtId="170" fontId="6" fillId="0" borderId="34" xfId="4" applyNumberFormat="1" applyFont="1" applyBorder="1"/>
    <xf numFmtId="0" fontId="10" fillId="0" borderId="21" xfId="4" applyFont="1" applyBorder="1"/>
    <xf numFmtId="170" fontId="4" fillId="0" borderId="21" xfId="5" applyNumberFormat="1" applyFont="1" applyFill="1" applyBorder="1"/>
    <xf numFmtId="175" fontId="4" fillId="0" borderId="15" xfId="6" applyNumberFormat="1" applyFont="1" applyFill="1" applyBorder="1"/>
    <xf numFmtId="170" fontId="6" fillId="0" borderId="33" xfId="5" applyNumberFormat="1" applyFont="1" applyFill="1" applyBorder="1"/>
    <xf numFmtId="175" fontId="6" fillId="0" borderId="34" xfId="6" applyNumberFormat="1" applyFont="1" applyFill="1" applyBorder="1"/>
    <xf numFmtId="170" fontId="6" fillId="0" borderId="21" xfId="5" applyNumberFormat="1" applyFont="1" applyFill="1" applyBorder="1"/>
    <xf numFmtId="175" fontId="6" fillId="0" borderId="15" xfId="4" applyNumberFormat="1" applyFont="1" applyBorder="1"/>
    <xf numFmtId="170" fontId="4" fillId="0" borderId="21" xfId="4" applyNumberFormat="1" applyBorder="1"/>
    <xf numFmtId="175" fontId="4" fillId="0" borderId="15" xfId="4" applyNumberFormat="1" applyBorder="1"/>
    <xf numFmtId="170" fontId="5" fillId="0" borderId="15" xfId="5" applyNumberFormat="1" applyFont="1" applyBorder="1"/>
    <xf numFmtId="0" fontId="6" fillId="0" borderId="3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5" xfId="0" applyFont="1" applyBorder="1"/>
    <xf numFmtId="0" fontId="4" fillId="0" borderId="15" xfId="4" applyBorder="1"/>
    <xf numFmtId="0" fontId="4" fillId="0" borderId="27" xfId="4" applyBorder="1"/>
    <xf numFmtId="0" fontId="4" fillId="0" borderId="28" xfId="4" applyBorder="1"/>
    <xf numFmtId="0" fontId="6" fillId="3" borderId="35" xfId="4" applyFont="1" applyFill="1" applyBorder="1" applyAlignment="1">
      <alignment horizontal="left" indent="1"/>
    </xf>
    <xf numFmtId="170" fontId="6" fillId="3" borderId="14" xfId="4" applyNumberFormat="1" applyFont="1" applyFill="1" applyBorder="1"/>
    <xf numFmtId="170" fontId="6" fillId="3" borderId="36" xfId="4" applyNumberFormat="1" applyFont="1" applyFill="1" applyBorder="1"/>
    <xf numFmtId="170" fontId="6" fillId="3" borderId="29" xfId="5" applyNumberFormat="1" applyFont="1" applyFill="1" applyBorder="1"/>
    <xf numFmtId="175" fontId="6" fillId="3" borderId="30" xfId="6" applyNumberFormat="1" applyFont="1" applyFill="1" applyBorder="1"/>
    <xf numFmtId="0" fontId="6" fillId="0" borderId="13" xfId="4" applyFont="1" applyBorder="1"/>
    <xf numFmtId="166" fontId="6" fillId="0" borderId="13" xfId="4" applyNumberFormat="1" applyFont="1" applyBorder="1"/>
    <xf numFmtId="0" fontId="6" fillId="0" borderId="11" xfId="4" applyFont="1" applyBorder="1"/>
    <xf numFmtId="166" fontId="6" fillId="0" borderId="11" xfId="4" applyNumberFormat="1" applyFont="1" applyBorder="1"/>
    <xf numFmtId="0" fontId="3" fillId="5" borderId="0" xfId="4" applyFont="1" applyFill="1" applyAlignment="1">
      <alignment horizontal="center"/>
    </xf>
    <xf numFmtId="0" fontId="3" fillId="5" borderId="37" xfId="4" applyFont="1" applyFill="1" applyBorder="1" applyAlignment="1">
      <alignment horizontal="center"/>
    </xf>
    <xf numFmtId="0" fontId="3" fillId="5" borderId="13" xfId="4" applyFont="1" applyFill="1" applyBorder="1" applyAlignment="1">
      <alignment horizontal="center"/>
    </xf>
    <xf numFmtId="0" fontId="4" fillId="0" borderId="17" xfId="4" applyBorder="1"/>
    <xf numFmtId="0" fontId="14" fillId="5" borderId="16" xfId="4" applyFont="1" applyFill="1" applyBorder="1"/>
    <xf numFmtId="0" fontId="3" fillId="5" borderId="17" xfId="4" applyFont="1" applyFill="1" applyBorder="1" applyAlignment="1">
      <alignment horizontal="center" vertical="center"/>
    </xf>
    <xf numFmtId="0" fontId="3" fillId="5" borderId="18" xfId="4" applyFont="1" applyFill="1" applyBorder="1" applyAlignment="1">
      <alignment horizontal="center" vertical="center"/>
    </xf>
    <xf numFmtId="0" fontId="3" fillId="5" borderId="16" xfId="4" applyFont="1" applyFill="1" applyBorder="1" applyAlignment="1">
      <alignment horizontal="center"/>
    </xf>
    <xf numFmtId="0" fontId="3" fillId="5" borderId="18" xfId="4" applyFont="1" applyFill="1" applyBorder="1" applyAlignment="1">
      <alignment horizontal="center"/>
    </xf>
    <xf numFmtId="0" fontId="3" fillId="5" borderId="16" xfId="4" applyFont="1" applyFill="1" applyBorder="1"/>
    <xf numFmtId="0" fontId="3" fillId="5" borderId="17" xfId="4" applyFont="1" applyFill="1" applyBorder="1"/>
    <xf numFmtId="0" fontId="3" fillId="5" borderId="18" xfId="4" applyFont="1" applyFill="1" applyBorder="1"/>
    <xf numFmtId="17" fontId="3" fillId="5" borderId="0" xfId="0" applyNumberFormat="1" applyFont="1" applyFill="1"/>
    <xf numFmtId="17" fontId="3" fillId="5" borderId="15" xfId="0" applyNumberFormat="1" applyFont="1" applyFill="1" applyBorder="1"/>
    <xf numFmtId="0" fontId="3" fillId="5" borderId="0" xfId="4" applyFont="1" applyFill="1"/>
    <xf numFmtId="0" fontId="6" fillId="3" borderId="12" xfId="0" applyFont="1" applyFill="1" applyBorder="1" applyAlignment="1">
      <alignment horizontal="left"/>
    </xf>
    <xf numFmtId="170" fontId="6" fillId="3" borderId="12" xfId="5" applyNumberFormat="1" applyFont="1" applyFill="1" applyBorder="1"/>
    <xf numFmtId="0" fontId="6" fillId="3" borderId="13" xfId="0" applyFont="1" applyFill="1" applyBorder="1"/>
    <xf numFmtId="170" fontId="6" fillId="3" borderId="13" xfId="0" applyNumberFormat="1" applyFont="1" applyFill="1" applyBorder="1"/>
    <xf numFmtId="0" fontId="3" fillId="5" borderId="38" xfId="4" applyFont="1" applyFill="1" applyBorder="1"/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14" fillId="5" borderId="21" xfId="0" applyFont="1" applyFill="1" applyBorder="1"/>
    <xf numFmtId="16" fontId="0" fillId="0" borderId="0" xfId="0" applyNumberFormat="1" applyAlignment="1">
      <alignment horizontal="left"/>
    </xf>
    <xf numFmtId="0" fontId="16" fillId="0" borderId="0" xfId="0" applyFont="1"/>
    <xf numFmtId="0" fontId="17" fillId="0" borderId="6" xfId="0" applyFont="1" applyBorder="1"/>
    <xf numFmtId="0" fontId="16" fillId="0" borderId="6" xfId="0" applyFont="1" applyBorder="1"/>
    <xf numFmtId="0" fontId="16" fillId="0" borderId="15" xfId="0" applyFont="1" applyBorder="1"/>
    <xf numFmtId="0" fontId="18" fillId="5" borderId="16" xfId="0" applyFont="1" applyFill="1" applyBorder="1"/>
    <xf numFmtId="0" fontId="18" fillId="5" borderId="17" xfId="0" applyFont="1" applyFill="1" applyBorder="1"/>
    <xf numFmtId="0" fontId="18" fillId="5" borderId="18" xfId="0" applyFont="1" applyFill="1" applyBorder="1"/>
    <xf numFmtId="0" fontId="19" fillId="5" borderId="19" xfId="0" applyFont="1" applyFill="1" applyBorder="1"/>
    <xf numFmtId="165" fontId="18" fillId="5" borderId="1" xfId="0" applyNumberFormat="1" applyFont="1" applyFill="1" applyBorder="1"/>
    <xf numFmtId="165" fontId="18" fillId="5" borderId="20" xfId="0" applyNumberFormat="1" applyFont="1" applyFill="1" applyBorder="1"/>
    <xf numFmtId="0" fontId="16" fillId="0" borderId="21" xfId="0" applyFont="1" applyBorder="1"/>
    <xf numFmtId="0" fontId="16" fillId="0" borderId="21" xfId="0" applyFont="1" applyBorder="1" applyAlignment="1">
      <alignment horizontal="left" indent="1"/>
    </xf>
    <xf numFmtId="166" fontId="16" fillId="0" borderId="0" xfId="1" applyNumberFormat="1" applyFont="1" applyBorder="1"/>
    <xf numFmtId="166" fontId="16" fillId="0" borderId="15" xfId="1" applyNumberFormat="1" applyFont="1" applyBorder="1"/>
    <xf numFmtId="0" fontId="16" fillId="0" borderId="22" xfId="0" applyFont="1" applyBorder="1" applyAlignment="1">
      <alignment horizontal="left" indent="1"/>
    </xf>
    <xf numFmtId="166" fontId="16" fillId="0" borderId="2" xfId="1" applyNumberFormat="1" applyFont="1" applyBorder="1"/>
    <xf numFmtId="166" fontId="16" fillId="0" borderId="23" xfId="1" applyNumberFormat="1" applyFont="1" applyBorder="1"/>
    <xf numFmtId="0" fontId="20" fillId="0" borderId="21" xfId="0" applyFont="1" applyBorder="1"/>
    <xf numFmtId="166" fontId="20" fillId="0" borderId="0" xfId="0" applyNumberFormat="1" applyFont="1"/>
    <xf numFmtId="166" fontId="20" fillId="0" borderId="15" xfId="0" applyNumberFormat="1" applyFont="1" applyBorder="1"/>
    <xf numFmtId="0" fontId="16" fillId="0" borderId="22" xfId="0" applyFont="1" applyBorder="1"/>
    <xf numFmtId="166" fontId="16" fillId="0" borderId="2" xfId="0" applyNumberFormat="1" applyFont="1" applyBorder="1"/>
    <xf numFmtId="166" fontId="16" fillId="0" borderId="23" xfId="0" applyNumberFormat="1" applyFont="1" applyBorder="1"/>
    <xf numFmtId="0" fontId="21" fillId="0" borderId="21" xfId="0" applyFont="1" applyBorder="1" applyAlignment="1">
      <alignment horizontal="left"/>
    </xf>
    <xf numFmtId="9" fontId="21" fillId="0" borderId="0" xfId="0" applyNumberFormat="1" applyFont="1"/>
    <xf numFmtId="9" fontId="21" fillId="0" borderId="15" xfId="0" applyNumberFormat="1" applyFont="1" applyBorder="1"/>
    <xf numFmtId="166" fontId="22" fillId="0" borderId="0" xfId="0" applyNumberFormat="1" applyFont="1"/>
    <xf numFmtId="166" fontId="22" fillId="0" borderId="15" xfId="0" applyNumberFormat="1" applyFont="1" applyBorder="1"/>
    <xf numFmtId="0" fontId="16" fillId="0" borderId="22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166" fontId="16" fillId="0" borderId="2" xfId="1" applyNumberFormat="1" applyFont="1" applyFill="1" applyBorder="1"/>
    <xf numFmtId="166" fontId="16" fillId="0" borderId="23" xfId="1" applyNumberFormat="1" applyFont="1" applyFill="1" applyBorder="1"/>
    <xf numFmtId="0" fontId="16" fillId="0" borderId="21" xfId="0" applyFont="1" applyBorder="1" applyAlignment="1">
      <alignment horizontal="left"/>
    </xf>
    <xf numFmtId="166" fontId="16" fillId="0" borderId="0" xfId="0" applyNumberFormat="1" applyFont="1"/>
    <xf numFmtId="166" fontId="16" fillId="0" borderId="15" xfId="0" applyNumberFormat="1" applyFont="1" applyBorder="1"/>
    <xf numFmtId="0" fontId="20" fillId="0" borderId="31" xfId="0" applyFont="1" applyBorder="1" applyAlignment="1">
      <alignment horizontal="left"/>
    </xf>
    <xf numFmtId="166" fontId="20" fillId="0" borderId="3" xfId="0" applyNumberFormat="1" applyFont="1" applyBorder="1"/>
    <xf numFmtId="166" fontId="20" fillId="0" borderId="32" xfId="0" applyNumberFormat="1" applyFont="1" applyBorder="1"/>
    <xf numFmtId="0" fontId="21" fillId="0" borderId="0" xfId="0" applyFont="1" applyAlignment="1">
      <alignment horizontal="left"/>
    </xf>
    <xf numFmtId="169" fontId="18" fillId="5" borderId="1" xfId="0" applyNumberFormat="1" applyFont="1" applyFill="1" applyBorder="1"/>
    <xf numFmtId="166" fontId="23" fillId="0" borderId="0" xfId="1" applyNumberFormat="1" applyFont="1" applyBorder="1"/>
    <xf numFmtId="0" fontId="20" fillId="0" borderId="33" xfId="0" applyFont="1" applyBorder="1"/>
    <xf numFmtId="166" fontId="20" fillId="0" borderId="4" xfId="0" applyNumberFormat="1" applyFont="1" applyBorder="1"/>
    <xf numFmtId="166" fontId="20" fillId="0" borderId="34" xfId="0" applyNumberFormat="1" applyFont="1" applyBorder="1"/>
    <xf numFmtId="166" fontId="16" fillId="0" borderId="0" xfId="1" applyNumberFormat="1" applyFont="1" applyFill="1" applyBorder="1"/>
    <xf numFmtId="166" fontId="16" fillId="0" borderId="15" xfId="1" applyNumberFormat="1" applyFont="1" applyFill="1" applyBorder="1"/>
    <xf numFmtId="0" fontId="20" fillId="0" borderId="31" xfId="0" applyFont="1" applyBorder="1"/>
    <xf numFmtId="0" fontId="23" fillId="0" borderId="0" xfId="0" applyFont="1"/>
    <xf numFmtId="166" fontId="20" fillId="0" borderId="4" xfId="1" applyNumberFormat="1" applyFont="1" applyBorder="1"/>
    <xf numFmtId="166" fontId="20" fillId="0" borderId="34" xfId="1" applyNumberFormat="1" applyFont="1" applyBorder="1"/>
    <xf numFmtId="0" fontId="16" fillId="0" borderId="26" xfId="0" applyFont="1" applyBorder="1"/>
    <xf numFmtId="166" fontId="16" fillId="0" borderId="27" xfId="0" applyNumberFormat="1" applyFont="1" applyBorder="1"/>
    <xf numFmtId="166" fontId="16" fillId="0" borderId="28" xfId="0" applyNumberFormat="1" applyFont="1" applyBorder="1"/>
    <xf numFmtId="165" fontId="18" fillId="0" borderId="0" xfId="0" applyNumberFormat="1" applyFont="1"/>
    <xf numFmtId="165" fontId="18" fillId="0" borderId="15" xfId="0" applyNumberFormat="1" applyFont="1" applyBorder="1"/>
    <xf numFmtId="0" fontId="20" fillId="0" borderId="33" xfId="0" applyFont="1" applyBorder="1" applyAlignment="1">
      <alignment horizontal="left"/>
    </xf>
    <xf numFmtId="0" fontId="20" fillId="0" borderId="24" xfId="0" applyFont="1" applyBorder="1"/>
    <xf numFmtId="166" fontId="20" fillId="0" borderId="7" xfId="0" applyNumberFormat="1" applyFont="1" applyBorder="1"/>
    <xf numFmtId="166" fontId="20" fillId="0" borderId="25" xfId="0" applyNumberFormat="1" applyFont="1" applyBorder="1"/>
    <xf numFmtId="0" fontId="23" fillId="6" borderId="0" xfId="0" applyFont="1" applyFill="1" applyAlignment="1">
      <alignment horizontal="center"/>
    </xf>
    <xf numFmtId="179" fontId="23" fillId="0" borderId="0" xfId="2" applyNumberFormat="1" applyFont="1" applyBorder="1"/>
    <xf numFmtId="179" fontId="23" fillId="0" borderId="0" xfId="0" applyNumberFormat="1" applyFont="1"/>
    <xf numFmtId="179" fontId="16" fillId="0" borderId="15" xfId="0" applyNumberFormat="1" applyFont="1" applyBorder="1"/>
    <xf numFmtId="0" fontId="20" fillId="0" borderId="3" xfId="0" applyFont="1" applyBorder="1"/>
    <xf numFmtId="179" fontId="20" fillId="0" borderId="3" xfId="0" applyNumberFormat="1" applyFont="1" applyBorder="1"/>
    <xf numFmtId="179" fontId="20" fillId="0" borderId="32" xfId="0" applyNumberFormat="1" applyFont="1" applyBorder="1"/>
    <xf numFmtId="179" fontId="16" fillId="0" borderId="0" xfId="0" applyNumberFormat="1" applyFont="1"/>
    <xf numFmtId="179" fontId="23" fillId="0" borderId="15" xfId="2" applyNumberFormat="1" applyFont="1" applyBorder="1"/>
    <xf numFmtId="0" fontId="20" fillId="0" borderId="7" xfId="0" applyFont="1" applyBorder="1"/>
    <xf numFmtId="179" fontId="20" fillId="0" borderId="7" xfId="0" applyNumberFormat="1" applyFont="1" applyBorder="1"/>
    <xf numFmtId="179" fontId="20" fillId="0" borderId="25" xfId="0" applyNumberFormat="1" applyFont="1" applyBorder="1"/>
    <xf numFmtId="0" fontId="20" fillId="0" borderId="0" xfId="0" applyFont="1"/>
    <xf numFmtId="168" fontId="20" fillId="0" borderId="0" xfId="0" applyNumberFormat="1" applyFont="1"/>
    <xf numFmtId="0" fontId="18" fillId="5" borderId="13" xfId="0" applyFont="1" applyFill="1" applyBorder="1"/>
    <xf numFmtId="0" fontId="24" fillId="5" borderId="13" xfId="0" applyFont="1" applyFill="1" applyBorder="1"/>
    <xf numFmtId="0" fontId="20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21" xfId="0" applyFont="1" applyFill="1" applyBorder="1"/>
    <xf numFmtId="0" fontId="16" fillId="6" borderId="0" xfId="0" applyFont="1" applyFill="1"/>
    <xf numFmtId="0" fontId="16" fillId="6" borderId="15" xfId="0" applyFont="1" applyFill="1" applyBorder="1"/>
    <xf numFmtId="0" fontId="16" fillId="6" borderId="21" xfId="0" applyFont="1" applyFill="1" applyBorder="1" applyAlignment="1">
      <alignment horizontal="left" indent="1"/>
    </xf>
    <xf numFmtId="166" fontId="23" fillId="6" borderId="0" xfId="1" applyNumberFormat="1" applyFont="1" applyFill="1" applyBorder="1"/>
    <xf numFmtId="166" fontId="23" fillId="6" borderId="15" xfId="1" applyNumberFormat="1" applyFont="1" applyFill="1" applyBorder="1"/>
    <xf numFmtId="179" fontId="23" fillId="6" borderId="0" xfId="0" applyNumberFormat="1" applyFont="1" applyFill="1"/>
    <xf numFmtId="179" fontId="23" fillId="6" borderId="15" xfId="0" applyNumberFormat="1" applyFont="1" applyFill="1" applyBorder="1"/>
    <xf numFmtId="9" fontId="23" fillId="6" borderId="0" xfId="0" applyNumberFormat="1" applyFont="1" applyFill="1"/>
    <xf numFmtId="9" fontId="23" fillId="6" borderId="15" xfId="0" applyNumberFormat="1" applyFont="1" applyFill="1" applyBorder="1"/>
    <xf numFmtId="0" fontId="23" fillId="6" borderId="0" xfId="0" applyFont="1" applyFill="1"/>
    <xf numFmtId="0" fontId="23" fillId="6" borderId="15" xfId="0" applyFont="1" applyFill="1" applyBorder="1"/>
    <xf numFmtId="9" fontId="23" fillId="0" borderId="0" xfId="0" applyNumberFormat="1" applyFont="1"/>
    <xf numFmtId="9" fontId="23" fillId="0" borderId="15" xfId="0" applyNumberFormat="1" applyFont="1" applyBorder="1"/>
    <xf numFmtId="0" fontId="20" fillId="6" borderId="21" xfId="0" applyFont="1" applyFill="1" applyBorder="1"/>
    <xf numFmtId="166" fontId="16" fillId="6" borderId="0" xfId="1" applyNumberFormat="1" applyFont="1" applyFill="1" applyBorder="1"/>
    <xf numFmtId="166" fontId="16" fillId="6" borderId="15" xfId="1" applyNumberFormat="1" applyFont="1" applyFill="1" applyBorder="1"/>
    <xf numFmtId="167" fontId="16" fillId="6" borderId="0" xfId="3" applyNumberFormat="1" applyFont="1" applyFill="1" applyBorder="1"/>
    <xf numFmtId="167" fontId="16" fillId="6" borderId="0" xfId="0" applyNumberFormat="1" applyFont="1" applyFill="1"/>
    <xf numFmtId="167" fontId="16" fillId="6" borderId="15" xfId="0" applyNumberFormat="1" applyFont="1" applyFill="1" applyBorder="1"/>
    <xf numFmtId="0" fontId="16" fillId="6" borderId="21" xfId="0" applyFont="1" applyFill="1" applyBorder="1" applyAlignment="1">
      <alignment horizontal="left"/>
    </xf>
    <xf numFmtId="0" fontId="25" fillId="6" borderId="0" xfId="0" applyFont="1" applyFill="1"/>
    <xf numFmtId="0" fontId="25" fillId="6" borderId="15" xfId="0" applyFont="1" applyFill="1" applyBorder="1"/>
    <xf numFmtId="0" fontId="16" fillId="6" borderId="26" xfId="0" applyFont="1" applyFill="1" applyBorder="1" applyAlignment="1">
      <alignment horizontal="left"/>
    </xf>
    <xf numFmtId="0" fontId="16" fillId="6" borderId="27" xfId="0" applyFont="1" applyFill="1" applyBorder="1"/>
    <xf numFmtId="166" fontId="16" fillId="6" borderId="27" xfId="0" applyNumberFormat="1" applyFont="1" applyFill="1" applyBorder="1"/>
    <xf numFmtId="166" fontId="16" fillId="6" borderId="28" xfId="0" applyNumberFormat="1" applyFont="1" applyFill="1" applyBorder="1"/>
    <xf numFmtId="0" fontId="4" fillId="0" borderId="0" xfId="4" applyAlignment="1">
      <alignment horizontal="center"/>
    </xf>
    <xf numFmtId="0" fontId="3" fillId="5" borderId="8" xfId="4" applyFont="1" applyFill="1" applyBorder="1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0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80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zoomScale="125" zoomScaleNormal="100" workbookViewId="0">
      <selection activeCell="C8" sqref="C8"/>
    </sheetView>
  </sheetViews>
  <sheetFormatPr defaultColWidth="11.6640625" defaultRowHeight="15.6" x14ac:dyDescent="0.3"/>
  <cols>
    <col min="1" max="1" width="11.6640625" style="5"/>
    <col min="2" max="2" width="19.109375" style="5" customWidth="1"/>
    <col min="3" max="4" width="11.6640625" style="5"/>
    <col min="5" max="5" width="3.6640625" style="5" customWidth="1"/>
    <col min="6" max="7" width="11.6640625" style="5"/>
    <col min="8" max="8" width="5.6640625" style="5" customWidth="1"/>
    <col min="9" max="16384" width="11.6640625" style="5"/>
  </cols>
  <sheetData>
    <row r="2" spans="2:23" ht="21" x14ac:dyDescent="0.4">
      <c r="B2" s="3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4" spans="2:23" x14ac:dyDescent="0.3">
      <c r="B4" s="6" t="s">
        <v>1</v>
      </c>
      <c r="C4" s="7" t="s">
        <v>2</v>
      </c>
      <c r="E4" s="8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9"/>
    </row>
    <row r="5" spans="2:23" x14ac:dyDescent="0.3">
      <c r="B5" s="10"/>
      <c r="C5" s="10"/>
      <c r="D5" s="10"/>
      <c r="E5" s="10"/>
      <c r="F5" s="11"/>
      <c r="G5" s="12"/>
    </row>
    <row r="6" spans="2:23" x14ac:dyDescent="0.3">
      <c r="B6" s="115" t="s">
        <v>201</v>
      </c>
      <c r="C6" s="116" t="s">
        <v>3</v>
      </c>
      <c r="D6" s="117" t="s">
        <v>4</v>
      </c>
      <c r="E6" s="13"/>
      <c r="F6" s="118" t="s">
        <v>5</v>
      </c>
      <c r="G6" s="119" t="s">
        <v>6</v>
      </c>
      <c r="I6" s="241" t="s">
        <v>7</v>
      </c>
      <c r="J6" s="242"/>
      <c r="K6" s="242"/>
      <c r="L6" s="243"/>
    </row>
    <row r="7" spans="2:23" x14ac:dyDescent="0.3">
      <c r="B7" s="76" t="s">
        <v>8</v>
      </c>
      <c r="C7" s="10"/>
      <c r="D7" s="77"/>
      <c r="E7" s="10"/>
      <c r="F7" s="86"/>
      <c r="G7" s="77"/>
    </row>
    <row r="8" spans="2:23" x14ac:dyDescent="0.3">
      <c r="B8" s="78" t="s">
        <v>9</v>
      </c>
      <c r="C8" s="35">
        <f>INDEX('Variance Budget'!$B$4:$N$22,MATCH(B8,'Variance Budget'!$B$4:$B$22,0),MATCH($C$4,'Variance Budget'!$B$5:$N$5,0))</f>
        <v>3000</v>
      </c>
      <c r="D8" s="79">
        <f>SUMIFS('Variance Actuals'!$F$6:$F$61,'Variance Actuals'!$C$6:$C$61,$C$4,'Variance Actuals'!$D$6:$D$61,B8)</f>
        <v>3000</v>
      </c>
      <c r="E8" s="14"/>
      <c r="F8" s="87">
        <f t="shared" ref="F8:F9" si="0">D8-C8</f>
        <v>0</v>
      </c>
      <c r="G8" s="88">
        <f t="shared" ref="G8:G9" si="1">D8/C8-1</f>
        <v>0</v>
      </c>
    </row>
    <row r="9" spans="2:23" x14ac:dyDescent="0.3">
      <c r="B9" s="78" t="s">
        <v>10</v>
      </c>
      <c r="C9" s="35">
        <f>INDEX('Variance Budget'!$B$4:$N$22,MATCH(B9,'Variance Budget'!$B$4:$B$22,0),MATCH($C$4,'Variance Budget'!$B$5:$N$5,0))</f>
        <v>500</v>
      </c>
      <c r="D9" s="79">
        <f>SUMIFS('Variance Actuals'!$F$6:$F$61,'Variance Actuals'!$C$6:$C$61,$C$4,'Variance Actuals'!$D$6:$D$61,B9)</f>
        <v>669</v>
      </c>
      <c r="E9" s="14"/>
      <c r="F9" s="87">
        <f t="shared" si="0"/>
        <v>169</v>
      </c>
      <c r="G9" s="88">
        <f t="shared" si="1"/>
        <v>0.33800000000000008</v>
      </c>
    </row>
    <row r="10" spans="2:23" x14ac:dyDescent="0.3">
      <c r="B10" s="78" t="s">
        <v>11</v>
      </c>
      <c r="C10" s="35">
        <f>INDEX('Variance Budget'!$B$4:$N$22,MATCH(B10,'Variance Budget'!$B$4:$B$22,0),MATCH($C$4,'Variance Budget'!$B$5:$N$5,0))</f>
        <v>219.70000000000002</v>
      </c>
      <c r="D10" s="79">
        <f>SUMIFS('Variance Actuals'!$F$6:$F$61,'Variance Actuals'!$C$6:$C$61,$C$4,'Variance Actuals'!$D$6:$D$61,B10)</f>
        <v>258</v>
      </c>
      <c r="E10" s="14"/>
      <c r="F10" s="87">
        <f>D10-C10</f>
        <v>38.299999999999983</v>
      </c>
      <c r="G10" s="88">
        <f>D10/C10-1</f>
        <v>0.17432862994993159</v>
      </c>
    </row>
    <row r="11" spans="2:23" s="17" customFormat="1" x14ac:dyDescent="0.3">
      <c r="B11" s="80" t="s">
        <v>12</v>
      </c>
      <c r="C11" s="15">
        <f>SUM(C8:C10)</f>
        <v>3719.7</v>
      </c>
      <c r="D11" s="81">
        <f>SUM(D8:D10)</f>
        <v>3927</v>
      </c>
      <c r="E11" s="16"/>
      <c r="F11" s="89">
        <f>D11-C11</f>
        <v>207.30000000000018</v>
      </c>
      <c r="G11" s="90">
        <f>D11/C11-1</f>
        <v>5.5730300830712176E-2</v>
      </c>
    </row>
    <row r="12" spans="2:23" s="17" customFormat="1" x14ac:dyDescent="0.3">
      <c r="B12" s="82"/>
      <c r="C12" s="18"/>
      <c r="D12" s="83"/>
      <c r="E12" s="16"/>
      <c r="F12" s="91"/>
      <c r="G12" s="92"/>
    </row>
    <row r="13" spans="2:23" x14ac:dyDescent="0.3">
      <c r="B13" s="76" t="s">
        <v>13</v>
      </c>
      <c r="C13" s="19"/>
      <c r="D13" s="84"/>
      <c r="E13" s="19"/>
      <c r="F13" s="93"/>
      <c r="G13" s="94"/>
    </row>
    <row r="14" spans="2:23" x14ac:dyDescent="0.3">
      <c r="B14" s="78" t="s">
        <v>14</v>
      </c>
      <c r="C14" s="35">
        <f>INDEX('Variance Budget'!$B$4:$N$22,MATCH(B14,'Variance Budget'!$B$4:$B$22,0),MATCH($C$4,'Variance Budget'!$B$5:$N$5,0))</f>
        <v>1120</v>
      </c>
      <c r="D14" s="79">
        <f>SUMIFS('Variance Actuals'!$F$6:$F$61,'Variance Actuals'!$C$6:$C$61,$C$4,'Variance Actuals'!$D$6:$D$61,B14)</f>
        <v>1120</v>
      </c>
      <c r="E14" s="19"/>
      <c r="F14" s="87">
        <f>C14-D14</f>
        <v>0</v>
      </c>
      <c r="G14" s="88">
        <f>C14/D14-1</f>
        <v>0</v>
      </c>
    </row>
    <row r="15" spans="2:23" x14ac:dyDescent="0.3">
      <c r="B15" s="78" t="s">
        <v>15</v>
      </c>
      <c r="C15" s="35">
        <f>INDEX('Variance Budget'!$B$4:$N$22,MATCH(B15,'Variance Budget'!$B$4:$B$22,0),MATCH($C$4,'Variance Budget'!$B$5:$N$5,0))</f>
        <v>112</v>
      </c>
      <c r="D15" s="79">
        <f>SUMIFS('Variance Actuals'!$F$6:$F$61,'Variance Actuals'!$C$6:$C$61,$C$4,'Variance Actuals'!$D$6:$D$61,B15)</f>
        <v>140</v>
      </c>
      <c r="E15" s="19"/>
      <c r="F15" s="87">
        <f t="shared" ref="F15:F20" si="2">C15-D15</f>
        <v>-28</v>
      </c>
      <c r="G15" s="88">
        <f t="shared" ref="G15:G20" si="3">C15/D15-1</f>
        <v>-0.19999999999999996</v>
      </c>
    </row>
    <row r="16" spans="2:23" x14ac:dyDescent="0.3">
      <c r="B16" s="78" t="s">
        <v>16</v>
      </c>
      <c r="C16" s="35">
        <f>INDEX('Variance Budget'!$B$4:$N$22,MATCH(B16,'Variance Budget'!$B$4:$B$22,0),MATCH($C$4,'Variance Budget'!$B$5:$N$5,0))</f>
        <v>55</v>
      </c>
      <c r="D16" s="79">
        <f>SUMIFS('Variance Actuals'!$F$6:$F$61,'Variance Actuals'!$C$6:$C$61,$C$4,'Variance Actuals'!$D$6:$D$61,B16)</f>
        <v>55</v>
      </c>
      <c r="E16" s="19"/>
      <c r="F16" s="87">
        <f t="shared" si="2"/>
        <v>0</v>
      </c>
      <c r="G16" s="88">
        <f t="shared" si="3"/>
        <v>0</v>
      </c>
      <c r="I16" s="241" t="s">
        <v>17</v>
      </c>
      <c r="J16" s="242"/>
      <c r="K16" s="242"/>
      <c r="L16" s="243"/>
    </row>
    <row r="17" spans="2:7" x14ac:dyDescent="0.3">
      <c r="B17" s="78" t="s">
        <v>18</v>
      </c>
      <c r="C17" s="35">
        <f>INDEX('Variance Budget'!$B$4:$N$22,MATCH(B17,'Variance Budget'!$B$4:$B$22,0),MATCH($C$4,'Variance Budget'!$B$5:$N$5,0))</f>
        <v>550</v>
      </c>
      <c r="D17" s="79">
        <f>SUMIFS('Variance Actuals'!$F$6:$F$61,'Variance Actuals'!$C$6:$C$61,$C$4,'Variance Actuals'!$D$6:$D$61,B17)</f>
        <v>449</v>
      </c>
      <c r="E17" s="19"/>
      <c r="F17" s="87">
        <f t="shared" si="2"/>
        <v>101</v>
      </c>
      <c r="G17" s="88">
        <f t="shared" si="3"/>
        <v>0.22494432071269488</v>
      </c>
    </row>
    <row r="18" spans="2:7" x14ac:dyDescent="0.3">
      <c r="B18" s="78" t="s">
        <v>19</v>
      </c>
      <c r="C18" s="35">
        <f>INDEX('Variance Budget'!$B$4:$N$22,MATCH(B18,'Variance Budget'!$B$4:$B$22,0),MATCH($C$4,'Variance Budget'!$B$5:$N$5,0))</f>
        <v>400</v>
      </c>
      <c r="D18" s="79">
        <f>SUMIFS('Variance Actuals'!$F$6:$F$61,'Variance Actuals'!$C$6:$C$61,$C$4,'Variance Actuals'!$D$6:$D$61,B18)</f>
        <v>462</v>
      </c>
      <c r="E18" s="19"/>
      <c r="F18" s="87">
        <f t="shared" si="2"/>
        <v>-62</v>
      </c>
      <c r="G18" s="88">
        <f t="shared" si="3"/>
        <v>-0.13419913419913421</v>
      </c>
    </row>
    <row r="19" spans="2:7" x14ac:dyDescent="0.3">
      <c r="B19" s="78" t="s">
        <v>20</v>
      </c>
      <c r="C19" s="35">
        <f>INDEX('Variance Budget'!$B$4:$N$22,MATCH(B19,'Variance Budget'!$B$4:$B$22,0),MATCH($C$4,'Variance Budget'!$B$5:$N$5,0))</f>
        <v>100</v>
      </c>
      <c r="D19" s="79">
        <f>SUMIFS('Variance Actuals'!$F$6:$F$61,'Variance Actuals'!$C$6:$C$61,$C$4,'Variance Actuals'!$D$6:$D$61,B19)</f>
        <v>249</v>
      </c>
      <c r="E19" s="19"/>
      <c r="F19" s="87">
        <f t="shared" si="2"/>
        <v>-149</v>
      </c>
      <c r="G19" s="88">
        <f t="shared" si="3"/>
        <v>-0.59839357429718876</v>
      </c>
    </row>
    <row r="20" spans="2:7" x14ac:dyDescent="0.3">
      <c r="B20" s="80" t="s">
        <v>21</v>
      </c>
      <c r="C20" s="20">
        <f>SUM(C14:C19)</f>
        <v>2337</v>
      </c>
      <c r="D20" s="85">
        <f t="shared" ref="D20" si="4">SUM(D14:D19)</f>
        <v>2475</v>
      </c>
      <c r="E20" s="21"/>
      <c r="F20" s="89">
        <f t="shared" si="2"/>
        <v>-138</v>
      </c>
      <c r="G20" s="90">
        <f t="shared" si="3"/>
        <v>-5.5757575757575784E-2</v>
      </c>
    </row>
    <row r="21" spans="2:7" x14ac:dyDescent="0.3">
      <c r="B21" s="76"/>
      <c r="C21" s="19"/>
      <c r="D21" s="84"/>
      <c r="E21" s="19"/>
      <c r="F21" s="87"/>
      <c r="G21" s="88"/>
    </row>
    <row r="22" spans="2:7" x14ac:dyDescent="0.3">
      <c r="B22" s="102" t="s">
        <v>22</v>
      </c>
      <c r="C22" s="103">
        <f>C11-C20</f>
        <v>1382.6999999999998</v>
      </c>
      <c r="D22" s="104">
        <f t="shared" ref="D22" si="5">D11-D20</f>
        <v>1452</v>
      </c>
      <c r="E22" s="21"/>
      <c r="F22" s="105">
        <f>D22-C22</f>
        <v>69.300000000000182</v>
      </c>
      <c r="G22" s="106">
        <f>D22/C22-1</f>
        <v>5.0119331742243478E-2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workbookViewId="0">
      <selection activeCell="P14" sqref="P14"/>
    </sheetView>
  </sheetViews>
  <sheetFormatPr defaultColWidth="11.44140625" defaultRowHeight="14.4" x14ac:dyDescent="0.3"/>
  <sheetData>
    <row r="2" spans="2:14" ht="21" x14ac:dyDescent="0.4">
      <c r="B2" s="3" t="s">
        <v>23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</row>
    <row r="4" spans="2:14" ht="15.6" x14ac:dyDescent="0.3">
      <c r="B4" s="120" t="s">
        <v>24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</row>
    <row r="5" spans="2:14" ht="15.6" x14ac:dyDescent="0.3">
      <c r="B5" s="133" t="s">
        <v>201</v>
      </c>
      <c r="C5" s="123" t="s">
        <v>25</v>
      </c>
      <c r="D5" s="123" t="s">
        <v>26</v>
      </c>
      <c r="E5" s="123" t="s">
        <v>27</v>
      </c>
      <c r="F5" s="123" t="s">
        <v>2</v>
      </c>
      <c r="G5" s="123" t="s">
        <v>28</v>
      </c>
      <c r="H5" s="123" t="s">
        <v>29</v>
      </c>
      <c r="I5" s="123" t="s">
        <v>30</v>
      </c>
      <c r="J5" s="123" t="s">
        <v>31</v>
      </c>
      <c r="K5" s="123" t="s">
        <v>32</v>
      </c>
      <c r="L5" s="123" t="s">
        <v>33</v>
      </c>
      <c r="M5" s="123" t="s">
        <v>34</v>
      </c>
      <c r="N5" s="124" t="s">
        <v>35</v>
      </c>
    </row>
    <row r="6" spans="2:14" x14ac:dyDescent="0.3">
      <c r="B6" s="74" t="s">
        <v>8</v>
      </c>
      <c r="N6" s="73"/>
    </row>
    <row r="7" spans="2:14" ht="15.6" x14ac:dyDescent="0.3">
      <c r="B7" s="75" t="s">
        <v>9</v>
      </c>
      <c r="C7" s="36">
        <v>2200</v>
      </c>
      <c r="D7" s="36">
        <v>2200</v>
      </c>
      <c r="E7" s="36">
        <v>2200</v>
      </c>
      <c r="F7" s="36">
        <v>3000</v>
      </c>
      <c r="G7" s="36">
        <v>3000</v>
      </c>
      <c r="H7" s="36">
        <v>3000</v>
      </c>
      <c r="I7" s="36">
        <v>3000</v>
      </c>
      <c r="J7" s="36">
        <v>3000</v>
      </c>
      <c r="K7" s="36">
        <v>3000</v>
      </c>
      <c r="L7" s="36">
        <v>3000</v>
      </c>
      <c r="M7" s="36">
        <v>3000</v>
      </c>
      <c r="N7" s="95">
        <v>3000</v>
      </c>
    </row>
    <row r="8" spans="2:14" ht="15.6" x14ac:dyDescent="0.3">
      <c r="B8" s="75" t="s">
        <v>10</v>
      </c>
      <c r="C8" s="36">
        <v>500</v>
      </c>
      <c r="D8" s="36">
        <f>C8*1.1</f>
        <v>550</v>
      </c>
      <c r="E8" s="36">
        <v>500</v>
      </c>
      <c r="F8" s="36">
        <v>500</v>
      </c>
      <c r="G8" s="36">
        <v>500</v>
      </c>
      <c r="H8" s="36">
        <v>500</v>
      </c>
      <c r="I8" s="36">
        <v>500</v>
      </c>
      <c r="J8" s="36">
        <v>500</v>
      </c>
      <c r="K8" s="36">
        <v>500</v>
      </c>
      <c r="L8" s="36">
        <v>500</v>
      </c>
      <c r="M8" s="36">
        <v>500</v>
      </c>
      <c r="N8" s="95">
        <v>500</v>
      </c>
    </row>
    <row r="9" spans="2:14" ht="15.6" x14ac:dyDescent="0.3">
      <c r="B9" s="75" t="s">
        <v>11</v>
      </c>
      <c r="C9" s="36">
        <v>100</v>
      </c>
      <c r="D9" s="36">
        <f t="shared" ref="D9:N9" si="0">C9*1.3</f>
        <v>130</v>
      </c>
      <c r="E9" s="36">
        <f t="shared" si="0"/>
        <v>169</v>
      </c>
      <c r="F9" s="36">
        <f t="shared" si="0"/>
        <v>219.70000000000002</v>
      </c>
      <c r="G9" s="36">
        <f t="shared" si="0"/>
        <v>285.61</v>
      </c>
      <c r="H9" s="36">
        <f t="shared" si="0"/>
        <v>371.29300000000001</v>
      </c>
      <c r="I9" s="36">
        <f t="shared" si="0"/>
        <v>482.68090000000001</v>
      </c>
      <c r="J9" s="36">
        <f t="shared" si="0"/>
        <v>627.48517000000004</v>
      </c>
      <c r="K9" s="36">
        <f t="shared" si="0"/>
        <v>815.73072100000013</v>
      </c>
      <c r="L9" s="36">
        <f t="shared" si="0"/>
        <v>1060.4499373000001</v>
      </c>
      <c r="M9" s="36">
        <f t="shared" si="0"/>
        <v>1378.5849184900003</v>
      </c>
      <c r="N9" s="95">
        <f t="shared" si="0"/>
        <v>1792.1603940370005</v>
      </c>
    </row>
    <row r="10" spans="2:14" ht="15.6" x14ac:dyDescent="0.3">
      <c r="B10" s="96" t="s">
        <v>12</v>
      </c>
      <c r="C10" s="15">
        <f t="shared" ref="C10:N10" si="1">SUM(C7:C9)</f>
        <v>2800</v>
      </c>
      <c r="D10" s="15">
        <f t="shared" si="1"/>
        <v>2880</v>
      </c>
      <c r="E10" s="15">
        <f t="shared" si="1"/>
        <v>2869</v>
      </c>
      <c r="F10" s="15">
        <f t="shared" si="1"/>
        <v>3719.7</v>
      </c>
      <c r="G10" s="15">
        <f t="shared" si="1"/>
        <v>3785.61</v>
      </c>
      <c r="H10" s="15">
        <f t="shared" si="1"/>
        <v>3871.2930000000001</v>
      </c>
      <c r="I10" s="15">
        <f t="shared" si="1"/>
        <v>3982.6808999999998</v>
      </c>
      <c r="J10" s="15">
        <f t="shared" si="1"/>
        <v>4127.4851699999999</v>
      </c>
      <c r="K10" s="15">
        <f t="shared" si="1"/>
        <v>4315.7307209999999</v>
      </c>
      <c r="L10" s="15">
        <f t="shared" si="1"/>
        <v>4560.4499372999999</v>
      </c>
      <c r="M10" s="15">
        <f t="shared" si="1"/>
        <v>4878.5849184899998</v>
      </c>
      <c r="N10" s="81">
        <f t="shared" si="1"/>
        <v>5292.1603940370005</v>
      </c>
    </row>
    <row r="11" spans="2:14" ht="15.6" x14ac:dyDescent="0.3">
      <c r="B11" s="9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98"/>
    </row>
    <row r="12" spans="2:14" x14ac:dyDescent="0.3">
      <c r="B12" s="74" t="s">
        <v>13</v>
      </c>
      <c r="N12" s="73"/>
    </row>
    <row r="13" spans="2:14" ht="15.6" x14ac:dyDescent="0.3">
      <c r="B13" s="75" t="s">
        <v>14</v>
      </c>
      <c r="C13" s="36">
        <v>1120</v>
      </c>
      <c r="D13" s="36">
        <v>1120</v>
      </c>
      <c r="E13" s="36">
        <v>1120</v>
      </c>
      <c r="F13" s="36">
        <v>1120</v>
      </c>
      <c r="G13" s="36">
        <v>1120</v>
      </c>
      <c r="H13" s="36">
        <v>1120</v>
      </c>
      <c r="I13" s="36">
        <v>1120</v>
      </c>
      <c r="J13" s="36">
        <v>1120</v>
      </c>
      <c r="K13" s="36">
        <v>1120</v>
      </c>
      <c r="L13" s="36">
        <v>1120</v>
      </c>
      <c r="M13" s="36">
        <v>1120</v>
      </c>
      <c r="N13" s="95">
        <v>1120</v>
      </c>
    </row>
    <row r="14" spans="2:14" ht="15.6" x14ac:dyDescent="0.3">
      <c r="B14" s="75" t="s">
        <v>15</v>
      </c>
      <c r="C14" s="36">
        <f t="shared" ref="C14:N14" si="2">C13*0.1</f>
        <v>112</v>
      </c>
      <c r="D14" s="36">
        <f t="shared" si="2"/>
        <v>112</v>
      </c>
      <c r="E14" s="36">
        <f t="shared" si="2"/>
        <v>112</v>
      </c>
      <c r="F14" s="36">
        <f t="shared" si="2"/>
        <v>112</v>
      </c>
      <c r="G14" s="36">
        <f t="shared" si="2"/>
        <v>112</v>
      </c>
      <c r="H14" s="36">
        <f t="shared" si="2"/>
        <v>112</v>
      </c>
      <c r="I14" s="36">
        <f t="shared" si="2"/>
        <v>112</v>
      </c>
      <c r="J14" s="36">
        <f t="shared" si="2"/>
        <v>112</v>
      </c>
      <c r="K14" s="36">
        <f t="shared" si="2"/>
        <v>112</v>
      </c>
      <c r="L14" s="36">
        <f t="shared" si="2"/>
        <v>112</v>
      </c>
      <c r="M14" s="36">
        <f t="shared" si="2"/>
        <v>112</v>
      </c>
      <c r="N14" s="95">
        <f t="shared" si="2"/>
        <v>112</v>
      </c>
    </row>
    <row r="15" spans="2:14" ht="15.6" x14ac:dyDescent="0.3">
      <c r="B15" s="75" t="s">
        <v>16</v>
      </c>
      <c r="C15" s="36">
        <v>55</v>
      </c>
      <c r="D15" s="36">
        <v>55</v>
      </c>
      <c r="E15" s="36">
        <v>55</v>
      </c>
      <c r="F15" s="36">
        <v>55</v>
      </c>
      <c r="G15" s="36">
        <v>55</v>
      </c>
      <c r="H15" s="36">
        <v>55</v>
      </c>
      <c r="I15" s="36">
        <v>55</v>
      </c>
      <c r="J15" s="36">
        <v>55</v>
      </c>
      <c r="K15" s="36">
        <v>55</v>
      </c>
      <c r="L15" s="36">
        <v>55</v>
      </c>
      <c r="M15" s="36">
        <v>55</v>
      </c>
      <c r="N15" s="95">
        <v>55</v>
      </c>
    </row>
    <row r="16" spans="2:14" ht="15.6" x14ac:dyDescent="0.3">
      <c r="B16" s="75" t="s">
        <v>18</v>
      </c>
      <c r="C16" s="36">
        <v>550</v>
      </c>
      <c r="D16" s="36">
        <v>550</v>
      </c>
      <c r="E16" s="36">
        <v>550</v>
      </c>
      <c r="F16" s="36">
        <v>550</v>
      </c>
      <c r="G16" s="36">
        <v>550</v>
      </c>
      <c r="H16" s="36">
        <v>550</v>
      </c>
      <c r="I16" s="36">
        <v>550</v>
      </c>
      <c r="J16" s="36">
        <v>550</v>
      </c>
      <c r="K16" s="36">
        <v>550</v>
      </c>
      <c r="L16" s="36">
        <v>550</v>
      </c>
      <c r="M16" s="36">
        <v>550</v>
      </c>
      <c r="N16" s="95">
        <v>550</v>
      </c>
    </row>
    <row r="17" spans="2:14" ht="15.6" x14ac:dyDescent="0.3">
      <c r="B17" s="75" t="s">
        <v>19</v>
      </c>
      <c r="C17" s="36">
        <v>400</v>
      </c>
      <c r="D17" s="36">
        <v>400</v>
      </c>
      <c r="E17" s="36">
        <v>400</v>
      </c>
      <c r="F17" s="36">
        <v>400</v>
      </c>
      <c r="G17" s="36">
        <v>400</v>
      </c>
      <c r="H17" s="36">
        <v>400</v>
      </c>
      <c r="I17" s="36">
        <v>400</v>
      </c>
      <c r="J17" s="36">
        <v>400</v>
      </c>
      <c r="K17" s="36">
        <v>400</v>
      </c>
      <c r="L17" s="36">
        <v>400</v>
      </c>
      <c r="M17" s="36">
        <v>400</v>
      </c>
      <c r="N17" s="95">
        <v>400</v>
      </c>
    </row>
    <row r="18" spans="2:14" ht="15.6" x14ac:dyDescent="0.3">
      <c r="B18" s="75" t="s">
        <v>20</v>
      </c>
      <c r="C18" s="36">
        <v>100</v>
      </c>
      <c r="D18" s="36">
        <v>100</v>
      </c>
      <c r="E18" s="36">
        <v>100</v>
      </c>
      <c r="F18" s="36">
        <v>100</v>
      </c>
      <c r="G18" s="36">
        <v>100</v>
      </c>
      <c r="H18" s="36">
        <v>100</v>
      </c>
      <c r="I18" s="36">
        <v>100</v>
      </c>
      <c r="J18" s="36">
        <v>100</v>
      </c>
      <c r="K18" s="36">
        <v>100</v>
      </c>
      <c r="L18" s="36">
        <v>100</v>
      </c>
      <c r="M18" s="36">
        <v>100</v>
      </c>
      <c r="N18" s="95">
        <v>100</v>
      </c>
    </row>
    <row r="19" spans="2:14" ht="15.6" x14ac:dyDescent="0.3">
      <c r="B19" s="96" t="s">
        <v>21</v>
      </c>
      <c r="C19" s="15">
        <f t="shared" ref="C19:N19" si="3">SUM(C13:C18)</f>
        <v>2337</v>
      </c>
      <c r="D19" s="15">
        <f t="shared" si="3"/>
        <v>2337</v>
      </c>
      <c r="E19" s="15">
        <f t="shared" si="3"/>
        <v>2337</v>
      </c>
      <c r="F19" s="15">
        <f t="shared" si="3"/>
        <v>2337</v>
      </c>
      <c r="G19" s="15">
        <f t="shared" si="3"/>
        <v>2337</v>
      </c>
      <c r="H19" s="15">
        <f t="shared" si="3"/>
        <v>2337</v>
      </c>
      <c r="I19" s="15">
        <f t="shared" si="3"/>
        <v>2337</v>
      </c>
      <c r="J19" s="15">
        <f t="shared" si="3"/>
        <v>2337</v>
      </c>
      <c r="K19" s="15">
        <f t="shared" si="3"/>
        <v>2337</v>
      </c>
      <c r="L19" s="15">
        <f t="shared" si="3"/>
        <v>2337</v>
      </c>
      <c r="M19" s="15">
        <f t="shared" si="3"/>
        <v>2337</v>
      </c>
      <c r="N19" s="81">
        <f t="shared" si="3"/>
        <v>2337</v>
      </c>
    </row>
    <row r="20" spans="2:14" x14ac:dyDescent="0.3">
      <c r="B20" s="74"/>
      <c r="N20" s="73"/>
    </row>
    <row r="21" spans="2:14" ht="15.6" x14ac:dyDescent="0.3">
      <c r="B21" s="126" t="s">
        <v>22</v>
      </c>
      <c r="C21" s="127">
        <f t="shared" ref="C21:N21" si="4">C10-C19</f>
        <v>463</v>
      </c>
      <c r="D21" s="127">
        <f t="shared" si="4"/>
        <v>543</v>
      </c>
      <c r="E21" s="127">
        <f t="shared" si="4"/>
        <v>532</v>
      </c>
      <c r="F21" s="127">
        <f t="shared" si="4"/>
        <v>1382.6999999999998</v>
      </c>
      <c r="G21" s="127">
        <f t="shared" si="4"/>
        <v>1448.6100000000001</v>
      </c>
      <c r="H21" s="127">
        <f t="shared" si="4"/>
        <v>1534.2930000000001</v>
      </c>
      <c r="I21" s="127">
        <f t="shared" si="4"/>
        <v>1645.6808999999998</v>
      </c>
      <c r="J21" s="127">
        <f t="shared" si="4"/>
        <v>1790.4851699999999</v>
      </c>
      <c r="K21" s="127">
        <f t="shared" si="4"/>
        <v>1978.7307209999999</v>
      </c>
      <c r="L21" s="127">
        <f t="shared" si="4"/>
        <v>2223.4499372999999</v>
      </c>
      <c r="M21" s="127">
        <f t="shared" si="4"/>
        <v>2541.5849184899998</v>
      </c>
      <c r="N21" s="127">
        <f t="shared" si="4"/>
        <v>2955.1603940370005</v>
      </c>
    </row>
    <row r="22" spans="2:14" ht="15.6" x14ac:dyDescent="0.3">
      <c r="B22" s="128" t="s">
        <v>36</v>
      </c>
      <c r="C22" s="129">
        <f>C21</f>
        <v>463</v>
      </c>
      <c r="D22" s="129">
        <f t="shared" ref="D22:N22" si="5">D21+C22</f>
        <v>1006</v>
      </c>
      <c r="E22" s="129">
        <f t="shared" si="5"/>
        <v>1538</v>
      </c>
      <c r="F22" s="129">
        <f t="shared" si="5"/>
        <v>2920.7</v>
      </c>
      <c r="G22" s="129">
        <f t="shared" si="5"/>
        <v>4369.3099999999995</v>
      </c>
      <c r="H22" s="129">
        <f t="shared" si="5"/>
        <v>5903.6029999999992</v>
      </c>
      <c r="I22" s="129">
        <f t="shared" si="5"/>
        <v>7549.2838999999985</v>
      </c>
      <c r="J22" s="129">
        <f t="shared" si="5"/>
        <v>9339.7690699999985</v>
      </c>
      <c r="K22" s="129">
        <f t="shared" si="5"/>
        <v>11318.499790999998</v>
      </c>
      <c r="L22" s="129">
        <f t="shared" si="5"/>
        <v>13541.949728299998</v>
      </c>
      <c r="M22" s="129">
        <f t="shared" si="5"/>
        <v>16083.534646789998</v>
      </c>
      <c r="N22" s="129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3" t="s">
        <v>37</v>
      </c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</row>
    <row r="4" spans="2:14" ht="15.6" x14ac:dyDescent="0.3">
      <c r="B4" s="120" t="s">
        <v>38</v>
      </c>
      <c r="C4" s="121"/>
      <c r="D4" s="121"/>
      <c r="E4" s="121"/>
      <c r="F4" s="121"/>
      <c r="G4" s="114"/>
      <c r="H4" s="114"/>
      <c r="I4" s="5"/>
    </row>
    <row r="5" spans="2:14" ht="15.6" x14ac:dyDescent="0.3">
      <c r="B5" s="125" t="s">
        <v>39</v>
      </c>
      <c r="C5" s="125" t="s">
        <v>40</v>
      </c>
      <c r="D5" s="125" t="s">
        <v>41</v>
      </c>
      <c r="E5" s="125" t="s">
        <v>42</v>
      </c>
      <c r="F5" s="111" t="s">
        <v>43</v>
      </c>
      <c r="G5" s="5"/>
      <c r="H5" s="130" t="s">
        <v>44</v>
      </c>
      <c r="I5" s="5"/>
    </row>
    <row r="6" spans="2:14" ht="15.6" x14ac:dyDescent="0.3">
      <c r="B6" s="134">
        <v>44562</v>
      </c>
      <c r="C6" t="str">
        <f t="shared" ref="C6:C37" si="0">TEXT(B6,"MMMM")</f>
        <v>January</v>
      </c>
      <c r="D6" t="s">
        <v>14</v>
      </c>
      <c r="E6" t="s">
        <v>45</v>
      </c>
      <c r="F6" s="36">
        <v>1120</v>
      </c>
      <c r="G6" s="5"/>
      <c r="H6" s="131" t="s">
        <v>9</v>
      </c>
      <c r="I6" s="5"/>
    </row>
    <row r="7" spans="2:14" ht="15.6" x14ac:dyDescent="0.3">
      <c r="B7" s="134">
        <v>44562</v>
      </c>
      <c r="C7" t="str">
        <f t="shared" si="0"/>
        <v>January</v>
      </c>
      <c r="D7" t="s">
        <v>15</v>
      </c>
      <c r="E7" t="s">
        <v>46</v>
      </c>
      <c r="F7" s="36">
        <v>140</v>
      </c>
      <c r="G7" s="5"/>
      <c r="H7" s="131" t="s">
        <v>10</v>
      </c>
      <c r="I7" s="5"/>
    </row>
    <row r="8" spans="2:14" ht="15.6" x14ac:dyDescent="0.3">
      <c r="B8" s="134">
        <v>44562</v>
      </c>
      <c r="C8" t="str">
        <f t="shared" si="0"/>
        <v>January</v>
      </c>
      <c r="D8" t="s">
        <v>16</v>
      </c>
      <c r="E8" t="s">
        <v>47</v>
      </c>
      <c r="F8" s="36">
        <v>55</v>
      </c>
      <c r="G8" s="5"/>
      <c r="H8" s="131" t="s">
        <v>11</v>
      </c>
      <c r="I8" s="5"/>
    </row>
    <row r="9" spans="2:14" ht="15.6" x14ac:dyDescent="0.3">
      <c r="B9" s="134">
        <v>44569</v>
      </c>
      <c r="C9" t="str">
        <f t="shared" si="0"/>
        <v>January</v>
      </c>
      <c r="D9" t="s">
        <v>18</v>
      </c>
      <c r="E9" t="s">
        <v>48</v>
      </c>
      <c r="F9" s="36">
        <v>449</v>
      </c>
      <c r="G9" s="5"/>
      <c r="H9" s="131" t="s">
        <v>14</v>
      </c>
      <c r="I9" s="5"/>
    </row>
    <row r="10" spans="2:14" ht="15.6" x14ac:dyDescent="0.3">
      <c r="B10" s="134">
        <v>44572</v>
      </c>
      <c r="C10" t="str">
        <f t="shared" si="0"/>
        <v>January</v>
      </c>
      <c r="D10" t="s">
        <v>19</v>
      </c>
      <c r="E10" t="s">
        <v>49</v>
      </c>
      <c r="F10" s="36">
        <v>245</v>
      </c>
      <c r="G10" s="5"/>
      <c r="H10" s="131" t="s">
        <v>15</v>
      </c>
      <c r="I10" s="5"/>
    </row>
    <row r="11" spans="2:14" ht="15.6" x14ac:dyDescent="0.3">
      <c r="B11" s="134">
        <v>44573</v>
      </c>
      <c r="C11" t="str">
        <f t="shared" si="0"/>
        <v>January</v>
      </c>
      <c r="D11" t="s">
        <v>19</v>
      </c>
      <c r="E11" t="s">
        <v>50</v>
      </c>
      <c r="F11" s="36">
        <v>168</v>
      </c>
      <c r="G11" s="5"/>
      <c r="H11" s="131" t="s">
        <v>16</v>
      </c>
      <c r="I11" s="5"/>
    </row>
    <row r="12" spans="2:14" ht="15.6" x14ac:dyDescent="0.3">
      <c r="B12" s="134">
        <v>44573</v>
      </c>
      <c r="C12" t="str">
        <f t="shared" si="0"/>
        <v>January</v>
      </c>
      <c r="D12" t="s">
        <v>19</v>
      </c>
      <c r="E12" t="s">
        <v>51</v>
      </c>
      <c r="F12" s="36">
        <v>149</v>
      </c>
      <c r="G12" s="5"/>
      <c r="H12" s="131" t="s">
        <v>18</v>
      </c>
      <c r="I12" s="5"/>
    </row>
    <row r="13" spans="2:14" ht="15.6" x14ac:dyDescent="0.3">
      <c r="B13" s="134">
        <v>44575</v>
      </c>
      <c r="C13" t="str">
        <f t="shared" si="0"/>
        <v>January</v>
      </c>
      <c r="D13" t="s">
        <v>20</v>
      </c>
      <c r="E13" t="s">
        <v>52</v>
      </c>
      <c r="F13" s="36">
        <v>249</v>
      </c>
      <c r="G13" s="5"/>
      <c r="H13" s="131" t="s">
        <v>19</v>
      </c>
      <c r="I13" s="5"/>
    </row>
    <row r="14" spans="2:14" ht="15.6" x14ac:dyDescent="0.3">
      <c r="B14" s="134">
        <v>44592</v>
      </c>
      <c r="C14" t="str">
        <f t="shared" si="0"/>
        <v>January</v>
      </c>
      <c r="D14" t="s">
        <v>10</v>
      </c>
      <c r="E14" t="s">
        <v>53</v>
      </c>
      <c r="F14" s="36">
        <v>458</v>
      </c>
      <c r="G14" s="5"/>
      <c r="H14" s="132" t="s">
        <v>20</v>
      </c>
      <c r="I14" s="5"/>
    </row>
    <row r="15" spans="2:14" ht="15.6" x14ac:dyDescent="0.3">
      <c r="B15" s="134">
        <v>44592</v>
      </c>
      <c r="C15" t="str">
        <f t="shared" si="0"/>
        <v>January</v>
      </c>
      <c r="D15" t="s">
        <v>9</v>
      </c>
      <c r="E15" t="s">
        <v>54</v>
      </c>
      <c r="F15" s="36">
        <v>3000</v>
      </c>
      <c r="G15" s="5"/>
      <c r="H15" s="99"/>
      <c r="I15" s="5"/>
    </row>
    <row r="16" spans="2:14" ht="15.6" x14ac:dyDescent="0.3">
      <c r="B16" s="134">
        <v>44592</v>
      </c>
      <c r="C16" t="str">
        <f t="shared" si="0"/>
        <v>January</v>
      </c>
      <c r="D16" t="s">
        <v>11</v>
      </c>
      <c r="E16" t="s">
        <v>55</v>
      </c>
      <c r="F16" s="36">
        <v>184</v>
      </c>
      <c r="G16" s="5"/>
      <c r="H16" s="99"/>
      <c r="I16" s="5"/>
    </row>
    <row r="17" spans="2:9" ht="15.6" x14ac:dyDescent="0.3">
      <c r="B17" s="134">
        <v>44593</v>
      </c>
      <c r="C17" t="str">
        <f t="shared" si="0"/>
        <v>February</v>
      </c>
      <c r="D17" t="s">
        <v>14</v>
      </c>
      <c r="E17" t="s">
        <v>45</v>
      </c>
      <c r="F17" s="36">
        <v>1120</v>
      </c>
      <c r="G17" s="5"/>
      <c r="H17" s="99"/>
      <c r="I17" s="5"/>
    </row>
    <row r="18" spans="2:9" ht="15.6" x14ac:dyDescent="0.3">
      <c r="B18" s="134">
        <v>44593</v>
      </c>
      <c r="C18" t="str">
        <f t="shared" si="0"/>
        <v>February</v>
      </c>
      <c r="D18" t="s">
        <v>15</v>
      </c>
      <c r="E18" t="s">
        <v>56</v>
      </c>
      <c r="F18" s="36">
        <v>105</v>
      </c>
      <c r="G18" s="5"/>
      <c r="H18" s="99"/>
      <c r="I18" s="5"/>
    </row>
    <row r="19" spans="2:9" ht="15.6" x14ac:dyDescent="0.3">
      <c r="B19" s="134">
        <v>44593</v>
      </c>
      <c r="C19" t="str">
        <f t="shared" si="0"/>
        <v>February</v>
      </c>
      <c r="D19" t="s">
        <v>16</v>
      </c>
      <c r="E19" t="s">
        <v>47</v>
      </c>
      <c r="F19" s="36">
        <v>55</v>
      </c>
      <c r="G19" s="5"/>
      <c r="H19" s="99"/>
      <c r="I19" s="5"/>
    </row>
    <row r="20" spans="2:9" ht="15.6" x14ac:dyDescent="0.3">
      <c r="B20" s="134">
        <v>44600</v>
      </c>
      <c r="C20" t="str">
        <f t="shared" si="0"/>
        <v>February</v>
      </c>
      <c r="D20" t="s">
        <v>18</v>
      </c>
      <c r="E20" t="s">
        <v>48</v>
      </c>
      <c r="F20" s="36">
        <v>305</v>
      </c>
      <c r="G20" s="5"/>
      <c r="H20" s="99"/>
      <c r="I20" s="5"/>
    </row>
    <row r="21" spans="2:9" ht="15.6" x14ac:dyDescent="0.3">
      <c r="B21" s="134">
        <v>44603</v>
      </c>
      <c r="C21" t="str">
        <f t="shared" si="0"/>
        <v>February</v>
      </c>
      <c r="D21" t="s">
        <v>19</v>
      </c>
      <c r="E21" t="s">
        <v>57</v>
      </c>
      <c r="F21" s="36">
        <v>28</v>
      </c>
      <c r="G21" s="5"/>
      <c r="H21" s="99"/>
      <c r="I21" s="5"/>
    </row>
    <row r="22" spans="2:9" ht="15.6" x14ac:dyDescent="0.3">
      <c r="B22" s="134">
        <v>44604</v>
      </c>
      <c r="C22" t="str">
        <f t="shared" si="0"/>
        <v>February</v>
      </c>
      <c r="D22" t="s">
        <v>19</v>
      </c>
      <c r="E22" t="s">
        <v>58</v>
      </c>
      <c r="F22" s="36">
        <v>99</v>
      </c>
      <c r="G22" s="5"/>
      <c r="H22" s="99"/>
      <c r="I22" s="5"/>
    </row>
    <row r="23" spans="2:9" ht="15.6" x14ac:dyDescent="0.3">
      <c r="B23" s="134">
        <v>44604</v>
      </c>
      <c r="C23" t="str">
        <f t="shared" si="0"/>
        <v>February</v>
      </c>
      <c r="D23" t="s">
        <v>19</v>
      </c>
      <c r="E23" t="s">
        <v>59</v>
      </c>
      <c r="F23" s="36">
        <v>67</v>
      </c>
      <c r="G23" s="5"/>
      <c r="H23" s="99"/>
      <c r="I23" s="5"/>
    </row>
    <row r="24" spans="2:9" ht="15.6" x14ac:dyDescent="0.3">
      <c r="B24" s="134">
        <v>44606</v>
      </c>
      <c r="C24" t="str">
        <f t="shared" si="0"/>
        <v>February</v>
      </c>
      <c r="D24" t="s">
        <v>20</v>
      </c>
      <c r="E24" t="s">
        <v>60</v>
      </c>
      <c r="F24" s="36">
        <v>18</v>
      </c>
      <c r="G24" s="5"/>
      <c r="H24" s="99"/>
      <c r="I24" s="5"/>
    </row>
    <row r="25" spans="2:9" ht="15.6" x14ac:dyDescent="0.3">
      <c r="B25" s="134">
        <v>44620</v>
      </c>
      <c r="C25" t="str">
        <f t="shared" si="0"/>
        <v>February</v>
      </c>
      <c r="D25" t="s">
        <v>10</v>
      </c>
      <c r="E25" t="s">
        <v>53</v>
      </c>
      <c r="F25" s="36">
        <v>305</v>
      </c>
      <c r="G25" s="5"/>
      <c r="H25" s="99"/>
      <c r="I25" s="5"/>
    </row>
    <row r="26" spans="2:9" ht="15.6" x14ac:dyDescent="0.3">
      <c r="B26" s="134">
        <v>44620</v>
      </c>
      <c r="C26" t="str">
        <f t="shared" si="0"/>
        <v>February</v>
      </c>
      <c r="D26" t="s">
        <v>9</v>
      </c>
      <c r="E26" t="s">
        <v>54</v>
      </c>
      <c r="F26" s="36">
        <v>3000</v>
      </c>
      <c r="G26" s="5"/>
      <c r="H26" s="99"/>
      <c r="I26" s="5"/>
    </row>
    <row r="27" spans="2:9" ht="15.6" x14ac:dyDescent="0.3">
      <c r="B27" s="134">
        <v>44620</v>
      </c>
      <c r="C27" t="str">
        <f t="shared" si="0"/>
        <v>February</v>
      </c>
      <c r="D27" t="s">
        <v>11</v>
      </c>
      <c r="E27" t="s">
        <v>55</v>
      </c>
      <c r="F27" s="36">
        <v>228</v>
      </c>
      <c r="G27" s="5"/>
      <c r="H27" s="99"/>
      <c r="I27" s="5"/>
    </row>
    <row r="28" spans="2:9" ht="15.6" x14ac:dyDescent="0.3">
      <c r="B28" s="134">
        <v>44621</v>
      </c>
      <c r="C28" t="str">
        <f t="shared" si="0"/>
        <v>March</v>
      </c>
      <c r="D28" t="s">
        <v>14</v>
      </c>
      <c r="E28" t="s">
        <v>45</v>
      </c>
      <c r="F28" s="36">
        <v>1120</v>
      </c>
      <c r="G28" s="5"/>
      <c r="H28" s="99"/>
      <c r="I28" s="5"/>
    </row>
    <row r="29" spans="2:9" ht="15.6" x14ac:dyDescent="0.3">
      <c r="B29" s="134">
        <v>44621</v>
      </c>
      <c r="C29" t="str">
        <f t="shared" si="0"/>
        <v>March</v>
      </c>
      <c r="D29" t="s">
        <v>15</v>
      </c>
      <c r="E29" t="s">
        <v>56</v>
      </c>
      <c r="F29" s="36">
        <v>110</v>
      </c>
      <c r="G29" s="5"/>
      <c r="H29" s="99"/>
      <c r="I29" s="5"/>
    </row>
    <row r="30" spans="2:9" ht="15.6" x14ac:dyDescent="0.3">
      <c r="B30" s="134">
        <v>44621</v>
      </c>
      <c r="C30" t="str">
        <f t="shared" si="0"/>
        <v>March</v>
      </c>
      <c r="D30" t="s">
        <v>16</v>
      </c>
      <c r="E30" t="s">
        <v>47</v>
      </c>
      <c r="F30" s="36">
        <v>55</v>
      </c>
      <c r="G30" s="5"/>
      <c r="H30" s="99"/>
      <c r="I30" s="5"/>
    </row>
    <row r="31" spans="2:9" ht="15.6" x14ac:dyDescent="0.3">
      <c r="B31" s="134">
        <v>44628</v>
      </c>
      <c r="C31" t="str">
        <f t="shared" si="0"/>
        <v>March</v>
      </c>
      <c r="D31" t="s">
        <v>18</v>
      </c>
      <c r="E31" t="s">
        <v>48</v>
      </c>
      <c r="F31" s="36">
        <v>208</v>
      </c>
      <c r="G31" s="5"/>
      <c r="H31" s="99"/>
      <c r="I31" s="5"/>
    </row>
    <row r="32" spans="2:9" ht="15.6" x14ac:dyDescent="0.3">
      <c r="B32" s="134">
        <v>44631</v>
      </c>
      <c r="C32" t="str">
        <f t="shared" si="0"/>
        <v>March</v>
      </c>
      <c r="D32" t="s">
        <v>19</v>
      </c>
      <c r="E32" t="s">
        <v>61</v>
      </c>
      <c r="F32" s="36">
        <v>188</v>
      </c>
      <c r="G32" s="5"/>
      <c r="H32" s="99"/>
      <c r="I32" s="5"/>
    </row>
    <row r="33" spans="2:9" ht="15.6" x14ac:dyDescent="0.3">
      <c r="B33" s="134">
        <v>44632</v>
      </c>
      <c r="C33" t="str">
        <f t="shared" si="0"/>
        <v>March</v>
      </c>
      <c r="D33" t="s">
        <v>19</v>
      </c>
      <c r="E33" t="s">
        <v>62</v>
      </c>
      <c r="F33" s="36">
        <v>168</v>
      </c>
      <c r="G33" s="5"/>
      <c r="H33" s="99"/>
      <c r="I33" s="5"/>
    </row>
    <row r="34" spans="2:9" ht="15.6" x14ac:dyDescent="0.3">
      <c r="B34" s="134">
        <v>44632</v>
      </c>
      <c r="C34" t="str">
        <f t="shared" si="0"/>
        <v>March</v>
      </c>
      <c r="D34" t="s">
        <v>19</v>
      </c>
      <c r="E34" t="s">
        <v>63</v>
      </c>
      <c r="F34" s="36">
        <v>49</v>
      </c>
      <c r="G34" s="5"/>
      <c r="H34" s="99"/>
      <c r="I34" s="5"/>
    </row>
    <row r="35" spans="2:9" ht="15.6" x14ac:dyDescent="0.3">
      <c r="B35" s="134">
        <v>44634</v>
      </c>
      <c r="C35" t="str">
        <f t="shared" si="0"/>
        <v>March</v>
      </c>
      <c r="D35" t="s">
        <v>20</v>
      </c>
      <c r="E35" t="s">
        <v>52</v>
      </c>
      <c r="F35" s="36">
        <v>199</v>
      </c>
      <c r="G35" s="5"/>
      <c r="H35" s="99"/>
      <c r="I35" s="5"/>
    </row>
    <row r="36" spans="2:9" ht="15.6" x14ac:dyDescent="0.3">
      <c r="B36" s="134">
        <v>44648</v>
      </c>
      <c r="C36" t="str">
        <f t="shared" si="0"/>
        <v>March</v>
      </c>
      <c r="D36" t="s">
        <v>10</v>
      </c>
      <c r="E36" t="s">
        <v>53</v>
      </c>
      <c r="F36" s="36">
        <v>598</v>
      </c>
      <c r="G36" s="5"/>
      <c r="H36" s="99"/>
      <c r="I36" s="5"/>
    </row>
    <row r="37" spans="2:9" ht="15.6" x14ac:dyDescent="0.3">
      <c r="B37" s="134">
        <v>44648</v>
      </c>
      <c r="C37" t="str">
        <f t="shared" si="0"/>
        <v>March</v>
      </c>
      <c r="D37" t="s">
        <v>9</v>
      </c>
      <c r="E37" t="s">
        <v>54</v>
      </c>
      <c r="F37" s="36">
        <v>3000</v>
      </c>
      <c r="G37" s="5"/>
      <c r="H37" s="99"/>
      <c r="I37" s="5"/>
    </row>
    <row r="38" spans="2:9" ht="15.6" x14ac:dyDescent="0.3">
      <c r="B38" s="134">
        <v>44648</v>
      </c>
      <c r="C38" t="str">
        <f t="shared" ref="C38:C61" si="1">TEXT(B38,"MMMM")</f>
        <v>March</v>
      </c>
      <c r="D38" t="s">
        <v>11</v>
      </c>
      <c r="E38" t="s">
        <v>55</v>
      </c>
      <c r="F38" s="36">
        <v>59</v>
      </c>
      <c r="G38" s="5"/>
      <c r="H38" s="99"/>
      <c r="I38" s="5"/>
    </row>
    <row r="39" spans="2:9" ht="15.6" x14ac:dyDescent="0.3">
      <c r="B39" s="134">
        <v>44652</v>
      </c>
      <c r="C39" t="str">
        <f t="shared" si="1"/>
        <v>April</v>
      </c>
      <c r="D39" t="s">
        <v>14</v>
      </c>
      <c r="E39" t="s">
        <v>45</v>
      </c>
      <c r="F39" s="36">
        <v>1120</v>
      </c>
      <c r="G39" s="5"/>
      <c r="H39" s="99"/>
      <c r="I39" s="5"/>
    </row>
    <row r="40" spans="2:9" ht="15.6" x14ac:dyDescent="0.3">
      <c r="B40" s="134">
        <v>44652</v>
      </c>
      <c r="C40" t="str">
        <f t="shared" si="1"/>
        <v>April</v>
      </c>
      <c r="D40" t="s">
        <v>15</v>
      </c>
      <c r="E40" t="s">
        <v>46</v>
      </c>
      <c r="F40" s="36">
        <v>140</v>
      </c>
      <c r="G40" s="5"/>
      <c r="H40" s="99"/>
      <c r="I40" s="5"/>
    </row>
    <row r="41" spans="2:9" ht="15.6" x14ac:dyDescent="0.3">
      <c r="B41" s="134">
        <v>44652</v>
      </c>
      <c r="C41" t="str">
        <f t="shared" si="1"/>
        <v>April</v>
      </c>
      <c r="D41" t="s">
        <v>16</v>
      </c>
      <c r="E41" t="s">
        <v>47</v>
      </c>
      <c r="F41" s="36">
        <v>55</v>
      </c>
      <c r="G41" s="5"/>
      <c r="H41" s="99"/>
      <c r="I41" s="5"/>
    </row>
    <row r="42" spans="2:9" ht="15.6" x14ac:dyDescent="0.3">
      <c r="B42" s="134">
        <v>44659</v>
      </c>
      <c r="C42" t="str">
        <f t="shared" si="1"/>
        <v>April</v>
      </c>
      <c r="D42" t="s">
        <v>18</v>
      </c>
      <c r="E42" t="s">
        <v>48</v>
      </c>
      <c r="F42" s="36">
        <v>449</v>
      </c>
      <c r="G42" s="5"/>
      <c r="H42" s="99"/>
      <c r="I42" s="5"/>
    </row>
    <row r="43" spans="2:9" ht="15.6" x14ac:dyDescent="0.3">
      <c r="B43" s="134">
        <v>44662</v>
      </c>
      <c r="C43" t="str">
        <f t="shared" si="1"/>
        <v>April</v>
      </c>
      <c r="D43" t="s">
        <v>19</v>
      </c>
      <c r="E43" t="s">
        <v>64</v>
      </c>
      <c r="F43" s="36">
        <v>245</v>
      </c>
      <c r="G43" s="5"/>
      <c r="H43" s="99"/>
      <c r="I43" s="5"/>
    </row>
    <row r="44" spans="2:9" ht="15.6" x14ac:dyDescent="0.3">
      <c r="B44" s="134">
        <v>44663</v>
      </c>
      <c r="C44" t="str">
        <f t="shared" si="1"/>
        <v>April</v>
      </c>
      <c r="D44" t="s">
        <v>19</v>
      </c>
      <c r="E44" t="s">
        <v>50</v>
      </c>
      <c r="F44" s="36">
        <v>168</v>
      </c>
      <c r="G44" s="5"/>
      <c r="H44" s="99"/>
      <c r="I44" s="5"/>
    </row>
    <row r="45" spans="2:9" ht="15.6" x14ac:dyDescent="0.3">
      <c r="B45" s="134">
        <v>44663</v>
      </c>
      <c r="C45" t="str">
        <f t="shared" si="1"/>
        <v>April</v>
      </c>
      <c r="D45" t="s">
        <v>19</v>
      </c>
      <c r="E45" t="s">
        <v>65</v>
      </c>
      <c r="F45" s="36">
        <v>49</v>
      </c>
      <c r="G45" s="5"/>
      <c r="H45" s="99"/>
      <c r="I45" s="5"/>
    </row>
    <row r="46" spans="2:9" ht="15.6" x14ac:dyDescent="0.3">
      <c r="B46" s="134">
        <v>44665</v>
      </c>
      <c r="C46" t="str">
        <f t="shared" si="1"/>
        <v>April</v>
      </c>
      <c r="D46" t="s">
        <v>20</v>
      </c>
      <c r="E46" t="s">
        <v>52</v>
      </c>
      <c r="F46" s="36">
        <v>249</v>
      </c>
      <c r="G46" s="5"/>
      <c r="H46" s="99"/>
      <c r="I46" s="5"/>
    </row>
    <row r="47" spans="2:9" ht="15.6" x14ac:dyDescent="0.3">
      <c r="B47" s="134">
        <v>44679</v>
      </c>
      <c r="C47" t="str">
        <f t="shared" si="1"/>
        <v>April</v>
      </c>
      <c r="D47" t="s">
        <v>10</v>
      </c>
      <c r="E47" t="s">
        <v>53</v>
      </c>
      <c r="F47" s="36">
        <v>669</v>
      </c>
      <c r="G47" s="5"/>
      <c r="H47" s="99"/>
      <c r="I47" s="5"/>
    </row>
    <row r="48" spans="2:9" ht="15.6" x14ac:dyDescent="0.3">
      <c r="B48" s="134">
        <v>44679</v>
      </c>
      <c r="C48" t="str">
        <f t="shared" si="1"/>
        <v>April</v>
      </c>
      <c r="D48" t="s">
        <v>9</v>
      </c>
      <c r="E48" t="s">
        <v>54</v>
      </c>
      <c r="F48" s="36">
        <v>3000</v>
      </c>
      <c r="G48" s="5"/>
      <c r="H48" s="99"/>
      <c r="I48" s="5"/>
    </row>
    <row r="49" spans="2:9" ht="15.6" x14ac:dyDescent="0.3">
      <c r="B49" s="134">
        <v>44679</v>
      </c>
      <c r="C49" t="str">
        <f t="shared" si="1"/>
        <v>April</v>
      </c>
      <c r="D49" t="s">
        <v>11</v>
      </c>
      <c r="E49" t="s">
        <v>55</v>
      </c>
      <c r="F49" s="36">
        <v>258</v>
      </c>
      <c r="G49" s="5"/>
      <c r="H49" s="99"/>
      <c r="I49" s="5"/>
    </row>
    <row r="50" spans="2:9" ht="15.6" x14ac:dyDescent="0.3">
      <c r="B50" s="134">
        <v>44682</v>
      </c>
      <c r="C50" t="str">
        <f t="shared" si="1"/>
        <v>May</v>
      </c>
      <c r="D50" t="s">
        <v>14</v>
      </c>
      <c r="E50" t="s">
        <v>45</v>
      </c>
      <c r="F50" s="36">
        <v>1120</v>
      </c>
      <c r="G50" s="5"/>
      <c r="H50" s="99"/>
      <c r="I50" s="5"/>
    </row>
    <row r="51" spans="2:9" ht="15.6" x14ac:dyDescent="0.3">
      <c r="B51" s="134">
        <v>44682</v>
      </c>
      <c r="C51" t="str">
        <f t="shared" si="1"/>
        <v>May</v>
      </c>
      <c r="D51" t="s">
        <v>15</v>
      </c>
      <c r="E51" t="s">
        <v>46</v>
      </c>
      <c r="F51" s="36">
        <v>155</v>
      </c>
      <c r="G51" s="5"/>
      <c r="H51" s="99"/>
      <c r="I51" s="5"/>
    </row>
    <row r="52" spans="2:9" ht="15.6" x14ac:dyDescent="0.3">
      <c r="B52" s="134">
        <v>44682</v>
      </c>
      <c r="C52" t="str">
        <f t="shared" si="1"/>
        <v>May</v>
      </c>
      <c r="D52" t="s">
        <v>16</v>
      </c>
      <c r="E52" t="s">
        <v>47</v>
      </c>
      <c r="F52" s="36">
        <v>55</v>
      </c>
      <c r="G52" s="5"/>
      <c r="H52" s="99"/>
      <c r="I52" s="5"/>
    </row>
    <row r="53" spans="2:9" ht="15.6" x14ac:dyDescent="0.3">
      <c r="B53" s="134">
        <v>44689</v>
      </c>
      <c r="C53" t="str">
        <f t="shared" si="1"/>
        <v>May</v>
      </c>
      <c r="D53" t="s">
        <v>18</v>
      </c>
      <c r="E53" t="s">
        <v>48</v>
      </c>
      <c r="F53" s="36">
        <v>449</v>
      </c>
      <c r="G53" s="5"/>
      <c r="H53" s="99"/>
      <c r="I53" s="5"/>
    </row>
    <row r="54" spans="2:9" ht="15.6" x14ac:dyDescent="0.3">
      <c r="B54" s="134">
        <v>44692</v>
      </c>
      <c r="C54" t="str">
        <f t="shared" si="1"/>
        <v>May</v>
      </c>
      <c r="D54" t="s">
        <v>19</v>
      </c>
      <c r="E54" t="s">
        <v>49</v>
      </c>
      <c r="F54" s="36">
        <v>245</v>
      </c>
      <c r="G54" s="5"/>
      <c r="H54" s="99"/>
      <c r="I54" s="5"/>
    </row>
    <row r="55" spans="2:9" ht="15.6" x14ac:dyDescent="0.3">
      <c r="B55" s="134">
        <v>44693</v>
      </c>
      <c r="C55" t="str">
        <f t="shared" si="1"/>
        <v>May</v>
      </c>
      <c r="D55" t="s">
        <v>19</v>
      </c>
      <c r="E55" t="s">
        <v>50</v>
      </c>
      <c r="F55" s="36">
        <v>168</v>
      </c>
      <c r="G55" s="5"/>
      <c r="H55" s="99"/>
      <c r="I55" s="5"/>
    </row>
    <row r="56" spans="2:9" ht="15.6" x14ac:dyDescent="0.3">
      <c r="B56" s="134">
        <v>44693</v>
      </c>
      <c r="C56" t="str">
        <f t="shared" si="1"/>
        <v>May</v>
      </c>
      <c r="D56" t="s">
        <v>19</v>
      </c>
      <c r="E56" t="s">
        <v>66</v>
      </c>
      <c r="F56" s="36">
        <v>233</v>
      </c>
      <c r="G56" s="5"/>
      <c r="H56" s="99"/>
      <c r="I56" s="5"/>
    </row>
    <row r="57" spans="2:9" ht="15.6" x14ac:dyDescent="0.3">
      <c r="B57" s="134">
        <v>44695</v>
      </c>
      <c r="C57" t="str">
        <f t="shared" si="1"/>
        <v>May</v>
      </c>
      <c r="D57" t="s">
        <v>20</v>
      </c>
      <c r="E57" t="s">
        <v>52</v>
      </c>
      <c r="F57" s="36">
        <v>249</v>
      </c>
      <c r="G57" s="5"/>
      <c r="H57" s="99"/>
      <c r="I57" s="5"/>
    </row>
    <row r="58" spans="2:9" ht="15.6" x14ac:dyDescent="0.3">
      <c r="B58" s="134">
        <v>44709</v>
      </c>
      <c r="C58" t="str">
        <f t="shared" si="1"/>
        <v>May</v>
      </c>
      <c r="D58" t="s">
        <v>10</v>
      </c>
      <c r="E58" t="s">
        <v>53</v>
      </c>
      <c r="F58" s="36">
        <v>708</v>
      </c>
      <c r="G58" s="5"/>
      <c r="H58" s="99"/>
      <c r="I58" s="5"/>
    </row>
    <row r="59" spans="2:9" ht="15.6" x14ac:dyDescent="0.3">
      <c r="B59" s="134">
        <v>44709</v>
      </c>
      <c r="C59" t="str">
        <f t="shared" si="1"/>
        <v>May</v>
      </c>
      <c r="D59" t="s">
        <v>9</v>
      </c>
      <c r="E59" t="s">
        <v>54</v>
      </c>
      <c r="F59" s="36">
        <v>3000</v>
      </c>
      <c r="G59" s="5"/>
      <c r="H59" s="99"/>
      <c r="I59" s="5"/>
    </row>
    <row r="60" spans="2:9" ht="15.6" x14ac:dyDescent="0.3">
      <c r="B60" s="134">
        <v>44709</v>
      </c>
      <c r="C60" t="str">
        <f t="shared" si="1"/>
        <v>May</v>
      </c>
      <c r="D60" t="s">
        <v>11</v>
      </c>
      <c r="E60" t="s">
        <v>55</v>
      </c>
      <c r="F60" s="36">
        <v>366</v>
      </c>
      <c r="G60" s="5"/>
      <c r="H60" s="99"/>
      <c r="I60" s="5"/>
    </row>
    <row r="61" spans="2:9" ht="15.6" x14ac:dyDescent="0.3">
      <c r="B61" s="134">
        <v>44710</v>
      </c>
      <c r="C61" t="str">
        <f t="shared" si="1"/>
        <v>May</v>
      </c>
      <c r="D61" t="s">
        <v>11</v>
      </c>
      <c r="E61" t="s">
        <v>67</v>
      </c>
      <c r="F61" s="36">
        <v>1000</v>
      </c>
      <c r="G61" s="100"/>
      <c r="H61" s="101"/>
      <c r="I61" s="5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5" zoomScaleNormal="100" workbookViewId="0"/>
  </sheetViews>
  <sheetFormatPr defaultColWidth="11.6640625" defaultRowHeight="15.6" x14ac:dyDescent="0.3"/>
  <cols>
    <col min="1" max="1" width="11.6640625" style="5"/>
    <col min="2" max="2" width="25.109375" style="5" customWidth="1"/>
    <col min="3" max="3" width="13.109375" style="5" bestFit="1" customWidth="1"/>
    <col min="4" max="4" width="12.109375" style="5" bestFit="1" customWidth="1"/>
    <col min="5" max="8" width="11.6640625" style="5"/>
    <col min="9" max="9" width="11.88671875" style="5" customWidth="1"/>
    <col min="10" max="15" width="11.6640625" style="5"/>
    <col min="16" max="16" width="13.6640625" style="5" bestFit="1" customWidth="1"/>
    <col min="17" max="16384" width="11.6640625" style="5"/>
  </cols>
  <sheetData>
    <row r="1" spans="2:17" x14ac:dyDescent="0.3">
      <c r="C1" s="5" t="s">
        <v>68</v>
      </c>
    </row>
    <row r="2" spans="2:17" ht="21" x14ac:dyDescent="0.4">
      <c r="B2" s="3" t="s">
        <v>69</v>
      </c>
      <c r="C2" s="22"/>
      <c r="D2" s="22"/>
      <c r="E2" s="22"/>
      <c r="F2" s="22"/>
      <c r="G2" s="22"/>
      <c r="H2" s="22"/>
      <c r="I2" s="22"/>
      <c r="J2" s="22"/>
    </row>
    <row r="3" spans="2:17" ht="18" x14ac:dyDescent="0.35">
      <c r="B3" s="34" t="s">
        <v>70</v>
      </c>
    </row>
    <row r="5" spans="2:17" x14ac:dyDescent="0.3">
      <c r="B5" s="244" t="s">
        <v>71</v>
      </c>
      <c r="C5" s="244"/>
      <c r="D5" s="244"/>
      <c r="E5" s="244"/>
      <c r="F5" s="244"/>
      <c r="G5" s="244"/>
      <c r="H5" s="244"/>
      <c r="I5" s="244"/>
      <c r="J5" s="244"/>
    </row>
    <row r="6" spans="2:17" ht="16.2" thickBot="1" x14ac:dyDescent="0.35">
      <c r="B6" s="112" t="s">
        <v>72</v>
      </c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</row>
    <row r="7" spans="2:17" x14ac:dyDescent="0.3">
      <c r="B7" s="5" t="s">
        <v>73</v>
      </c>
      <c r="C7" s="23"/>
      <c r="D7" s="23">
        <v>325000</v>
      </c>
      <c r="E7" s="23">
        <v>475000</v>
      </c>
      <c r="F7" s="23">
        <v>550000</v>
      </c>
      <c r="G7" s="23">
        <v>595000</v>
      </c>
      <c r="H7" s="23">
        <v>625000</v>
      </c>
      <c r="I7" s="23">
        <v>650000</v>
      </c>
      <c r="J7" s="23">
        <v>700000</v>
      </c>
      <c r="Q7" s="24"/>
    </row>
    <row r="8" spans="2:17" x14ac:dyDescent="0.3">
      <c r="B8" s="5" t="s">
        <v>74</v>
      </c>
      <c r="C8" s="23">
        <v>-1500000</v>
      </c>
      <c r="D8" s="23">
        <v>-100000</v>
      </c>
      <c r="E8" s="23">
        <v>-100000</v>
      </c>
      <c r="F8" s="23">
        <v>-100000</v>
      </c>
      <c r="G8" s="23">
        <v>-100000</v>
      </c>
      <c r="H8" s="23">
        <v>-100000</v>
      </c>
      <c r="I8" s="23">
        <v>-100000</v>
      </c>
      <c r="J8" s="23">
        <v>-100000</v>
      </c>
      <c r="P8" s="25"/>
      <c r="Q8" s="24"/>
    </row>
    <row r="9" spans="2:17" x14ac:dyDescent="0.3">
      <c r="B9" s="107" t="s">
        <v>75</v>
      </c>
      <c r="C9" s="108">
        <f>SUM(C7:C8)</f>
        <v>-1500000</v>
      </c>
      <c r="D9" s="108">
        <f t="shared" ref="D9:J9" si="0">SUM(D7:D8)</f>
        <v>225000</v>
      </c>
      <c r="E9" s="108">
        <f t="shared" si="0"/>
        <v>375000</v>
      </c>
      <c r="F9" s="108">
        <f t="shared" si="0"/>
        <v>450000</v>
      </c>
      <c r="G9" s="108">
        <f t="shared" si="0"/>
        <v>495000</v>
      </c>
      <c r="H9" s="108">
        <f t="shared" si="0"/>
        <v>525000</v>
      </c>
      <c r="I9" s="108">
        <f t="shared" si="0"/>
        <v>550000</v>
      </c>
      <c r="J9" s="108">
        <f t="shared" si="0"/>
        <v>600000</v>
      </c>
      <c r="P9" s="25"/>
      <c r="Q9" s="24"/>
    </row>
    <row r="10" spans="2:17" x14ac:dyDescent="0.3">
      <c r="B10" s="109" t="s">
        <v>76</v>
      </c>
      <c r="C10" s="110">
        <f>C9</f>
        <v>-1500000</v>
      </c>
      <c r="D10" s="110">
        <f t="shared" ref="D10:J10" si="1">D9+C10</f>
        <v>-1275000</v>
      </c>
      <c r="E10" s="110">
        <f t="shared" si="1"/>
        <v>-900000</v>
      </c>
      <c r="F10" s="110">
        <f t="shared" si="1"/>
        <v>-450000</v>
      </c>
      <c r="G10" s="110">
        <f t="shared" si="1"/>
        <v>45000</v>
      </c>
      <c r="H10" s="110">
        <f t="shared" si="1"/>
        <v>570000</v>
      </c>
      <c r="I10" s="110">
        <f t="shared" si="1"/>
        <v>1120000</v>
      </c>
      <c r="J10" s="110">
        <f t="shared" si="1"/>
        <v>1720000</v>
      </c>
      <c r="P10" s="26"/>
      <c r="Q10" s="24"/>
    </row>
    <row r="11" spans="2:17" x14ac:dyDescent="0.3">
      <c r="B11" s="17"/>
      <c r="C11" s="27"/>
      <c r="D11" s="27"/>
      <c r="E11" s="27"/>
      <c r="F11" s="27"/>
      <c r="G11" s="27"/>
      <c r="H11" s="27"/>
      <c r="P11" s="25"/>
      <c r="Q11" s="24"/>
    </row>
    <row r="12" spans="2:17" x14ac:dyDescent="0.3">
      <c r="B12" s="28" t="s">
        <v>77</v>
      </c>
      <c r="C12" s="29">
        <v>0.08</v>
      </c>
      <c r="D12" s="27"/>
      <c r="E12" s="27"/>
      <c r="F12" s="27"/>
      <c r="G12" s="27"/>
      <c r="H12" s="27"/>
      <c r="P12" s="25"/>
      <c r="Q12" s="24"/>
    </row>
    <row r="13" spans="2:17" x14ac:dyDescent="0.3">
      <c r="C13" s="9"/>
      <c r="Q13" s="24"/>
    </row>
    <row r="14" spans="2:17" x14ac:dyDescent="0.3">
      <c r="B14" s="28" t="s">
        <v>78</v>
      </c>
      <c r="C14" s="30">
        <f>NPV(C12,D9:J9)+C9</f>
        <v>804893.38692553062</v>
      </c>
    </row>
    <row r="15" spans="2:17" ht="9" customHeight="1" x14ac:dyDescent="0.3">
      <c r="B15" s="28"/>
      <c r="C15" s="8"/>
    </row>
    <row r="16" spans="2:17" x14ac:dyDescent="0.3">
      <c r="B16" s="28" t="s">
        <v>79</v>
      </c>
      <c r="C16" s="31">
        <f>IRR(C9:J9)</f>
        <v>0.20202001972216688</v>
      </c>
    </row>
    <row r="17" spans="2:8" ht="9" customHeight="1" x14ac:dyDescent="0.3">
      <c r="B17" s="28"/>
      <c r="C17" s="8"/>
    </row>
    <row r="18" spans="2:8" x14ac:dyDescent="0.3">
      <c r="B18" s="28" t="s">
        <v>80</v>
      </c>
      <c r="C18" s="32">
        <f>3+ABS(F10/G9)</f>
        <v>3.9090909090909092</v>
      </c>
    </row>
    <row r="21" spans="2:8" x14ac:dyDescent="0.3">
      <c r="B21" s="244" t="s">
        <v>81</v>
      </c>
      <c r="C21" s="244"/>
      <c r="D21" s="244"/>
      <c r="E21" s="244"/>
      <c r="F21" s="244"/>
      <c r="G21" s="244"/>
      <c r="H21" s="244"/>
    </row>
    <row r="22" spans="2:8" x14ac:dyDescent="0.3">
      <c r="B22" s="113" t="s">
        <v>72</v>
      </c>
      <c r="C22" s="113">
        <v>0</v>
      </c>
      <c r="D22" s="113">
        <v>1</v>
      </c>
      <c r="E22" s="113">
        <v>2</v>
      </c>
      <c r="F22" s="113">
        <v>3</v>
      </c>
      <c r="G22" s="113">
        <v>4</v>
      </c>
      <c r="H22" s="113">
        <v>5</v>
      </c>
    </row>
    <row r="23" spans="2:8" x14ac:dyDescent="0.3">
      <c r="B23" s="5" t="s">
        <v>73</v>
      </c>
      <c r="C23" s="23"/>
      <c r="D23" s="23">
        <v>65000</v>
      </c>
      <c r="E23" s="23">
        <v>75000</v>
      </c>
      <c r="F23" s="23">
        <v>82500</v>
      </c>
      <c r="G23" s="23">
        <v>86000</v>
      </c>
      <c r="H23" s="23">
        <v>89000</v>
      </c>
    </row>
    <row r="24" spans="2:8" x14ac:dyDescent="0.3">
      <c r="B24" s="5" t="s">
        <v>74</v>
      </c>
      <c r="C24" s="23">
        <v>-250000</v>
      </c>
      <c r="D24" s="23">
        <v>-10000</v>
      </c>
      <c r="E24" s="23">
        <v>-10000</v>
      </c>
      <c r="F24" s="23">
        <v>-10000</v>
      </c>
      <c r="G24" s="23">
        <v>-10000</v>
      </c>
      <c r="H24" s="23">
        <v>-10000</v>
      </c>
    </row>
    <row r="25" spans="2:8" x14ac:dyDescent="0.3">
      <c r="B25" s="107" t="s">
        <v>75</v>
      </c>
      <c r="C25" s="108">
        <f>SUM(C23:C24)</f>
        <v>-250000</v>
      </c>
      <c r="D25" s="108">
        <f t="shared" ref="D25:H25" si="2">SUM(D23:D24)</f>
        <v>55000</v>
      </c>
      <c r="E25" s="108">
        <f t="shared" si="2"/>
        <v>65000</v>
      </c>
      <c r="F25" s="108">
        <f t="shared" si="2"/>
        <v>72500</v>
      </c>
      <c r="G25" s="108">
        <f t="shared" si="2"/>
        <v>76000</v>
      </c>
      <c r="H25" s="108">
        <f t="shared" si="2"/>
        <v>79000</v>
      </c>
    </row>
    <row r="26" spans="2:8" x14ac:dyDescent="0.3">
      <c r="B26" s="109" t="s">
        <v>76</v>
      </c>
      <c r="C26" s="110">
        <f>C25</f>
        <v>-250000</v>
      </c>
      <c r="D26" s="110">
        <f>D25+C26</f>
        <v>-195000</v>
      </c>
      <c r="E26" s="110">
        <f>E25+D26</f>
        <v>-130000</v>
      </c>
      <c r="F26" s="110">
        <f>F25+E26</f>
        <v>-57500</v>
      </c>
      <c r="G26" s="110">
        <f>G25+F26</f>
        <v>18500</v>
      </c>
      <c r="H26" s="110">
        <f>H25+G26</f>
        <v>97500</v>
      </c>
    </row>
    <row r="28" spans="2:8" x14ac:dyDescent="0.3">
      <c r="B28" s="28" t="s">
        <v>77</v>
      </c>
      <c r="C28" s="29">
        <v>0.08</v>
      </c>
    </row>
    <row r="29" spans="2:8" x14ac:dyDescent="0.3">
      <c r="C29" s="9"/>
    </row>
    <row r="30" spans="2:8" x14ac:dyDescent="0.3">
      <c r="B30" s="28" t="s">
        <v>78</v>
      </c>
      <c r="C30" s="33">
        <f>NPV(C28,D25:H25)+C25</f>
        <v>23834.128097701061</v>
      </c>
    </row>
    <row r="31" spans="2:8" ht="9" customHeight="1" x14ac:dyDescent="0.3">
      <c r="B31" s="28"/>
      <c r="C31" s="8"/>
    </row>
    <row r="32" spans="2:8" x14ac:dyDescent="0.3">
      <c r="B32" s="28" t="s">
        <v>79</v>
      </c>
      <c r="C32" s="31">
        <f>IRR(C25:H25)</f>
        <v>0.11337777494709433</v>
      </c>
    </row>
    <row r="33" spans="2:3" ht="9" customHeight="1" x14ac:dyDescent="0.3">
      <c r="B33" s="28"/>
      <c r="C33" s="8"/>
    </row>
    <row r="34" spans="2:3" x14ac:dyDescent="0.3">
      <c r="B34" s="28" t="s">
        <v>80</v>
      </c>
      <c r="C34" s="32">
        <f>3+ABS(F26/G25)</f>
        <v>3.7565789473684212</v>
      </c>
    </row>
    <row r="35" spans="2:3" x14ac:dyDescent="0.3">
      <c r="C35" s="17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Normal="80" workbookViewId="0">
      <selection activeCell="H26" sqref="H26"/>
    </sheetView>
  </sheetViews>
  <sheetFormatPr defaultColWidth="8.88671875" defaultRowHeight="14.4" x14ac:dyDescent="0.3"/>
  <cols>
    <col min="2" max="2" width="22.6640625" customWidth="1"/>
    <col min="3" max="8" width="11.88671875" customWidth="1"/>
    <col min="10" max="12" width="11.88671875" customWidth="1"/>
    <col min="14" max="16" width="11.88671875" customWidth="1"/>
  </cols>
  <sheetData>
    <row r="2" spans="2:16" ht="25.8" x14ac:dyDescent="0.5">
      <c r="B2" s="1" t="s">
        <v>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6" ht="15.6" x14ac:dyDescent="0.3">
      <c r="B4" s="52"/>
      <c r="C4" s="52"/>
      <c r="D4" s="245" t="s">
        <v>83</v>
      </c>
      <c r="E4" s="245"/>
      <c r="F4" s="245"/>
      <c r="G4" s="245"/>
      <c r="H4" s="245"/>
      <c r="I4" s="52"/>
      <c r="J4" s="245" t="s">
        <v>84</v>
      </c>
      <c r="K4" s="245"/>
      <c r="L4" s="245"/>
      <c r="M4" s="52"/>
      <c r="N4" s="245" t="s">
        <v>85</v>
      </c>
      <c r="O4" s="245"/>
      <c r="P4" s="245"/>
    </row>
    <row r="5" spans="2:16" ht="46.8" x14ac:dyDescent="0.3">
      <c r="B5" s="53" t="s">
        <v>86</v>
      </c>
      <c r="C5" s="53" t="s">
        <v>87</v>
      </c>
      <c r="D5" s="54" t="s">
        <v>88</v>
      </c>
      <c r="E5" s="54" t="s">
        <v>89</v>
      </c>
      <c r="F5" s="54" t="s">
        <v>90</v>
      </c>
      <c r="G5" s="54" t="s">
        <v>91</v>
      </c>
      <c r="H5" s="54" t="s">
        <v>92</v>
      </c>
      <c r="I5" s="55"/>
      <c r="J5" s="55" t="s">
        <v>93</v>
      </c>
      <c r="K5" s="55" t="s">
        <v>94</v>
      </c>
      <c r="L5" s="55" t="s">
        <v>95</v>
      </c>
      <c r="M5" s="55"/>
      <c r="N5" s="55" t="s">
        <v>96</v>
      </c>
      <c r="O5" s="55" t="s">
        <v>97</v>
      </c>
      <c r="P5" s="55" t="s">
        <v>98</v>
      </c>
    </row>
    <row r="6" spans="2:16" ht="15.6" x14ac:dyDescent="0.3">
      <c r="B6" s="38"/>
      <c r="C6" s="38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0"/>
    </row>
    <row r="7" spans="2:16" ht="15.6" x14ac:dyDescent="0.3">
      <c r="B7" s="66" t="s">
        <v>99</v>
      </c>
      <c r="C7" s="67" t="s">
        <v>100</v>
      </c>
      <c r="D7" s="68">
        <v>11.44</v>
      </c>
      <c r="E7" s="69">
        <v>125</v>
      </c>
      <c r="F7" s="70">
        <f>D7*E7</f>
        <v>1430</v>
      </c>
      <c r="G7" s="69">
        <v>740</v>
      </c>
      <c r="H7" s="70">
        <f>SUM(F7:G7)</f>
        <v>2170</v>
      </c>
      <c r="I7" s="69"/>
      <c r="J7" s="69">
        <v>845</v>
      </c>
      <c r="K7" s="69">
        <v>305</v>
      </c>
      <c r="L7" s="69">
        <v>135</v>
      </c>
      <c r="M7" s="71"/>
      <c r="N7" s="72">
        <f>$H7/J7</f>
        <v>2.5680473372781063</v>
      </c>
      <c r="O7" s="72">
        <f>$H7/K7</f>
        <v>7.1147540983606561</v>
      </c>
      <c r="P7" s="72">
        <f>F7/L7</f>
        <v>10.592592592592593</v>
      </c>
    </row>
    <row r="8" spans="2:16" ht="15.6" x14ac:dyDescent="0.3">
      <c r="B8" t="s">
        <v>101</v>
      </c>
      <c r="C8" s="41" t="s">
        <v>102</v>
      </c>
      <c r="D8" s="42">
        <v>8.43</v>
      </c>
      <c r="E8" s="43">
        <v>150</v>
      </c>
      <c r="F8" s="44">
        <f>D8*E8</f>
        <v>1264.5</v>
      </c>
      <c r="G8" s="43">
        <v>600</v>
      </c>
      <c r="H8" s="44">
        <f>SUM(F8:G8)</f>
        <v>1864.5</v>
      </c>
      <c r="I8" s="43"/>
      <c r="J8" s="43">
        <v>678</v>
      </c>
      <c r="K8" s="43">
        <v>220</v>
      </c>
      <c r="L8" s="43">
        <v>109</v>
      </c>
      <c r="M8" s="45"/>
      <c r="N8" s="46">
        <f>$H8/J8</f>
        <v>2.75</v>
      </c>
      <c r="O8" s="46">
        <f>$H8/K8</f>
        <v>8.4749999999999996</v>
      </c>
      <c r="P8" s="46">
        <f>F8/L8</f>
        <v>11.600917431192661</v>
      </c>
    </row>
    <row r="9" spans="2:16" ht="15.6" x14ac:dyDescent="0.3">
      <c r="B9" t="s">
        <v>103</v>
      </c>
      <c r="C9" s="41" t="s">
        <v>104</v>
      </c>
      <c r="D9" s="42">
        <v>3.19</v>
      </c>
      <c r="E9" s="43">
        <v>350</v>
      </c>
      <c r="F9" s="44">
        <f t="shared" ref="F9:F12" si="0">D9*E9</f>
        <v>1116.5</v>
      </c>
      <c r="G9" s="43">
        <v>414</v>
      </c>
      <c r="H9" s="44">
        <f t="shared" ref="H9:H12" si="1">SUM(F9:G9)</f>
        <v>1530.5</v>
      </c>
      <c r="I9" s="43"/>
      <c r="J9" s="43">
        <v>505</v>
      </c>
      <c r="K9" s="43">
        <v>253</v>
      </c>
      <c r="L9" s="43">
        <v>112</v>
      </c>
      <c r="M9" s="45"/>
      <c r="N9" s="46">
        <f t="shared" ref="N9:O12" si="2">$H9/J9</f>
        <v>3.0306930693069307</v>
      </c>
      <c r="O9" s="46">
        <f t="shared" si="2"/>
        <v>6.0494071146245059</v>
      </c>
      <c r="P9" s="46">
        <f t="shared" ref="P9:P12" si="3">F9/L9</f>
        <v>9.96875</v>
      </c>
    </row>
    <row r="10" spans="2:16" ht="15.6" x14ac:dyDescent="0.3">
      <c r="B10" t="s">
        <v>105</v>
      </c>
      <c r="C10" s="41" t="s">
        <v>106</v>
      </c>
      <c r="D10" s="42">
        <v>7.6510000000000007</v>
      </c>
      <c r="E10" s="43">
        <v>175</v>
      </c>
      <c r="F10" s="44">
        <f t="shared" si="0"/>
        <v>1338.9250000000002</v>
      </c>
      <c r="G10" s="43">
        <v>936</v>
      </c>
      <c r="H10" s="44">
        <f t="shared" si="1"/>
        <v>2274.9250000000002</v>
      </c>
      <c r="I10" s="43"/>
      <c r="J10" s="43">
        <v>1045</v>
      </c>
      <c r="K10" s="43">
        <v>287</v>
      </c>
      <c r="L10" s="43">
        <v>148</v>
      </c>
      <c r="M10" s="45"/>
      <c r="N10" s="46">
        <f t="shared" si="2"/>
        <v>2.1769617224880387</v>
      </c>
      <c r="O10" s="46">
        <f t="shared" si="2"/>
        <v>7.9265679442508716</v>
      </c>
      <c r="P10" s="46">
        <f t="shared" si="3"/>
        <v>9.0467905405405418</v>
      </c>
    </row>
    <row r="11" spans="2:16" ht="15.6" x14ac:dyDescent="0.3">
      <c r="B11" t="s">
        <v>107</v>
      </c>
      <c r="C11" s="41" t="s">
        <v>108</v>
      </c>
      <c r="D11" s="42">
        <v>23.544999999999998</v>
      </c>
      <c r="E11" s="43">
        <v>75</v>
      </c>
      <c r="F11" s="44">
        <f t="shared" si="0"/>
        <v>1765.8749999999998</v>
      </c>
      <c r="G11" s="43">
        <v>948</v>
      </c>
      <c r="H11" s="44">
        <f t="shared" si="1"/>
        <v>2713.875</v>
      </c>
      <c r="I11" s="43"/>
      <c r="J11" s="43">
        <v>1181.44</v>
      </c>
      <c r="K11" s="43">
        <v>349</v>
      </c>
      <c r="L11" s="43">
        <v>237</v>
      </c>
      <c r="M11" s="45"/>
      <c r="N11" s="46">
        <f t="shared" si="2"/>
        <v>2.2970908382990247</v>
      </c>
      <c r="O11" s="46">
        <f t="shared" si="2"/>
        <v>7.7761461318051577</v>
      </c>
      <c r="P11" s="46">
        <f t="shared" si="3"/>
        <v>7.4509493670886062</v>
      </c>
    </row>
    <row r="12" spans="2:16" ht="15.6" x14ac:dyDescent="0.3">
      <c r="B12" t="s">
        <v>109</v>
      </c>
      <c r="C12" s="41" t="s">
        <v>110</v>
      </c>
      <c r="D12" s="42">
        <v>12.770999999999999</v>
      </c>
      <c r="E12" s="43">
        <v>100</v>
      </c>
      <c r="F12" s="44">
        <f t="shared" si="0"/>
        <v>1277.0999999999999</v>
      </c>
      <c r="G12" s="43">
        <v>300</v>
      </c>
      <c r="H12" s="44">
        <f t="shared" si="1"/>
        <v>1577.1</v>
      </c>
      <c r="I12" s="43"/>
      <c r="J12" s="43">
        <v>1411.48</v>
      </c>
      <c r="K12" s="43">
        <v>407</v>
      </c>
      <c r="L12" s="43">
        <v>279</v>
      </c>
      <c r="M12" s="45"/>
      <c r="N12" s="46">
        <f t="shared" si="2"/>
        <v>1.1173378297956753</v>
      </c>
      <c r="O12" s="46">
        <f t="shared" si="2"/>
        <v>3.8749385749385747</v>
      </c>
      <c r="P12" s="46">
        <f t="shared" si="3"/>
        <v>4.5774193548387094</v>
      </c>
    </row>
    <row r="13" spans="2:16" x14ac:dyDescent="0.3">
      <c r="E13" s="47"/>
    </row>
    <row r="14" spans="2:16" x14ac:dyDescent="0.3">
      <c r="B14" s="62" t="s">
        <v>111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>
        <f>MAX(N8:N12)</f>
        <v>3.0306930693069307</v>
      </c>
      <c r="O14" s="63">
        <f>MAX(O8:O12)</f>
        <v>8.4749999999999996</v>
      </c>
      <c r="P14" s="63">
        <f>MAX(P8:P12)</f>
        <v>11.600917431192661</v>
      </c>
    </row>
    <row r="15" spans="2:16" ht="15.6" x14ac:dyDescent="0.3">
      <c r="B15" s="56" t="s">
        <v>112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8">
        <f>QUARTILE(N8:N12,3)</f>
        <v>2.75</v>
      </c>
      <c r="O15" s="48">
        <f>QUARTILE(O8:O12,3)</f>
        <v>7.9265679442508716</v>
      </c>
      <c r="P15" s="48">
        <f>QUARTILE(P8:P12,3)</f>
        <v>9.96875</v>
      </c>
    </row>
    <row r="16" spans="2:16" ht="15.6" x14ac:dyDescent="0.3">
      <c r="B16" s="49" t="s">
        <v>113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>
        <f>AVERAGE(N8:N12)</f>
        <v>2.2744166919779341</v>
      </c>
      <c r="O16" s="50">
        <f>AVERAGE(O8:O12)</f>
        <v>6.8204119531238216</v>
      </c>
      <c r="P16" s="50">
        <f>AVERAGE(P8:P12)</f>
        <v>8.5289653387321032</v>
      </c>
    </row>
    <row r="17" spans="2:16" ht="15.6" x14ac:dyDescent="0.3">
      <c r="B17" s="49" t="s">
        <v>114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>
        <f>MEDIAN(N8:N12)</f>
        <v>2.2970908382990247</v>
      </c>
      <c r="O17" s="50">
        <f>MEDIAN(O8:O12)</f>
        <v>7.7761461318051577</v>
      </c>
      <c r="P17" s="50">
        <f>MEDIAN(P8:P12)</f>
        <v>9.0467905405405418</v>
      </c>
    </row>
    <row r="18" spans="2:16" ht="15.6" x14ac:dyDescent="0.3">
      <c r="B18" s="56" t="s">
        <v>115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>
        <f>QUARTILE(N8:N12,1)</f>
        <v>2.1769617224880387</v>
      </c>
      <c r="O18" s="48">
        <f>QUARTILE(O8:O12,1)</f>
        <v>6.0494071146245059</v>
      </c>
      <c r="P18" s="48">
        <f>QUARTILE(P8:P12,1)</f>
        <v>7.4509493670886062</v>
      </c>
    </row>
    <row r="19" spans="2:16" x14ac:dyDescent="0.3">
      <c r="B19" s="64" t="s">
        <v>116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>
        <f>MIN(N8:N12)</f>
        <v>1.1173378297956753</v>
      </c>
      <c r="O19" s="65">
        <f>MIN(O8:O12)</f>
        <v>3.8749385749385747</v>
      </c>
      <c r="P19" s="65">
        <f>MIN(P8:P12)</f>
        <v>4.5774193548387094</v>
      </c>
    </row>
    <row r="21" spans="2:16" ht="15.6" x14ac:dyDescent="0.3">
      <c r="B21" s="52" t="s">
        <v>117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5" t="s">
        <v>96</v>
      </c>
      <c r="O21" s="55" t="s">
        <v>97</v>
      </c>
      <c r="P21" s="55" t="s">
        <v>98</v>
      </c>
    </row>
    <row r="22" spans="2:16" ht="15.6" x14ac:dyDescent="0.3">
      <c r="B22" t="s">
        <v>118</v>
      </c>
      <c r="J22" s="51"/>
      <c r="N22" s="44">
        <f>N17*J7</f>
        <v>1941.0417583626759</v>
      </c>
      <c r="O22" s="44">
        <f>O17*K7</f>
        <v>2371.724570200573</v>
      </c>
      <c r="P22" s="47">
        <f>P23+P24</f>
        <v>1961.3167229729731</v>
      </c>
    </row>
    <row r="23" spans="2:16" ht="15.6" x14ac:dyDescent="0.3">
      <c r="B23" t="s">
        <v>91</v>
      </c>
      <c r="G23" s="43"/>
      <c r="J23" s="51"/>
      <c r="N23" s="44">
        <f>$G$7</f>
        <v>740</v>
      </c>
      <c r="O23" s="44">
        <f>$G$7</f>
        <v>740</v>
      </c>
      <c r="P23" s="44">
        <f t="shared" ref="P23" si="4">$G$7</f>
        <v>740</v>
      </c>
    </row>
    <row r="24" spans="2:16" ht="15.6" x14ac:dyDescent="0.3">
      <c r="B24" t="s">
        <v>119</v>
      </c>
      <c r="G24" s="43"/>
      <c r="J24" s="51"/>
      <c r="N24" s="44">
        <f>N22-N23</f>
        <v>1201.0417583626759</v>
      </c>
      <c r="O24" s="44">
        <f>O22-O23</f>
        <v>1631.724570200573</v>
      </c>
      <c r="P24" s="44">
        <f>P17*L7</f>
        <v>1221.3167229729731</v>
      </c>
    </row>
    <row r="25" spans="2:16" ht="15.6" x14ac:dyDescent="0.3">
      <c r="B25" t="s">
        <v>89</v>
      </c>
      <c r="G25" s="43"/>
      <c r="N25" s="44">
        <f>$E$7</f>
        <v>125</v>
      </c>
      <c r="O25" s="44">
        <f>$E$7</f>
        <v>125</v>
      </c>
      <c r="P25" s="44">
        <f t="shared" ref="P25" si="5">$E$7</f>
        <v>125</v>
      </c>
    </row>
    <row r="26" spans="2:16" ht="15.6" x14ac:dyDescent="0.3">
      <c r="B26" s="58" t="s">
        <v>120</v>
      </c>
      <c r="C26" s="58"/>
      <c r="D26" s="59"/>
      <c r="E26" s="59"/>
      <c r="F26" s="58"/>
      <c r="G26" s="60"/>
      <c r="H26" s="58"/>
      <c r="I26" s="58"/>
      <c r="J26" s="58"/>
      <c r="K26" s="58"/>
      <c r="L26" s="58"/>
      <c r="M26" s="58"/>
      <c r="N26" s="61">
        <f>N24/N25</f>
        <v>9.6083340669014063</v>
      </c>
      <c r="O26" s="61">
        <f t="shared" ref="O26:P26" si="6">O24/O25</f>
        <v>13.053796561604583</v>
      </c>
      <c r="P26" s="61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4B9-6E42-436C-A6D9-CFC1ECB7F133}">
  <dimension ref="A2:H124"/>
  <sheetViews>
    <sheetView showGridLines="0" tabSelected="1" workbookViewId="0">
      <selection activeCell="D14" sqref="D14"/>
    </sheetView>
  </sheetViews>
  <sheetFormatPr defaultRowHeight="15.6" x14ac:dyDescent="0.3"/>
  <cols>
    <col min="1" max="1" width="8.88671875" style="135"/>
    <col min="2" max="2" width="31.44140625" style="135" bestFit="1" customWidth="1"/>
    <col min="3" max="3" width="15.44140625" style="135" bestFit="1" customWidth="1"/>
    <col min="4" max="8" width="11.5546875" style="135" bestFit="1" customWidth="1"/>
    <col min="9" max="16384" width="8.88671875" style="135"/>
  </cols>
  <sheetData>
    <row r="2" spans="1:8" x14ac:dyDescent="0.3">
      <c r="B2" s="136" t="s">
        <v>121</v>
      </c>
      <c r="C2" s="137"/>
      <c r="D2" s="137"/>
      <c r="E2" s="137"/>
      <c r="F2" s="137"/>
      <c r="G2" s="137"/>
      <c r="H2" s="137"/>
    </row>
    <row r="4" spans="1:8" x14ac:dyDescent="0.3">
      <c r="A4" s="138"/>
      <c r="B4" s="139" t="s">
        <v>122</v>
      </c>
      <c r="C4" s="140"/>
      <c r="D4" s="140"/>
      <c r="E4" s="140"/>
      <c r="F4" s="140"/>
      <c r="G4" s="140"/>
      <c r="H4" s="141"/>
    </row>
    <row r="5" spans="1:8" ht="16.2" thickBot="1" x14ac:dyDescent="0.35">
      <c r="A5" s="138"/>
      <c r="B5" s="142" t="s">
        <v>200</v>
      </c>
      <c r="C5" s="143"/>
      <c r="D5" s="143">
        <v>44562</v>
      </c>
      <c r="E5" s="143">
        <v>44927</v>
      </c>
      <c r="F5" s="143">
        <v>45292</v>
      </c>
      <c r="G5" s="143">
        <v>45658</v>
      </c>
      <c r="H5" s="144">
        <v>46023</v>
      </c>
    </row>
    <row r="6" spans="1:8" x14ac:dyDescent="0.3">
      <c r="A6" s="138"/>
      <c r="B6" s="145" t="s">
        <v>93</v>
      </c>
      <c r="H6" s="138"/>
    </row>
    <row r="7" spans="1:8" x14ac:dyDescent="0.3">
      <c r="A7" s="138"/>
      <c r="B7" s="146" t="s">
        <v>124</v>
      </c>
      <c r="D7" s="147">
        <f>D97*D98</f>
        <v>25000</v>
      </c>
      <c r="E7" s="147">
        <f>E97*E98</f>
        <v>27500</v>
      </c>
      <c r="F7" s="147">
        <f>F97*F98</f>
        <v>32500</v>
      </c>
      <c r="G7" s="147">
        <f>G97*G98</f>
        <v>40000</v>
      </c>
      <c r="H7" s="148">
        <f>H97*H98</f>
        <v>50000</v>
      </c>
    </row>
    <row r="8" spans="1:8" x14ac:dyDescent="0.3">
      <c r="A8" s="138"/>
      <c r="B8" s="149" t="s">
        <v>125</v>
      </c>
      <c r="C8" s="150"/>
      <c r="D8" s="150">
        <f>D7*-D99</f>
        <v>-1250</v>
      </c>
      <c r="E8" s="150">
        <f>E7*-E99</f>
        <v>-1375</v>
      </c>
      <c r="F8" s="150">
        <f>F7*-F99</f>
        <v>-1625</v>
      </c>
      <c r="G8" s="150">
        <f>G7*-G99</f>
        <v>-2000</v>
      </c>
      <c r="H8" s="151">
        <f>H7*-H99</f>
        <v>-2500</v>
      </c>
    </row>
    <row r="9" spans="1:8" x14ac:dyDescent="0.3">
      <c r="A9" s="138"/>
      <c r="B9" s="152" t="s">
        <v>126</v>
      </c>
      <c r="C9" s="153"/>
      <c r="D9" s="153">
        <f>SUM(D7:D8)</f>
        <v>23750</v>
      </c>
      <c r="E9" s="153">
        <f t="shared" ref="E9:H9" si="0">SUM(E7:E8)</f>
        <v>26125</v>
      </c>
      <c r="F9" s="153">
        <f t="shared" si="0"/>
        <v>30875</v>
      </c>
      <c r="G9" s="153">
        <f t="shared" si="0"/>
        <v>38000</v>
      </c>
      <c r="H9" s="154">
        <f t="shared" si="0"/>
        <v>47500</v>
      </c>
    </row>
    <row r="10" spans="1:8" x14ac:dyDescent="0.3">
      <c r="A10" s="138"/>
      <c r="B10" s="145" t="s">
        <v>127</v>
      </c>
      <c r="H10" s="138"/>
    </row>
    <row r="11" spans="1:8" x14ac:dyDescent="0.3">
      <c r="A11" s="138"/>
      <c r="B11" s="146" t="s">
        <v>128</v>
      </c>
      <c r="C11" s="147"/>
      <c r="D11" s="147">
        <f t="shared" ref="D11:H13" si="1">-D$7*D102</f>
        <v>-7500</v>
      </c>
      <c r="E11" s="147">
        <f t="shared" si="1"/>
        <v>-8250</v>
      </c>
      <c r="F11" s="147">
        <f t="shared" si="1"/>
        <v>-9750</v>
      </c>
      <c r="G11" s="147">
        <f t="shared" si="1"/>
        <v>-12000</v>
      </c>
      <c r="H11" s="148">
        <f t="shared" si="1"/>
        <v>-15000</v>
      </c>
    </row>
    <row r="12" spans="1:8" x14ac:dyDescent="0.3">
      <c r="A12" s="138"/>
      <c r="B12" s="146" t="s">
        <v>129</v>
      </c>
      <c r="C12" s="147"/>
      <c r="D12" s="147">
        <f t="shared" si="1"/>
        <v>-1750.0000000000002</v>
      </c>
      <c r="E12" s="147">
        <f t="shared" si="1"/>
        <v>-1925.0000000000002</v>
      </c>
      <c r="F12" s="147">
        <f t="shared" si="1"/>
        <v>-2275</v>
      </c>
      <c r="G12" s="147">
        <f t="shared" si="1"/>
        <v>-2800.0000000000005</v>
      </c>
      <c r="H12" s="148">
        <f t="shared" si="1"/>
        <v>-3500.0000000000005</v>
      </c>
    </row>
    <row r="13" spans="1:8" x14ac:dyDescent="0.3">
      <c r="A13" s="138"/>
      <c r="B13" s="146" t="s">
        <v>130</v>
      </c>
      <c r="C13" s="147"/>
      <c r="D13" s="147">
        <f t="shared" si="1"/>
        <v>-500</v>
      </c>
      <c r="E13" s="147">
        <f t="shared" si="1"/>
        <v>-550</v>
      </c>
      <c r="F13" s="147">
        <f t="shared" si="1"/>
        <v>-650</v>
      </c>
      <c r="G13" s="147">
        <f t="shared" si="1"/>
        <v>-800</v>
      </c>
      <c r="H13" s="148">
        <f t="shared" si="1"/>
        <v>-1000</v>
      </c>
    </row>
    <row r="14" spans="1:8" x14ac:dyDescent="0.3">
      <c r="A14" s="138"/>
      <c r="B14" s="155" t="s">
        <v>131</v>
      </c>
      <c r="C14" s="156"/>
      <c r="D14" s="156">
        <f>SUM(D11:D13)</f>
        <v>-9750</v>
      </c>
      <c r="E14" s="156">
        <f t="shared" ref="E14:H14" si="2">SUM(E11:E13)</f>
        <v>-10725</v>
      </c>
      <c r="F14" s="156">
        <f t="shared" si="2"/>
        <v>-12675</v>
      </c>
      <c r="G14" s="156">
        <f t="shared" si="2"/>
        <v>-15600</v>
      </c>
      <c r="H14" s="157">
        <f t="shared" si="2"/>
        <v>-19500</v>
      </c>
    </row>
    <row r="15" spans="1:8" x14ac:dyDescent="0.3">
      <c r="A15" s="138"/>
      <c r="B15" s="152" t="s">
        <v>132</v>
      </c>
      <c r="C15" s="153"/>
      <c r="D15" s="153">
        <f>D9+D14</f>
        <v>14000</v>
      </c>
      <c r="E15" s="153">
        <f>E9+E14</f>
        <v>15400</v>
      </c>
      <c r="F15" s="153">
        <f>F9+F14</f>
        <v>18200</v>
      </c>
      <c r="G15" s="153">
        <f>G9+G14</f>
        <v>22400</v>
      </c>
      <c r="H15" s="154">
        <f>H9+H14</f>
        <v>28000</v>
      </c>
    </row>
    <row r="16" spans="1:8" x14ac:dyDescent="0.3">
      <c r="A16" s="138"/>
      <c r="B16" s="158" t="s">
        <v>133</v>
      </c>
      <c r="C16" s="159"/>
      <c r="D16" s="159">
        <f>D15/D9</f>
        <v>0.58947368421052626</v>
      </c>
      <c r="E16" s="159">
        <f>E15/E9</f>
        <v>0.58947368421052626</v>
      </c>
      <c r="F16" s="159">
        <f>F15/F9</f>
        <v>0.58947368421052626</v>
      </c>
      <c r="G16" s="159">
        <f>G15/G9</f>
        <v>0.58947368421052626</v>
      </c>
      <c r="H16" s="160">
        <f>H15/H9</f>
        <v>0.58947368421052626</v>
      </c>
    </row>
    <row r="17" spans="1:8" x14ac:dyDescent="0.3">
      <c r="A17" s="138"/>
      <c r="B17" s="145" t="s">
        <v>134</v>
      </c>
      <c r="H17" s="138"/>
    </row>
    <row r="18" spans="1:8" x14ac:dyDescent="0.3">
      <c r="A18" s="138"/>
      <c r="B18" s="146" t="s">
        <v>135</v>
      </c>
      <c r="C18" s="161"/>
      <c r="D18" s="161">
        <f t="shared" ref="D18:H20" si="3">-D$7*D107</f>
        <v>-3750</v>
      </c>
      <c r="E18" s="161">
        <f t="shared" si="3"/>
        <v>-4125</v>
      </c>
      <c r="F18" s="161">
        <f t="shared" si="3"/>
        <v>-4875</v>
      </c>
      <c r="G18" s="161">
        <f t="shared" si="3"/>
        <v>-6000</v>
      </c>
      <c r="H18" s="162">
        <f t="shared" si="3"/>
        <v>-7500</v>
      </c>
    </row>
    <row r="19" spans="1:8" x14ac:dyDescent="0.3">
      <c r="A19" s="138"/>
      <c r="B19" s="146" t="s">
        <v>136</v>
      </c>
      <c r="C19" s="161"/>
      <c r="D19" s="161">
        <f t="shared" si="3"/>
        <v>-1250</v>
      </c>
      <c r="E19" s="161">
        <f t="shared" si="3"/>
        <v>-1375</v>
      </c>
      <c r="F19" s="161">
        <f t="shared" si="3"/>
        <v>-1625</v>
      </c>
      <c r="G19" s="161">
        <f t="shared" si="3"/>
        <v>-2000</v>
      </c>
      <c r="H19" s="162">
        <f t="shared" si="3"/>
        <v>-2500</v>
      </c>
    </row>
    <row r="20" spans="1:8" x14ac:dyDescent="0.3">
      <c r="A20" s="138"/>
      <c r="B20" s="146" t="s">
        <v>137</v>
      </c>
      <c r="C20" s="161"/>
      <c r="D20" s="161">
        <f t="shared" si="3"/>
        <v>-1250</v>
      </c>
      <c r="E20" s="161">
        <f t="shared" si="3"/>
        <v>-1375</v>
      </c>
      <c r="F20" s="161">
        <f t="shared" si="3"/>
        <v>-1625</v>
      </c>
      <c r="G20" s="161">
        <f t="shared" si="3"/>
        <v>-2000</v>
      </c>
      <c r="H20" s="162">
        <f t="shared" si="3"/>
        <v>-2500</v>
      </c>
    </row>
    <row r="21" spans="1:8" x14ac:dyDescent="0.3">
      <c r="A21" s="138"/>
      <c r="B21" s="163" t="s">
        <v>138</v>
      </c>
      <c r="C21" s="156"/>
      <c r="D21" s="156">
        <f>SUM(D18:D20)</f>
        <v>-6250</v>
      </c>
      <c r="E21" s="156">
        <f t="shared" ref="E21:H21" si="4">SUM(E18:E20)</f>
        <v>-6875</v>
      </c>
      <c r="F21" s="156">
        <f t="shared" si="4"/>
        <v>-8125</v>
      </c>
      <c r="G21" s="156">
        <f t="shared" si="4"/>
        <v>-10000</v>
      </c>
      <c r="H21" s="157">
        <f t="shared" si="4"/>
        <v>-12500</v>
      </c>
    </row>
    <row r="22" spans="1:8" x14ac:dyDescent="0.3">
      <c r="A22" s="138"/>
      <c r="B22" s="164" t="s">
        <v>94</v>
      </c>
      <c r="C22" s="153"/>
      <c r="D22" s="153">
        <f>D15+D21</f>
        <v>7750</v>
      </c>
      <c r="E22" s="153">
        <f>E15+E21</f>
        <v>8525</v>
      </c>
      <c r="F22" s="153">
        <f>F15+F21</f>
        <v>10075</v>
      </c>
      <c r="G22" s="153">
        <f>G15+G21</f>
        <v>12400</v>
      </c>
      <c r="H22" s="154">
        <f>H15+H21</f>
        <v>15500</v>
      </c>
    </row>
    <row r="23" spans="1:8" x14ac:dyDescent="0.3">
      <c r="A23" s="138"/>
      <c r="B23" s="163" t="s">
        <v>139</v>
      </c>
      <c r="C23" s="156"/>
      <c r="D23" s="156">
        <f>-D91</f>
        <v>-3928.5714285714284</v>
      </c>
      <c r="E23" s="156">
        <f t="shared" ref="E23:H23" si="5">-E91</f>
        <v>-3928.5714285714284</v>
      </c>
      <c r="F23" s="156">
        <f t="shared" si="5"/>
        <v>-3928.5714285714284</v>
      </c>
      <c r="G23" s="156">
        <f t="shared" si="5"/>
        <v>-3928.5714285714284</v>
      </c>
      <c r="H23" s="157">
        <f t="shared" si="5"/>
        <v>-1928.5714285714284</v>
      </c>
    </row>
    <row r="24" spans="1:8" x14ac:dyDescent="0.3">
      <c r="A24" s="138"/>
      <c r="B24" s="164" t="s">
        <v>140</v>
      </c>
      <c r="C24" s="153"/>
      <c r="D24" s="153">
        <f>SUM(D22:D23)</f>
        <v>3821.4285714285716</v>
      </c>
      <c r="E24" s="153">
        <f t="shared" ref="E24:H24" si="6">SUM(E22:E23)</f>
        <v>4596.4285714285716</v>
      </c>
      <c r="F24" s="153">
        <f t="shared" si="6"/>
        <v>6146.4285714285716</v>
      </c>
      <c r="G24" s="153">
        <f t="shared" si="6"/>
        <v>8471.4285714285725</v>
      </c>
      <c r="H24" s="154">
        <f t="shared" si="6"/>
        <v>13571.428571428572</v>
      </c>
    </row>
    <row r="25" spans="1:8" x14ac:dyDescent="0.3">
      <c r="A25" s="138"/>
      <c r="B25" s="163" t="s">
        <v>141</v>
      </c>
      <c r="C25" s="165"/>
      <c r="D25" s="165">
        <f>-D124</f>
        <v>-665.00000000000011</v>
      </c>
      <c r="E25" s="165">
        <f>-E124</f>
        <v>-630.00000000000011</v>
      </c>
      <c r="F25" s="165">
        <f>-F124</f>
        <v>-927.50000000000011</v>
      </c>
      <c r="G25" s="165">
        <f>-G124</f>
        <v>-875.00000000000011</v>
      </c>
      <c r="H25" s="166">
        <f>-H124</f>
        <v>-822.50000000000011</v>
      </c>
    </row>
    <row r="26" spans="1:8" x14ac:dyDescent="0.3">
      <c r="A26" s="138"/>
      <c r="B26" s="164" t="s">
        <v>142</v>
      </c>
      <c r="C26" s="153"/>
      <c r="D26" s="153">
        <f>SUM(D24:D25)</f>
        <v>3156.4285714285716</v>
      </c>
      <c r="E26" s="153">
        <f t="shared" ref="E26:H26" si="7">SUM(E24:E25)</f>
        <v>3966.4285714285716</v>
      </c>
      <c r="F26" s="153">
        <f t="shared" si="7"/>
        <v>5218.9285714285716</v>
      </c>
      <c r="G26" s="153">
        <f t="shared" si="7"/>
        <v>7596.4285714285725</v>
      </c>
      <c r="H26" s="154">
        <f t="shared" si="7"/>
        <v>12748.928571428572</v>
      </c>
    </row>
    <row r="27" spans="1:8" x14ac:dyDescent="0.3">
      <c r="A27" s="138"/>
      <c r="B27" s="167" t="s">
        <v>143</v>
      </c>
      <c r="C27" s="168"/>
      <c r="D27" s="168">
        <f>-D26*D111</f>
        <v>-662.85</v>
      </c>
      <c r="E27" s="168">
        <f>-E26*E111</f>
        <v>-832.95</v>
      </c>
      <c r="F27" s="168">
        <f>-F26*F111</f>
        <v>-1095.9749999999999</v>
      </c>
      <c r="G27" s="168">
        <f>-G26*G111</f>
        <v>-1595.2500000000002</v>
      </c>
      <c r="H27" s="169">
        <f>-H26*H111</f>
        <v>-2677.2750000000001</v>
      </c>
    </row>
    <row r="28" spans="1:8" ht="16.2" thickBot="1" x14ac:dyDescent="0.35">
      <c r="A28" s="138"/>
      <c r="B28" s="170" t="s">
        <v>95</v>
      </c>
      <c r="C28" s="171"/>
      <c r="D28" s="171">
        <f>D26+D27</f>
        <v>2493.5785714285716</v>
      </c>
      <c r="E28" s="171">
        <f t="shared" ref="E28:H28" si="8">E26+E27</f>
        <v>3133.4785714285717</v>
      </c>
      <c r="F28" s="171">
        <f t="shared" si="8"/>
        <v>4122.9535714285721</v>
      </c>
      <c r="G28" s="171">
        <f t="shared" si="8"/>
        <v>6001.1785714285725</v>
      </c>
      <c r="H28" s="172">
        <f t="shared" si="8"/>
        <v>10071.653571428573</v>
      </c>
    </row>
    <row r="29" spans="1:8" x14ac:dyDescent="0.3">
      <c r="A29" s="138"/>
      <c r="B29" s="167"/>
      <c r="D29" s="168"/>
      <c r="E29" s="168"/>
      <c r="F29" s="168"/>
      <c r="G29" s="168"/>
      <c r="H29" s="169"/>
    </row>
    <row r="30" spans="1:8" x14ac:dyDescent="0.3">
      <c r="B30" s="173"/>
      <c r="C30" s="159"/>
      <c r="D30" s="159"/>
      <c r="E30" s="159"/>
      <c r="F30" s="159"/>
      <c r="G30" s="159"/>
    </row>
    <row r="31" spans="1:8" x14ac:dyDescent="0.3">
      <c r="B31" s="139" t="s">
        <v>144</v>
      </c>
      <c r="C31" s="140"/>
      <c r="D31" s="140"/>
      <c r="E31" s="140"/>
      <c r="F31" s="140"/>
      <c r="G31" s="140"/>
      <c r="H31" s="141"/>
    </row>
    <row r="32" spans="1:8" ht="16.2" thickBot="1" x14ac:dyDescent="0.35">
      <c r="B32" s="142" t="s">
        <v>200</v>
      </c>
      <c r="C32" s="174">
        <v>44561</v>
      </c>
      <c r="D32" s="143">
        <v>44926</v>
      </c>
      <c r="E32" s="143">
        <v>45291</v>
      </c>
      <c r="F32" s="143">
        <v>45657</v>
      </c>
      <c r="G32" s="143">
        <v>46022</v>
      </c>
      <c r="H32" s="144">
        <v>46387</v>
      </c>
    </row>
    <row r="33" spans="2:8" x14ac:dyDescent="0.3">
      <c r="B33" s="145" t="s">
        <v>145</v>
      </c>
      <c r="H33" s="138"/>
    </row>
    <row r="34" spans="2:8" x14ac:dyDescent="0.3">
      <c r="B34" s="146" t="s">
        <v>146</v>
      </c>
      <c r="C34" s="175">
        <v>5000</v>
      </c>
      <c r="D34" s="168">
        <f>C34+D76</f>
        <v>1413.3223163841812</v>
      </c>
      <c r="E34" s="168">
        <f>D34+E76</f>
        <v>7989.4895480225996</v>
      </c>
      <c r="F34" s="168">
        <f>E34+F76</f>
        <v>20319.249011299435</v>
      </c>
      <c r="G34" s="168">
        <f>F34+G76</f>
        <v>26541.350706214689</v>
      </c>
      <c r="H34" s="169">
        <f>G34+H76</f>
        <v>37848.04463276836</v>
      </c>
    </row>
    <row r="35" spans="2:8" x14ac:dyDescent="0.3">
      <c r="B35" s="146" t="s">
        <v>147</v>
      </c>
      <c r="C35" s="175">
        <v>150</v>
      </c>
      <c r="D35" s="168">
        <f>D$114*D116</f>
        <v>237.5</v>
      </c>
      <c r="E35" s="168">
        <f>E$114*E116</f>
        <v>261.25</v>
      </c>
      <c r="F35" s="168">
        <f>F$114*F116</f>
        <v>308.75</v>
      </c>
      <c r="G35" s="168">
        <f>G$114*G116</f>
        <v>380</v>
      </c>
      <c r="H35" s="169">
        <f>H$114*H116</f>
        <v>475</v>
      </c>
    </row>
    <row r="36" spans="2:8" x14ac:dyDescent="0.3">
      <c r="B36" s="176" t="s">
        <v>148</v>
      </c>
      <c r="C36" s="177">
        <f>SUM(C34:C35)</f>
        <v>5150</v>
      </c>
      <c r="D36" s="177">
        <f t="shared" ref="D36:H36" si="9">SUM(D34:D35)</f>
        <v>1650.8223163841812</v>
      </c>
      <c r="E36" s="177">
        <f t="shared" si="9"/>
        <v>8250.7395480226005</v>
      </c>
      <c r="F36" s="177">
        <f t="shared" si="9"/>
        <v>20627.999011299435</v>
      </c>
      <c r="G36" s="177">
        <f t="shared" si="9"/>
        <v>26921.350706214689</v>
      </c>
      <c r="H36" s="178">
        <f t="shared" si="9"/>
        <v>38323.04463276836</v>
      </c>
    </row>
    <row r="37" spans="2:8" x14ac:dyDescent="0.3">
      <c r="B37" s="145" t="s">
        <v>149</v>
      </c>
      <c r="H37" s="138"/>
    </row>
    <row r="38" spans="2:8" x14ac:dyDescent="0.3">
      <c r="B38" s="146" t="s">
        <v>150</v>
      </c>
      <c r="C38" s="175">
        <v>10000</v>
      </c>
      <c r="D38" s="168">
        <f>C38+D84</f>
        <v>19500</v>
      </c>
      <c r="E38" s="168">
        <f>D38+E84</f>
        <v>19500</v>
      </c>
      <c r="F38" s="168">
        <f>E38+F84</f>
        <v>19500</v>
      </c>
      <c r="G38" s="168">
        <f>F38+G84</f>
        <v>22500</v>
      </c>
      <c r="H38" s="169">
        <f>G38+H84</f>
        <v>22500</v>
      </c>
    </row>
    <row r="39" spans="2:8" x14ac:dyDescent="0.3">
      <c r="B39" s="146" t="s">
        <v>151</v>
      </c>
      <c r="C39" s="175">
        <v>-2000</v>
      </c>
      <c r="D39" s="179">
        <f>C39-D91</f>
        <v>-5928.5714285714284</v>
      </c>
      <c r="E39" s="179">
        <f>D39-E91</f>
        <v>-9857.1428571428569</v>
      </c>
      <c r="F39" s="179">
        <f>E39-F91</f>
        <v>-13785.714285714286</v>
      </c>
      <c r="G39" s="179">
        <f>F39-G91</f>
        <v>-17714.285714285714</v>
      </c>
      <c r="H39" s="180">
        <f>G39-H91</f>
        <v>-19642.857142857141</v>
      </c>
    </row>
    <row r="40" spans="2:8" x14ac:dyDescent="0.3">
      <c r="B40" s="145" t="s">
        <v>152</v>
      </c>
      <c r="C40" s="168">
        <f>SUM(C38:C39)</f>
        <v>8000</v>
      </c>
      <c r="D40" s="168">
        <f t="shared" ref="D40:H40" si="10">SUM(D38:D39)</f>
        <v>13571.428571428572</v>
      </c>
      <c r="E40" s="168">
        <f t="shared" si="10"/>
        <v>9642.8571428571431</v>
      </c>
      <c r="F40" s="168">
        <f t="shared" si="10"/>
        <v>5714.2857142857138</v>
      </c>
      <c r="G40" s="168">
        <f t="shared" si="10"/>
        <v>4785.7142857142862</v>
      </c>
      <c r="H40" s="169">
        <f t="shared" si="10"/>
        <v>2857.1428571428587</v>
      </c>
    </row>
    <row r="41" spans="2:8" x14ac:dyDescent="0.3">
      <c r="B41" s="152" t="s">
        <v>153</v>
      </c>
      <c r="C41" s="153">
        <f>C40</f>
        <v>8000</v>
      </c>
      <c r="D41" s="153">
        <f t="shared" ref="D41:H41" si="11">D40</f>
        <v>13571.428571428572</v>
      </c>
      <c r="E41" s="153">
        <f t="shared" si="11"/>
        <v>9642.8571428571431</v>
      </c>
      <c r="F41" s="153">
        <f t="shared" si="11"/>
        <v>5714.2857142857138</v>
      </c>
      <c r="G41" s="153">
        <f t="shared" si="11"/>
        <v>4785.7142857142862</v>
      </c>
      <c r="H41" s="154">
        <f t="shared" si="11"/>
        <v>2857.1428571428587</v>
      </c>
    </row>
    <row r="42" spans="2:8" ht="16.2" thickBot="1" x14ac:dyDescent="0.35">
      <c r="B42" s="181" t="s">
        <v>154</v>
      </c>
      <c r="C42" s="171">
        <f>SUM(C36,C41)</f>
        <v>13150</v>
      </c>
      <c r="D42" s="171">
        <f t="shared" ref="D42:H42" si="12">SUM(D36,D41)</f>
        <v>15222.250887812754</v>
      </c>
      <c r="E42" s="171">
        <f t="shared" si="12"/>
        <v>17893.596690879742</v>
      </c>
      <c r="F42" s="171">
        <f t="shared" si="12"/>
        <v>26342.284725585148</v>
      </c>
      <c r="G42" s="171">
        <f t="shared" si="12"/>
        <v>31707.064991928975</v>
      </c>
      <c r="H42" s="172">
        <f t="shared" si="12"/>
        <v>41180.187489911215</v>
      </c>
    </row>
    <row r="43" spans="2:8" x14ac:dyDescent="0.3">
      <c r="B43" s="145"/>
      <c r="C43" s="182"/>
      <c r="H43" s="138"/>
    </row>
    <row r="44" spans="2:8" x14ac:dyDescent="0.3">
      <c r="B44" s="145" t="s">
        <v>155</v>
      </c>
      <c r="C44" s="182"/>
      <c r="H44" s="138"/>
    </row>
    <row r="45" spans="2:8" x14ac:dyDescent="0.3">
      <c r="B45" s="146" t="s">
        <v>156</v>
      </c>
      <c r="C45" s="182">
        <v>200</v>
      </c>
      <c r="D45" s="168">
        <f>D$115*D117</f>
        <v>220.33898305084745</v>
      </c>
      <c r="E45" s="168">
        <f>E$115*E117</f>
        <v>242.37288135593221</v>
      </c>
      <c r="F45" s="168">
        <f>F$115*F117</f>
        <v>286.4406779661017</v>
      </c>
      <c r="G45" s="168">
        <f>G$115*G117</f>
        <v>352.54237288135596</v>
      </c>
      <c r="H45" s="169">
        <f>H$115*H117</f>
        <v>440.67796610169489</v>
      </c>
    </row>
    <row r="46" spans="2:8" x14ac:dyDescent="0.3">
      <c r="B46" s="146" t="s">
        <v>157</v>
      </c>
      <c r="C46" s="182">
        <v>100</v>
      </c>
      <c r="D46" s="168">
        <f>D$114*D118</f>
        <v>158.33333333333334</v>
      </c>
      <c r="E46" s="168">
        <f>E$114*E118</f>
        <v>174.16666666666669</v>
      </c>
      <c r="F46" s="168">
        <f>F$114*F118</f>
        <v>205.83333333333334</v>
      </c>
      <c r="G46" s="168">
        <f>G$114*G118</f>
        <v>253.33333333333334</v>
      </c>
      <c r="H46" s="169">
        <f>H$114*H118</f>
        <v>316.66666666666669</v>
      </c>
    </row>
    <row r="47" spans="2:8" x14ac:dyDescent="0.3">
      <c r="B47" s="176" t="s">
        <v>158</v>
      </c>
      <c r="C47" s="183">
        <f>SUM(C45:C46)</f>
        <v>300</v>
      </c>
      <c r="D47" s="183">
        <f t="shared" ref="D47:H47" si="13">SUM(D45:D46)</f>
        <v>378.67231638418082</v>
      </c>
      <c r="E47" s="183">
        <f t="shared" si="13"/>
        <v>416.53954802259886</v>
      </c>
      <c r="F47" s="183">
        <f t="shared" si="13"/>
        <v>492.27401129943507</v>
      </c>
      <c r="G47" s="183">
        <f t="shared" si="13"/>
        <v>605.87570621468933</v>
      </c>
      <c r="H47" s="184">
        <f t="shared" si="13"/>
        <v>757.34463276836163</v>
      </c>
    </row>
    <row r="48" spans="2:8" x14ac:dyDescent="0.3">
      <c r="B48" s="167" t="s">
        <v>159</v>
      </c>
      <c r="C48" s="182"/>
      <c r="H48" s="138"/>
    </row>
    <row r="49" spans="2:8" x14ac:dyDescent="0.3">
      <c r="B49" s="146" t="s">
        <v>160</v>
      </c>
      <c r="C49" s="175">
        <v>10000</v>
      </c>
      <c r="D49" s="168">
        <f>C49+D121-D122</f>
        <v>9500</v>
      </c>
      <c r="E49" s="168">
        <f>D49+E121-E122</f>
        <v>9000</v>
      </c>
      <c r="F49" s="168">
        <f>E49+F121-F122</f>
        <v>13250</v>
      </c>
      <c r="G49" s="168">
        <f>F49+G121-G122</f>
        <v>12500</v>
      </c>
      <c r="H49" s="169">
        <f>G49+H121-H122</f>
        <v>11750</v>
      </c>
    </row>
    <row r="50" spans="2:8" x14ac:dyDescent="0.3">
      <c r="B50" s="164" t="s">
        <v>161</v>
      </c>
      <c r="C50" s="153">
        <f>C49</f>
        <v>10000</v>
      </c>
      <c r="D50" s="153">
        <f t="shared" ref="D50:H50" si="14">D49</f>
        <v>9500</v>
      </c>
      <c r="E50" s="153">
        <f t="shared" si="14"/>
        <v>9000</v>
      </c>
      <c r="F50" s="153">
        <f t="shared" si="14"/>
        <v>13250</v>
      </c>
      <c r="G50" s="153">
        <f t="shared" si="14"/>
        <v>12500</v>
      </c>
      <c r="H50" s="154">
        <f t="shared" si="14"/>
        <v>11750</v>
      </c>
    </row>
    <row r="51" spans="2:8" ht="16.2" thickBot="1" x14ac:dyDescent="0.35">
      <c r="B51" s="181" t="s">
        <v>162</v>
      </c>
      <c r="C51" s="171">
        <f>SUM(C47,C50)</f>
        <v>10300</v>
      </c>
      <c r="D51" s="171">
        <f t="shared" ref="D51:H51" si="15">SUM(D47,D50)</f>
        <v>9878.6723163841816</v>
      </c>
      <c r="E51" s="171">
        <f t="shared" si="15"/>
        <v>9416.5395480225998</v>
      </c>
      <c r="F51" s="171">
        <f t="shared" si="15"/>
        <v>13742.274011299434</v>
      </c>
      <c r="G51" s="171">
        <f t="shared" si="15"/>
        <v>13105.875706214689</v>
      </c>
      <c r="H51" s="172">
        <f t="shared" si="15"/>
        <v>12507.344632768361</v>
      </c>
    </row>
    <row r="52" spans="2:8" x14ac:dyDescent="0.3">
      <c r="B52" s="145" t="s">
        <v>163</v>
      </c>
      <c r="C52" s="182"/>
      <c r="H52" s="138"/>
    </row>
    <row r="53" spans="2:8" x14ac:dyDescent="0.3">
      <c r="B53" s="146" t="s">
        <v>164</v>
      </c>
      <c r="C53" s="175">
        <v>300</v>
      </c>
      <c r="D53" s="168">
        <f>C53</f>
        <v>300</v>
      </c>
      <c r="E53" s="168">
        <f t="shared" ref="E53:H53" si="16">D53</f>
        <v>300</v>
      </c>
      <c r="F53" s="168">
        <f t="shared" si="16"/>
        <v>300</v>
      </c>
      <c r="G53" s="168">
        <f t="shared" si="16"/>
        <v>300</v>
      </c>
      <c r="H53" s="169">
        <f t="shared" si="16"/>
        <v>300</v>
      </c>
    </row>
    <row r="54" spans="2:8" x14ac:dyDescent="0.3">
      <c r="B54" s="146" t="s">
        <v>165</v>
      </c>
      <c r="C54" s="175">
        <v>2550</v>
      </c>
      <c r="D54" s="168">
        <f>C54+D28</f>
        <v>5043.5785714285721</v>
      </c>
      <c r="E54" s="168">
        <f>D54+E28</f>
        <v>8177.0571428571438</v>
      </c>
      <c r="F54" s="168">
        <f>E54+F28</f>
        <v>12300.010714285716</v>
      </c>
      <c r="G54" s="168">
        <f>F54+G28</f>
        <v>18301.189285714288</v>
      </c>
      <c r="H54" s="169">
        <f>G54+H28</f>
        <v>28372.842857142859</v>
      </c>
    </row>
    <row r="55" spans="2:8" x14ac:dyDescent="0.3">
      <c r="B55" s="152" t="s">
        <v>166</v>
      </c>
      <c r="C55" s="153">
        <f>SUM(C53:C54)</f>
        <v>2850</v>
      </c>
      <c r="D55" s="153">
        <f t="shared" ref="D55:H55" si="17">SUM(D53:D54)</f>
        <v>5343.5785714285721</v>
      </c>
      <c r="E55" s="153">
        <f t="shared" si="17"/>
        <v>8477.0571428571438</v>
      </c>
      <c r="F55" s="153">
        <f t="shared" si="17"/>
        <v>12600.010714285716</v>
      </c>
      <c r="G55" s="153">
        <f t="shared" si="17"/>
        <v>18601.189285714288</v>
      </c>
      <c r="H55" s="154">
        <f t="shared" si="17"/>
        <v>28672.842857142859</v>
      </c>
    </row>
    <row r="56" spans="2:8" ht="16.2" thickBot="1" x14ac:dyDescent="0.35">
      <c r="B56" s="181" t="s">
        <v>167</v>
      </c>
      <c r="C56" s="171">
        <f>C51+C55</f>
        <v>13150</v>
      </c>
      <c r="D56" s="171">
        <f t="shared" ref="D56:H56" si="18">D51+D55</f>
        <v>15222.250887812754</v>
      </c>
      <c r="E56" s="171">
        <f t="shared" si="18"/>
        <v>17893.596690879742</v>
      </c>
      <c r="F56" s="171">
        <f t="shared" si="18"/>
        <v>26342.284725585152</v>
      </c>
      <c r="G56" s="171">
        <f t="shared" si="18"/>
        <v>31707.064991928979</v>
      </c>
      <c r="H56" s="172">
        <f t="shared" si="18"/>
        <v>41180.187489911223</v>
      </c>
    </row>
    <row r="57" spans="2:8" x14ac:dyDescent="0.3">
      <c r="B57" s="145"/>
      <c r="H57" s="138"/>
    </row>
    <row r="58" spans="2:8" x14ac:dyDescent="0.3">
      <c r="B58" s="185" t="s">
        <v>168</v>
      </c>
      <c r="C58" s="186">
        <f>C42-C56</f>
        <v>0</v>
      </c>
      <c r="D58" s="186">
        <f t="shared" ref="D58:G58" si="19">D42-D56</f>
        <v>0</v>
      </c>
      <c r="E58" s="186">
        <f t="shared" si="19"/>
        <v>0</v>
      </c>
      <c r="F58" s="186">
        <f t="shared" si="19"/>
        <v>0</v>
      </c>
      <c r="G58" s="186">
        <f t="shared" si="19"/>
        <v>0</v>
      </c>
      <c r="H58" s="187">
        <f>H42-H56</f>
        <v>0</v>
      </c>
    </row>
    <row r="59" spans="2:8" x14ac:dyDescent="0.3">
      <c r="C59" s="168"/>
      <c r="D59" s="168"/>
      <c r="E59" s="168"/>
      <c r="F59" s="168"/>
      <c r="G59" s="168"/>
      <c r="H59" s="168"/>
    </row>
    <row r="60" spans="2:8" x14ac:dyDescent="0.3">
      <c r="B60" s="139" t="s">
        <v>169</v>
      </c>
      <c r="C60" s="140"/>
      <c r="D60" s="140"/>
      <c r="E60" s="140"/>
      <c r="F60" s="140"/>
      <c r="G60" s="140"/>
      <c r="H60" s="141"/>
    </row>
    <row r="61" spans="2:8" ht="16.2" thickBot="1" x14ac:dyDescent="0.35">
      <c r="B61" s="142" t="s">
        <v>123</v>
      </c>
      <c r="C61" s="143"/>
      <c r="D61" s="143">
        <v>44562</v>
      </c>
      <c r="E61" s="143">
        <f>EDATE(D61,12)</f>
        <v>44927</v>
      </c>
      <c r="F61" s="143">
        <f t="shared" ref="F61:H61" si="20">EDATE(E61,12)</f>
        <v>45292</v>
      </c>
      <c r="G61" s="143">
        <f t="shared" si="20"/>
        <v>45658</v>
      </c>
      <c r="H61" s="144">
        <f t="shared" si="20"/>
        <v>46023</v>
      </c>
    </row>
    <row r="62" spans="2:8" x14ac:dyDescent="0.3">
      <c r="B62" s="145" t="s">
        <v>170</v>
      </c>
      <c r="C62" s="188"/>
      <c r="D62" s="188"/>
      <c r="E62" s="188"/>
      <c r="F62" s="188"/>
      <c r="G62" s="188"/>
      <c r="H62" s="189"/>
    </row>
    <row r="63" spans="2:8" x14ac:dyDescent="0.3">
      <c r="B63" s="146" t="s">
        <v>95</v>
      </c>
      <c r="C63" s="147"/>
      <c r="D63" s="147">
        <f>D28</f>
        <v>2493.5785714285716</v>
      </c>
      <c r="E63" s="147">
        <f>E28</f>
        <v>3133.4785714285717</v>
      </c>
      <c r="F63" s="147">
        <f>F28</f>
        <v>4122.9535714285721</v>
      </c>
      <c r="G63" s="147">
        <f>G28</f>
        <v>6001.1785714285725</v>
      </c>
      <c r="H63" s="148">
        <f>H28</f>
        <v>10071.653571428573</v>
      </c>
    </row>
    <row r="64" spans="2:8" x14ac:dyDescent="0.3">
      <c r="B64" s="146" t="s">
        <v>171</v>
      </c>
      <c r="C64" s="147"/>
      <c r="D64" s="147">
        <f>-D23</f>
        <v>3928.5714285714284</v>
      </c>
      <c r="E64" s="147">
        <f>-E23</f>
        <v>3928.5714285714284</v>
      </c>
      <c r="F64" s="147">
        <f>-F23</f>
        <v>3928.5714285714284</v>
      </c>
      <c r="G64" s="147">
        <f>-G23</f>
        <v>3928.5714285714284</v>
      </c>
      <c r="H64" s="148">
        <f>-H23</f>
        <v>1928.5714285714284</v>
      </c>
    </row>
    <row r="65" spans="2:8" x14ac:dyDescent="0.3">
      <c r="B65" s="146" t="str">
        <f>"Change in "&amp;B35</f>
        <v>Change in Accounts Receivable</v>
      </c>
      <c r="C65" s="147"/>
      <c r="D65" s="147">
        <f>-(D35-C35)</f>
        <v>-87.5</v>
      </c>
      <c r="E65" s="147">
        <f>-(E35-D35)</f>
        <v>-23.75</v>
      </c>
      <c r="F65" s="147">
        <f>-(F35-E35)</f>
        <v>-47.5</v>
      </c>
      <c r="G65" s="147">
        <f>-(G35-F35)</f>
        <v>-71.25</v>
      </c>
      <c r="H65" s="148">
        <f>-(H35-G35)</f>
        <v>-95</v>
      </c>
    </row>
    <row r="66" spans="2:8" x14ac:dyDescent="0.3">
      <c r="B66" s="146" t="str">
        <f>"Change in "&amp;B45</f>
        <v>Change in Accounts Payable</v>
      </c>
      <c r="C66" s="147"/>
      <c r="D66" s="147">
        <f t="shared" ref="D66:H67" si="21">D45-C45</f>
        <v>20.338983050847446</v>
      </c>
      <c r="E66" s="147">
        <f t="shared" si="21"/>
        <v>22.033898305084762</v>
      </c>
      <c r="F66" s="147">
        <f t="shared" si="21"/>
        <v>44.067796610169495</v>
      </c>
      <c r="G66" s="147">
        <f t="shared" si="21"/>
        <v>66.101694915254257</v>
      </c>
      <c r="H66" s="148">
        <f t="shared" si="21"/>
        <v>88.135593220338933</v>
      </c>
    </row>
    <row r="67" spans="2:8" x14ac:dyDescent="0.3">
      <c r="B67" s="146" t="str">
        <f>"Change in "&amp;B46</f>
        <v>Change in Deferred Revenue</v>
      </c>
      <c r="C67" s="147"/>
      <c r="D67" s="147">
        <f t="shared" si="21"/>
        <v>58.333333333333343</v>
      </c>
      <c r="E67" s="147">
        <f t="shared" si="21"/>
        <v>15.833333333333343</v>
      </c>
      <c r="F67" s="147">
        <f t="shared" si="21"/>
        <v>31.666666666666657</v>
      </c>
      <c r="G67" s="147">
        <f t="shared" si="21"/>
        <v>47.5</v>
      </c>
      <c r="H67" s="148">
        <f t="shared" si="21"/>
        <v>63.333333333333343</v>
      </c>
    </row>
    <row r="68" spans="2:8" x14ac:dyDescent="0.3">
      <c r="B68" s="176" t="s">
        <v>172</v>
      </c>
      <c r="C68" s="177"/>
      <c r="D68" s="177">
        <f>SUM(D64:D67)</f>
        <v>3919.7437449556096</v>
      </c>
      <c r="E68" s="177">
        <f t="shared" ref="E68:H68" si="22">SUM(E64:E67)</f>
        <v>3942.6886602098466</v>
      </c>
      <c r="F68" s="177">
        <f t="shared" si="22"/>
        <v>3956.8058918482643</v>
      </c>
      <c r="G68" s="177">
        <f t="shared" si="22"/>
        <v>3970.9231234866829</v>
      </c>
      <c r="H68" s="178">
        <f t="shared" si="22"/>
        <v>1985.0403551251006</v>
      </c>
    </row>
    <row r="69" spans="2:8" x14ac:dyDescent="0.3">
      <c r="B69" s="145" t="s">
        <v>173</v>
      </c>
      <c r="H69" s="138"/>
    </row>
    <row r="70" spans="2:8" x14ac:dyDescent="0.3">
      <c r="B70" s="146" t="s">
        <v>174</v>
      </c>
      <c r="C70" s="147"/>
      <c r="D70" s="147">
        <f>-D84</f>
        <v>-9500</v>
      </c>
      <c r="E70" s="147">
        <f t="shared" ref="E70:H70" si="23">-E84</f>
        <v>0</v>
      </c>
      <c r="F70" s="147">
        <f t="shared" si="23"/>
        <v>0</v>
      </c>
      <c r="G70" s="147">
        <f t="shared" si="23"/>
        <v>-3000</v>
      </c>
      <c r="H70" s="148">
        <f t="shared" si="23"/>
        <v>0</v>
      </c>
    </row>
    <row r="71" spans="2:8" x14ac:dyDescent="0.3">
      <c r="B71" s="190" t="s">
        <v>175</v>
      </c>
      <c r="C71" s="177"/>
      <c r="D71" s="177">
        <f>D70</f>
        <v>-9500</v>
      </c>
      <c r="E71" s="177">
        <f t="shared" ref="E71:H71" si="24">E70</f>
        <v>0</v>
      </c>
      <c r="F71" s="177">
        <f t="shared" si="24"/>
        <v>0</v>
      </c>
      <c r="G71" s="177">
        <f t="shared" si="24"/>
        <v>-3000</v>
      </c>
      <c r="H71" s="178">
        <f t="shared" si="24"/>
        <v>0</v>
      </c>
    </row>
    <row r="72" spans="2:8" x14ac:dyDescent="0.3">
      <c r="B72" s="145" t="s">
        <v>176</v>
      </c>
      <c r="H72" s="138"/>
    </row>
    <row r="73" spans="2:8" x14ac:dyDescent="0.3">
      <c r="B73" s="146" t="s">
        <v>177</v>
      </c>
      <c r="C73" s="147"/>
      <c r="D73" s="147">
        <f>-D122</f>
        <v>-500</v>
      </c>
      <c r="E73" s="147">
        <f>-E122</f>
        <v>-500</v>
      </c>
      <c r="F73" s="147">
        <f>-F122</f>
        <v>-750</v>
      </c>
      <c r="G73" s="147">
        <f>-G122</f>
        <v>-750</v>
      </c>
      <c r="H73" s="148">
        <f>-H122</f>
        <v>-750</v>
      </c>
    </row>
    <row r="74" spans="2:8" x14ac:dyDescent="0.3">
      <c r="B74" s="146" t="s">
        <v>178</v>
      </c>
      <c r="C74" s="147"/>
      <c r="D74" s="147">
        <f>D121</f>
        <v>0</v>
      </c>
      <c r="E74" s="147">
        <f>E121</f>
        <v>0</v>
      </c>
      <c r="F74" s="147">
        <f>F121</f>
        <v>5000</v>
      </c>
      <c r="G74" s="147">
        <f>G121</f>
        <v>0</v>
      </c>
      <c r="H74" s="148">
        <f>H121</f>
        <v>0</v>
      </c>
    </row>
    <row r="75" spans="2:8" x14ac:dyDescent="0.3">
      <c r="B75" s="190" t="s">
        <v>179</v>
      </c>
      <c r="C75" s="177"/>
      <c r="D75" s="177">
        <f>SUM(D73:D74)</f>
        <v>-500</v>
      </c>
      <c r="E75" s="177">
        <f t="shared" ref="E75:H75" si="25">SUM(E73:E74)</f>
        <v>-500</v>
      </c>
      <c r="F75" s="177">
        <f t="shared" si="25"/>
        <v>4250</v>
      </c>
      <c r="G75" s="177">
        <f t="shared" si="25"/>
        <v>-750</v>
      </c>
      <c r="H75" s="178">
        <f t="shared" si="25"/>
        <v>-750</v>
      </c>
    </row>
    <row r="76" spans="2:8" x14ac:dyDescent="0.3">
      <c r="B76" s="191" t="s">
        <v>75</v>
      </c>
      <c r="C76" s="192"/>
      <c r="D76" s="192">
        <f>SUM(D63,D68,D71,D75)</f>
        <v>-3586.6776836158188</v>
      </c>
      <c r="E76" s="192">
        <f>SUM(E63,E68,E71,E75)</f>
        <v>6576.1672316384183</v>
      </c>
      <c r="F76" s="192">
        <f>SUM(F63,F68,F71,F75)</f>
        <v>12329.759463276836</v>
      </c>
      <c r="G76" s="192">
        <f>SUM(G63,G68,G71,G75)</f>
        <v>6222.1016949152545</v>
      </c>
      <c r="H76" s="193">
        <f>SUM(H63,H68,H71,H75)</f>
        <v>11306.693926553673</v>
      </c>
    </row>
    <row r="77" spans="2:8" x14ac:dyDescent="0.3">
      <c r="C77" s="168"/>
      <c r="D77" s="168"/>
      <c r="E77" s="168"/>
      <c r="F77" s="168"/>
      <c r="G77" s="168"/>
      <c r="H77" s="168"/>
    </row>
    <row r="78" spans="2:8" x14ac:dyDescent="0.3">
      <c r="B78" s="139" t="s">
        <v>150</v>
      </c>
      <c r="C78" s="140"/>
      <c r="D78" s="140"/>
      <c r="E78" s="140"/>
      <c r="F78" s="140"/>
      <c r="G78" s="140"/>
      <c r="H78" s="141"/>
    </row>
    <row r="79" spans="2:8" ht="16.2" thickBot="1" x14ac:dyDescent="0.35">
      <c r="B79" s="142" t="s">
        <v>123</v>
      </c>
      <c r="C79" s="143" t="s">
        <v>180</v>
      </c>
      <c r="D79" s="143">
        <v>44926</v>
      </c>
      <c r="E79" s="143">
        <f>EDATE(D79,12)</f>
        <v>45291</v>
      </c>
      <c r="F79" s="143">
        <f t="shared" ref="F79:H79" si="26">EDATE(E79,12)</f>
        <v>45657</v>
      </c>
      <c r="G79" s="143">
        <f t="shared" si="26"/>
        <v>46022</v>
      </c>
      <c r="H79" s="144">
        <f t="shared" si="26"/>
        <v>46387</v>
      </c>
    </row>
    <row r="80" spans="2:8" x14ac:dyDescent="0.3">
      <c r="B80" s="145" t="s">
        <v>174</v>
      </c>
      <c r="H80" s="138"/>
    </row>
    <row r="81" spans="2:8" x14ac:dyDescent="0.3">
      <c r="B81" s="146" t="s">
        <v>181</v>
      </c>
      <c r="C81" s="194">
        <v>3</v>
      </c>
      <c r="D81" s="195">
        <v>3000</v>
      </c>
      <c r="E81" s="195"/>
      <c r="F81" s="196"/>
      <c r="G81" s="195">
        <v>3000</v>
      </c>
      <c r="H81" s="197"/>
    </row>
    <row r="82" spans="2:8" x14ac:dyDescent="0.3">
      <c r="B82" s="146" t="s">
        <v>182</v>
      </c>
      <c r="C82" s="194">
        <v>7</v>
      </c>
      <c r="D82" s="195">
        <v>3000</v>
      </c>
      <c r="E82" s="195"/>
      <c r="F82" s="195"/>
      <c r="G82" s="196"/>
      <c r="H82" s="197"/>
    </row>
    <row r="83" spans="2:8" x14ac:dyDescent="0.3">
      <c r="B83" s="146" t="s">
        <v>183</v>
      </c>
      <c r="C83" s="194">
        <v>7</v>
      </c>
      <c r="D83" s="195">
        <v>3500</v>
      </c>
      <c r="E83" s="195"/>
      <c r="F83" s="195"/>
      <c r="G83" s="196"/>
      <c r="H83" s="197"/>
    </row>
    <row r="84" spans="2:8" ht="16.2" thickBot="1" x14ac:dyDescent="0.35">
      <c r="B84" s="181" t="s">
        <v>184</v>
      </c>
      <c r="C84" s="198"/>
      <c r="D84" s="199">
        <f>SUM(D81:D83)</f>
        <v>9500</v>
      </c>
      <c r="E84" s="199">
        <f>SUM(E81:E83)</f>
        <v>0</v>
      </c>
      <c r="F84" s="199">
        <f>SUM(F81:F83)</f>
        <v>0</v>
      </c>
      <c r="G84" s="199">
        <f>SUM(G81:G83)</f>
        <v>3000</v>
      </c>
      <c r="H84" s="200">
        <f>SUM(H81:H83)</f>
        <v>0</v>
      </c>
    </row>
    <row r="85" spans="2:8" x14ac:dyDescent="0.3">
      <c r="B85" s="145"/>
      <c r="D85" s="201"/>
      <c r="E85" s="201"/>
      <c r="F85" s="201"/>
      <c r="G85" s="201"/>
      <c r="H85" s="197"/>
    </row>
    <row r="86" spans="2:8" x14ac:dyDescent="0.3">
      <c r="B86" s="167" t="s">
        <v>171</v>
      </c>
      <c r="D86" s="201"/>
      <c r="E86" s="201"/>
      <c r="F86" s="201"/>
      <c r="G86" s="201"/>
      <c r="H86" s="197"/>
    </row>
    <row r="87" spans="2:8" x14ac:dyDescent="0.3">
      <c r="B87" s="146" t="s">
        <v>185</v>
      </c>
      <c r="D87" s="195">
        <v>2000</v>
      </c>
      <c r="E87" s="195">
        <v>2000</v>
      </c>
      <c r="F87" s="195">
        <v>2000</v>
      </c>
      <c r="G87" s="195">
        <v>2000</v>
      </c>
      <c r="H87" s="202"/>
    </row>
    <row r="88" spans="2:8" x14ac:dyDescent="0.3">
      <c r="B88" s="146" t="str">
        <f>B81</f>
        <v>Lemon Crusher</v>
      </c>
      <c r="D88" s="201">
        <f t="shared" ref="D88:F90" si="27">$D81/$C81</f>
        <v>1000</v>
      </c>
      <c r="E88" s="201">
        <f t="shared" si="27"/>
        <v>1000</v>
      </c>
      <c r="F88" s="201">
        <f t="shared" si="27"/>
        <v>1000</v>
      </c>
      <c r="G88" s="201">
        <f>$G81/$C81</f>
        <v>1000</v>
      </c>
      <c r="H88" s="197">
        <f>$G81/$C81</f>
        <v>1000</v>
      </c>
    </row>
    <row r="89" spans="2:8" x14ac:dyDescent="0.3">
      <c r="B89" s="146" t="str">
        <f>B82</f>
        <v>Ice Machine</v>
      </c>
      <c r="D89" s="201">
        <f t="shared" si="27"/>
        <v>428.57142857142856</v>
      </c>
      <c r="E89" s="201">
        <f t="shared" si="27"/>
        <v>428.57142857142856</v>
      </c>
      <c r="F89" s="201">
        <f t="shared" si="27"/>
        <v>428.57142857142856</v>
      </c>
      <c r="G89" s="201">
        <f>$D82/$C82</f>
        <v>428.57142857142856</v>
      </c>
      <c r="H89" s="197">
        <f>$D82/$C82</f>
        <v>428.57142857142856</v>
      </c>
    </row>
    <row r="90" spans="2:8" x14ac:dyDescent="0.3">
      <c r="B90" s="146" t="str">
        <f t="shared" ref="B90" si="28">B83</f>
        <v>Refrigerator</v>
      </c>
      <c r="D90" s="201">
        <f t="shared" si="27"/>
        <v>500</v>
      </c>
      <c r="E90" s="201">
        <f t="shared" si="27"/>
        <v>500</v>
      </c>
      <c r="F90" s="201">
        <f t="shared" si="27"/>
        <v>500</v>
      </c>
      <c r="G90" s="201">
        <f>$D83/$C83</f>
        <v>500</v>
      </c>
      <c r="H90" s="197">
        <f>$D83/$C83</f>
        <v>500</v>
      </c>
    </row>
    <row r="91" spans="2:8" x14ac:dyDescent="0.3">
      <c r="B91" s="191" t="s">
        <v>186</v>
      </c>
      <c r="C91" s="203"/>
      <c r="D91" s="204">
        <f>SUM(D87:D90)</f>
        <v>3928.5714285714284</v>
      </c>
      <c r="E91" s="204">
        <f t="shared" ref="E91:H91" si="29">SUM(E87:E90)</f>
        <v>3928.5714285714284</v>
      </c>
      <c r="F91" s="204">
        <f t="shared" si="29"/>
        <v>3928.5714285714284</v>
      </c>
      <c r="G91" s="204">
        <f t="shared" si="29"/>
        <v>3928.5714285714284</v>
      </c>
      <c r="H91" s="205">
        <f t="shared" si="29"/>
        <v>1928.5714285714284</v>
      </c>
    </row>
    <row r="92" spans="2:8" x14ac:dyDescent="0.3">
      <c r="B92" s="206"/>
      <c r="C92" s="206"/>
      <c r="D92" s="207"/>
      <c r="E92" s="207"/>
      <c r="F92" s="207"/>
      <c r="G92" s="207"/>
      <c r="H92" s="207"/>
    </row>
    <row r="93" spans="2:8" x14ac:dyDescent="0.3">
      <c r="B93" s="206"/>
      <c r="C93" s="206"/>
      <c r="D93" s="207"/>
      <c r="E93" s="207"/>
      <c r="F93" s="207"/>
      <c r="G93" s="207"/>
      <c r="H93" s="207"/>
    </row>
    <row r="94" spans="2:8" x14ac:dyDescent="0.3">
      <c r="B94" s="208" t="s">
        <v>187</v>
      </c>
      <c r="C94" s="209"/>
      <c r="D94" s="209"/>
      <c r="E94" s="209"/>
      <c r="F94" s="209"/>
      <c r="G94" s="209"/>
      <c r="H94" s="209"/>
    </row>
    <row r="95" spans="2:8" x14ac:dyDescent="0.3">
      <c r="B95" s="210" t="s">
        <v>188</v>
      </c>
      <c r="C95" s="211"/>
      <c r="D95" s="211"/>
      <c r="E95" s="211"/>
      <c r="F95" s="211"/>
      <c r="G95" s="211"/>
      <c r="H95" s="212"/>
    </row>
    <row r="96" spans="2:8" x14ac:dyDescent="0.3">
      <c r="B96" s="213" t="s">
        <v>93</v>
      </c>
      <c r="C96" s="214"/>
      <c r="D96" s="214"/>
      <c r="E96" s="214"/>
      <c r="F96" s="214"/>
      <c r="G96" s="214"/>
      <c r="H96" s="215"/>
    </row>
    <row r="97" spans="2:8" x14ac:dyDescent="0.3">
      <c r="B97" s="216" t="s">
        <v>189</v>
      </c>
      <c r="C97" s="214"/>
      <c r="D97" s="217">
        <v>5000</v>
      </c>
      <c r="E97" s="217">
        <v>5500</v>
      </c>
      <c r="F97" s="217">
        <v>6500</v>
      </c>
      <c r="G97" s="217">
        <v>8000</v>
      </c>
      <c r="H97" s="218">
        <v>10000</v>
      </c>
    </row>
    <row r="98" spans="2:8" x14ac:dyDescent="0.3">
      <c r="B98" s="216" t="s">
        <v>190</v>
      </c>
      <c r="C98" s="214"/>
      <c r="D98" s="219">
        <v>5</v>
      </c>
      <c r="E98" s="219">
        <v>5</v>
      </c>
      <c r="F98" s="219">
        <v>5</v>
      </c>
      <c r="G98" s="219">
        <v>5</v>
      </c>
      <c r="H98" s="220">
        <v>5</v>
      </c>
    </row>
    <row r="99" spans="2:8" x14ac:dyDescent="0.3">
      <c r="B99" s="216" t="str">
        <f>B8&amp; " as % of Rev"</f>
        <v>Discounts as % of Rev</v>
      </c>
      <c r="C99" s="214"/>
      <c r="D99" s="221">
        <v>0.05</v>
      </c>
      <c r="E99" s="221">
        <v>0.05</v>
      </c>
      <c r="F99" s="221">
        <v>0.05</v>
      </c>
      <c r="G99" s="221">
        <v>0.05</v>
      </c>
      <c r="H99" s="222">
        <v>0.05</v>
      </c>
    </row>
    <row r="100" spans="2:8" x14ac:dyDescent="0.3">
      <c r="B100" s="213"/>
      <c r="C100" s="214"/>
      <c r="D100" s="223"/>
      <c r="E100" s="223"/>
      <c r="F100" s="223"/>
      <c r="G100" s="223"/>
      <c r="H100" s="224"/>
    </row>
    <row r="101" spans="2:8" x14ac:dyDescent="0.3">
      <c r="B101" s="213" t="s">
        <v>127</v>
      </c>
      <c r="C101" s="214"/>
      <c r="D101" s="223"/>
      <c r="E101" s="223"/>
      <c r="F101" s="223"/>
      <c r="G101" s="223"/>
      <c r="H101" s="224"/>
    </row>
    <row r="102" spans="2:8" x14ac:dyDescent="0.3">
      <c r="B102" s="216" t="str">
        <f>B11&amp; " as % of Rev"</f>
        <v>Raw Materials as % of Rev</v>
      </c>
      <c r="C102" s="214"/>
      <c r="D102" s="221">
        <v>0.3</v>
      </c>
      <c r="E102" s="221">
        <v>0.3</v>
      </c>
      <c r="F102" s="221">
        <v>0.3</v>
      </c>
      <c r="G102" s="221">
        <v>0.3</v>
      </c>
      <c r="H102" s="222">
        <v>0.3</v>
      </c>
    </row>
    <row r="103" spans="2:8" x14ac:dyDescent="0.3">
      <c r="B103" s="216" t="str">
        <f>B12&amp; " as % of Rev"</f>
        <v>Fulfillment as % of Rev</v>
      </c>
      <c r="C103" s="214"/>
      <c r="D103" s="221">
        <v>7.0000000000000007E-2</v>
      </c>
      <c r="E103" s="221">
        <v>7.0000000000000007E-2</v>
      </c>
      <c r="F103" s="221">
        <v>7.0000000000000007E-2</v>
      </c>
      <c r="G103" s="221">
        <v>7.0000000000000007E-2</v>
      </c>
      <c r="H103" s="222">
        <v>7.0000000000000007E-2</v>
      </c>
    </row>
    <row r="104" spans="2:8" x14ac:dyDescent="0.3">
      <c r="B104" s="216" t="str">
        <f>B13&amp; " as % of Rev"</f>
        <v>Transaction Fees as % of Rev</v>
      </c>
      <c r="C104" s="214"/>
      <c r="D104" s="221">
        <v>0.02</v>
      </c>
      <c r="E104" s="221">
        <v>0.02</v>
      </c>
      <c r="F104" s="221">
        <v>0.02</v>
      </c>
      <c r="G104" s="221">
        <v>0.02</v>
      </c>
      <c r="H104" s="222">
        <v>0.02</v>
      </c>
    </row>
    <row r="105" spans="2:8" x14ac:dyDescent="0.3">
      <c r="B105" s="213"/>
      <c r="C105" s="214"/>
      <c r="D105" s="223"/>
      <c r="E105" s="223"/>
      <c r="F105" s="223"/>
      <c r="G105" s="223"/>
      <c r="H105" s="224"/>
    </row>
    <row r="106" spans="2:8" x14ac:dyDescent="0.3">
      <c r="B106" s="213" t="s">
        <v>134</v>
      </c>
      <c r="C106" s="214"/>
      <c r="D106" s="223"/>
      <c r="E106" s="223"/>
      <c r="F106" s="223"/>
      <c r="G106" s="223"/>
      <c r="H106" s="224"/>
    </row>
    <row r="107" spans="2:8" x14ac:dyDescent="0.3">
      <c r="B107" s="216" t="str">
        <f>B18&amp; " as % of Rev"</f>
        <v>Labor as % of Rev</v>
      </c>
      <c r="C107" s="214"/>
      <c r="D107" s="221">
        <v>0.15</v>
      </c>
      <c r="E107" s="221">
        <v>0.15</v>
      </c>
      <c r="F107" s="221">
        <v>0.15</v>
      </c>
      <c r="G107" s="221">
        <v>0.15</v>
      </c>
      <c r="H107" s="222">
        <v>0.15</v>
      </c>
    </row>
    <row r="108" spans="2:8" x14ac:dyDescent="0.3">
      <c r="B108" s="216" t="str">
        <f>B19&amp; " as % of Rev"</f>
        <v>Marketing as % of Rev</v>
      </c>
      <c r="C108" s="214"/>
      <c r="D108" s="221">
        <v>0.05</v>
      </c>
      <c r="E108" s="221">
        <v>0.05</v>
      </c>
      <c r="F108" s="221">
        <v>0.05</v>
      </c>
      <c r="G108" s="221">
        <v>0.05</v>
      </c>
      <c r="H108" s="222">
        <v>0.05</v>
      </c>
    </row>
    <row r="109" spans="2:8" x14ac:dyDescent="0.3">
      <c r="B109" s="216" t="str">
        <f>B20&amp; " as % of Rev"</f>
        <v>SGA &amp; Other as % of Rev</v>
      </c>
      <c r="C109" s="214"/>
      <c r="D109" s="221">
        <v>0.05</v>
      </c>
      <c r="E109" s="221">
        <v>0.05</v>
      </c>
      <c r="F109" s="221">
        <v>0.05</v>
      </c>
      <c r="G109" s="221">
        <v>0.05</v>
      </c>
      <c r="H109" s="222">
        <v>0.05</v>
      </c>
    </row>
    <row r="110" spans="2:8" x14ac:dyDescent="0.3">
      <c r="B110" s="213"/>
      <c r="C110" s="214"/>
      <c r="D110" s="221"/>
      <c r="E110" s="221"/>
      <c r="F110" s="221"/>
      <c r="G110" s="221"/>
      <c r="H110" s="222"/>
    </row>
    <row r="111" spans="2:8" x14ac:dyDescent="0.3">
      <c r="B111" s="213" t="s">
        <v>191</v>
      </c>
      <c r="C111" s="214"/>
      <c r="D111" s="221">
        <v>0.21</v>
      </c>
      <c r="E111" s="221">
        <v>0.21</v>
      </c>
      <c r="F111" s="221">
        <v>0.21</v>
      </c>
      <c r="G111" s="221">
        <v>0.21</v>
      </c>
      <c r="H111" s="222">
        <v>0.21</v>
      </c>
    </row>
    <row r="112" spans="2:8" x14ac:dyDescent="0.3">
      <c r="B112" s="145"/>
      <c r="D112" s="225"/>
      <c r="E112" s="225"/>
      <c r="F112" s="225"/>
      <c r="G112" s="225"/>
      <c r="H112" s="226"/>
    </row>
    <row r="113" spans="2:8" x14ac:dyDescent="0.3">
      <c r="B113" s="227" t="s">
        <v>192</v>
      </c>
      <c r="C113" s="214"/>
      <c r="D113" s="214"/>
      <c r="E113" s="214"/>
      <c r="F113" s="214"/>
      <c r="G113" s="214"/>
      <c r="H113" s="215"/>
    </row>
    <row r="114" spans="2:8" x14ac:dyDescent="0.3">
      <c r="B114" s="213" t="s">
        <v>126</v>
      </c>
      <c r="C114" s="217">
        <v>15000</v>
      </c>
      <c r="D114" s="228">
        <f>D9</f>
        <v>23750</v>
      </c>
      <c r="E114" s="228">
        <f>E9</f>
        <v>26125</v>
      </c>
      <c r="F114" s="228">
        <f>F9</f>
        <v>30875</v>
      </c>
      <c r="G114" s="228">
        <f>G9</f>
        <v>38000</v>
      </c>
      <c r="H114" s="229">
        <f>H9</f>
        <v>47500</v>
      </c>
    </row>
    <row r="115" spans="2:8" x14ac:dyDescent="0.3">
      <c r="B115" s="213" t="s">
        <v>193</v>
      </c>
      <c r="C115" s="217">
        <v>8850</v>
      </c>
      <c r="D115" s="228">
        <f>-D14</f>
        <v>9750</v>
      </c>
      <c r="E115" s="228">
        <f>-E14</f>
        <v>10725</v>
      </c>
      <c r="F115" s="228">
        <f>-F14</f>
        <v>12675</v>
      </c>
      <c r="G115" s="228">
        <f>-G14</f>
        <v>15600</v>
      </c>
      <c r="H115" s="229">
        <f>-H14</f>
        <v>19500</v>
      </c>
    </row>
    <row r="116" spans="2:8" x14ac:dyDescent="0.3">
      <c r="B116" s="216" t="s">
        <v>194</v>
      </c>
      <c r="C116" s="230">
        <f>C35/C$114</f>
        <v>0.01</v>
      </c>
      <c r="D116" s="231">
        <f>C116</f>
        <v>0.01</v>
      </c>
      <c r="E116" s="231">
        <f t="shared" ref="E116:H118" si="30">D116</f>
        <v>0.01</v>
      </c>
      <c r="F116" s="231">
        <f t="shared" si="30"/>
        <v>0.01</v>
      </c>
      <c r="G116" s="231">
        <f t="shared" si="30"/>
        <v>0.01</v>
      </c>
      <c r="H116" s="232">
        <f t="shared" si="30"/>
        <v>0.01</v>
      </c>
    </row>
    <row r="117" spans="2:8" x14ac:dyDescent="0.3">
      <c r="B117" s="216" t="s">
        <v>195</v>
      </c>
      <c r="C117" s="230">
        <f>C45/C$115</f>
        <v>2.2598870056497175E-2</v>
      </c>
      <c r="D117" s="231">
        <f>C117</f>
        <v>2.2598870056497175E-2</v>
      </c>
      <c r="E117" s="231">
        <f t="shared" si="30"/>
        <v>2.2598870056497175E-2</v>
      </c>
      <c r="F117" s="231">
        <f t="shared" si="30"/>
        <v>2.2598870056497175E-2</v>
      </c>
      <c r="G117" s="231">
        <f t="shared" si="30"/>
        <v>2.2598870056497175E-2</v>
      </c>
      <c r="H117" s="232">
        <f t="shared" si="30"/>
        <v>2.2598870056497175E-2</v>
      </c>
    </row>
    <row r="118" spans="2:8" x14ac:dyDescent="0.3">
      <c r="B118" s="216" t="s">
        <v>196</v>
      </c>
      <c r="C118" s="230">
        <f>C46/C$114</f>
        <v>6.6666666666666671E-3</v>
      </c>
      <c r="D118" s="231">
        <f>C118</f>
        <v>6.6666666666666671E-3</v>
      </c>
      <c r="E118" s="231">
        <f t="shared" si="30"/>
        <v>6.6666666666666671E-3</v>
      </c>
      <c r="F118" s="231">
        <f t="shared" si="30"/>
        <v>6.6666666666666671E-3</v>
      </c>
      <c r="G118" s="231">
        <f t="shared" si="30"/>
        <v>6.6666666666666671E-3</v>
      </c>
      <c r="H118" s="232">
        <f t="shared" si="30"/>
        <v>6.6666666666666671E-3</v>
      </c>
    </row>
    <row r="119" spans="2:8" x14ac:dyDescent="0.3">
      <c r="B119" s="213"/>
      <c r="C119" s="214"/>
      <c r="D119" s="214"/>
      <c r="E119" s="214"/>
      <c r="F119" s="214"/>
      <c r="G119" s="214"/>
      <c r="H119" s="215"/>
    </row>
    <row r="120" spans="2:8" x14ac:dyDescent="0.3">
      <c r="B120" s="213" t="s">
        <v>160</v>
      </c>
      <c r="C120" s="214"/>
      <c r="D120" s="214"/>
      <c r="E120" s="214"/>
      <c r="F120" s="214"/>
      <c r="G120" s="214"/>
      <c r="H120" s="215"/>
    </row>
    <row r="121" spans="2:8" x14ac:dyDescent="0.3">
      <c r="B121" s="233" t="s">
        <v>197</v>
      </c>
      <c r="C121" s="214"/>
      <c r="D121" s="234"/>
      <c r="E121" s="234"/>
      <c r="F121" s="217">
        <v>5000</v>
      </c>
      <c r="G121" s="234"/>
      <c r="H121" s="235"/>
    </row>
    <row r="122" spans="2:8" x14ac:dyDescent="0.3">
      <c r="B122" s="233" t="s">
        <v>177</v>
      </c>
      <c r="C122" s="214"/>
      <c r="D122" s="217">
        <v>500</v>
      </c>
      <c r="E122" s="217">
        <v>500</v>
      </c>
      <c r="F122" s="217">
        <v>750</v>
      </c>
      <c r="G122" s="217">
        <v>750</v>
      </c>
      <c r="H122" s="218">
        <v>750</v>
      </c>
    </row>
    <row r="123" spans="2:8" x14ac:dyDescent="0.3">
      <c r="B123" s="233" t="s">
        <v>198</v>
      </c>
      <c r="C123" s="214"/>
      <c r="D123" s="221">
        <v>7.0000000000000007E-2</v>
      </c>
      <c r="E123" s="221">
        <v>7.0000000000000007E-2</v>
      </c>
      <c r="F123" s="221">
        <v>7.0000000000000007E-2</v>
      </c>
      <c r="G123" s="221">
        <v>7.0000000000000007E-2</v>
      </c>
      <c r="H123" s="222">
        <v>7.0000000000000007E-2</v>
      </c>
    </row>
    <row r="124" spans="2:8" x14ac:dyDescent="0.3">
      <c r="B124" s="236" t="s">
        <v>199</v>
      </c>
      <c r="C124" s="237"/>
      <c r="D124" s="238">
        <f>D49*D123</f>
        <v>665.00000000000011</v>
      </c>
      <c r="E124" s="238">
        <f>E49*E123</f>
        <v>630.00000000000011</v>
      </c>
      <c r="F124" s="238">
        <f>F49*F123</f>
        <v>927.50000000000011</v>
      </c>
      <c r="G124" s="238">
        <f>G49*G123</f>
        <v>875.00000000000011</v>
      </c>
      <c r="H124" s="239">
        <f>H49*H123</f>
        <v>822.50000000000011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hari priya</cp:lastModifiedBy>
  <cp:revision/>
  <dcterms:created xsi:type="dcterms:W3CDTF">2022-11-15T11:25:17Z</dcterms:created>
  <dcterms:modified xsi:type="dcterms:W3CDTF">2025-09-09T07:19:36Z</dcterms:modified>
  <cp:category/>
  <cp:contentStatus/>
</cp:coreProperties>
</file>