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 PRIYA\Downloads\"/>
    </mc:Choice>
  </mc:AlternateContent>
  <xr:revisionPtr revIDLastSave="0" documentId="8_{B16326E7-14D7-41EE-B177-714242248585}" xr6:coauthVersionLast="47" xr6:coauthVersionMax="47" xr10:uidLastSave="{00000000-0000-0000-0000-000000000000}"/>
  <bookViews>
    <workbookView xWindow="-108" yWindow="-108" windowWidth="23256" windowHeight="12576" firstSheet="1" activeTab="1" xr2:uid="{F81D1922-8D93-47F7-A498-AFF8D4BAC3B5}"/>
  </bookViews>
  <sheets>
    <sheet name="Variance Analysis Model" sheetId="4" r:id="rId1"/>
    <sheet name="Variance Budget" sheetId="6" r:id="rId2"/>
    <sheet name="Variance Actuals" sheetId="7" r:id="rId3"/>
    <sheet name="Capital Budgeting Model" sheetId="5" r:id="rId4"/>
    <sheet name="Comps Model" sheetId="3" r:id="rId5"/>
    <sheet name="3 Statement Model" sheetId="1" r:id="rId6"/>
    <sheet name="DCF Model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C14" i="5"/>
  <c r="D19" i="4"/>
  <c r="C61" i="7" l="1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I19" i="6"/>
  <c r="H19" i="6"/>
  <c r="G19" i="6"/>
  <c r="N14" i="6"/>
  <c r="N19" i="6" s="1"/>
  <c r="M14" i="6"/>
  <c r="M19" i="6" s="1"/>
  <c r="L14" i="6"/>
  <c r="L19" i="6" s="1"/>
  <c r="K14" i="6"/>
  <c r="K19" i="6" s="1"/>
  <c r="J14" i="6"/>
  <c r="J19" i="6" s="1"/>
  <c r="I14" i="6"/>
  <c r="H14" i="6"/>
  <c r="G14" i="6"/>
  <c r="F14" i="6"/>
  <c r="F19" i="6" s="1"/>
  <c r="E14" i="6"/>
  <c r="E19" i="6" s="1"/>
  <c r="D14" i="6"/>
  <c r="D19" i="6" s="1"/>
  <c r="C14" i="6"/>
  <c r="C19" i="6" s="1"/>
  <c r="C10" i="6"/>
  <c r="D9" i="6"/>
  <c r="E9" i="6" s="1"/>
  <c r="D8" i="6"/>
  <c r="D10" i="6" s="1"/>
  <c r="D21" i="6" s="1"/>
  <c r="C21" i="6" l="1"/>
  <c r="C22" i="6" s="1"/>
  <c r="F9" i="6"/>
  <c r="E10" i="6"/>
  <c r="E21" i="6" s="1"/>
  <c r="D22" i="6"/>
  <c r="E22" i="6" l="1"/>
  <c r="G9" i="6"/>
  <c r="F10" i="6"/>
  <c r="F21" i="6" s="1"/>
  <c r="F22" i="6" s="1"/>
  <c r="H9" i="6" l="1"/>
  <c r="G10" i="6"/>
  <c r="G21" i="6" s="1"/>
  <c r="G22" i="6" s="1"/>
  <c r="I9" i="6" l="1"/>
  <c r="H10" i="6"/>
  <c r="H21" i="6" s="1"/>
  <c r="H22" i="6" s="1"/>
  <c r="J9" i="6" l="1"/>
  <c r="I10" i="6"/>
  <c r="I21" i="6" s="1"/>
  <c r="I22" i="6" s="1"/>
  <c r="K9" i="6" l="1"/>
  <c r="J10" i="6"/>
  <c r="J21" i="6" s="1"/>
  <c r="J22" i="6" s="1"/>
  <c r="K10" i="6" l="1"/>
  <c r="K21" i="6" s="1"/>
  <c r="K22" i="6" s="1"/>
  <c r="L9" i="6"/>
  <c r="L10" i="6" l="1"/>
  <c r="L21" i="6" s="1"/>
  <c r="L22" i="6" s="1"/>
  <c r="M9" i="6"/>
  <c r="M10" i="6" l="1"/>
  <c r="M21" i="6" s="1"/>
  <c r="M22" i="6" s="1"/>
  <c r="N9" i="6"/>
  <c r="N10" i="6" s="1"/>
  <c r="N21" i="6" s="1"/>
  <c r="N22" i="6" s="1"/>
  <c r="C32" i="5" l="1"/>
  <c r="H25" i="5"/>
  <c r="G25" i="5"/>
  <c r="F25" i="5"/>
  <c r="E25" i="5"/>
  <c r="D25" i="5"/>
  <c r="C25" i="5"/>
  <c r="C26" i="5" s="1"/>
  <c r="D26" i="5" s="1"/>
  <c r="E26" i="5" s="1"/>
  <c r="F26" i="5" s="1"/>
  <c r="J9" i="5"/>
  <c r="I9" i="5"/>
  <c r="H9" i="5"/>
  <c r="G9" i="5"/>
  <c r="F9" i="5"/>
  <c r="E9" i="5"/>
  <c r="D9" i="5"/>
  <c r="C9" i="5"/>
  <c r="C34" i="5" l="1"/>
  <c r="G26" i="5"/>
  <c r="H26" i="5"/>
  <c r="D10" i="5"/>
  <c r="E10" i="5"/>
  <c r="F10" i="5"/>
  <c r="C18" i="5" s="1"/>
  <c r="C10" i="5"/>
  <c r="C30" i="5"/>
  <c r="G10" i="5" l="1"/>
  <c r="H10" i="5" s="1"/>
  <c r="I10" i="5" s="1"/>
  <c r="J10" i="5" s="1"/>
  <c r="C19" i="4"/>
  <c r="C18" i="4"/>
  <c r="C17" i="4"/>
  <c r="C16" i="4"/>
  <c r="C14" i="4"/>
  <c r="C8" i="4"/>
  <c r="C9" i="4"/>
  <c r="F19" i="4" l="1"/>
  <c r="C15" i="4"/>
  <c r="D8" i="4"/>
  <c r="F8" i="4" s="1"/>
  <c r="D9" i="4"/>
  <c r="F9" i="4" s="1"/>
  <c r="D10" i="4"/>
  <c r="D11" i="4" s="1"/>
  <c r="D14" i="4"/>
  <c r="F14" i="4" s="1"/>
  <c r="D15" i="4"/>
  <c r="D16" i="4"/>
  <c r="G16" i="4" s="1"/>
  <c r="D17" i="4"/>
  <c r="F17" i="4" s="1"/>
  <c r="D18" i="4"/>
  <c r="G18" i="4" s="1"/>
  <c r="C10" i="4"/>
  <c r="C11" i="4" s="1"/>
  <c r="G8" i="4"/>
  <c r="G19" i="4"/>
  <c r="C20" i="4"/>
  <c r="G9" i="4" l="1"/>
  <c r="G15" i="4"/>
  <c r="G14" i="4"/>
  <c r="F10" i="4"/>
  <c r="D20" i="4"/>
  <c r="F20" i="4" s="1"/>
  <c r="F16" i="4"/>
  <c r="G10" i="4"/>
  <c r="F18" i="4"/>
  <c r="G17" i="4"/>
  <c r="F15" i="4"/>
  <c r="G11" i="4"/>
  <c r="F11" i="4"/>
  <c r="C22" i="4"/>
  <c r="G20" i="4" l="1"/>
  <c r="D22" i="4"/>
  <c r="G22" i="4"/>
  <c r="F22" i="4"/>
  <c r="P25" i="3" l="1"/>
  <c r="O25" i="3"/>
  <c r="N25" i="3"/>
  <c r="P23" i="3"/>
  <c r="O23" i="3"/>
  <c r="N23" i="3"/>
  <c r="F12" i="3"/>
  <c r="P12" i="3" s="1"/>
  <c r="P11" i="3"/>
  <c r="F11" i="3"/>
  <c r="H11" i="3" s="1"/>
  <c r="F10" i="3"/>
  <c r="P10" i="3" s="1"/>
  <c r="F9" i="3"/>
  <c r="P9" i="3" s="1"/>
  <c r="P8" i="3"/>
  <c r="P16" i="3" s="1"/>
  <c r="F8" i="3"/>
  <c r="H8" i="3" s="1"/>
  <c r="F7" i="3"/>
  <c r="P7" i="3" s="1"/>
  <c r="O8" i="3" l="1"/>
  <c r="N8" i="3"/>
  <c r="P15" i="3"/>
  <c r="P14" i="3"/>
  <c r="P17" i="3"/>
  <c r="P24" i="3" s="1"/>
  <c r="P26" i="3" s="1"/>
  <c r="N11" i="3"/>
  <c r="O11" i="3"/>
  <c r="P19" i="3"/>
  <c r="H7" i="3"/>
  <c r="H12" i="3"/>
  <c r="H10" i="3"/>
  <c r="P18" i="3"/>
  <c r="H9" i="3"/>
  <c r="N9" i="3" l="1"/>
  <c r="N19" i="3" s="1"/>
  <c r="O9" i="3"/>
  <c r="P22" i="3"/>
  <c r="N10" i="3"/>
  <c r="O10" i="3"/>
  <c r="O16" i="3" s="1"/>
  <c r="N12" i="3"/>
  <c r="O12" i="3"/>
  <c r="N16" i="3"/>
  <c r="O7" i="3"/>
  <c r="N7" i="3"/>
  <c r="O19" i="3"/>
  <c r="O15" i="3"/>
  <c r="O14" i="3"/>
  <c r="O17" i="3"/>
  <c r="O22" i="3" s="1"/>
  <c r="O24" i="3" s="1"/>
  <c r="O26" i="3" s="1"/>
  <c r="N14" i="3" l="1"/>
  <c r="N17" i="3"/>
  <c r="N22" i="3" s="1"/>
  <c r="N24" i="3" s="1"/>
  <c r="N26" i="3" s="1"/>
  <c r="O18" i="3"/>
  <c r="N18" i="3"/>
  <c r="N15" i="3"/>
  <c r="C108" i="2"/>
  <c r="C106" i="2"/>
  <c r="C79" i="2"/>
  <c r="C76" i="2"/>
  <c r="C87" i="2" s="1"/>
  <c r="D56" i="2"/>
  <c r="E56" i="2"/>
  <c r="F56" i="2"/>
  <c r="C56" i="2"/>
  <c r="C72" i="2" s="1"/>
  <c r="C53" i="2"/>
  <c r="C69" i="2" s="1"/>
  <c r="D53" i="2"/>
  <c r="E53" i="2"/>
  <c r="F53" i="2"/>
  <c r="C54" i="2"/>
  <c r="C70" i="2" s="1"/>
  <c r="D54" i="2"/>
  <c r="E54" i="2"/>
  <c r="F54" i="2"/>
  <c r="C55" i="2"/>
  <c r="C71" i="2" s="1"/>
  <c r="D55" i="2"/>
  <c r="E55" i="2"/>
  <c r="F55" i="2"/>
  <c r="D52" i="2"/>
  <c r="E52" i="2"/>
  <c r="F52" i="2"/>
  <c r="C52" i="2"/>
  <c r="F49" i="2"/>
  <c r="E49" i="2"/>
  <c r="D49" i="2"/>
  <c r="C49" i="2"/>
  <c r="C68" i="2" s="1"/>
  <c r="C48" i="2"/>
  <c r="C65" i="2" s="1"/>
  <c r="D48" i="2"/>
  <c r="E48" i="2"/>
  <c r="F48" i="2"/>
  <c r="D47" i="2"/>
  <c r="E47" i="2"/>
  <c r="F47" i="2"/>
  <c r="C47" i="2"/>
  <c r="C64" i="2" s="1"/>
  <c r="E38" i="2"/>
  <c r="F38" i="2"/>
  <c r="G35" i="2" s="1"/>
  <c r="D38" i="2"/>
  <c r="E35" i="2"/>
  <c r="F35" i="2"/>
  <c r="D35" i="2"/>
  <c r="E15" i="2"/>
  <c r="F15" i="2"/>
  <c r="D15" i="2"/>
  <c r="E13" i="2"/>
  <c r="E36" i="2" s="1"/>
  <c r="F13" i="2"/>
  <c r="F36" i="2" s="1"/>
  <c r="D13" i="2"/>
  <c r="D17" i="2" s="1"/>
  <c r="E10" i="2"/>
  <c r="E11" i="2" s="1"/>
  <c r="F10" i="2"/>
  <c r="F11" i="2" s="1"/>
  <c r="D10" i="2"/>
  <c r="D11" i="2" s="1"/>
  <c r="E7" i="2"/>
  <c r="E62" i="2" s="1"/>
  <c r="F7" i="2"/>
  <c r="F62" i="2" s="1"/>
  <c r="D7" i="2"/>
  <c r="D62" i="2" s="1"/>
  <c r="E6" i="2"/>
  <c r="E61" i="2" s="1"/>
  <c r="F6" i="2"/>
  <c r="F61" i="2" s="1"/>
  <c r="D6" i="2"/>
  <c r="D61" i="2" s="1"/>
  <c r="C85" i="2"/>
  <c r="C88" i="2" s="1"/>
  <c r="H43" i="2"/>
  <c r="I43" i="2" s="1"/>
  <c r="J43" i="2" s="1"/>
  <c r="K43" i="2" s="1"/>
  <c r="K26" i="2"/>
  <c r="J26" i="2"/>
  <c r="I26" i="2"/>
  <c r="H26" i="2"/>
  <c r="G26" i="2"/>
  <c r="F26" i="2"/>
  <c r="E26" i="2"/>
  <c r="D26" i="2"/>
  <c r="B26" i="2"/>
  <c r="F17" i="2"/>
  <c r="E17" i="2"/>
  <c r="G6" i="2" l="1"/>
  <c r="G61" i="2" s="1"/>
  <c r="D68" i="2"/>
  <c r="D36" i="2"/>
  <c r="D37" i="2" s="1"/>
  <c r="E69" i="2"/>
  <c r="D70" i="2"/>
  <c r="D72" i="2"/>
  <c r="E68" i="2"/>
  <c r="D71" i="2"/>
  <c r="D69" i="2"/>
  <c r="E72" i="2"/>
  <c r="E71" i="2"/>
  <c r="F70" i="2"/>
  <c r="F68" i="2"/>
  <c r="F69" i="2"/>
  <c r="F71" i="2"/>
  <c r="E70" i="2"/>
  <c r="F72" i="2"/>
  <c r="C107" i="2"/>
  <c r="C78" i="2"/>
  <c r="C81" i="2" s="1"/>
  <c r="E50" i="2"/>
  <c r="E21" i="2" s="1"/>
  <c r="C80" i="2"/>
  <c r="F50" i="2"/>
  <c r="F21" i="2" s="1"/>
  <c r="D64" i="2"/>
  <c r="C57" i="2"/>
  <c r="D57" i="2"/>
  <c r="D22" i="2" s="1"/>
  <c r="F57" i="2"/>
  <c r="F22" i="2" s="1"/>
  <c r="D50" i="2"/>
  <c r="D21" i="2" s="1"/>
  <c r="D66" i="2"/>
  <c r="E65" i="2"/>
  <c r="E66" i="2"/>
  <c r="F65" i="2"/>
  <c r="F66" i="2"/>
  <c r="C50" i="2"/>
  <c r="E57" i="2"/>
  <c r="E22" i="2" s="1"/>
  <c r="E64" i="2"/>
  <c r="F64" i="2"/>
  <c r="D65" i="2"/>
  <c r="C66" i="2"/>
  <c r="E42" i="2"/>
  <c r="E27" i="2"/>
  <c r="D29" i="2"/>
  <c r="E29" i="2"/>
  <c r="F29" i="2"/>
  <c r="E30" i="2"/>
  <c r="F27" i="2"/>
  <c r="F42" i="2"/>
  <c r="D30" i="2"/>
  <c r="F30" i="2"/>
  <c r="E8" i="2"/>
  <c r="E12" i="2" s="1"/>
  <c r="E14" i="2" s="1"/>
  <c r="E37" i="2"/>
  <c r="D8" i="2"/>
  <c r="D12" i="2" s="1"/>
  <c r="D14" i="2" s="1"/>
  <c r="D16" i="2" s="1"/>
  <c r="G37" i="2"/>
  <c r="G18" i="2" s="1"/>
  <c r="F37" i="2"/>
  <c r="H6" i="2"/>
  <c r="H61" i="2" s="1"/>
  <c r="F8" i="2"/>
  <c r="F12" i="2" s="1"/>
  <c r="F14" i="2" s="1"/>
  <c r="F16" i="2" s="1"/>
  <c r="D42" i="2" l="1"/>
  <c r="F20" i="2"/>
  <c r="G65" i="2"/>
  <c r="H65" i="2" s="1"/>
  <c r="E20" i="2"/>
  <c r="D20" i="2"/>
  <c r="F43" i="2"/>
  <c r="F18" i="2"/>
  <c r="D43" i="2"/>
  <c r="D18" i="2"/>
  <c r="E43" i="2"/>
  <c r="E18" i="2"/>
  <c r="G64" i="2"/>
  <c r="H64" i="2" s="1"/>
  <c r="G42" i="2"/>
  <c r="H42" i="2" s="1"/>
  <c r="I42" i="2" s="1"/>
  <c r="F19" i="2"/>
  <c r="C90" i="2"/>
  <c r="C102" i="2" s="1"/>
  <c r="G66" i="2"/>
  <c r="H66" i="2" s="1"/>
  <c r="G69" i="2"/>
  <c r="G53" i="2" s="1"/>
  <c r="G70" i="2"/>
  <c r="G71" i="2"/>
  <c r="G29" i="2"/>
  <c r="H29" i="2" s="1"/>
  <c r="I29" i="2" s="1"/>
  <c r="J29" i="2" s="1"/>
  <c r="K29" i="2" s="1"/>
  <c r="G30" i="2"/>
  <c r="H30" i="2" s="1"/>
  <c r="I30" i="2" s="1"/>
  <c r="J30" i="2" s="1"/>
  <c r="K30" i="2" s="1"/>
  <c r="E16" i="2"/>
  <c r="E31" i="2"/>
  <c r="D31" i="2"/>
  <c r="F31" i="2"/>
  <c r="I6" i="2"/>
  <c r="I61" i="2" s="1"/>
  <c r="E19" i="2" l="1"/>
  <c r="F23" i="2"/>
  <c r="F94" i="2" s="1"/>
  <c r="D19" i="2"/>
  <c r="H71" i="2"/>
  <c r="H55" i="2" s="1"/>
  <c r="G55" i="2"/>
  <c r="H70" i="2"/>
  <c r="H54" i="2" s="1"/>
  <c r="G54" i="2"/>
  <c r="D23" i="2"/>
  <c r="D94" i="2" s="1"/>
  <c r="E23" i="2"/>
  <c r="E94" i="2" s="1"/>
  <c r="G47" i="2"/>
  <c r="G36" i="2"/>
  <c r="G68" i="2"/>
  <c r="G72" i="2"/>
  <c r="G56" i="2" s="1"/>
  <c r="H69" i="2"/>
  <c r="H53" i="2" s="1"/>
  <c r="I71" i="2"/>
  <c r="I55" i="2" s="1"/>
  <c r="I64" i="2"/>
  <c r="H47" i="2"/>
  <c r="I66" i="2"/>
  <c r="I65" i="2"/>
  <c r="H7" i="2"/>
  <c r="G7" i="2"/>
  <c r="G10" i="2"/>
  <c r="G11" i="2" s="1"/>
  <c r="H10" i="2"/>
  <c r="H11" i="2" s="1"/>
  <c r="J42" i="2"/>
  <c r="J6" i="2"/>
  <c r="J61" i="2" s="1"/>
  <c r="I10" i="2"/>
  <c r="I11" i="2" s="1"/>
  <c r="I7" i="2"/>
  <c r="I70" i="2" l="1"/>
  <c r="I54" i="2" s="1"/>
  <c r="G38" i="2"/>
  <c r="H35" i="2" s="1"/>
  <c r="H37" i="2" s="1"/>
  <c r="H18" i="2" s="1"/>
  <c r="G13" i="2"/>
  <c r="G17" i="2" s="1"/>
  <c r="G8" i="2"/>
  <c r="G12" i="2" s="1"/>
  <c r="G62" i="2"/>
  <c r="H8" i="2"/>
  <c r="H12" i="2" s="1"/>
  <c r="H62" i="2"/>
  <c r="I8" i="2"/>
  <c r="I12" i="2" s="1"/>
  <c r="I62" i="2"/>
  <c r="I52" i="2" s="1"/>
  <c r="H68" i="2"/>
  <c r="H49" i="2" s="1"/>
  <c r="G49" i="2"/>
  <c r="H72" i="2"/>
  <c r="I69" i="2"/>
  <c r="I53" i="2" s="1"/>
  <c r="J65" i="2"/>
  <c r="J70" i="2"/>
  <c r="J54" i="2" s="1"/>
  <c r="J64" i="2"/>
  <c r="I47" i="2"/>
  <c r="J66" i="2"/>
  <c r="J71" i="2"/>
  <c r="J55" i="2" s="1"/>
  <c r="K42" i="2"/>
  <c r="K6" i="2"/>
  <c r="K61" i="2" s="1"/>
  <c r="J10" i="2"/>
  <c r="J11" i="2" s="1"/>
  <c r="J7" i="2"/>
  <c r="G14" i="2" l="1"/>
  <c r="G15" i="2" s="1"/>
  <c r="G16" i="2" s="1"/>
  <c r="I68" i="2"/>
  <c r="I49" i="2" s="1"/>
  <c r="H36" i="2"/>
  <c r="H13" i="2" s="1"/>
  <c r="H17" i="2" s="1"/>
  <c r="G48" i="2"/>
  <c r="G50" i="2" s="1"/>
  <c r="G21" i="2" s="1"/>
  <c r="G52" i="2"/>
  <c r="G57" i="2" s="1"/>
  <c r="G22" i="2" s="1"/>
  <c r="J8" i="2"/>
  <c r="J12" i="2" s="1"/>
  <c r="J62" i="2"/>
  <c r="J52" i="2" s="1"/>
  <c r="I72" i="2"/>
  <c r="H56" i="2"/>
  <c r="I48" i="2"/>
  <c r="H52" i="2"/>
  <c r="H48" i="2"/>
  <c r="H50" i="2" s="1"/>
  <c r="H21" i="2" s="1"/>
  <c r="J69" i="2"/>
  <c r="J53" i="2" s="1"/>
  <c r="K66" i="2"/>
  <c r="K71" i="2"/>
  <c r="K55" i="2" s="1"/>
  <c r="K70" i="2"/>
  <c r="K54" i="2" s="1"/>
  <c r="K65" i="2"/>
  <c r="K64" i="2"/>
  <c r="K47" i="2" s="1"/>
  <c r="J47" i="2"/>
  <c r="K10" i="2"/>
  <c r="K11" i="2" s="1"/>
  <c r="K7" i="2"/>
  <c r="H38" i="2" l="1"/>
  <c r="I35" i="2" s="1"/>
  <c r="J68" i="2"/>
  <c r="J49" i="2" s="1"/>
  <c r="I50" i="2"/>
  <c r="I21" i="2" s="1"/>
  <c r="H57" i="2"/>
  <c r="H22" i="2" s="1"/>
  <c r="J48" i="2"/>
  <c r="H14" i="2"/>
  <c r="H15" i="2" s="1"/>
  <c r="H16" i="2" s="1"/>
  <c r="H20" i="2"/>
  <c r="G20" i="2"/>
  <c r="G19" i="2" s="1"/>
  <c r="G23" i="2" s="1"/>
  <c r="G94" i="2" s="1"/>
  <c r="G97" i="2" s="1"/>
  <c r="J72" i="2"/>
  <c r="I56" i="2"/>
  <c r="I57" i="2" s="1"/>
  <c r="I22" i="2" s="1"/>
  <c r="I20" i="2" s="1"/>
  <c r="K8" i="2"/>
  <c r="K12" i="2" s="1"/>
  <c r="K62" i="2"/>
  <c r="K52" i="2" s="1"/>
  <c r="K68" i="2"/>
  <c r="K69" i="2"/>
  <c r="I37" i="2" l="1"/>
  <c r="I18" i="2" s="1"/>
  <c r="I36" i="2"/>
  <c r="J50" i="2"/>
  <c r="J21" i="2" s="1"/>
  <c r="K48" i="2"/>
  <c r="I19" i="2"/>
  <c r="K49" i="2"/>
  <c r="K50" i="2" s="1"/>
  <c r="K21" i="2" s="1"/>
  <c r="H19" i="2"/>
  <c r="H23" i="2" s="1"/>
  <c r="H94" i="2" s="1"/>
  <c r="H97" i="2" s="1"/>
  <c r="J56" i="2"/>
  <c r="J57" i="2" s="1"/>
  <c r="J22" i="2" s="1"/>
  <c r="J20" i="2" s="1"/>
  <c r="J19" i="2" s="1"/>
  <c r="K72" i="2"/>
  <c r="K56" i="2" s="1"/>
  <c r="K53" i="2"/>
  <c r="I13" i="2" l="1"/>
  <c r="I38" i="2"/>
  <c r="J35" i="2" s="1"/>
  <c r="K57" i="2"/>
  <c r="K22" i="2" s="1"/>
  <c r="K20" i="2"/>
  <c r="K19" i="2" s="1"/>
  <c r="J36" i="2" l="1"/>
  <c r="J13" i="2" s="1"/>
  <c r="J37" i="2"/>
  <c r="J18" i="2" s="1"/>
  <c r="J38" i="2"/>
  <c r="K35" i="2" s="1"/>
  <c r="I17" i="2"/>
  <c r="I14" i="2"/>
  <c r="I15" i="2" s="1"/>
  <c r="I16" i="2" s="1"/>
  <c r="I23" i="2" l="1"/>
  <c r="I94" i="2" s="1"/>
  <c r="I97" i="2" s="1"/>
  <c r="K37" i="2"/>
  <c r="K18" i="2" s="1"/>
  <c r="K36" i="2"/>
  <c r="J17" i="2"/>
  <c r="J14" i="2"/>
  <c r="J15" i="2" s="1"/>
  <c r="J16" i="2" s="1"/>
  <c r="J23" i="2" s="1"/>
  <c r="J94" i="2" s="1"/>
  <c r="J97" i="2" s="1"/>
  <c r="K38" i="2" l="1"/>
  <c r="K13" i="2"/>
  <c r="K17" i="2" l="1"/>
  <c r="K14" i="2"/>
  <c r="K15" i="2" s="1"/>
  <c r="K16" i="2" s="1"/>
  <c r="K23" i="2" s="1"/>
  <c r="K94" i="2" s="1"/>
  <c r="E74" i="1"/>
  <c r="F74" i="1"/>
  <c r="G74" i="1"/>
  <c r="H74" i="1"/>
  <c r="D74" i="1"/>
  <c r="E73" i="1"/>
  <c r="F73" i="1"/>
  <c r="G73" i="1"/>
  <c r="H73" i="1"/>
  <c r="D73" i="1"/>
  <c r="B67" i="1"/>
  <c r="B66" i="1"/>
  <c r="B65" i="1"/>
  <c r="E61" i="1"/>
  <c r="F61" i="1" s="1"/>
  <c r="G61" i="1" s="1"/>
  <c r="H61" i="1" s="1"/>
  <c r="H90" i="1"/>
  <c r="G90" i="1"/>
  <c r="F90" i="1"/>
  <c r="E90" i="1"/>
  <c r="D90" i="1"/>
  <c r="B90" i="1"/>
  <c r="H89" i="1"/>
  <c r="G89" i="1"/>
  <c r="F89" i="1"/>
  <c r="E89" i="1"/>
  <c r="D89" i="1"/>
  <c r="B89" i="1"/>
  <c r="H88" i="1"/>
  <c r="G88" i="1"/>
  <c r="F88" i="1"/>
  <c r="E88" i="1"/>
  <c r="D88" i="1"/>
  <c r="B88" i="1"/>
  <c r="H84" i="1"/>
  <c r="H70" i="1" s="1"/>
  <c r="H71" i="1" s="1"/>
  <c r="G84" i="1"/>
  <c r="G70" i="1" s="1"/>
  <c r="G71" i="1" s="1"/>
  <c r="F84" i="1"/>
  <c r="F70" i="1" s="1"/>
  <c r="F71" i="1" s="1"/>
  <c r="E84" i="1"/>
  <c r="E70" i="1" s="1"/>
  <c r="E71" i="1" s="1"/>
  <c r="D84" i="1"/>
  <c r="D38" i="1" s="1"/>
  <c r="E79" i="1"/>
  <c r="F79" i="1" s="1"/>
  <c r="G79" i="1" s="1"/>
  <c r="H79" i="1" s="1"/>
  <c r="C118" i="1"/>
  <c r="D118" i="1" s="1"/>
  <c r="C117" i="1"/>
  <c r="D117" i="1" s="1"/>
  <c r="E117" i="1" s="1"/>
  <c r="F117" i="1" s="1"/>
  <c r="G117" i="1" s="1"/>
  <c r="H117" i="1" s="1"/>
  <c r="C116" i="1"/>
  <c r="D116" i="1" s="1"/>
  <c r="E116" i="1" s="1"/>
  <c r="F116" i="1" s="1"/>
  <c r="G116" i="1" s="1"/>
  <c r="H116" i="1" s="1"/>
  <c r="C55" i="1"/>
  <c r="D53" i="1"/>
  <c r="E53" i="1" s="1"/>
  <c r="C50" i="1"/>
  <c r="D49" i="1"/>
  <c r="E49" i="1" s="1"/>
  <c r="C47" i="1"/>
  <c r="C40" i="1"/>
  <c r="C41" i="1" s="1"/>
  <c r="C36" i="1"/>
  <c r="B109" i="1"/>
  <c r="B108" i="1"/>
  <c r="B107" i="1"/>
  <c r="B104" i="1"/>
  <c r="B103" i="1"/>
  <c r="B102" i="1"/>
  <c r="B99" i="1"/>
  <c r="H7" i="1"/>
  <c r="H12" i="1" s="1"/>
  <c r="G7" i="1"/>
  <c r="G19" i="1" s="1"/>
  <c r="F7" i="1"/>
  <c r="F13" i="1" s="1"/>
  <c r="E7" i="1"/>
  <c r="E20" i="1" s="1"/>
  <c r="D7" i="1"/>
  <c r="D18" i="1" s="1"/>
  <c r="K97" i="2" l="1"/>
  <c r="C100" i="2" s="1"/>
  <c r="C103" i="2"/>
  <c r="C104" i="2" s="1"/>
  <c r="C105" i="2" s="1"/>
  <c r="C109" i="2" s="1"/>
  <c r="C111" i="2" s="1"/>
  <c r="D75" i="1"/>
  <c r="F75" i="1"/>
  <c r="H75" i="1"/>
  <c r="G75" i="1"/>
  <c r="D70" i="1"/>
  <c r="D71" i="1" s="1"/>
  <c r="E75" i="1"/>
  <c r="E38" i="1"/>
  <c r="F38" i="1" s="1"/>
  <c r="G38" i="1" s="1"/>
  <c r="H38" i="1" s="1"/>
  <c r="E91" i="1"/>
  <c r="E23" i="1" s="1"/>
  <c r="E64" i="1" s="1"/>
  <c r="F91" i="1"/>
  <c r="F23" i="1" s="1"/>
  <c r="F64" i="1" s="1"/>
  <c r="H91" i="1"/>
  <c r="H23" i="1" s="1"/>
  <c r="H64" i="1" s="1"/>
  <c r="G91" i="1"/>
  <c r="G23" i="1" s="1"/>
  <c r="G64" i="1" s="1"/>
  <c r="D91" i="1"/>
  <c r="D124" i="1"/>
  <c r="D25" i="1" s="1"/>
  <c r="C51" i="1"/>
  <c r="C56" i="1" s="1"/>
  <c r="C42" i="1"/>
  <c r="D50" i="1"/>
  <c r="E118" i="1"/>
  <c r="F118" i="1" s="1"/>
  <c r="G118" i="1" s="1"/>
  <c r="H118" i="1" s="1"/>
  <c r="F53" i="1"/>
  <c r="F49" i="1"/>
  <c r="E50" i="1"/>
  <c r="F8" i="1"/>
  <c r="F9" i="1" s="1"/>
  <c r="F114" i="1" s="1"/>
  <c r="F11" i="1"/>
  <c r="F18" i="1"/>
  <c r="G8" i="1"/>
  <c r="G9" i="1" s="1"/>
  <c r="G114" i="1" s="1"/>
  <c r="G18" i="1"/>
  <c r="D11" i="1"/>
  <c r="F19" i="1"/>
  <c r="G12" i="1"/>
  <c r="G13" i="1"/>
  <c r="D20" i="1"/>
  <c r="D12" i="1"/>
  <c r="F20" i="1"/>
  <c r="F12" i="1"/>
  <c r="H18" i="1"/>
  <c r="G11" i="1"/>
  <c r="E13" i="1"/>
  <c r="D19" i="1"/>
  <c r="G20" i="1"/>
  <c r="H8" i="1"/>
  <c r="H9" i="1" s="1"/>
  <c r="H114" i="1" s="1"/>
  <c r="D13" i="1"/>
  <c r="H11" i="1"/>
  <c r="E19" i="1"/>
  <c r="H20" i="1"/>
  <c r="D8" i="1"/>
  <c r="D9" i="1" s="1"/>
  <c r="D114" i="1" s="1"/>
  <c r="E12" i="1"/>
  <c r="H13" i="1"/>
  <c r="E8" i="1"/>
  <c r="E9" i="1" s="1"/>
  <c r="E114" i="1" s="1"/>
  <c r="E18" i="1"/>
  <c r="H19" i="1"/>
  <c r="E11" i="1"/>
  <c r="D23" i="1" l="1"/>
  <c r="D64" i="1" s="1"/>
  <c r="D39" i="1"/>
  <c r="F14" i="1"/>
  <c r="F115" i="1" s="1"/>
  <c r="F45" i="1" s="1"/>
  <c r="G46" i="1"/>
  <c r="G35" i="1"/>
  <c r="H35" i="1"/>
  <c r="H46" i="1"/>
  <c r="H67" i="1" s="1"/>
  <c r="D35" i="1"/>
  <c r="D46" i="1"/>
  <c r="D67" i="1" s="1"/>
  <c r="E46" i="1"/>
  <c r="E35" i="1"/>
  <c r="F35" i="1"/>
  <c r="F46" i="1"/>
  <c r="C58" i="1"/>
  <c r="G49" i="1"/>
  <c r="F50" i="1"/>
  <c r="G53" i="1"/>
  <c r="E124" i="1"/>
  <c r="E25" i="1" s="1"/>
  <c r="F21" i="1"/>
  <c r="G21" i="1"/>
  <c r="E21" i="1"/>
  <c r="D14" i="1"/>
  <c r="D115" i="1" s="1"/>
  <c r="D45" i="1" s="1"/>
  <c r="D66" i="1" s="1"/>
  <c r="D21" i="1"/>
  <c r="G14" i="1"/>
  <c r="G115" i="1" s="1"/>
  <c r="G45" i="1" s="1"/>
  <c r="G66" i="1" s="1"/>
  <c r="H14" i="1"/>
  <c r="H115" i="1" s="1"/>
  <c r="H45" i="1" s="1"/>
  <c r="H21" i="1"/>
  <c r="E14" i="1"/>
  <c r="E115" i="1" s="1"/>
  <c r="E45" i="1" s="1"/>
  <c r="H65" i="1" l="1"/>
  <c r="F67" i="1"/>
  <c r="G65" i="1"/>
  <c r="E67" i="1"/>
  <c r="D65" i="1"/>
  <c r="D68" i="1" s="1"/>
  <c r="F65" i="1"/>
  <c r="G67" i="1"/>
  <c r="G68" i="1" s="1"/>
  <c r="E66" i="1"/>
  <c r="E65" i="1"/>
  <c r="F66" i="1"/>
  <c r="H66" i="1"/>
  <c r="H68" i="1" s="1"/>
  <c r="E39" i="1"/>
  <c r="D40" i="1"/>
  <c r="D41" i="1" s="1"/>
  <c r="E47" i="1"/>
  <c r="E51" i="1" s="1"/>
  <c r="F15" i="1"/>
  <c r="F16" i="1" s="1"/>
  <c r="D47" i="1"/>
  <c r="D51" i="1" s="1"/>
  <c r="G15" i="1"/>
  <c r="G22" i="1" s="1"/>
  <c r="G24" i="1" s="1"/>
  <c r="E15" i="1"/>
  <c r="E22" i="1" s="1"/>
  <c r="E24" i="1" s="1"/>
  <c r="E26" i="1" s="1"/>
  <c r="H15" i="1"/>
  <c r="H22" i="1" s="1"/>
  <c r="H24" i="1" s="1"/>
  <c r="D15" i="1"/>
  <c r="D16" i="1" s="1"/>
  <c r="H53" i="1"/>
  <c r="F47" i="1"/>
  <c r="F51" i="1" s="1"/>
  <c r="H49" i="1"/>
  <c r="H50" i="1" s="1"/>
  <c r="G50" i="1"/>
  <c r="F124" i="1"/>
  <c r="F25" i="1" s="1"/>
  <c r="F68" i="1" l="1"/>
  <c r="E68" i="1"/>
  <c r="G16" i="1"/>
  <c r="F39" i="1"/>
  <c r="E40" i="1"/>
  <c r="E41" i="1" s="1"/>
  <c r="F22" i="1"/>
  <c r="F24" i="1" s="1"/>
  <c r="F26" i="1" s="1"/>
  <c r="F27" i="1" s="1"/>
  <c r="F28" i="1" s="1"/>
  <c r="H16" i="1"/>
  <c r="E16" i="1"/>
  <c r="D22" i="1"/>
  <c r="D24" i="1" s="1"/>
  <c r="D26" i="1" s="1"/>
  <c r="D27" i="1" s="1"/>
  <c r="D28" i="1" s="1"/>
  <c r="D63" i="1" s="1"/>
  <c r="D76" i="1" s="1"/>
  <c r="D34" i="1" s="1"/>
  <c r="G47" i="1"/>
  <c r="G51" i="1" s="1"/>
  <c r="G124" i="1"/>
  <c r="G25" i="1" s="1"/>
  <c r="G26" i="1" s="1"/>
  <c r="G27" i="1" s="1"/>
  <c r="G28" i="1" s="1"/>
  <c r="E27" i="1"/>
  <c r="E28" i="1" s="1"/>
  <c r="F63" i="1" l="1"/>
  <c r="F76" i="1" s="1"/>
  <c r="G63" i="1"/>
  <c r="G76" i="1" s="1"/>
  <c r="D36" i="1"/>
  <c r="D42" i="1" s="1"/>
  <c r="E63" i="1"/>
  <c r="E76" i="1" s="1"/>
  <c r="E34" i="1" s="1"/>
  <c r="G39" i="1"/>
  <c r="F40" i="1"/>
  <c r="F41" i="1" s="1"/>
  <c r="D54" i="1"/>
  <c r="H47" i="1"/>
  <c r="H51" i="1" s="1"/>
  <c r="H124" i="1"/>
  <c r="H25" i="1" s="1"/>
  <c r="H26" i="1" s="1"/>
  <c r="H27" i="1" s="1"/>
  <c r="H28" i="1" s="1"/>
  <c r="F34" i="1" l="1"/>
  <c r="E36" i="1"/>
  <c r="E42" i="1" s="1"/>
  <c r="H63" i="1"/>
  <c r="H76" i="1" s="1"/>
  <c r="H39" i="1"/>
  <c r="H40" i="1" s="1"/>
  <c r="H41" i="1" s="1"/>
  <c r="G40" i="1"/>
  <c r="G41" i="1" s="1"/>
  <c r="E54" i="1"/>
  <c r="D55" i="1"/>
  <c r="D56" i="1" s="1"/>
  <c r="D58" i="1" s="1"/>
  <c r="G34" i="1" l="1"/>
  <c r="F36" i="1"/>
  <c r="F42" i="1" s="1"/>
  <c r="F54" i="1"/>
  <c r="E55" i="1"/>
  <c r="E56" i="1" s="1"/>
  <c r="E58" i="1" s="1"/>
  <c r="H34" i="1" l="1"/>
  <c r="H36" i="1" s="1"/>
  <c r="H42" i="1" s="1"/>
  <c r="G36" i="1"/>
  <c r="G42" i="1" s="1"/>
  <c r="G54" i="1"/>
  <c r="F55" i="1"/>
  <c r="F56" i="1" s="1"/>
  <c r="F58" i="1" s="1"/>
  <c r="H54" i="1" l="1"/>
  <c r="H55" i="1" s="1"/>
  <c r="H56" i="1" s="1"/>
  <c r="H58" i="1" s="1"/>
  <c r="G55" i="1"/>
  <c r="G56" i="1" s="1"/>
  <c r="G58" i="1" s="1"/>
</calcChain>
</file>

<file path=xl/sharedStrings.xml><?xml version="1.0" encoding="utf-8"?>
<sst xmlns="http://schemas.openxmlformats.org/spreadsheetml/2006/main" count="533" uniqueCount="349">
  <si>
    <t>Budget vs. Actual Dashboard</t>
  </si>
  <si>
    <t>Current Month -&gt;</t>
  </si>
  <si>
    <t>April</t>
  </si>
  <si>
    <t>Figures in USD</t>
  </si>
  <si>
    <t>Budget</t>
  </si>
  <si>
    <t>Actual</t>
  </si>
  <si>
    <t>Var. Abs.</t>
  </si>
  <si>
    <t>Var. %</t>
  </si>
  <si>
    <t>Budget vs. Actual Income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</si>
  <si>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</si>
  <si>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</si>
  <si>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</si>
  <si>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</si>
  <si>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</si>
  <si>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</si>
  <si>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</si>
  <si>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</si>
  <si>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</si>
  <si>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Actual Expenses Breakdown</t>
  </si>
  <si>
    <t>Groceries</t>
  </si>
  <si>
    <t>Leisure</t>
  </si>
  <si>
    <t>Other</t>
  </si>
  <si>
    <t>Total Expenses</t>
  </si>
  <si>
    <t>Savings</t>
  </si>
  <si>
    <t>Budget vs. Actual Dashboard Inputs 1</t>
  </si>
  <si>
    <t>Monthly Income &amp; Expense Budgets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</si>
  <si>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</si>
  <si>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</si>
  <si>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</si>
  <si>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</si>
  <si>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</si>
  <si>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</si>
  <si>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</si>
  <si>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</si>
  <si>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</si>
  <si>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</si>
  <si>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</si>
  <si>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Cumulative Savings</t>
  </si>
  <si>
    <t>Budget vs. Actual Dashboard Inputs 2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</si>
  <si>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</si>
  <si>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</si>
  <si>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</si>
  <si>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</si>
  <si>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</si>
  <si>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</si>
  <si>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</si>
  <si>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</si>
  <si>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</si>
  <si>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</si>
  <si>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</si>
  <si>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</si>
  <si>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</si>
  <si>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</si>
  <si>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</si>
  <si>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</si>
  <si>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</si>
  <si>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</si>
  <si>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</si>
  <si>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</si>
  <si>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</si>
  <si>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</si>
  <si>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</si>
  <si>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</si>
  <si>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</si>
  <si>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</si>
  <si>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</si>
  <si>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</si>
  <si>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</si>
  <si>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</si>
  <si>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 xml:space="preserve"> </t>
  </si>
  <si>
    <t>Capital Budgeting Analysis</t>
  </si>
  <si>
    <t>NPV, IRR, and Payback Period</t>
  </si>
  <si>
    <t>Project 1</t>
  </si>
  <si>
    <t>Period</t>
  </si>
  <si>
    <t>Cash Inflow</t>
  </si>
  <si>
    <t>Cash Outflow</t>
  </si>
  <si>
    <t>Net Cash Flow</t>
  </si>
  <si>
    <t>Cumulative Cash Flow</t>
  </si>
  <si>
    <t>Discount Rate -&gt;</t>
  </si>
  <si>
    <t>NPV -&gt;</t>
  </si>
  <si>
    <t>IRR -&gt;</t>
  </si>
  <si>
    <t>Payback Period -&gt;</t>
  </si>
  <si>
    <t>Project 2</t>
  </si>
  <si>
    <t>Comparable Companies Analysis</t>
  </si>
  <si>
    <t>Market Data</t>
  </si>
  <si>
    <t>Financials</t>
  </si>
  <si>
    <t>Valuation</t>
  </si>
  <si>
    <t>Company</t>
  </si>
  <si>
    <t>Ticker</t>
  </si>
  <si>
    <t>Share 
Price</t>
  </si>
  <si>
    <t>Shares Outstanding</t>
  </si>
  <si>
    <t>Equity Value</t>
  </si>
  <si>
    <t>Net Debt</t>
  </si>
  <si>
    <t>Enterprise 
Value</t>
  </si>
  <si>
    <t>Revenue</t>
  </si>
  <si>
    <t>EBITDA</t>
  </si>
  <si>
    <t>Net Income</t>
  </si>
  <si>
    <t>EV/Revenue</t>
  </si>
  <si>
    <t>EV/EBITDA</t>
  </si>
  <si>
    <t>P/E</t>
  </si>
  <si>
    <t>Enjoy Lemon</t>
  </si>
  <si>
    <t>EYL</t>
  </si>
  <si>
    <t>Lemonly</t>
  </si>
  <si>
    <t>LMY</t>
  </si>
  <si>
    <t>The Lemon Co.</t>
  </si>
  <si>
    <t>TLNC</t>
  </si>
  <si>
    <t>Lemonicious</t>
  </si>
  <si>
    <t>LMCS</t>
  </si>
  <si>
    <t>Light Lemon</t>
  </si>
  <si>
    <t>LL</t>
  </si>
  <si>
    <t>Lemon World</t>
  </si>
  <si>
    <t>LNWD</t>
  </si>
  <si>
    <t>High</t>
  </si>
  <si>
    <t>75th Percentile</t>
  </si>
  <si>
    <t>Average</t>
  </si>
  <si>
    <t>Median</t>
  </si>
  <si>
    <t>25th Percentile</t>
  </si>
  <si>
    <t>Low</t>
  </si>
  <si>
    <t>Enjoy Lemon Valuation</t>
  </si>
  <si>
    <t>Implied Enterprise Value</t>
  </si>
  <si>
    <t>Implied Market Value</t>
  </si>
  <si>
    <t>Implied Value Per Share</t>
  </si>
  <si>
    <t>3 Statement Model</t>
  </si>
  <si>
    <t>Income Statement</t>
  </si>
  <si>
    <t>$ in actual figures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</si>
  <si>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</si>
  <si>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</si>
  <si>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</si>
  <si>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</si>
  <si>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</si>
  <si>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</si>
  <si>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</si>
  <si>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</si>
  <si>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</si>
  <si>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</si>
  <si>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</si>
  <si>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</si>
  <si>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</si>
  <si>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</si>
  <si>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</si>
  <si>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Depreciation &amp; Amortization</t>
  </si>
  <si>
    <t>EBIT</t>
  </si>
  <si>
    <t>Interest Expense</t>
  </si>
  <si>
    <t>EBT</t>
  </si>
  <si>
    <t>Taxes</t>
  </si>
  <si>
    <t>Balance Sheet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</si>
  <si>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</si>
  <si>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</si>
  <si>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</si>
  <si>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</si>
  <si>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</si>
  <si>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</si>
  <si>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</si>
  <si>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</si>
  <si>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</si>
  <si>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</si>
  <si>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</si>
  <si>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</si>
  <si>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</si>
  <si>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</si>
  <si>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</si>
  <si>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</si>
  <si>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</si>
  <si>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</si>
  <si>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</si>
  <si>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</si>
  <si>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</si>
  <si>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</si>
  <si>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</si>
  <si>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</si>
  <si>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</si>
  <si>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</si>
  <si>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</si>
  <si>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</si>
  <si>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</si>
  <si>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</si>
  <si>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</si>
  <si>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</si>
  <si>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Debt Repayment</t>
  </si>
  <si>
    <t>Net Borrowings</t>
  </si>
  <si>
    <t>Financing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</si>
  <si>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</si>
  <si>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</si>
  <si>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</si>
  <si>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</si>
  <si>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</si>
  <si>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</si>
  <si>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</si>
  <si>
    <t>Assumptions</t>
  </si>
  <si>
    <t>Income Statement Assumptions:</t>
  </si>
  <si>
    <t>Cups Sold</t>
  </si>
  <si>
    <t>Average Price per Cup</t>
  </si>
  <si>
    <t>Corporate Tax Rate</t>
  </si>
  <si>
    <t>Balance Sheet Assumptions:</t>
  </si>
  <si>
    <t>COGS</t>
  </si>
  <si>
    <t>Accounts Receivable % of Net Rev</t>
  </si>
  <si>
    <t>Accounts Payable % of COGS</t>
  </si>
  <si>
    <t>Deferred Revenue % of Net Rev</t>
  </si>
  <si>
    <t>Net Borrowing</t>
  </si>
  <si>
    <t>Interest Rate</t>
  </si>
  <si>
    <t>Interest Payment</t>
  </si>
  <si>
    <t>Discounted Cash Flow Analysis</t>
  </si>
  <si>
    <t>Unlevered Free Cash Flow (mm)</t>
  </si>
  <si>
    <t>Fiscal Year</t>
  </si>
  <si>
    <t>Selling, General, Administrative</t>
  </si>
  <si>
    <t>Total Operating Expenses</t>
  </si>
  <si>
    <t>Operating Profit (EBIT)</t>
  </si>
  <si>
    <t>Operating Taxes</t>
  </si>
  <si>
    <t>NOPAT (Net Operating Profit After Taxes)</t>
  </si>
  <si>
    <t>(+) Depreciation &amp; Amortization</t>
  </si>
  <si>
    <t>(-) Capital Expenditures</t>
  </si>
  <si>
    <t>(-) Change in NWC</t>
  </si>
  <si>
    <t>NWC</t>
  </si>
  <si>
    <t>Current Liabilitites</t>
  </si>
  <si>
    <t>Unlevered Free Cash Flow</t>
  </si>
  <si>
    <t>Unlevered Free Cash Flow Assumptions</t>
  </si>
  <si>
    <t>Revenue Growth</t>
  </si>
  <si>
    <t>COGS % of Revenue</t>
  </si>
  <si>
    <t>SG&amp;A % of Revenue</t>
  </si>
  <si>
    <t>Tax % of EBIT</t>
  </si>
  <si>
    <t>Fixed Assets Schedule</t>
  </si>
  <si>
    <t>Beginning PP&amp;E</t>
  </si>
  <si>
    <t>D&amp;A</t>
  </si>
  <si>
    <t>Ending PP&amp;E</t>
  </si>
  <si>
    <t>D&amp;A as a % of Beginning PP&amp;E</t>
  </si>
  <si>
    <t>CapEx as a % of Beginning PP&amp;E</t>
  </si>
  <si>
    <t>Net Working Capital</t>
  </si>
  <si>
    <t>Accounts Receivables</t>
  </si>
  <si>
    <t>Merchandise Inventory</t>
  </si>
  <si>
    <t>Other Current Assets</t>
  </si>
  <si>
    <t>Accrued Salaries and Benefits</t>
  </si>
  <si>
    <t>Accrued Member Rewards</t>
  </si>
  <si>
    <t>Deferred Membership Fees</t>
  </si>
  <si>
    <t>Other Current Liabilities</t>
  </si>
  <si>
    <t>Days Sales Outstanding (DSO)</t>
  </si>
  <si>
    <t>Days Inventory Outstanding (DIO)</t>
  </si>
  <si>
    <t>Days Payable Outstanding (DPO)</t>
  </si>
  <si>
    <t>Other Current Assets as a % of Revenue</t>
  </si>
  <si>
    <t>Accrued Salaries as a % of Revenue</t>
  </si>
  <si>
    <t>Accrued Member Rewards as a % of Revenue</t>
  </si>
  <si>
    <t>Deferred Membership Fees as a % of Revenue</t>
  </si>
  <si>
    <t>Other Current Liabilities as a % of Revenue</t>
  </si>
  <si>
    <t>Weighted Average Cost of Capital (WACC)</t>
  </si>
  <si>
    <t>Equity (mm)</t>
  </si>
  <si>
    <t>Debt (mm)</t>
  </si>
  <si>
    <t>Cost of Debt</t>
  </si>
  <si>
    <t>Tax Rate</t>
  </si>
  <si>
    <t>D/(D+E)</t>
  </si>
  <si>
    <t>After Tax Cost of Debt</t>
  </si>
  <si>
    <t>Risk Free Rate (10-Yr Treasury Yield)</t>
  </si>
  <si>
    <t>Expected Market Return</t>
  </si>
  <si>
    <t>Market Risk Premium</t>
  </si>
  <si>
    <t>Beta</t>
  </si>
  <si>
    <t>E/(D+E)</t>
  </si>
  <si>
    <t>Cost of Equity</t>
  </si>
  <si>
    <t>WACC</t>
  </si>
  <si>
    <t>Projection Year</t>
  </si>
  <si>
    <t>Present Value of Free Cash Flow</t>
  </si>
  <si>
    <t>Implied Share Price Calculation</t>
  </si>
  <si>
    <t>Sum of PV of FCF</t>
  </si>
  <si>
    <t>Growth Rate</t>
  </si>
  <si>
    <t>Terminal Value</t>
  </si>
  <si>
    <t>PV of Terminal Value</t>
  </si>
  <si>
    <t>Enterprise Value</t>
  </si>
  <si>
    <t>(+) Cash</t>
  </si>
  <si>
    <t>(-) Debt</t>
  </si>
  <si>
    <t>(-) Minority Interest</t>
  </si>
  <si>
    <t>Diluted Shares Outstanding (mm)</t>
  </si>
  <si>
    <t>Implied Share Price</t>
  </si>
  <si>
    <t>Historical Financials</t>
  </si>
  <si>
    <t>Historical Income Statement: Shares in Thousands, $ in Millions</t>
  </si>
  <si>
    <t>Total revenue</t>
  </si>
  <si>
    <t>Merchandise costs</t>
  </si>
  <si>
    <t>Selling, general and administrative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</si>
  <si>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</si>
  <si>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</si>
  <si>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</si>
  <si>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</si>
  <si>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</si>
  <si>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</si>
  <si>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</si>
  <si>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Diluted (Shares)</t>
  </si>
  <si>
    <t>Merchandise Sales Revenue</t>
  </si>
  <si>
    <t>Membership Fee Revenue</t>
  </si>
  <si>
    <t>Historical Balance Sheets - USD ($) $ in Millions</t>
  </si>
  <si>
    <t>Cash and cash equivalents</t>
  </si>
  <si>
    <t>Short-term investments</t>
  </si>
  <si>
    <t>Receivables, net</t>
  </si>
  <si>
    <t>Merchandise inventories</t>
  </si>
  <si>
    <t>Other current assets</t>
  </si>
  <si>
    <t>Other Assets</t>
  </si>
  <si>
    <t>Property and Equipment, net</t>
  </si>
  <si>
    <t>Operating lease right-of-use assets</t>
  </si>
  <si>
    <t>Other long-term assets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</si>
  <si>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</si>
  <si>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</si>
  <si>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</si>
  <si>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</si>
  <si>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</si>
  <si>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</si>
  <si>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</si>
  <si>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</si>
  <si>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</si>
  <si>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</si>
  <si>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</si>
  <si>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</si>
  <si>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Preferred stock $.01 par value</t>
  </si>
  <si>
    <t>Common Stock $.01 par value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</si>
  <si>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</si>
  <si>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</si>
  <si>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</si>
  <si>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</si>
  <si>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</si>
  <si>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Liabilities and Equity</t>
  </si>
  <si>
    <t>Historical Cash Flow Statements - USD ($) $ in Millions</t>
  </si>
  <si>
    <t>Net income including noncontrolling interests</t>
  </si>
  <si>
    <t>Operating Activity Adjustments: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</si>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</sst>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yyyy\E"/>
    <numFmt numFmtId="166" formatCode="_(* #,##0_);_(* \(#,##0\);_(* &quot;-&quot;??_);_(@_)"/>
    <numFmt numFmtId="167" formatCode="0.0%"/>
    <numFmt numFmtId="168" formatCode="_(&quot;$&quot;* #,##0_);_(&quot;$&quot;* \(#,##0\);_(&quot;$&quot;* &quot;-&quot;??_);_(@_)"/>
    <numFmt numFmtId="169" formatCode="yyyy\A"/>
    <numFmt numFmtId="170" formatCode="#,##0_);\(#,##0\);\-\-_)"/>
    <numFmt numFmtId="171" formatCode="0.0"/>
    <numFmt numFmtId="172" formatCode="_-* #,##0_-;\-* #,##0_-;_-* &quot;-&quot;??_-;_-@_-"/>
    <numFmt numFmtId="173" formatCode="#,##0.0\x"/>
    <numFmt numFmtId="174" formatCode="_-* #,##0.00\ _€_-;\-* #,##0.00\ _€_-;_-* &quot;-&quot;??\ _€_-;_-@_-"/>
    <numFmt numFmtId="175" formatCode="0.0%_);\(0.0%\);\-\-_)"/>
    <numFmt numFmtId="176" formatCode="_-* #,##0\ _€_-;\-* #,##0\ _€_-;_-* &quot;-&quot;??\ _€_-;_-@_-"/>
    <numFmt numFmtId="177" formatCode="0.000%"/>
    <numFmt numFmtId="178" formatCode="0.00\ &quot;years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741EE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20"/>
      <color rgb="FF293D6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sz val="16"/>
      <color rgb="FF293D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432FF"/>
      <name val="Calibri"/>
      <family val="2"/>
    </font>
    <font>
      <sz val="14"/>
      <color rgb="FF293D6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A3E68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293D68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0"/>
      </right>
      <top style="thin">
        <color indexed="64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4" fillId="0" borderId="0"/>
  </cellStyleXfs>
  <cellXfs count="306">
    <xf numFmtId="0" fontId="0" fillId="0" borderId="0" xfId="0"/>
    <xf numFmtId="166" fontId="0" fillId="0" borderId="2" xfId="1" applyNumberFormat="1" applyFont="1" applyBorder="1"/>
    <xf numFmtId="166" fontId="0" fillId="0" borderId="2" xfId="0" applyNumberFormat="1" applyBorder="1"/>
    <xf numFmtId="0" fontId="3" fillId="0" borderId="0" xfId="0" applyFont="1" applyAlignment="1">
      <alignment horizontal="left"/>
    </xf>
    <xf numFmtId="9" fontId="3" fillId="0" borderId="0" xfId="0" applyNumberFormat="1" applyFont="1"/>
    <xf numFmtId="166" fontId="0" fillId="0" borderId="2" xfId="1" applyNumberFormat="1" applyFont="1" applyFill="1" applyBorder="1"/>
    <xf numFmtId="166" fontId="0" fillId="0" borderId="0" xfId="0" applyNumberFormat="1"/>
    <xf numFmtId="166" fontId="2" fillId="0" borderId="3" xfId="0" applyNumberFormat="1" applyFont="1" applyBorder="1"/>
    <xf numFmtId="166" fontId="2" fillId="0" borderId="4" xfId="0" applyNumberFormat="1" applyFont="1" applyBorder="1"/>
    <xf numFmtId="0" fontId="2" fillId="0" borderId="3" xfId="0" applyFont="1" applyBorder="1"/>
    <xf numFmtId="166" fontId="2" fillId="0" borderId="4" xfId="1" applyNumberFormat="1" applyFont="1" applyBorder="1"/>
    <xf numFmtId="166" fontId="5" fillId="0" borderId="0" xfId="1" applyNumberFormat="1" applyFont="1" applyBorder="1"/>
    <xf numFmtId="168" fontId="2" fillId="0" borderId="3" xfId="0" applyNumberFormat="1" applyFont="1" applyBorder="1"/>
    <xf numFmtId="168" fontId="5" fillId="0" borderId="0" xfId="2" applyNumberFormat="1" applyFont="1" applyBorder="1"/>
    <xf numFmtId="0" fontId="5" fillId="0" borderId="0" xfId="0" applyFont="1"/>
    <xf numFmtId="168" fontId="0" fillId="0" borderId="0" xfId="0" applyNumberFormat="1"/>
    <xf numFmtId="166" fontId="0" fillId="0" borderId="0" xfId="1" applyNumberFormat="1" applyFont="1" applyBorder="1"/>
    <xf numFmtId="166" fontId="0" fillId="0" borderId="0" xfId="1" applyNumberFormat="1" applyFont="1" applyFill="1" applyBorder="1"/>
    <xf numFmtId="166" fontId="2" fillId="0" borderId="0" xfId="0" applyNumberFormat="1" applyFont="1"/>
    <xf numFmtId="166" fontId="4" fillId="0" borderId="0" xfId="0" applyNumberFormat="1" applyFont="1"/>
    <xf numFmtId="170" fontId="0" fillId="0" borderId="2" xfId="0" applyNumberFormat="1" applyBorder="1"/>
    <xf numFmtId="3" fontId="2" fillId="0" borderId="6" xfId="0" applyNumberFormat="1" applyFont="1" applyBorder="1"/>
    <xf numFmtId="3" fontId="0" fillId="0" borderId="0" xfId="0" applyNumberFormat="1"/>
    <xf numFmtId="170" fontId="0" fillId="0" borderId="0" xfId="0" applyNumberFormat="1"/>
    <xf numFmtId="170" fontId="2" fillId="0" borderId="0" xfId="0" applyNumberFormat="1" applyFont="1"/>
    <xf numFmtId="0" fontId="9" fillId="0" borderId="7" xfId="0" applyFont="1" applyBorder="1"/>
    <xf numFmtId="0" fontId="0" fillId="0" borderId="7" xfId="0" applyBorder="1"/>
    <xf numFmtId="0" fontId="15" fillId="0" borderId="2" xfId="4" applyFont="1" applyBorder="1"/>
    <xf numFmtId="0" fontId="11" fillId="0" borderId="2" xfId="4" applyBorder="1"/>
    <xf numFmtId="0" fontId="11" fillId="0" borderId="0" xfId="4"/>
    <xf numFmtId="0" fontId="16" fillId="0" borderId="0" xfId="4" applyFont="1" applyAlignment="1">
      <alignment horizontal="right"/>
    </xf>
    <xf numFmtId="0" fontId="13" fillId="3" borderId="5" xfId="4" applyFont="1" applyFill="1" applyBorder="1" applyAlignment="1">
      <alignment horizontal="center"/>
    </xf>
    <xf numFmtId="0" fontId="13" fillId="0" borderId="0" xfId="4" applyFont="1" applyAlignment="1">
      <alignment horizontal="center"/>
    </xf>
    <xf numFmtId="0" fontId="11" fillId="0" borderId="0" xfId="4" applyAlignment="1">
      <alignment horizontal="center"/>
    </xf>
    <xf numFmtId="0" fontId="17" fillId="0" borderId="0" xfId="4" applyFont="1"/>
    <xf numFmtId="0" fontId="14" fillId="0" borderId="0" xfId="4" applyFont="1"/>
    <xf numFmtId="0" fontId="12" fillId="0" borderId="0" xfId="4" applyFont="1"/>
    <xf numFmtId="0" fontId="10" fillId="0" borderId="0" xfId="4" applyFont="1"/>
    <xf numFmtId="170" fontId="0" fillId="0" borderId="0" xfId="5" applyNumberFormat="1" applyFont="1" applyFill="1" applyBorder="1"/>
    <xf numFmtId="170" fontId="13" fillId="0" borderId="4" xfId="5" applyNumberFormat="1" applyFont="1" applyBorder="1"/>
    <xf numFmtId="170" fontId="13" fillId="0" borderId="0" xfId="5" applyNumberFormat="1" applyFont="1" applyFill="1" applyBorder="1"/>
    <xf numFmtId="0" fontId="13" fillId="0" borderId="0" xfId="4" applyFont="1"/>
    <xf numFmtId="170" fontId="13" fillId="0" borderId="0" xfId="5" applyNumberFormat="1" applyFont="1" applyBorder="1"/>
    <xf numFmtId="170" fontId="11" fillId="0" borderId="0" xfId="4" applyNumberFormat="1"/>
    <xf numFmtId="170" fontId="13" fillId="0" borderId="4" xfId="4" applyNumberFormat="1" applyFont="1" applyBorder="1"/>
    <xf numFmtId="170" fontId="13" fillId="0" borderId="0" xfId="4" applyNumberFormat="1" applyFont="1"/>
    <xf numFmtId="0" fontId="13" fillId="0" borderId="2" xfId="4" applyFont="1" applyBorder="1"/>
    <xf numFmtId="166" fontId="18" fillId="4" borderId="0" xfId="5" applyNumberFormat="1" applyFont="1" applyFill="1" applyBorder="1"/>
    <xf numFmtId="176" fontId="11" fillId="0" borderId="0" xfId="4" applyNumberFormat="1"/>
    <xf numFmtId="177" fontId="11" fillId="0" borderId="0" xfId="4" applyNumberFormat="1"/>
    <xf numFmtId="9" fontId="11" fillId="0" borderId="0" xfId="4" applyNumberFormat="1"/>
    <xf numFmtId="166" fontId="13" fillId="0" borderId="0" xfId="4" applyNumberFormat="1" applyFont="1"/>
    <xf numFmtId="0" fontId="13" fillId="0" borderId="0" xfId="4" applyFont="1" applyAlignment="1">
      <alignment horizontal="right"/>
    </xf>
    <xf numFmtId="9" fontId="14" fillId="0" borderId="5" xfId="4" applyNumberFormat="1" applyFont="1" applyBorder="1" applyAlignment="1">
      <alignment horizontal="center"/>
    </xf>
    <xf numFmtId="176" fontId="13" fillId="3" borderId="5" xfId="4" applyNumberFormat="1" applyFont="1" applyFill="1" applyBorder="1"/>
    <xf numFmtId="10" fontId="13" fillId="3" borderId="5" xfId="4" applyNumberFormat="1" applyFont="1" applyFill="1" applyBorder="1" applyAlignment="1">
      <alignment horizontal="center"/>
    </xf>
    <xf numFmtId="178" fontId="13" fillId="3" borderId="5" xfId="4" applyNumberFormat="1" applyFont="1" applyFill="1" applyBorder="1" applyAlignment="1">
      <alignment horizontal="center"/>
    </xf>
    <xf numFmtId="176" fontId="13" fillId="3" borderId="5" xfId="4" applyNumberFormat="1" applyFont="1" applyFill="1" applyBorder="1" applyAlignment="1">
      <alignment horizontal="center"/>
    </xf>
    <xf numFmtId="0" fontId="19" fillId="0" borderId="0" xfId="4" applyFont="1"/>
    <xf numFmtId="170" fontId="11" fillId="0" borderId="0" xfId="5" applyNumberFormat="1" applyFont="1" applyBorder="1"/>
    <xf numFmtId="170" fontId="12" fillId="0" borderId="0" xfId="5" applyNumberFormat="1" applyFont="1" applyBorder="1"/>
    <xf numFmtId="0" fontId="13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12" fillId="0" borderId="0" xfId="1" applyNumberFormat="1" applyFont="1" applyBorder="1"/>
    <xf numFmtId="172" fontId="12" fillId="0" borderId="0" xfId="1" applyNumberFormat="1" applyFont="1" applyBorder="1"/>
    <xf numFmtId="172" fontId="11" fillId="0" borderId="0" xfId="1" applyNumberFormat="1" applyFont="1" applyBorder="1"/>
    <xf numFmtId="172" fontId="0" fillId="0" borderId="0" xfId="1" applyNumberFormat="1" applyFont="1" applyBorder="1"/>
    <xf numFmtId="173" fontId="0" fillId="0" borderId="0" xfId="1" applyNumberFormat="1" applyFont="1" applyBorder="1"/>
    <xf numFmtId="172" fontId="0" fillId="0" borderId="0" xfId="0" applyNumberFormat="1"/>
    <xf numFmtId="173" fontId="0" fillId="2" borderId="0" xfId="0" applyNumberFormat="1" applyFill="1"/>
    <xf numFmtId="0" fontId="13" fillId="2" borderId="0" xfId="0" applyFont="1" applyFill="1"/>
    <xf numFmtId="173" fontId="13" fillId="2" borderId="0" xfId="0" applyNumberFormat="1" applyFont="1" applyFill="1"/>
    <xf numFmtId="174" fontId="0" fillId="0" borderId="0" xfId="0" applyNumberFormat="1"/>
    <xf numFmtId="165" fontId="20" fillId="5" borderId="1" xfId="0" applyNumberFormat="1" applyFont="1" applyFill="1" applyBorder="1"/>
    <xf numFmtId="169" fontId="20" fillId="5" borderId="1" xfId="0" applyNumberFormat="1" applyFont="1" applyFill="1" applyBorder="1"/>
    <xf numFmtId="0" fontId="10" fillId="5" borderId="0" xfId="0" applyFont="1" applyFill="1"/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0" fillId="2" borderId="0" xfId="0" applyFill="1"/>
    <xf numFmtId="0" fontId="22" fillId="5" borderId="0" xfId="0" applyFont="1" applyFill="1"/>
    <xf numFmtId="0" fontId="13" fillId="3" borderId="12" xfId="0" applyFont="1" applyFill="1" applyBorder="1"/>
    <xf numFmtId="174" fontId="13" fillId="3" borderId="12" xfId="0" applyNumberFormat="1" applyFont="1" applyFill="1" applyBorder="1"/>
    <xf numFmtId="172" fontId="14" fillId="3" borderId="12" xfId="1" applyNumberFormat="1" applyFont="1" applyFill="1" applyBorder="1"/>
    <xf numFmtId="164" fontId="13" fillId="3" borderId="12" xfId="1" applyNumberFormat="1" applyFont="1" applyFill="1" applyBorder="1"/>
    <xf numFmtId="0" fontId="0" fillId="2" borderId="13" xfId="0" applyFill="1" applyBorder="1"/>
    <xf numFmtId="173" fontId="0" fillId="2" borderId="13" xfId="0" applyNumberFormat="1" applyFill="1" applyBorder="1"/>
    <xf numFmtId="0" fontId="0" fillId="2" borderId="14" xfId="0" applyFill="1" applyBorder="1"/>
    <xf numFmtId="173" fontId="0" fillId="2" borderId="14" xfId="0" applyNumberFormat="1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164" fontId="12" fillId="2" borderId="12" xfId="1" applyNumberFormat="1" applyFont="1" applyFill="1" applyBorder="1"/>
    <xf numFmtId="172" fontId="12" fillId="2" borderId="12" xfId="1" applyNumberFormat="1" applyFont="1" applyFill="1" applyBorder="1"/>
    <xf numFmtId="172" fontId="11" fillId="2" borderId="12" xfId="1" applyNumberFormat="1" applyFont="1" applyFill="1" applyBorder="1"/>
    <xf numFmtId="172" fontId="0" fillId="2" borderId="12" xfId="1" applyNumberFormat="1" applyFont="1" applyFill="1" applyBorder="1"/>
    <xf numFmtId="173" fontId="0" fillId="2" borderId="12" xfId="1" applyNumberFormat="1" applyFont="1" applyFill="1" applyBorder="1"/>
    <xf numFmtId="0" fontId="2" fillId="0" borderId="0" xfId="0" applyFont="1"/>
    <xf numFmtId="0" fontId="0" fillId="0" borderId="16" xfId="0" applyBorder="1"/>
    <xf numFmtId="0" fontId="20" fillId="5" borderId="17" xfId="0" applyFont="1" applyFill="1" applyBorder="1"/>
    <xf numFmtId="0" fontId="22" fillId="5" borderId="18" xfId="0" applyFont="1" applyFill="1" applyBorder="1"/>
    <xf numFmtId="0" fontId="22" fillId="5" borderId="19" xfId="0" applyFont="1" applyFill="1" applyBorder="1"/>
    <xf numFmtId="0" fontId="20" fillId="5" borderId="20" xfId="0" applyFont="1" applyFill="1" applyBorder="1"/>
    <xf numFmtId="165" fontId="20" fillId="5" borderId="21" xfId="0" applyNumberFormat="1" applyFont="1" applyFill="1" applyBorder="1"/>
    <xf numFmtId="0" fontId="0" fillId="0" borderId="22" xfId="0" applyBorder="1"/>
    <xf numFmtId="170" fontId="0" fillId="0" borderId="16" xfId="0" applyNumberFormat="1" applyBorder="1"/>
    <xf numFmtId="0" fontId="0" fillId="0" borderId="23" xfId="0" applyBorder="1"/>
    <xf numFmtId="170" fontId="0" fillId="0" borderId="24" xfId="0" applyNumberFormat="1" applyBorder="1"/>
    <xf numFmtId="0" fontId="2" fillId="0" borderId="22" xfId="0" applyFont="1" applyBorder="1"/>
    <xf numFmtId="170" fontId="2" fillId="0" borderId="16" xfId="0" applyNumberFormat="1" applyFont="1" applyBorder="1"/>
    <xf numFmtId="0" fontId="0" fillId="0" borderId="22" xfId="0" applyBorder="1" applyAlignment="1">
      <alignment horizontal="left" indent="2"/>
    </xf>
    <xf numFmtId="0" fontId="0" fillId="0" borderId="22" xfId="0" applyBorder="1" applyAlignment="1">
      <alignment horizontal="left" indent="3"/>
    </xf>
    <xf numFmtId="3" fontId="0" fillId="0" borderId="16" xfId="0" applyNumberFormat="1" applyBorder="1"/>
    <xf numFmtId="0" fontId="2" fillId="0" borderId="25" xfId="0" applyFont="1" applyBorder="1"/>
    <xf numFmtId="0" fontId="2" fillId="0" borderId="30" xfId="0" applyFont="1" applyBorder="1"/>
    <xf numFmtId="3" fontId="2" fillId="0" borderId="31" xfId="0" applyNumberFormat="1" applyFont="1" applyBorder="1"/>
    <xf numFmtId="0" fontId="20" fillId="5" borderId="32" xfId="0" applyFont="1" applyFill="1" applyBorder="1"/>
    <xf numFmtId="0" fontId="22" fillId="5" borderId="33" xfId="0" applyFont="1" applyFill="1" applyBorder="1"/>
    <xf numFmtId="3" fontId="8" fillId="0" borderId="16" xfId="0" applyNumberFormat="1" applyFont="1" applyBorder="1"/>
    <xf numFmtId="167" fontId="0" fillId="0" borderId="16" xfId="0" applyNumberFormat="1" applyBorder="1"/>
    <xf numFmtId="167" fontId="8" fillId="0" borderId="16" xfId="0" applyNumberFormat="1" applyFont="1" applyBorder="1"/>
    <xf numFmtId="167" fontId="2" fillId="0" borderId="31" xfId="0" applyNumberFormat="1" applyFont="1" applyBorder="1"/>
    <xf numFmtId="167" fontId="2" fillId="0" borderId="16" xfId="0" applyNumberFormat="1" applyFont="1" applyBorder="1"/>
    <xf numFmtId="0" fontId="8" fillId="0" borderId="16" xfId="0" applyFont="1" applyBorder="1"/>
    <xf numFmtId="0" fontId="2" fillId="0" borderId="8" xfId="0" applyFont="1" applyBorder="1"/>
    <xf numFmtId="9" fontId="8" fillId="0" borderId="16" xfId="0" applyNumberFormat="1" applyFont="1" applyBorder="1"/>
    <xf numFmtId="0" fontId="0" fillId="0" borderId="22" xfId="0" applyBorder="1" applyAlignment="1">
      <alignment horizontal="left" indent="1"/>
    </xf>
    <xf numFmtId="0" fontId="0" fillId="0" borderId="30" xfId="0" applyBorder="1"/>
    <xf numFmtId="3" fontId="0" fillId="0" borderId="31" xfId="0" applyNumberFormat="1" applyBorder="1"/>
    <xf numFmtId="2" fontId="8" fillId="0" borderId="16" xfId="0" applyNumberFormat="1" applyFont="1" applyBorder="1"/>
    <xf numFmtId="0" fontId="2" fillId="3" borderId="34" xfId="0" applyFont="1" applyFill="1" applyBorder="1"/>
    <xf numFmtId="4" fontId="2" fillId="3" borderId="35" xfId="0" applyNumberFormat="1" applyFont="1" applyFill="1" applyBorder="1"/>
    <xf numFmtId="0" fontId="2" fillId="0" borderId="34" xfId="0" applyFont="1" applyBorder="1"/>
    <xf numFmtId="0" fontId="2" fillId="0" borderId="12" xfId="0" applyFont="1" applyBorder="1"/>
    <xf numFmtId="3" fontId="2" fillId="0" borderId="12" xfId="0" applyNumberFormat="1" applyFont="1" applyBorder="1"/>
    <xf numFmtId="3" fontId="2" fillId="0" borderId="35" xfId="0" applyNumberFormat="1" applyFont="1" applyBorder="1"/>
    <xf numFmtId="167" fontId="2" fillId="3" borderId="35" xfId="0" applyNumberFormat="1" applyFont="1" applyFill="1" applyBorder="1"/>
    <xf numFmtId="170" fontId="2" fillId="3" borderId="12" xfId="0" applyNumberFormat="1" applyFont="1" applyFill="1" applyBorder="1"/>
    <xf numFmtId="170" fontId="2" fillId="3" borderId="35" xfId="0" applyNumberFormat="1" applyFont="1" applyFill="1" applyBorder="1"/>
    <xf numFmtId="169" fontId="2" fillId="6" borderId="20" xfId="0" applyNumberFormat="1" applyFont="1" applyFill="1" applyBorder="1"/>
    <xf numFmtId="169" fontId="2" fillId="6" borderId="1" xfId="0" applyNumberFormat="1" applyFont="1" applyFill="1" applyBorder="1"/>
    <xf numFmtId="169" fontId="2" fillId="6" borderId="21" xfId="0" applyNumberFormat="1" applyFont="1" applyFill="1" applyBorder="1"/>
    <xf numFmtId="0" fontId="2" fillId="6" borderId="22" xfId="0" applyFont="1" applyFill="1" applyBorder="1"/>
    <xf numFmtId="0" fontId="0" fillId="6" borderId="0" xfId="0" applyFill="1"/>
    <xf numFmtId="0" fontId="0" fillId="6" borderId="16" xfId="0" applyFill="1" applyBorder="1"/>
    <xf numFmtId="0" fontId="0" fillId="6" borderId="22" xfId="0" applyFill="1" applyBorder="1" applyAlignment="1">
      <alignment horizontal="left" indent="1"/>
    </xf>
    <xf numFmtId="166" fontId="0" fillId="6" borderId="0" xfId="1" applyNumberFormat="1" applyFont="1" applyFill="1" applyBorder="1"/>
    <xf numFmtId="166" fontId="0" fillId="6" borderId="16" xfId="1" applyNumberFormat="1" applyFont="1" applyFill="1" applyBorder="1"/>
    <xf numFmtId="0" fontId="2" fillId="6" borderId="0" xfId="0" applyFont="1" applyFill="1"/>
    <xf numFmtId="166" fontId="2" fillId="6" borderId="0" xfId="1" applyNumberFormat="1" applyFont="1" applyFill="1" applyBorder="1"/>
    <xf numFmtId="166" fontId="2" fillId="6" borderId="16" xfId="1" applyNumberFormat="1" applyFont="1" applyFill="1" applyBorder="1"/>
    <xf numFmtId="0" fontId="0" fillId="6" borderId="22" xfId="0" applyFill="1" applyBorder="1"/>
    <xf numFmtId="0" fontId="7" fillId="6" borderId="17" xfId="0" applyFont="1" applyFill="1" applyBorder="1"/>
    <xf numFmtId="0" fontId="7" fillId="6" borderId="18" xfId="0" applyFont="1" applyFill="1" applyBorder="1"/>
    <xf numFmtId="0" fontId="7" fillId="6" borderId="19" xfId="0" applyFont="1" applyFill="1" applyBorder="1"/>
    <xf numFmtId="0" fontId="2" fillId="6" borderId="20" xfId="0" applyFont="1" applyFill="1" applyBorder="1"/>
    <xf numFmtId="165" fontId="2" fillId="6" borderId="1" xfId="0" applyNumberFormat="1" applyFont="1" applyFill="1" applyBorder="1"/>
    <xf numFmtId="165" fontId="2" fillId="6" borderId="21" xfId="0" applyNumberFormat="1" applyFont="1" applyFill="1" applyBorder="1"/>
    <xf numFmtId="167" fontId="0" fillId="6" borderId="0" xfId="0" applyNumberFormat="1" applyFill="1"/>
    <xf numFmtId="167" fontId="8" fillId="6" borderId="0" xfId="0" applyNumberFormat="1" applyFont="1" applyFill="1"/>
    <xf numFmtId="167" fontId="8" fillId="6" borderId="16" xfId="0" applyNumberFormat="1" applyFont="1" applyFill="1" applyBorder="1"/>
    <xf numFmtId="167" fontId="0" fillId="6" borderId="16" xfId="0" applyNumberFormat="1" applyFill="1" applyBorder="1"/>
    <xf numFmtId="0" fontId="0" fillId="6" borderId="27" xfId="0" applyFill="1" applyBorder="1"/>
    <xf numFmtId="167" fontId="0" fillId="6" borderId="28" xfId="0" applyNumberFormat="1" applyFill="1" applyBorder="1"/>
    <xf numFmtId="167" fontId="8" fillId="6" borderId="28" xfId="0" applyNumberFormat="1" applyFont="1" applyFill="1" applyBorder="1"/>
    <xf numFmtId="167" fontId="8" fillId="6" borderId="29" xfId="0" applyNumberFormat="1" applyFont="1" applyFill="1" applyBorder="1"/>
    <xf numFmtId="0" fontId="7" fillId="6" borderId="20" xfId="0" applyFont="1" applyFill="1" applyBorder="1"/>
    <xf numFmtId="169" fontId="7" fillId="6" borderId="1" xfId="0" applyNumberFormat="1" applyFont="1" applyFill="1" applyBorder="1"/>
    <xf numFmtId="165" fontId="7" fillId="6" borderId="1" xfId="0" applyNumberFormat="1" applyFont="1" applyFill="1" applyBorder="1"/>
    <xf numFmtId="165" fontId="7" fillId="6" borderId="21" xfId="0" applyNumberFormat="1" applyFont="1" applyFill="1" applyBorder="1"/>
    <xf numFmtId="3" fontId="8" fillId="6" borderId="0" xfId="0" applyNumberFormat="1" applyFont="1" applyFill="1"/>
    <xf numFmtId="3" fontId="0" fillId="6" borderId="0" xfId="0" applyNumberFormat="1" applyFill="1"/>
    <xf numFmtId="3" fontId="0" fillId="6" borderId="16" xfId="0" applyNumberFormat="1" applyFill="1" applyBorder="1"/>
    <xf numFmtId="171" fontId="0" fillId="6" borderId="0" xfId="0" applyNumberFormat="1" applyFill="1"/>
    <xf numFmtId="171" fontId="0" fillId="6" borderId="16" xfId="0" applyNumberFormat="1" applyFill="1" applyBorder="1"/>
    <xf numFmtId="167" fontId="0" fillId="6" borderId="29" xfId="0" applyNumberFormat="1" applyFill="1" applyBorder="1"/>
    <xf numFmtId="0" fontId="0" fillId="6" borderId="28" xfId="0" applyFill="1" applyBorder="1"/>
    <xf numFmtId="166" fontId="0" fillId="6" borderId="28" xfId="1" applyNumberFormat="1" applyFont="1" applyFill="1" applyBorder="1"/>
    <xf numFmtId="166" fontId="0" fillId="6" borderId="29" xfId="1" applyNumberFormat="1" applyFont="1" applyFill="1" applyBorder="1"/>
    <xf numFmtId="0" fontId="20" fillId="5" borderId="14" xfId="0" applyFont="1" applyFill="1" applyBorder="1"/>
    <xf numFmtId="0" fontId="22" fillId="5" borderId="14" xfId="0" applyFont="1" applyFill="1" applyBorder="1"/>
    <xf numFmtId="0" fontId="20" fillId="5" borderId="18" xfId="0" applyFont="1" applyFill="1" applyBorder="1"/>
    <xf numFmtId="0" fontId="20" fillId="5" borderId="19" xfId="0" applyFont="1" applyFill="1" applyBorder="1"/>
    <xf numFmtId="0" fontId="21" fillId="5" borderId="20" xfId="0" applyFont="1" applyFill="1" applyBorder="1"/>
    <xf numFmtId="166" fontId="0" fillId="0" borderId="16" xfId="1" applyNumberFormat="1" applyFont="1" applyBorder="1"/>
    <xf numFmtId="0" fontId="0" fillId="0" borderId="23" xfId="0" applyBorder="1" applyAlignment="1">
      <alignment horizontal="left" indent="1"/>
    </xf>
    <xf numFmtId="166" fontId="0" fillId="0" borderId="24" xfId="1" applyNumberFormat="1" applyFont="1" applyBorder="1"/>
    <xf numFmtId="166" fontId="2" fillId="0" borderId="16" xfId="0" applyNumberFormat="1" applyFont="1" applyBorder="1"/>
    <xf numFmtId="166" fontId="0" fillId="0" borderId="24" xfId="0" applyNumberFormat="1" applyBorder="1"/>
    <xf numFmtId="0" fontId="3" fillId="0" borderId="22" xfId="0" applyFont="1" applyBorder="1" applyAlignment="1">
      <alignment horizontal="left"/>
    </xf>
    <xf numFmtId="9" fontId="3" fillId="0" borderId="16" xfId="0" applyNumberFormat="1" applyFont="1" applyBorder="1"/>
    <xf numFmtId="166" fontId="4" fillId="0" borderId="16" xfId="0" applyNumberFormat="1" applyFont="1" applyBorder="1"/>
    <xf numFmtId="0" fontId="0" fillId="0" borderId="23" xfId="0" applyBorder="1" applyAlignment="1">
      <alignment horizontal="left"/>
    </xf>
    <xf numFmtId="0" fontId="2" fillId="0" borderId="22" xfId="0" applyFont="1" applyBorder="1" applyAlignment="1">
      <alignment horizontal="left"/>
    </xf>
    <xf numFmtId="166" fontId="0" fillId="0" borderId="24" xfId="1" applyNumberFormat="1" applyFont="1" applyFill="1" applyBorder="1"/>
    <xf numFmtId="0" fontId="0" fillId="0" borderId="22" xfId="0" applyBorder="1" applyAlignment="1">
      <alignment horizontal="left"/>
    </xf>
    <xf numFmtId="166" fontId="0" fillId="0" borderId="16" xfId="0" applyNumberFormat="1" applyBorder="1"/>
    <xf numFmtId="0" fontId="2" fillId="0" borderId="36" xfId="0" applyFont="1" applyBorder="1" applyAlignment="1">
      <alignment horizontal="left"/>
    </xf>
    <xf numFmtId="166" fontId="2" fillId="0" borderId="37" xfId="0" applyNumberFormat="1" applyFont="1" applyBorder="1"/>
    <xf numFmtId="0" fontId="2" fillId="0" borderId="38" xfId="0" applyFont="1" applyBorder="1"/>
    <xf numFmtId="166" fontId="2" fillId="0" borderId="39" xfId="0" applyNumberFormat="1" applyFont="1" applyBorder="1"/>
    <xf numFmtId="166" fontId="0" fillId="0" borderId="16" xfId="1" applyNumberFormat="1" applyFont="1" applyFill="1" applyBorder="1"/>
    <xf numFmtId="0" fontId="2" fillId="0" borderId="36" xfId="0" applyFont="1" applyBorder="1"/>
    <xf numFmtId="166" fontId="2" fillId="0" borderId="39" xfId="1" applyNumberFormat="1" applyFont="1" applyBorder="1"/>
    <xf numFmtId="0" fontId="0" fillId="0" borderId="27" xfId="0" applyBorder="1"/>
    <xf numFmtId="166" fontId="0" fillId="0" borderId="28" xfId="0" applyNumberFormat="1" applyBorder="1"/>
    <xf numFmtId="166" fontId="0" fillId="0" borderId="29" xfId="0" applyNumberFormat="1" applyBorder="1"/>
    <xf numFmtId="0" fontId="2" fillId="0" borderId="38" xfId="0" applyFont="1" applyBorder="1" applyAlignment="1">
      <alignment horizontal="left"/>
    </xf>
    <xf numFmtId="166" fontId="2" fillId="0" borderId="8" xfId="0" applyNumberFormat="1" applyFont="1" applyBorder="1"/>
    <xf numFmtId="166" fontId="2" fillId="0" borderId="26" xfId="0" applyNumberFormat="1" applyFont="1" applyBorder="1"/>
    <xf numFmtId="168" fontId="2" fillId="0" borderId="37" xfId="0" applyNumberFormat="1" applyFont="1" applyBorder="1"/>
    <xf numFmtId="168" fontId="5" fillId="0" borderId="16" xfId="2" applyNumberFormat="1" applyFont="1" applyBorder="1"/>
    <xf numFmtId="168" fontId="0" fillId="0" borderId="16" xfId="0" applyNumberFormat="1" applyBorder="1"/>
    <xf numFmtId="168" fontId="2" fillId="0" borderId="8" xfId="0" applyNumberFormat="1" applyFont="1" applyBorder="1"/>
    <xf numFmtId="168" fontId="2" fillId="0" borderId="26" xfId="0" applyNumberFormat="1" applyFont="1" applyBorder="1"/>
    <xf numFmtId="0" fontId="5" fillId="6" borderId="0" xfId="0" applyFont="1" applyFill="1" applyAlignment="1">
      <alignment horizontal="center"/>
    </xf>
    <xf numFmtId="166" fontId="5" fillId="6" borderId="0" xfId="1" applyNumberFormat="1" applyFont="1" applyFill="1" applyBorder="1"/>
    <xf numFmtId="6" fontId="5" fillId="6" borderId="0" xfId="0" applyNumberFormat="1" applyFont="1" applyFill="1"/>
    <xf numFmtId="9" fontId="5" fillId="6" borderId="0" xfId="0" applyNumberFormat="1" applyFont="1" applyFill="1"/>
    <xf numFmtId="0" fontId="5" fillId="6" borderId="0" xfId="0" applyFont="1" applyFill="1"/>
    <xf numFmtId="167" fontId="0" fillId="6" borderId="0" xfId="3" applyNumberFormat="1" applyFont="1" applyFill="1" applyBorder="1"/>
    <xf numFmtId="0" fontId="6" fillId="6" borderId="0" xfId="0" applyFont="1" applyFill="1"/>
    <xf numFmtId="0" fontId="2" fillId="6" borderId="17" xfId="0" applyFont="1" applyFill="1" applyBorder="1"/>
    <xf numFmtId="0" fontId="0" fillId="6" borderId="18" xfId="0" applyFill="1" applyBorder="1"/>
    <xf numFmtId="0" fontId="0" fillId="6" borderId="19" xfId="0" applyFill="1" applyBorder="1"/>
    <xf numFmtId="166" fontId="5" fillId="6" borderId="16" xfId="1" applyNumberFormat="1" applyFont="1" applyFill="1" applyBorder="1"/>
    <xf numFmtId="6" fontId="5" fillId="6" borderId="16" xfId="0" applyNumberFormat="1" applyFont="1" applyFill="1" applyBorder="1"/>
    <xf numFmtId="9" fontId="5" fillId="6" borderId="16" xfId="0" applyNumberFormat="1" applyFont="1" applyFill="1" applyBorder="1"/>
    <xf numFmtId="0" fontId="5" fillId="6" borderId="16" xfId="0" applyFont="1" applyFill="1" applyBorder="1"/>
    <xf numFmtId="0" fontId="0" fillId="6" borderId="22" xfId="0" applyFill="1" applyBorder="1" applyAlignment="1">
      <alignment horizontal="left"/>
    </xf>
    <xf numFmtId="0" fontId="6" fillId="6" borderId="16" xfId="0" applyFont="1" applyFill="1" applyBorder="1"/>
    <xf numFmtId="0" fontId="0" fillId="6" borderId="27" xfId="0" applyFill="1" applyBorder="1" applyAlignment="1">
      <alignment horizontal="left"/>
    </xf>
    <xf numFmtId="166" fontId="0" fillId="6" borderId="28" xfId="0" applyNumberFormat="1" applyFill="1" applyBorder="1"/>
    <xf numFmtId="166" fontId="0" fillId="6" borderId="29" xfId="0" applyNumberFormat="1" applyFill="1" applyBorder="1"/>
    <xf numFmtId="9" fontId="5" fillId="0" borderId="0" xfId="0" applyNumberFormat="1" applyFont="1"/>
    <xf numFmtId="9" fontId="5" fillId="0" borderId="16" xfId="0" applyNumberFormat="1" applyFont="1" applyBorder="1"/>
    <xf numFmtId="165" fontId="20" fillId="0" borderId="0" xfId="0" applyNumberFormat="1" applyFont="1"/>
    <xf numFmtId="165" fontId="20" fillId="0" borderId="16" xfId="0" applyNumberFormat="1" applyFont="1" applyBorder="1"/>
    <xf numFmtId="168" fontId="2" fillId="0" borderId="0" xfId="0" applyNumberFormat="1" applyFont="1"/>
    <xf numFmtId="0" fontId="11" fillId="0" borderId="22" xfId="4" applyBorder="1"/>
    <xf numFmtId="0" fontId="17" fillId="0" borderId="16" xfId="4" applyFont="1" applyBorder="1"/>
    <xf numFmtId="0" fontId="11" fillId="0" borderId="22" xfId="4" applyBorder="1" applyAlignment="1">
      <alignment horizontal="left" indent="1"/>
    </xf>
    <xf numFmtId="170" fontId="11" fillId="0" borderId="16" xfId="5" applyNumberFormat="1" applyFont="1" applyBorder="1"/>
    <xf numFmtId="0" fontId="13" fillId="0" borderId="38" xfId="4" applyFont="1" applyBorder="1" applyAlignment="1">
      <alignment horizontal="left"/>
    </xf>
    <xf numFmtId="170" fontId="13" fillId="0" borderId="39" xfId="5" applyNumberFormat="1" applyFont="1" applyBorder="1"/>
    <xf numFmtId="0" fontId="13" fillId="0" borderId="22" xfId="4" applyFont="1" applyBorder="1" applyAlignment="1">
      <alignment horizontal="left"/>
    </xf>
    <xf numFmtId="170" fontId="13" fillId="0" borderId="16" xfId="5" applyNumberFormat="1" applyFont="1" applyBorder="1"/>
    <xf numFmtId="170" fontId="11" fillId="0" borderId="16" xfId="4" applyNumberFormat="1" applyBorder="1"/>
    <xf numFmtId="170" fontId="13" fillId="0" borderId="39" xfId="4" applyNumberFormat="1" applyFont="1" applyBorder="1"/>
    <xf numFmtId="0" fontId="17" fillId="0" borderId="22" xfId="4" applyFont="1" applyBorder="1"/>
    <xf numFmtId="170" fontId="11" fillId="0" borderId="22" xfId="5" applyNumberFormat="1" applyFont="1" applyFill="1" applyBorder="1"/>
    <xf numFmtId="175" fontId="11" fillId="0" borderId="16" xfId="6" applyNumberFormat="1" applyFont="1" applyFill="1" applyBorder="1"/>
    <xf numFmtId="170" fontId="13" fillId="0" borderId="38" xfId="5" applyNumberFormat="1" applyFont="1" applyFill="1" applyBorder="1"/>
    <xf numFmtId="175" fontId="13" fillId="0" borderId="39" xfId="6" applyNumberFormat="1" applyFont="1" applyFill="1" applyBorder="1"/>
    <xf numFmtId="170" fontId="13" fillId="0" borderId="22" xfId="5" applyNumberFormat="1" applyFont="1" applyFill="1" applyBorder="1"/>
    <xf numFmtId="175" fontId="13" fillId="0" borderId="16" xfId="4" applyNumberFormat="1" applyFont="1" applyBorder="1"/>
    <xf numFmtId="170" fontId="11" fillId="0" borderId="22" xfId="4" applyNumberFormat="1" applyBorder="1"/>
    <xf numFmtId="175" fontId="11" fillId="0" borderId="16" xfId="4" applyNumberFormat="1" applyBorder="1"/>
    <xf numFmtId="170" fontId="12" fillId="0" borderId="16" xfId="5" applyNumberFormat="1" applyFont="1" applyBorder="1"/>
    <xf numFmtId="0" fontId="13" fillId="0" borderId="38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13" fillId="0" borderId="16" xfId="0" applyFont="1" applyBorder="1"/>
    <xf numFmtId="0" fontId="11" fillId="0" borderId="16" xfId="4" applyBorder="1"/>
    <xf numFmtId="0" fontId="11" fillId="0" borderId="28" xfId="4" applyBorder="1"/>
    <xf numFmtId="0" fontId="11" fillId="0" borderId="29" xfId="4" applyBorder="1"/>
    <xf numFmtId="0" fontId="13" fillId="3" borderId="40" xfId="4" applyFont="1" applyFill="1" applyBorder="1" applyAlignment="1">
      <alignment horizontal="left" indent="1"/>
    </xf>
    <xf numFmtId="170" fontId="13" fillId="3" borderId="15" xfId="4" applyNumberFormat="1" applyFont="1" applyFill="1" applyBorder="1"/>
    <xf numFmtId="170" fontId="13" fillId="3" borderId="41" xfId="4" applyNumberFormat="1" applyFont="1" applyFill="1" applyBorder="1"/>
    <xf numFmtId="170" fontId="13" fillId="3" borderId="34" xfId="5" applyNumberFormat="1" applyFont="1" applyFill="1" applyBorder="1"/>
    <xf numFmtId="175" fontId="13" fillId="3" borderId="35" xfId="6" applyNumberFormat="1" applyFont="1" applyFill="1" applyBorder="1"/>
    <xf numFmtId="0" fontId="13" fillId="0" borderId="14" xfId="4" applyFont="1" applyBorder="1"/>
    <xf numFmtId="166" fontId="13" fillId="0" borderId="14" xfId="4" applyNumberFormat="1" applyFont="1" applyBorder="1"/>
    <xf numFmtId="0" fontId="13" fillId="0" borderId="12" xfId="4" applyFont="1" applyBorder="1"/>
    <xf numFmtId="166" fontId="13" fillId="0" borderId="12" xfId="4" applyNumberFormat="1" applyFont="1" applyBorder="1"/>
    <xf numFmtId="0" fontId="10" fillId="5" borderId="0" xfId="4" applyFont="1" applyFill="1" applyAlignment="1">
      <alignment horizontal="center"/>
    </xf>
    <xf numFmtId="0" fontId="10" fillId="5" borderId="42" xfId="4" applyFont="1" applyFill="1" applyBorder="1" applyAlignment="1">
      <alignment horizontal="center"/>
    </xf>
    <xf numFmtId="0" fontId="10" fillId="5" borderId="14" xfId="4" applyFont="1" applyFill="1" applyBorder="1" applyAlignment="1">
      <alignment horizontal="center"/>
    </xf>
    <xf numFmtId="0" fontId="11" fillId="0" borderId="18" xfId="4" applyBorder="1"/>
    <xf numFmtId="0" fontId="23" fillId="5" borderId="17" xfId="4" applyFont="1" applyFill="1" applyBorder="1"/>
    <xf numFmtId="0" fontId="10" fillId="5" borderId="18" xfId="4" applyFont="1" applyFill="1" applyBorder="1" applyAlignment="1">
      <alignment horizontal="center" vertical="center"/>
    </xf>
    <xf numFmtId="0" fontId="10" fillId="5" borderId="19" xfId="4" applyFont="1" applyFill="1" applyBorder="1" applyAlignment="1">
      <alignment horizontal="center" vertical="center"/>
    </xf>
    <xf numFmtId="0" fontId="10" fillId="5" borderId="17" xfId="4" applyFont="1" applyFill="1" applyBorder="1" applyAlignment="1">
      <alignment horizontal="center"/>
    </xf>
    <xf numFmtId="0" fontId="10" fillId="5" borderId="19" xfId="4" applyFont="1" applyFill="1" applyBorder="1" applyAlignment="1">
      <alignment horizontal="center"/>
    </xf>
    <xf numFmtId="0" fontId="10" fillId="5" borderId="17" xfId="4" applyFont="1" applyFill="1" applyBorder="1"/>
    <xf numFmtId="0" fontId="10" fillId="5" borderId="18" xfId="4" applyFont="1" applyFill="1" applyBorder="1"/>
    <xf numFmtId="0" fontId="10" fillId="5" borderId="19" xfId="4" applyFont="1" applyFill="1" applyBorder="1"/>
    <xf numFmtId="17" fontId="10" fillId="5" borderId="0" xfId="0" applyNumberFormat="1" applyFont="1" applyFill="1"/>
    <xf numFmtId="17" fontId="10" fillId="5" borderId="16" xfId="0" applyNumberFormat="1" applyFont="1" applyFill="1" applyBorder="1"/>
    <xf numFmtId="0" fontId="10" fillId="5" borderId="0" xfId="4" applyFont="1" applyFill="1"/>
    <xf numFmtId="0" fontId="13" fillId="3" borderId="13" xfId="0" applyFont="1" applyFill="1" applyBorder="1" applyAlignment="1">
      <alignment horizontal="left"/>
    </xf>
    <xf numFmtId="170" fontId="13" fillId="3" borderId="13" xfId="5" applyNumberFormat="1" applyFont="1" applyFill="1" applyBorder="1"/>
    <xf numFmtId="0" fontId="13" fillId="3" borderId="14" xfId="0" applyFont="1" applyFill="1" applyBorder="1"/>
    <xf numFmtId="170" fontId="13" fillId="3" borderId="14" xfId="0" applyNumberFormat="1" applyFont="1" applyFill="1" applyBorder="1"/>
    <xf numFmtId="0" fontId="10" fillId="5" borderId="43" xfId="4" applyFont="1" applyFill="1" applyBorder="1"/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23" fillId="5" borderId="22" xfId="0" applyFont="1" applyFill="1" applyBorder="1"/>
    <xf numFmtId="16" fontId="0" fillId="0" borderId="0" xfId="0" applyNumberFormat="1" applyAlignment="1">
      <alignment horizontal="left"/>
    </xf>
    <xf numFmtId="0" fontId="11" fillId="0" borderId="0" xfId="4" applyAlignment="1">
      <alignment horizontal="center"/>
    </xf>
    <xf numFmtId="0" fontId="10" fillId="5" borderId="9" xfId="4" applyFont="1" applyFill="1" applyBorder="1" applyAlignment="1">
      <alignment horizontal="center"/>
    </xf>
    <xf numFmtId="0" fontId="10" fillId="5" borderId="10" xfId="4" applyFont="1" applyFill="1" applyBorder="1" applyAlignment="1">
      <alignment horizontal="center"/>
    </xf>
    <xf numFmtId="0" fontId="10" fillId="5" borderId="11" xfId="4" applyFont="1" applyFill="1" applyBorder="1" applyAlignment="1">
      <alignment horizontal="center"/>
    </xf>
    <xf numFmtId="0" fontId="10" fillId="5" borderId="0" xfId="4" applyFont="1" applyFill="1" applyAlignment="1">
      <alignment horizontal="center"/>
    </xf>
    <xf numFmtId="0" fontId="10" fillId="5" borderId="0" xfId="0" applyFont="1" applyFill="1" applyAlignment="1">
      <alignment horizontal="center"/>
    </xf>
  </cellXfs>
  <cellStyles count="8">
    <cellStyle name="Comma" xfId="1" builtinId="3"/>
    <cellStyle name="Comma 2" xfId="5" xr:uid="{7B0AE031-81FF-4EB6-ACB6-BAA63F5A13D7}"/>
    <cellStyle name="Currency" xfId="2" builtinId="4"/>
    <cellStyle name="Normal" xfId="0" builtinId="0"/>
    <cellStyle name="Normal 2" xfId="4" xr:uid="{A905D38E-BD92-4B2E-A933-70523012F99F}"/>
    <cellStyle name="Normal 3" xfId="7" xr:uid="{73E28C3B-0631-4119-8A9B-D0A0DACF33D8}"/>
    <cellStyle name="Percent" xfId="3" builtinId="5"/>
    <cellStyle name="Percent 2" xfId="6" xr:uid="{621C55DE-5F83-45B6-B209-74D976695CE7}"/>
  </cellStyles>
  <dxfs count="8">
    <dxf>
      <fill>
        <patternFill>
          <fgColor theme="0"/>
        </patternFill>
      </fill>
    </dxf>
    <dxf>
      <font>
        <color rgb="FF00B050"/>
      </font>
    </dxf>
    <dxf>
      <font>
        <color rgb="FFFF0000"/>
      </font>
    </dxf>
    <dxf>
      <fill>
        <patternFill>
          <f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432FF"/>
        <name val="Calibri"/>
        <family val="2"/>
        <scheme val="minor"/>
      </font>
      <numFmt numFmtId="170" formatCode="#,##0_);\(#,##0\);\-\-_)"/>
    </dxf>
    <dxf>
      <numFmt numFmtId="179" formatCode="dd\-mmm"/>
      <alignment horizontal="left" vertical="bottom" textRotation="0" wrapText="0" indent="0" justifyLastLine="0" shrinkToFit="0" readingOrder="0"/>
    </dxf>
    <dxf>
      <border outline="0">
        <left style="thin">
          <color theme="0"/>
        </left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A3E68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1457566337784"/>
          <c:y val="0.14145571375972804"/>
          <c:w val="0.82058284311334506"/>
          <c:h val="0.69343696463186844"/>
        </c:manualLayout>
      </c:layout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strRef>
              <c:f>'Variance Analysis Model'!$B$8:$B$10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'Variance Analysis Model'!$C$8:$C$10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500</c:v>
                </c:pt>
                <c:pt idx="2">
                  <c:v>219.70000000000002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9-4FFF-A99D-95161F1BFFF1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'Variance Analysis Model'!$B$8:$B$10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'Variance Analysis Model'!$D$8:$D$10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669</c:v>
                </c:pt>
                <c:pt idx="2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9-4FFF-A99D-95161F1B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859760"/>
        <c:axId val="1107861408"/>
      </c:barChart>
      <c:catAx>
        <c:axId val="11078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61408"/>
        <c:crosses val="autoZero"/>
        <c:auto val="1"/>
        <c:lblAlgn val="ctr"/>
        <c:lblOffset val="100"/>
        <c:noMultiLvlLbl val="0"/>
      </c:catAx>
      <c:valAx>
        <c:axId val="1107861408"/>
        <c:scaling>
          <c:orientation val="minMax"/>
          <c:max val="3500"/>
          <c:min val="0"/>
        </c:scaling>
        <c:delete val="0"/>
        <c:axPos val="l"/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59760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D3-463F-A5EA-26907073D0F8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D3-463F-A5EA-26907073D0F8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D3-463F-A5EA-26907073D0F8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D3-463F-A5EA-26907073D0F8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D3-463F-A5EA-26907073D0F8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D3-463F-A5EA-26907073D0F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9D3-463F-A5EA-26907073D0F8}"/>
                </c:ext>
              </c:extLst>
            </c:dLbl>
            <c:dLbl>
              <c:idx val="1"/>
              <c:layout>
                <c:manualLayout>
                  <c:x val="4.9013190691963825E-2"/>
                  <c:y val="0.1554853310971228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D3-463F-A5EA-26907073D0F8}"/>
                </c:ext>
              </c:extLst>
            </c:dLbl>
            <c:dLbl>
              <c:idx val="2"/>
              <c:layout>
                <c:manualLayout>
                  <c:x val="-2.6785730429787994E-2"/>
                  <c:y val="1.57440062086582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D3-463F-A5EA-26907073D0F8}"/>
                </c:ext>
              </c:extLst>
            </c:dLbl>
            <c:dLbl>
              <c:idx val="3"/>
              <c:layout>
                <c:manualLayout>
                  <c:x val="-3.8105529023089862E-2"/>
                  <c:y val="-6.123088297656952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D3-463F-A5EA-26907073D0F8}"/>
                </c:ext>
              </c:extLst>
            </c:dLbl>
            <c:dLbl>
              <c:idx val="4"/>
              <c:layout>
                <c:manualLayout>
                  <c:x val="-3.8258006934669464E-2"/>
                  <c:y val="-7.88694529079324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D3-463F-A5EA-26907073D0F8}"/>
                </c:ext>
              </c:extLst>
            </c:dLbl>
            <c:dLbl>
              <c:idx val="5"/>
              <c:layout>
                <c:manualLayout>
                  <c:x val="9.2494489946958233E-2"/>
                  <c:y val="-2.16382808735489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D3-463F-A5EA-26907073D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'Variance Analysis Model'!$B$14:$B$19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'Variance Analysis Model'!$D$14:$D$19</c:f>
              <c:numCache>
                <c:formatCode>#,##0_);\(#,##0\);\-\-_)</c:formatCode>
                <c:ptCount val="6"/>
                <c:pt idx="0">
                  <c:v>1120</c:v>
                </c:pt>
                <c:pt idx="1">
                  <c:v>140</c:v>
                </c:pt>
                <c:pt idx="2">
                  <c:v>55</c:v>
                </c:pt>
                <c:pt idx="3">
                  <c:v>449</c:v>
                </c:pt>
                <c:pt idx="4">
                  <c:v>462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D3-463F-A5EA-26907073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893</xdr:colOff>
      <xdr:row>6</xdr:row>
      <xdr:rowOff>12396</xdr:rowOff>
    </xdr:from>
    <xdr:to>
      <xdr:col>12</xdr:col>
      <xdr:colOff>101601</xdr:colOff>
      <xdr:row>14</xdr:row>
      <xdr:rowOff>160866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D91EA-9844-4883-8C19-6AA53AC39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18143</xdr:colOff>
      <xdr:row>16</xdr:row>
      <xdr:rowOff>27846</xdr:rowOff>
    </xdr:from>
    <xdr:to>
      <xdr:col>12</xdr:col>
      <xdr:colOff>86784</xdr:colOff>
      <xdr:row>25</xdr:row>
      <xdr:rowOff>22279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2B7D4-1217-4A2B-9816-CF3ED7371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7DAED-E18A-C343-A887-2FC1212A1EB8}" name="Table2" displayName="Table2" ref="B5:F61" totalsRowShown="0" headerRowDxfId="7" tableBorderDxfId="6" headerRowCellStyle="Normal 2">
  <autoFilter ref="B5:F61" xr:uid="{2557DAED-E18A-C343-A887-2FC1212A1EB8}"/>
  <tableColumns count="5">
    <tableColumn id="1" xr3:uid="{29C792F7-0DDE-1F48-9DFA-3EE899508630}" name="Date" dataDxfId="5"/>
    <tableColumn id="2" xr3:uid="{A4CCE085-4639-BA4E-807B-DA47F7F4CCA6}" name="Month">
      <calculatedColumnFormula>TEXT(B6,"MMMM")</calculatedColumnFormula>
    </tableColumn>
    <tableColumn id="3" xr3:uid="{6A538EB0-B90B-7044-A959-610771C45565}" name="Category"/>
    <tableColumn id="4" xr3:uid="{25C0952D-FB8F-6B48-A5EC-14D860F2A582}" name="Description"/>
    <tableColumn id="5" xr3:uid="{1A22A44E-2C5F-994B-AD32-02341F142FCA}" name="Amount" dataDxfId="4" dataCellStyle="Comma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CC68-B125-495E-BDA6-74C4FA10D9B2}">
  <sheetPr>
    <tabColor theme="4" tint="-0.249977111117893"/>
  </sheetPr>
  <dimension ref="B2:W22"/>
  <sheetViews>
    <sheetView showGridLines="0" zoomScale="125" zoomScaleNormal="100" workbookViewId="0">
      <selection activeCell="G9" sqref="G9"/>
    </sheetView>
  </sheetViews>
  <sheetFormatPr defaultColWidth="11.6640625" defaultRowHeight="15.6" x14ac:dyDescent="0.3"/>
  <cols>
    <col min="1" max="1" width="11.6640625" style="29"/>
    <col min="2" max="2" width="19.109375" style="29" customWidth="1"/>
    <col min="3" max="4" width="11.6640625" style="29"/>
    <col min="5" max="5" width="3.6640625" style="29" customWidth="1"/>
    <col min="6" max="7" width="11.6640625" style="29"/>
    <col min="8" max="8" width="5.6640625" style="29" customWidth="1"/>
    <col min="9" max="16384" width="11.6640625" style="29"/>
  </cols>
  <sheetData>
    <row r="2" spans="2:23" ht="21" x14ac:dyDescent="0.4">
      <c r="B2" s="27" t="s">
        <v>0</v>
      </c>
      <c r="C2" s="27"/>
      <c r="D2" s="27"/>
      <c r="E2" s="27"/>
      <c r="F2" s="27"/>
      <c r="G2" s="27"/>
      <c r="H2" s="28"/>
      <c r="I2" s="28"/>
      <c r="J2" s="28"/>
      <c r="K2" s="28"/>
      <c r="L2" s="28"/>
    </row>
    <row r="4" spans="2:23" x14ac:dyDescent="0.3">
      <c r="B4" s="30" t="s">
        <v>1</v>
      </c>
      <c r="C4" s="31" t="s">
        <v>2</v>
      </c>
      <c r="E4" s="32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3"/>
    </row>
    <row r="5" spans="2:23" x14ac:dyDescent="0.3">
      <c r="B5" s="34"/>
      <c r="C5" s="34"/>
      <c r="D5" s="34"/>
      <c r="E5" s="34"/>
      <c r="F5" s="35"/>
      <c r="G5" s="36"/>
    </row>
    <row r="6" spans="2:23" x14ac:dyDescent="0.3">
      <c r="B6" s="280" t="s">
        <v>3</v>
      </c>
      <c r="C6" s="281" t="s">
        <v>4</v>
      </c>
      <c r="D6" s="282" t="s">
        <v>5</v>
      </c>
      <c r="E6" s="37"/>
      <c r="F6" s="283" t="s">
        <v>6</v>
      </c>
      <c r="G6" s="284" t="s">
        <v>7</v>
      </c>
      <c r="I6" s="301" t="s">
        <v>8</v>
      </c>
      <c r="J6" s="302"/>
      <c r="K6" s="302"/>
      <c r="L6" s="303"/>
    </row>
    <row r="7" spans="2:23" x14ac:dyDescent="0.3">
      <c r="B7" s="241" t="s">
        <v>9</v>
      </c>
      <c r="C7" s="34"/>
      <c r="D7" s="242"/>
      <c r="E7" s="34"/>
      <c r="F7" s="251"/>
      <c r="G7" s="242"/>
    </row>
    <row r="8" spans="2:23" x14ac:dyDescent="0.3">
      <c r="B8" s="243" t="s">
        <v>10</v>
      </c>
      <c r="C8" s="59">
        <f>INDEX('Variance Budget'!$B$4:$N$22,MATCH(B8,'Variance Budget'!$B$4:$B$22,0),MATCH($C$4,'Variance Budget'!$B$5:$N$5,0))</f>
        <v>3000</v>
      </c>
      <c r="D8" s="244">
        <f>SUMIFS('Variance Actuals'!$F$6:$F$61,'Variance Actuals'!$C$6:$C$61,$C$4,'Variance Actuals'!$D$6:$D$61,B8)</f>
        <v>3000</v>
      </c>
      <c r="E8" s="38"/>
      <c r="F8" s="252">
        <f t="shared" ref="F8:F9" si="0">D8-C8</f>
        <v>0</v>
      </c>
      <c r="G8" s="253">
        <f t="shared" ref="G8:G9" si="1">D8/C8-1</f>
        <v>0</v>
      </c>
    </row>
    <row r="9" spans="2:23" x14ac:dyDescent="0.3">
      <c r="B9" s="243" t="s">
        <v>11</v>
      </c>
      <c r="C9" s="59">
        <f>INDEX('Variance Budget'!$B$4:$N$22,MATCH(B9,'Variance Budget'!$B$4:$B$22,0),MATCH($C$4,'Variance Budget'!$B$5:$N$5,0))</f>
        <v>500</v>
      </c>
      <c r="D9" s="244">
        <f>SUMIFS('Variance Actuals'!$F$6:$F$61,'Variance Actuals'!$C$6:$C$61,$C$4,'Variance Actuals'!$D$6:$D$61,B9)</f>
        <v>669</v>
      </c>
      <c r="E9" s="38"/>
      <c r="F9" s="252">
        <f t="shared" si="0"/>
        <v>169</v>
      </c>
      <c r="G9" s="253">
        <f t="shared" si="1"/>
        <v>0.33800000000000008</v>
      </c>
    </row>
    <row r="10" spans="2:23" x14ac:dyDescent="0.3">
      <c r="B10" s="243" t="s">
        <v>12</v>
      </c>
      <c r="C10" s="59">
        <f>INDEX('Variance Budget'!$B$4:$N$22,MATCH(B10,'Variance Budget'!$B$4:$B$22,0),MATCH($C$4,'Variance Budget'!$B$5:$N$5,0))</f>
        <v>219.70000000000002</v>
      </c>
      <c r="D10" s="244">
        <f>SUMIFS('Variance Actuals'!$F$6:$F$61,'Variance Actuals'!$C$6:$C$61,$C$4,'Variance Actuals'!$D$6:$D$61,B10)</f>
        <v>258</v>
      </c>
      <c r="E10" s="38"/>
      <c r="F10" s="252">
        <f>D10-C10</f>
        <v>38.299999999999983</v>
      </c>
      <c r="G10" s="253">
        <f>D10/C10-1</f>
        <v>0.17432862994993159</v>
      </c>
    </row>
    <row r="11" spans="2:23" s="41" customFormat="1" x14ac:dyDescent="0.3">
      <c r="B11" s="245" t="s">
        <v>13</v>
      </c>
      <c r="C11" s="39">
        <f>SUM(C8:C10)</f>
        <v>3719.7</v>
      </c>
      <c r="D11" s="246">
        <f>SUM(D8:D10)</f>
        <v>3927</v>
      </c>
      <c r="E11" s="40"/>
      <c r="F11" s="254">
        <f>D11-C11</f>
        <v>207.30000000000018</v>
      </c>
      <c r="G11" s="255">
        <f>D11/C11-1</f>
        <v>5.5730300830712176E-2</v>
      </c>
    </row>
    <row r="12" spans="2:23" s="41" customFormat="1" x14ac:dyDescent="0.3">
      <c r="B12" s="247"/>
      <c r="C12" s="42"/>
      <c r="D12" s="248"/>
      <c r="E12" s="40"/>
      <c r="F12" s="256"/>
      <c r="G12" s="257"/>
    </row>
    <row r="13" spans="2:23" x14ac:dyDescent="0.3">
      <c r="B13" s="241" t="s">
        <v>14</v>
      </c>
      <c r="C13" s="43"/>
      <c r="D13" s="249"/>
      <c r="E13" s="43"/>
      <c r="F13" s="258"/>
      <c r="G13" s="259"/>
    </row>
    <row r="14" spans="2:23" x14ac:dyDescent="0.3">
      <c r="B14" s="243" t="s">
        <v>15</v>
      </c>
      <c r="C14" s="59">
        <f>INDEX('Variance Budget'!$B$4:$N$22,MATCH(B14,'Variance Budget'!$B$4:$B$22,0),MATCH($C$4,'Variance Budget'!$B$5:$N$5,0))</f>
        <v>1120</v>
      </c>
      <c r="D14" s="244">
        <f>SUMIFS('Variance Actuals'!$F$6:$F$61,'Variance Actuals'!$C$6:$C$61,$C$4,'Variance Actuals'!$D$6:$D$61,B14)</f>
        <v>1120</v>
      </c>
      <c r="E14" s="43"/>
      <c r="F14" s="252">
        <f>C14-D14</f>
        <v>0</v>
      </c>
      <c r="G14" s="253">
        <f>C14/D14-1</f>
        <v>0</v>
      </c>
    </row>
    <row r="15" spans="2:23" x14ac:dyDescent="0.3">
      <c r="B15" s="243" t="s">
        <v>16</v>
      </c>
      <c r="C15" s="59">
        <f>INDEX('Variance Budget'!$B$4:$N$22,MATCH(B15,'Variance Budget'!$B$4:$B$22,0),MATCH($C$4,'Variance Budget'!$B$5:$N$5,0))</f>
        <v>112</v>
      </c>
      <c r="D15" s="244">
        <f>SUMIFS('Variance Actuals'!$F$6:$F$61,'Variance Actuals'!$C$6:$C$61,$C$4,'Variance Actuals'!$D$6:$D$61,B15)</f>
        <v>140</v>
      </c>
      <c r="E15" s="43"/>
      <c r="F15" s="252">
        <f t="shared" ref="F15:F20" si="2">C15-D15</f>
        <v>-28</v>
      </c>
      <c r="G15" s="253">
        <f t="shared" ref="G15:G20" si="3">C15/D15-1</f>
        <v>-0.19999999999999996</v>
      </c>
    </row>
    <row r="16" spans="2:23" x14ac:dyDescent="0.3">
      <c r="B16" s="243" t="s">
        <v>17</v>
      </c>
      <c r="C16" s="59">
        <f>INDEX('Variance Budget'!$B$4:$N$22,MATCH(B16,'Variance Budget'!$B$4:$B$22,0),MATCH($C$4,'Variance Budget'!$B$5:$N$5,0))</f>
        <v>55</v>
      </c>
      <c r="D16" s="244">
        <f>SUMIFS('Variance Actuals'!$F$6:$F$61,'Variance Actuals'!$C$6:$C$61,$C$4,'Variance Actuals'!$D$6:$D$61,B16)</f>
        <v>55</v>
      </c>
      <c r="E16" s="43"/>
      <c r="F16" s="252">
        <f t="shared" si="2"/>
        <v>0</v>
      </c>
      <c r="G16" s="253">
        <f t="shared" si="3"/>
        <v>0</v>
      </c>
      <c r="I16" s="301" t="s">
        <v>18</v>
      </c>
      <c r="J16" s="302"/>
      <c r="K16" s="302"/>
      <c r="L16" s="303"/>
    </row>
    <row r="17" spans="2:7" x14ac:dyDescent="0.3">
      <c r="B17" s="243" t="s">
        <v>19</v>
      </c>
      <c r="C17" s="59">
        <f>INDEX('Variance Budget'!$B$4:$N$22,MATCH(B17,'Variance Budget'!$B$4:$B$22,0),MATCH($C$4,'Variance Budget'!$B$5:$N$5,0))</f>
        <v>550</v>
      </c>
      <c r="D17" s="244">
        <f>SUMIFS('Variance Actuals'!$F$6:$F$61,'Variance Actuals'!$C$6:$C$61,$C$4,'Variance Actuals'!$D$6:$D$61,B17)</f>
        <v>449</v>
      </c>
      <c r="E17" s="43"/>
      <c r="F17" s="252">
        <f t="shared" si="2"/>
        <v>101</v>
      </c>
      <c r="G17" s="253">
        <f t="shared" si="3"/>
        <v>0.22494432071269488</v>
      </c>
    </row>
    <row r="18" spans="2:7" x14ac:dyDescent="0.3">
      <c r="B18" s="243" t="s">
        <v>20</v>
      </c>
      <c r="C18" s="59">
        <f>INDEX('Variance Budget'!$B$4:$N$22,MATCH(B18,'Variance Budget'!$B$4:$B$22,0),MATCH($C$4,'Variance Budget'!$B$5:$N$5,0))</f>
        <v>400</v>
      </c>
      <c r="D18" s="244">
        <f>SUMIFS('Variance Actuals'!$F$6:$F$61,'Variance Actuals'!$C$6:$C$61,$C$4,'Variance Actuals'!$D$6:$D$61,B18)</f>
        <v>462</v>
      </c>
      <c r="E18" s="43"/>
      <c r="F18" s="252">
        <f t="shared" si="2"/>
        <v>-62</v>
      </c>
      <c r="G18" s="253">
        <f t="shared" si="3"/>
        <v>-0.13419913419913421</v>
      </c>
    </row>
    <row r="19" spans="2:7" x14ac:dyDescent="0.3">
      <c r="B19" s="243" t="s">
        <v>21</v>
      </c>
      <c r="C19" s="59">
        <f>INDEX('Variance Budget'!$B$4:$N$22,MATCH(B19,'Variance Budget'!$B$4:$B$22,0),MATCH($C$4,'Variance Budget'!$B$5:$N$5,0))</f>
        <v>100</v>
      </c>
      <c r="D19" s="244">
        <f>SUMIFS('Variance Actuals'!$F$6:$F$61,'Variance Actuals'!$C$6:$C$61,$C$4,'Variance Actuals'!$D$6:$D$61,B19)</f>
        <v>249</v>
      </c>
      <c r="E19" s="43"/>
      <c r="F19" s="252">
        <f t="shared" si="2"/>
        <v>-149</v>
      </c>
      <c r="G19" s="253">
        <f t="shared" si="3"/>
        <v>-0.59839357429718876</v>
      </c>
    </row>
    <row r="20" spans="2:7" x14ac:dyDescent="0.3">
      <c r="B20" s="245" t="s">
        <v>22</v>
      </c>
      <c r="C20" s="44">
        <f>SUM(C14:C19)</f>
        <v>2337</v>
      </c>
      <c r="D20" s="250">
        <f t="shared" ref="D20" si="4">SUM(D14:D19)</f>
        <v>2475</v>
      </c>
      <c r="E20" s="45"/>
      <c r="F20" s="254">
        <f t="shared" si="2"/>
        <v>-138</v>
      </c>
      <c r="G20" s="255">
        <f t="shared" si="3"/>
        <v>-5.5757575757575784E-2</v>
      </c>
    </row>
    <row r="21" spans="2:7" x14ac:dyDescent="0.3">
      <c r="B21" s="241"/>
      <c r="C21" s="43"/>
      <c r="D21" s="249"/>
      <c r="E21" s="43"/>
      <c r="F21" s="252"/>
      <c r="G21" s="253"/>
    </row>
    <row r="22" spans="2:7" x14ac:dyDescent="0.3">
      <c r="B22" s="267" t="s">
        <v>23</v>
      </c>
      <c r="C22" s="268">
        <f>C11-C20</f>
        <v>1382.6999999999998</v>
      </c>
      <c r="D22" s="269">
        <f t="shared" ref="D22" si="5">D11-D20</f>
        <v>1452</v>
      </c>
      <c r="E22" s="45"/>
      <c r="F22" s="270">
        <f>D22-C22</f>
        <v>69.300000000000182</v>
      </c>
      <c r="G22" s="271">
        <f>D22/C22-1</f>
        <v>5.0119331742243478E-2</v>
      </c>
    </row>
  </sheetData>
  <mergeCells count="3">
    <mergeCell ref="K4:V4"/>
    <mergeCell ref="I6:L6"/>
    <mergeCell ref="I16:L16"/>
  </mergeCells>
  <conditionalFormatting sqref="F8:G20 G21:G22">
    <cfRule type="cellIs" dxfId="3" priority="4" operator="greaterThan">
      <formula>0</formula>
    </cfRule>
  </conditionalFormatting>
  <conditionalFormatting sqref="F8:G22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F22:G22">
    <cfRule type="cellIs" dxfId="0" priority="1" operator="greater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B860A1-B590-4680-BE9D-6954A082E9B7}">
          <x14:formula1>
            <xm:f>'Variance Budget'!$C$5:$N$5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22FB-BFA2-E743-89B0-B77071935472}">
  <sheetPr>
    <tabColor theme="4" tint="-0.249977111117893"/>
  </sheetPr>
  <dimension ref="B2:N22"/>
  <sheetViews>
    <sheetView showGridLines="0" tabSelected="1" workbookViewId="0">
      <selection activeCell="D51" sqref="D51"/>
    </sheetView>
  </sheetViews>
  <sheetFormatPr defaultColWidth="11.44140625" defaultRowHeight="14.4" x14ac:dyDescent="0.3"/>
  <sheetData>
    <row r="2" spans="2:14" ht="21" x14ac:dyDescent="0.4">
      <c r="B2" s="27" t="s">
        <v>24</v>
      </c>
      <c r="C2" s="27"/>
      <c r="D2" s="27"/>
      <c r="E2" s="27"/>
      <c r="F2" s="27"/>
      <c r="G2" s="27"/>
      <c r="H2" s="28"/>
      <c r="I2" s="28"/>
      <c r="J2" s="28"/>
      <c r="K2" s="28"/>
      <c r="L2" s="28"/>
      <c r="M2" s="28"/>
      <c r="N2" s="28"/>
    </row>
    <row r="4" spans="2:14" ht="15.6" x14ac:dyDescent="0.3">
      <c r="B4" s="285" t="s">
        <v>25</v>
      </c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7"/>
    </row>
    <row r="5" spans="2:14" ht="15.6" x14ac:dyDescent="0.3">
      <c r="B5" s="298" t="s">
        <v>3</v>
      </c>
      <c r="C5" s="288" t="s">
        <v>26</v>
      </c>
      <c r="D5" s="288" t="s">
        <v>27</v>
      </c>
      <c r="E5" s="288" t="s">
        <v>28</v>
      </c>
      <c r="F5" s="288" t="s">
        <v>2</v>
      </c>
      <c r="G5" s="288" t="s">
        <v>29</v>
      </c>
      <c r="H5" s="288" t="s">
        <v>30</v>
      </c>
      <c r="I5" s="288" t="s">
        <v>31</v>
      </c>
      <c r="J5" s="288" t="s">
        <v>32</v>
      </c>
      <c r="K5" s="288" t="s">
        <v>33</v>
      </c>
      <c r="L5" s="288" t="s">
        <v>34</v>
      </c>
      <c r="M5" s="288" t="s">
        <v>35</v>
      </c>
      <c r="N5" s="289" t="s">
        <v>36</v>
      </c>
    </row>
    <row r="6" spans="2:14" x14ac:dyDescent="0.3">
      <c r="B6" s="106" t="s">
        <v>9</v>
      </c>
      <c r="N6" s="100"/>
    </row>
    <row r="7" spans="2:14" ht="15.6" x14ac:dyDescent="0.3">
      <c r="B7" s="128" t="s">
        <v>10</v>
      </c>
      <c r="C7" s="60">
        <v>2200</v>
      </c>
      <c r="D7" s="60">
        <v>2200</v>
      </c>
      <c r="E7" s="60">
        <v>2200</v>
      </c>
      <c r="F7" s="60">
        <v>3000</v>
      </c>
      <c r="G7" s="60">
        <v>3000</v>
      </c>
      <c r="H7" s="60">
        <v>3000</v>
      </c>
      <c r="I7" s="60">
        <v>3000</v>
      </c>
      <c r="J7" s="60">
        <v>3000</v>
      </c>
      <c r="K7" s="60">
        <v>3000</v>
      </c>
      <c r="L7" s="60">
        <v>3000</v>
      </c>
      <c r="M7" s="60">
        <v>3000</v>
      </c>
      <c r="N7" s="260">
        <v>3000</v>
      </c>
    </row>
    <row r="8" spans="2:14" ht="15.6" x14ac:dyDescent="0.3">
      <c r="B8" s="128" t="s">
        <v>11</v>
      </c>
      <c r="C8" s="60">
        <v>500</v>
      </c>
      <c r="D8" s="60">
        <f>C8*1.1</f>
        <v>550</v>
      </c>
      <c r="E8" s="60">
        <v>500</v>
      </c>
      <c r="F8" s="60">
        <v>500</v>
      </c>
      <c r="G8" s="60">
        <v>500</v>
      </c>
      <c r="H8" s="60">
        <v>500</v>
      </c>
      <c r="I8" s="60">
        <v>500</v>
      </c>
      <c r="J8" s="60">
        <v>500</v>
      </c>
      <c r="K8" s="60">
        <v>500</v>
      </c>
      <c r="L8" s="60">
        <v>500</v>
      </c>
      <c r="M8" s="60">
        <v>500</v>
      </c>
      <c r="N8" s="260">
        <v>500</v>
      </c>
    </row>
    <row r="9" spans="2:14" ht="15.6" x14ac:dyDescent="0.3">
      <c r="B9" s="128" t="s">
        <v>12</v>
      </c>
      <c r="C9" s="60">
        <v>100</v>
      </c>
      <c r="D9" s="60">
        <f t="shared" ref="D9:N9" si="0">C9*1.3</f>
        <v>130</v>
      </c>
      <c r="E9" s="60">
        <f t="shared" si="0"/>
        <v>169</v>
      </c>
      <c r="F9" s="60">
        <f t="shared" si="0"/>
        <v>219.70000000000002</v>
      </c>
      <c r="G9" s="60">
        <f t="shared" si="0"/>
        <v>285.61</v>
      </c>
      <c r="H9" s="60">
        <f t="shared" si="0"/>
        <v>371.29300000000001</v>
      </c>
      <c r="I9" s="60">
        <f t="shared" si="0"/>
        <v>482.68090000000001</v>
      </c>
      <c r="J9" s="60">
        <f t="shared" si="0"/>
        <v>627.48517000000004</v>
      </c>
      <c r="K9" s="60">
        <f t="shared" si="0"/>
        <v>815.73072100000013</v>
      </c>
      <c r="L9" s="60">
        <f t="shared" si="0"/>
        <v>1060.4499373000001</v>
      </c>
      <c r="M9" s="60">
        <f t="shared" si="0"/>
        <v>1378.5849184900003</v>
      </c>
      <c r="N9" s="260">
        <f t="shared" si="0"/>
        <v>1792.1603940370005</v>
      </c>
    </row>
    <row r="10" spans="2:14" ht="15.6" x14ac:dyDescent="0.3">
      <c r="B10" s="261" t="s">
        <v>13</v>
      </c>
      <c r="C10" s="39">
        <f t="shared" ref="C10:N10" si="1">SUM(C7:C9)</f>
        <v>2800</v>
      </c>
      <c r="D10" s="39">
        <f t="shared" si="1"/>
        <v>2880</v>
      </c>
      <c r="E10" s="39">
        <f t="shared" si="1"/>
        <v>2869</v>
      </c>
      <c r="F10" s="39">
        <f t="shared" si="1"/>
        <v>3719.7</v>
      </c>
      <c r="G10" s="39">
        <f t="shared" si="1"/>
        <v>3785.61</v>
      </c>
      <c r="H10" s="39">
        <f t="shared" si="1"/>
        <v>3871.2930000000001</v>
      </c>
      <c r="I10" s="39">
        <f t="shared" si="1"/>
        <v>3982.6808999999998</v>
      </c>
      <c r="J10" s="39">
        <f t="shared" si="1"/>
        <v>4127.4851699999999</v>
      </c>
      <c r="K10" s="39">
        <f t="shared" si="1"/>
        <v>4315.7307209999999</v>
      </c>
      <c r="L10" s="39">
        <f t="shared" si="1"/>
        <v>4560.4499372999999</v>
      </c>
      <c r="M10" s="39">
        <f t="shared" si="1"/>
        <v>4878.5849184899998</v>
      </c>
      <c r="N10" s="246">
        <f t="shared" si="1"/>
        <v>5292.1603940370005</v>
      </c>
    </row>
    <row r="11" spans="2:14" ht="15.6" x14ac:dyDescent="0.3">
      <c r="B11" s="262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263"/>
    </row>
    <row r="12" spans="2:14" x14ac:dyDescent="0.3">
      <c r="B12" s="106" t="s">
        <v>14</v>
      </c>
      <c r="N12" s="100"/>
    </row>
    <row r="13" spans="2:14" ht="15.6" x14ac:dyDescent="0.3">
      <c r="B13" s="128" t="s">
        <v>15</v>
      </c>
      <c r="C13" s="60">
        <v>1120</v>
      </c>
      <c r="D13" s="60">
        <v>1120</v>
      </c>
      <c r="E13" s="60">
        <v>1120</v>
      </c>
      <c r="F13" s="60">
        <v>1120</v>
      </c>
      <c r="G13" s="60">
        <v>1120</v>
      </c>
      <c r="H13" s="60">
        <v>1120</v>
      </c>
      <c r="I13" s="60">
        <v>1120</v>
      </c>
      <c r="J13" s="60">
        <v>1120</v>
      </c>
      <c r="K13" s="60">
        <v>1120</v>
      </c>
      <c r="L13" s="60">
        <v>1120</v>
      </c>
      <c r="M13" s="60">
        <v>1120</v>
      </c>
      <c r="N13" s="260">
        <v>1120</v>
      </c>
    </row>
    <row r="14" spans="2:14" ht="15.6" x14ac:dyDescent="0.3">
      <c r="B14" s="128" t="s">
        <v>16</v>
      </c>
      <c r="C14" s="60">
        <f t="shared" ref="C14:N14" si="2">C13*0.1</f>
        <v>112</v>
      </c>
      <c r="D14" s="60">
        <f t="shared" si="2"/>
        <v>112</v>
      </c>
      <c r="E14" s="60">
        <f t="shared" si="2"/>
        <v>112</v>
      </c>
      <c r="F14" s="60">
        <f t="shared" si="2"/>
        <v>112</v>
      </c>
      <c r="G14" s="60">
        <f t="shared" si="2"/>
        <v>112</v>
      </c>
      <c r="H14" s="60">
        <f t="shared" si="2"/>
        <v>112</v>
      </c>
      <c r="I14" s="60">
        <f t="shared" si="2"/>
        <v>112</v>
      </c>
      <c r="J14" s="60">
        <f t="shared" si="2"/>
        <v>112</v>
      </c>
      <c r="K14" s="60">
        <f t="shared" si="2"/>
        <v>112</v>
      </c>
      <c r="L14" s="60">
        <f t="shared" si="2"/>
        <v>112</v>
      </c>
      <c r="M14" s="60">
        <f t="shared" si="2"/>
        <v>112</v>
      </c>
      <c r="N14" s="260">
        <f t="shared" si="2"/>
        <v>112</v>
      </c>
    </row>
    <row r="15" spans="2:14" ht="15.6" x14ac:dyDescent="0.3">
      <c r="B15" s="128" t="s">
        <v>17</v>
      </c>
      <c r="C15" s="60">
        <v>55</v>
      </c>
      <c r="D15" s="60">
        <v>55</v>
      </c>
      <c r="E15" s="60">
        <v>55</v>
      </c>
      <c r="F15" s="60">
        <v>55</v>
      </c>
      <c r="G15" s="60">
        <v>55</v>
      </c>
      <c r="H15" s="60">
        <v>55</v>
      </c>
      <c r="I15" s="60">
        <v>55</v>
      </c>
      <c r="J15" s="60">
        <v>55</v>
      </c>
      <c r="K15" s="60">
        <v>55</v>
      </c>
      <c r="L15" s="60">
        <v>55</v>
      </c>
      <c r="M15" s="60">
        <v>55</v>
      </c>
      <c r="N15" s="260">
        <v>55</v>
      </c>
    </row>
    <row r="16" spans="2:14" ht="15.6" x14ac:dyDescent="0.3">
      <c r="B16" s="128" t="s">
        <v>19</v>
      </c>
      <c r="C16" s="60">
        <v>550</v>
      </c>
      <c r="D16" s="60">
        <v>550</v>
      </c>
      <c r="E16" s="60">
        <v>550</v>
      </c>
      <c r="F16" s="60">
        <v>550</v>
      </c>
      <c r="G16" s="60">
        <v>550</v>
      </c>
      <c r="H16" s="60">
        <v>550</v>
      </c>
      <c r="I16" s="60">
        <v>550</v>
      </c>
      <c r="J16" s="60">
        <v>550</v>
      </c>
      <c r="K16" s="60">
        <v>550</v>
      </c>
      <c r="L16" s="60">
        <v>550</v>
      </c>
      <c r="M16" s="60">
        <v>550</v>
      </c>
      <c r="N16" s="260">
        <v>550</v>
      </c>
    </row>
    <row r="17" spans="2:14" ht="15.6" x14ac:dyDescent="0.3">
      <c r="B17" s="128" t="s">
        <v>20</v>
      </c>
      <c r="C17" s="60">
        <v>400</v>
      </c>
      <c r="D17" s="60">
        <v>400</v>
      </c>
      <c r="E17" s="60">
        <v>400</v>
      </c>
      <c r="F17" s="60">
        <v>400</v>
      </c>
      <c r="G17" s="60">
        <v>400</v>
      </c>
      <c r="H17" s="60">
        <v>400</v>
      </c>
      <c r="I17" s="60">
        <v>400</v>
      </c>
      <c r="J17" s="60">
        <v>400</v>
      </c>
      <c r="K17" s="60">
        <v>400</v>
      </c>
      <c r="L17" s="60">
        <v>400</v>
      </c>
      <c r="M17" s="60">
        <v>400</v>
      </c>
      <c r="N17" s="260">
        <v>400</v>
      </c>
    </row>
    <row r="18" spans="2:14" ht="15.6" x14ac:dyDescent="0.3">
      <c r="B18" s="128" t="s">
        <v>21</v>
      </c>
      <c r="C18" s="60">
        <v>100</v>
      </c>
      <c r="D18" s="60">
        <v>100</v>
      </c>
      <c r="E18" s="60">
        <v>100</v>
      </c>
      <c r="F18" s="60">
        <v>100</v>
      </c>
      <c r="G18" s="60">
        <v>100</v>
      </c>
      <c r="H18" s="60">
        <v>100</v>
      </c>
      <c r="I18" s="60">
        <v>100</v>
      </c>
      <c r="J18" s="60">
        <v>100</v>
      </c>
      <c r="K18" s="60">
        <v>100</v>
      </c>
      <c r="L18" s="60">
        <v>100</v>
      </c>
      <c r="M18" s="60">
        <v>100</v>
      </c>
      <c r="N18" s="260">
        <v>100</v>
      </c>
    </row>
    <row r="19" spans="2:14" ht="15.6" x14ac:dyDescent="0.3">
      <c r="B19" s="261" t="s">
        <v>22</v>
      </c>
      <c r="C19" s="39">
        <f t="shared" ref="C19:N19" si="3">SUM(C13:C18)</f>
        <v>2337</v>
      </c>
      <c r="D19" s="39">
        <f t="shared" si="3"/>
        <v>2337</v>
      </c>
      <c r="E19" s="39">
        <f t="shared" si="3"/>
        <v>2337</v>
      </c>
      <c r="F19" s="39">
        <f t="shared" si="3"/>
        <v>2337</v>
      </c>
      <c r="G19" s="39">
        <f t="shared" si="3"/>
        <v>2337</v>
      </c>
      <c r="H19" s="39">
        <f t="shared" si="3"/>
        <v>2337</v>
      </c>
      <c r="I19" s="39">
        <f t="shared" si="3"/>
        <v>2337</v>
      </c>
      <c r="J19" s="39">
        <f t="shared" si="3"/>
        <v>2337</v>
      </c>
      <c r="K19" s="39">
        <f t="shared" si="3"/>
        <v>2337</v>
      </c>
      <c r="L19" s="39">
        <f t="shared" si="3"/>
        <v>2337</v>
      </c>
      <c r="M19" s="39">
        <f t="shared" si="3"/>
        <v>2337</v>
      </c>
      <c r="N19" s="246">
        <f t="shared" si="3"/>
        <v>2337</v>
      </c>
    </row>
    <row r="20" spans="2:14" x14ac:dyDescent="0.3">
      <c r="B20" s="106"/>
      <c r="N20" s="100"/>
    </row>
    <row r="21" spans="2:14" ht="15.6" x14ac:dyDescent="0.3">
      <c r="B21" s="291" t="s">
        <v>23</v>
      </c>
      <c r="C21" s="292">
        <f t="shared" ref="C21:N21" si="4">C10-C19</f>
        <v>463</v>
      </c>
      <c r="D21" s="292">
        <f t="shared" si="4"/>
        <v>543</v>
      </c>
      <c r="E21" s="292">
        <f t="shared" si="4"/>
        <v>532</v>
      </c>
      <c r="F21" s="292">
        <f t="shared" si="4"/>
        <v>1382.6999999999998</v>
      </c>
      <c r="G21" s="292">
        <f t="shared" si="4"/>
        <v>1448.6100000000001</v>
      </c>
      <c r="H21" s="292">
        <f t="shared" si="4"/>
        <v>1534.2930000000001</v>
      </c>
      <c r="I21" s="292">
        <f t="shared" si="4"/>
        <v>1645.6808999999998</v>
      </c>
      <c r="J21" s="292">
        <f t="shared" si="4"/>
        <v>1790.4851699999999</v>
      </c>
      <c r="K21" s="292">
        <f t="shared" si="4"/>
        <v>1978.7307209999999</v>
      </c>
      <c r="L21" s="292">
        <f t="shared" si="4"/>
        <v>2223.4499372999999</v>
      </c>
      <c r="M21" s="292">
        <f t="shared" si="4"/>
        <v>2541.5849184899998</v>
      </c>
      <c r="N21" s="292">
        <f t="shared" si="4"/>
        <v>2955.1603940370005</v>
      </c>
    </row>
    <row r="22" spans="2:14" ht="15.6" x14ac:dyDescent="0.3">
      <c r="B22" s="293" t="s">
        <v>37</v>
      </c>
      <c r="C22" s="294">
        <f>C21</f>
        <v>463</v>
      </c>
      <c r="D22" s="294">
        <f t="shared" ref="D22:N22" si="5">D21+C22</f>
        <v>1006</v>
      </c>
      <c r="E22" s="294">
        <f t="shared" si="5"/>
        <v>1538</v>
      </c>
      <c r="F22" s="294">
        <f t="shared" si="5"/>
        <v>2920.7</v>
      </c>
      <c r="G22" s="294">
        <f t="shared" si="5"/>
        <v>4369.3099999999995</v>
      </c>
      <c r="H22" s="294">
        <f t="shared" si="5"/>
        <v>5903.6029999999992</v>
      </c>
      <c r="I22" s="294">
        <f t="shared" si="5"/>
        <v>7549.2838999999985</v>
      </c>
      <c r="J22" s="294">
        <f t="shared" si="5"/>
        <v>9339.7690699999985</v>
      </c>
      <c r="K22" s="294">
        <f t="shared" si="5"/>
        <v>11318.499790999998</v>
      </c>
      <c r="L22" s="294">
        <f t="shared" si="5"/>
        <v>13541.949728299998</v>
      </c>
      <c r="M22" s="294">
        <f t="shared" si="5"/>
        <v>16083.534646789998</v>
      </c>
      <c r="N22" s="294">
        <f t="shared" si="5"/>
        <v>19038.695040826999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30CE-FF8F-604D-9F67-AB92195C51E3}">
  <sheetPr>
    <tabColor theme="4" tint="-0.249977111117893"/>
  </sheetPr>
  <dimension ref="B2:N61"/>
  <sheetViews>
    <sheetView showGridLines="0" workbookViewId="0"/>
  </sheetViews>
  <sheetFormatPr defaultColWidth="11.44140625" defaultRowHeight="14.4" x14ac:dyDescent="0.3"/>
  <cols>
    <col min="5" max="5" width="12.88671875" customWidth="1"/>
  </cols>
  <sheetData>
    <row r="2" spans="2:14" ht="21" x14ac:dyDescent="0.4">
      <c r="B2" s="27" t="s">
        <v>38</v>
      </c>
      <c r="C2" s="27"/>
      <c r="D2" s="27"/>
      <c r="E2" s="27"/>
      <c r="F2" s="27"/>
      <c r="G2" s="27"/>
      <c r="H2" s="28"/>
      <c r="I2" s="29"/>
      <c r="J2" s="29"/>
      <c r="K2" s="29"/>
      <c r="L2" s="29"/>
      <c r="M2" s="29"/>
      <c r="N2" s="29"/>
    </row>
    <row r="4" spans="2:14" ht="15.6" x14ac:dyDescent="0.3">
      <c r="B4" s="285" t="s">
        <v>39</v>
      </c>
      <c r="C4" s="286"/>
      <c r="D4" s="286"/>
      <c r="E4" s="286"/>
      <c r="F4" s="286"/>
      <c r="G4" s="279"/>
      <c r="H4" s="279"/>
      <c r="I4" s="29"/>
    </row>
    <row r="5" spans="2:14" ht="15.6" x14ac:dyDescent="0.3">
      <c r="B5" s="290" t="s">
        <v>40</v>
      </c>
      <c r="C5" s="290" t="s">
        <v>41</v>
      </c>
      <c r="D5" s="290" t="s">
        <v>42</v>
      </c>
      <c r="E5" s="290" t="s">
        <v>43</v>
      </c>
      <c r="F5" s="276" t="s">
        <v>44</v>
      </c>
      <c r="G5" s="29"/>
      <c r="H5" s="295" t="s">
        <v>45</v>
      </c>
      <c r="I5" s="29"/>
    </row>
    <row r="6" spans="2:14" ht="15.6" x14ac:dyDescent="0.3">
      <c r="B6" s="299">
        <v>44562</v>
      </c>
      <c r="C6" t="str">
        <f t="shared" ref="C6:C37" si="0">TEXT(B6,"MMMM")</f>
        <v>January</v>
      </c>
      <c r="D6" t="s">
        <v>15</v>
      </c>
      <c r="E6" t="s">
        <v>46</v>
      </c>
      <c r="F6" s="60">
        <v>1120</v>
      </c>
      <c r="G6" s="29"/>
      <c r="H6" s="296" t="s">
        <v>10</v>
      </c>
      <c r="I6" s="29"/>
    </row>
    <row r="7" spans="2:14" ht="15.6" x14ac:dyDescent="0.3">
      <c r="B7" s="299">
        <v>44562</v>
      </c>
      <c r="C7" t="str">
        <f t="shared" si="0"/>
        <v>January</v>
      </c>
      <c r="D7" t="s">
        <v>16</v>
      </c>
      <c r="E7" t="s">
        <v>47</v>
      </c>
      <c r="F7" s="60">
        <v>140</v>
      </c>
      <c r="G7" s="29"/>
      <c r="H7" s="296" t="s">
        <v>11</v>
      </c>
      <c r="I7" s="29"/>
    </row>
    <row r="8" spans="2:14" ht="15.6" x14ac:dyDescent="0.3">
      <c r="B8" s="299">
        <v>44562</v>
      </c>
      <c r="C8" t="str">
        <f t="shared" si="0"/>
        <v>January</v>
      </c>
      <c r="D8" t="s">
        <v>17</v>
      </c>
      <c r="E8" t="s">
        <v>48</v>
      </c>
      <c r="F8" s="60">
        <v>55</v>
      </c>
      <c r="G8" s="29"/>
      <c r="H8" s="296" t="s">
        <v>12</v>
      </c>
      <c r="I8" s="29"/>
    </row>
    <row r="9" spans="2:14" ht="15.6" x14ac:dyDescent="0.3">
      <c r="B9" s="299">
        <v>44569</v>
      </c>
      <c r="C9" t="str">
        <f t="shared" si="0"/>
        <v>January</v>
      </c>
      <c r="D9" t="s">
        <v>19</v>
      </c>
      <c r="E9" t="s">
        <v>49</v>
      </c>
      <c r="F9" s="60">
        <v>449</v>
      </c>
      <c r="G9" s="29"/>
      <c r="H9" s="296" t="s">
        <v>15</v>
      </c>
      <c r="I9" s="29"/>
    </row>
    <row r="10" spans="2:14" ht="15.6" x14ac:dyDescent="0.3">
      <c r="B10" s="299">
        <v>44572</v>
      </c>
      <c r="C10" t="str">
        <f t="shared" si="0"/>
        <v>January</v>
      </c>
      <c r="D10" t="s">
        <v>20</v>
      </c>
      <c r="E10" t="s">
        <v>50</v>
      </c>
      <c r="F10" s="60">
        <v>245</v>
      </c>
      <c r="G10" s="29"/>
      <c r="H10" s="296" t="s">
        <v>16</v>
      </c>
      <c r="I10" s="29"/>
    </row>
    <row r="11" spans="2:14" ht="15.6" x14ac:dyDescent="0.3">
      <c r="B11" s="299">
        <v>44573</v>
      </c>
      <c r="C11" t="str">
        <f t="shared" si="0"/>
        <v>January</v>
      </c>
      <c r="D11" t="s">
        <v>20</v>
      </c>
      <c r="E11" t="s">
        <v>51</v>
      </c>
      <c r="F11" s="60">
        <v>168</v>
      </c>
      <c r="G11" s="29"/>
      <c r="H11" s="296" t="s">
        <v>17</v>
      </c>
      <c r="I11" s="29"/>
    </row>
    <row r="12" spans="2:14" ht="15.6" x14ac:dyDescent="0.3">
      <c r="B12" s="299">
        <v>44573</v>
      </c>
      <c r="C12" t="str">
        <f t="shared" si="0"/>
        <v>January</v>
      </c>
      <c r="D12" t="s">
        <v>20</v>
      </c>
      <c r="E12" t="s">
        <v>52</v>
      </c>
      <c r="F12" s="60">
        <v>149</v>
      </c>
      <c r="G12" s="29"/>
      <c r="H12" s="296" t="s">
        <v>19</v>
      </c>
      <c r="I12" s="29"/>
    </row>
    <row r="13" spans="2:14" ht="15.6" x14ac:dyDescent="0.3">
      <c r="B13" s="299">
        <v>44575</v>
      </c>
      <c r="C13" t="str">
        <f t="shared" si="0"/>
        <v>January</v>
      </c>
      <c r="D13" t="s">
        <v>21</v>
      </c>
      <c r="E13" t="s">
        <v>53</v>
      </c>
      <c r="F13" s="60">
        <v>249</v>
      </c>
      <c r="G13" s="29"/>
      <c r="H13" s="296" t="s">
        <v>20</v>
      </c>
      <c r="I13" s="29"/>
    </row>
    <row r="14" spans="2:14" ht="15.6" x14ac:dyDescent="0.3">
      <c r="B14" s="299">
        <v>44592</v>
      </c>
      <c r="C14" t="str">
        <f t="shared" si="0"/>
        <v>January</v>
      </c>
      <c r="D14" t="s">
        <v>11</v>
      </c>
      <c r="E14" t="s">
        <v>54</v>
      </c>
      <c r="F14" s="60">
        <v>458</v>
      </c>
      <c r="G14" s="29"/>
      <c r="H14" s="297" t="s">
        <v>21</v>
      </c>
      <c r="I14" s="29"/>
    </row>
    <row r="15" spans="2:14" ht="15.6" x14ac:dyDescent="0.3">
      <c r="B15" s="299">
        <v>44592</v>
      </c>
      <c r="C15" t="str">
        <f t="shared" si="0"/>
        <v>January</v>
      </c>
      <c r="D15" t="s">
        <v>10</v>
      </c>
      <c r="E15" t="s">
        <v>55</v>
      </c>
      <c r="F15" s="60">
        <v>3000</v>
      </c>
      <c r="G15" s="29"/>
      <c r="H15" s="264"/>
      <c r="I15" s="29"/>
    </row>
    <row r="16" spans="2:14" ht="15.6" x14ac:dyDescent="0.3">
      <c r="B16" s="299">
        <v>44592</v>
      </c>
      <c r="C16" t="str">
        <f t="shared" si="0"/>
        <v>January</v>
      </c>
      <c r="D16" t="s">
        <v>12</v>
      </c>
      <c r="E16" t="s">
        <v>56</v>
      </c>
      <c r="F16" s="60">
        <v>184</v>
      </c>
      <c r="G16" s="29"/>
      <c r="H16" s="264"/>
      <c r="I16" s="29"/>
    </row>
    <row r="17" spans="2:9" ht="15.6" x14ac:dyDescent="0.3">
      <c r="B17" s="299">
        <v>44593</v>
      </c>
      <c r="C17" t="str">
        <f t="shared" si="0"/>
        <v>February</v>
      </c>
      <c r="D17" t="s">
        <v>15</v>
      </c>
      <c r="E17" t="s">
        <v>46</v>
      </c>
      <c r="F17" s="60">
        <v>1120</v>
      </c>
      <c r="G17" s="29"/>
      <c r="H17" s="264"/>
      <c r="I17" s="29"/>
    </row>
    <row r="18" spans="2:9" ht="15.6" x14ac:dyDescent="0.3">
      <c r="B18" s="299">
        <v>44593</v>
      </c>
      <c r="C18" t="str">
        <f t="shared" si="0"/>
        <v>February</v>
      </c>
      <c r="D18" t="s">
        <v>16</v>
      </c>
      <c r="E18" t="s">
        <v>57</v>
      </c>
      <c r="F18" s="60">
        <v>105</v>
      </c>
      <c r="G18" s="29"/>
      <c r="H18" s="264"/>
      <c r="I18" s="29"/>
    </row>
    <row r="19" spans="2:9" ht="15.6" x14ac:dyDescent="0.3">
      <c r="B19" s="299">
        <v>44593</v>
      </c>
      <c r="C19" t="str">
        <f t="shared" si="0"/>
        <v>February</v>
      </c>
      <c r="D19" t="s">
        <v>17</v>
      </c>
      <c r="E19" t="s">
        <v>48</v>
      </c>
      <c r="F19" s="60">
        <v>55</v>
      </c>
      <c r="G19" s="29"/>
      <c r="H19" s="264"/>
      <c r="I19" s="29"/>
    </row>
    <row r="20" spans="2:9" ht="15.6" x14ac:dyDescent="0.3">
      <c r="B20" s="299">
        <v>44600</v>
      </c>
      <c r="C20" t="str">
        <f t="shared" si="0"/>
        <v>February</v>
      </c>
      <c r="D20" t="s">
        <v>19</v>
      </c>
      <c r="E20" t="s">
        <v>49</v>
      </c>
      <c r="F20" s="60">
        <v>305</v>
      </c>
      <c r="G20" s="29"/>
      <c r="H20" s="264"/>
      <c r="I20" s="29"/>
    </row>
    <row r="21" spans="2:9" ht="15.6" x14ac:dyDescent="0.3">
      <c r="B21" s="299">
        <v>44603</v>
      </c>
      <c r="C21" t="str">
        <f t="shared" si="0"/>
        <v>February</v>
      </c>
      <c r="D21" t="s">
        <v>20</v>
      </c>
      <c r="E21" t="s">
        <v>58</v>
      </c>
      <c r="F21" s="60">
        <v>28</v>
      </c>
      <c r="G21" s="29"/>
      <c r="H21" s="264"/>
      <c r="I21" s="29"/>
    </row>
    <row r="22" spans="2:9" ht="15.6" x14ac:dyDescent="0.3">
      <c r="B22" s="299">
        <v>44604</v>
      </c>
      <c r="C22" t="str">
        <f t="shared" si="0"/>
        <v>February</v>
      </c>
      <c r="D22" t="s">
        <v>20</v>
      </c>
      <c r="E22" t="s">
        <v>59</v>
      </c>
      <c r="F22" s="60">
        <v>99</v>
      </c>
      <c r="G22" s="29"/>
      <c r="H22" s="264"/>
      <c r="I22" s="29"/>
    </row>
    <row r="23" spans="2:9" ht="15.6" x14ac:dyDescent="0.3">
      <c r="B23" s="299">
        <v>44604</v>
      </c>
      <c r="C23" t="str">
        <f t="shared" si="0"/>
        <v>February</v>
      </c>
      <c r="D23" t="s">
        <v>20</v>
      </c>
      <c r="E23" t="s">
        <v>60</v>
      </c>
      <c r="F23" s="60">
        <v>67</v>
      </c>
      <c r="G23" s="29"/>
      <c r="H23" s="264"/>
      <c r="I23" s="29"/>
    </row>
    <row r="24" spans="2:9" ht="15.6" x14ac:dyDescent="0.3">
      <c r="B24" s="299">
        <v>44606</v>
      </c>
      <c r="C24" t="str">
        <f t="shared" si="0"/>
        <v>February</v>
      </c>
      <c r="D24" t="s">
        <v>21</v>
      </c>
      <c r="E24" t="s">
        <v>61</v>
      </c>
      <c r="F24" s="60">
        <v>18</v>
      </c>
      <c r="G24" s="29"/>
      <c r="H24" s="264"/>
      <c r="I24" s="29"/>
    </row>
    <row r="25" spans="2:9" ht="15.6" x14ac:dyDescent="0.3">
      <c r="B25" s="299">
        <v>44620</v>
      </c>
      <c r="C25" t="str">
        <f t="shared" si="0"/>
        <v>February</v>
      </c>
      <c r="D25" t="s">
        <v>11</v>
      </c>
      <c r="E25" t="s">
        <v>54</v>
      </c>
      <c r="F25" s="60">
        <v>305</v>
      </c>
      <c r="G25" s="29"/>
      <c r="H25" s="264"/>
      <c r="I25" s="29"/>
    </row>
    <row r="26" spans="2:9" ht="15.6" x14ac:dyDescent="0.3">
      <c r="B26" s="299">
        <v>44620</v>
      </c>
      <c r="C26" t="str">
        <f t="shared" si="0"/>
        <v>February</v>
      </c>
      <c r="D26" t="s">
        <v>10</v>
      </c>
      <c r="E26" t="s">
        <v>55</v>
      </c>
      <c r="F26" s="60">
        <v>3000</v>
      </c>
      <c r="G26" s="29"/>
      <c r="H26" s="264"/>
      <c r="I26" s="29"/>
    </row>
    <row r="27" spans="2:9" ht="15.6" x14ac:dyDescent="0.3">
      <c r="B27" s="299">
        <v>44620</v>
      </c>
      <c r="C27" t="str">
        <f t="shared" si="0"/>
        <v>February</v>
      </c>
      <c r="D27" t="s">
        <v>12</v>
      </c>
      <c r="E27" t="s">
        <v>56</v>
      </c>
      <c r="F27" s="60">
        <v>228</v>
      </c>
      <c r="G27" s="29"/>
      <c r="H27" s="264"/>
      <c r="I27" s="29"/>
    </row>
    <row r="28" spans="2:9" ht="15.6" x14ac:dyDescent="0.3">
      <c r="B28" s="299">
        <v>44621</v>
      </c>
      <c r="C28" t="str">
        <f t="shared" si="0"/>
        <v>March</v>
      </c>
      <c r="D28" t="s">
        <v>15</v>
      </c>
      <c r="E28" t="s">
        <v>46</v>
      </c>
      <c r="F28" s="60">
        <v>1120</v>
      </c>
      <c r="G28" s="29"/>
      <c r="H28" s="264"/>
      <c r="I28" s="29"/>
    </row>
    <row r="29" spans="2:9" ht="15.6" x14ac:dyDescent="0.3">
      <c r="B29" s="299">
        <v>44621</v>
      </c>
      <c r="C29" t="str">
        <f t="shared" si="0"/>
        <v>March</v>
      </c>
      <c r="D29" t="s">
        <v>16</v>
      </c>
      <c r="E29" t="s">
        <v>57</v>
      </c>
      <c r="F29" s="60">
        <v>110</v>
      </c>
      <c r="G29" s="29"/>
      <c r="H29" s="264"/>
      <c r="I29" s="29"/>
    </row>
    <row r="30" spans="2:9" ht="15.6" x14ac:dyDescent="0.3">
      <c r="B30" s="299">
        <v>44621</v>
      </c>
      <c r="C30" t="str">
        <f t="shared" si="0"/>
        <v>March</v>
      </c>
      <c r="D30" t="s">
        <v>17</v>
      </c>
      <c r="E30" t="s">
        <v>48</v>
      </c>
      <c r="F30" s="60">
        <v>55</v>
      </c>
      <c r="G30" s="29"/>
      <c r="H30" s="264"/>
      <c r="I30" s="29"/>
    </row>
    <row r="31" spans="2:9" ht="15.6" x14ac:dyDescent="0.3">
      <c r="B31" s="299">
        <v>44628</v>
      </c>
      <c r="C31" t="str">
        <f t="shared" si="0"/>
        <v>March</v>
      </c>
      <c r="D31" t="s">
        <v>19</v>
      </c>
      <c r="E31" t="s">
        <v>49</v>
      </c>
      <c r="F31" s="60">
        <v>208</v>
      </c>
      <c r="G31" s="29"/>
      <c r="H31" s="264"/>
      <c r="I31" s="29"/>
    </row>
    <row r="32" spans="2:9" ht="15.6" x14ac:dyDescent="0.3">
      <c r="B32" s="299">
        <v>44631</v>
      </c>
      <c r="C32" t="str">
        <f t="shared" si="0"/>
        <v>March</v>
      </c>
      <c r="D32" t="s">
        <v>20</v>
      </c>
      <c r="E32" t="s">
        <v>62</v>
      </c>
      <c r="F32" s="60">
        <v>188</v>
      </c>
      <c r="G32" s="29"/>
      <c r="H32" s="264"/>
      <c r="I32" s="29"/>
    </row>
    <row r="33" spans="2:9" ht="15.6" x14ac:dyDescent="0.3">
      <c r="B33" s="299">
        <v>44632</v>
      </c>
      <c r="C33" t="str">
        <f t="shared" si="0"/>
        <v>March</v>
      </c>
      <c r="D33" t="s">
        <v>20</v>
      </c>
      <c r="E33" t="s">
        <v>63</v>
      </c>
      <c r="F33" s="60">
        <v>168</v>
      </c>
      <c r="G33" s="29"/>
      <c r="H33" s="264"/>
      <c r="I33" s="29"/>
    </row>
    <row r="34" spans="2:9" ht="15.6" x14ac:dyDescent="0.3">
      <c r="B34" s="299">
        <v>44632</v>
      </c>
      <c r="C34" t="str">
        <f t="shared" si="0"/>
        <v>March</v>
      </c>
      <c r="D34" t="s">
        <v>20</v>
      </c>
      <c r="E34" t="s">
        <v>64</v>
      </c>
      <c r="F34" s="60">
        <v>49</v>
      </c>
      <c r="G34" s="29"/>
      <c r="H34" s="264"/>
      <c r="I34" s="29"/>
    </row>
    <row r="35" spans="2:9" ht="15.6" x14ac:dyDescent="0.3">
      <c r="B35" s="299">
        <v>44634</v>
      </c>
      <c r="C35" t="str">
        <f t="shared" si="0"/>
        <v>March</v>
      </c>
      <c r="D35" t="s">
        <v>21</v>
      </c>
      <c r="E35" t="s">
        <v>53</v>
      </c>
      <c r="F35" s="60">
        <v>199</v>
      </c>
      <c r="G35" s="29"/>
      <c r="H35" s="264"/>
      <c r="I35" s="29"/>
    </row>
    <row r="36" spans="2:9" ht="15.6" x14ac:dyDescent="0.3">
      <c r="B36" s="299">
        <v>44648</v>
      </c>
      <c r="C36" t="str">
        <f t="shared" si="0"/>
        <v>March</v>
      </c>
      <c r="D36" t="s">
        <v>11</v>
      </c>
      <c r="E36" t="s">
        <v>54</v>
      </c>
      <c r="F36" s="60">
        <v>598</v>
      </c>
      <c r="G36" s="29"/>
      <c r="H36" s="264"/>
      <c r="I36" s="29"/>
    </row>
    <row r="37" spans="2:9" ht="15.6" x14ac:dyDescent="0.3">
      <c r="B37" s="299">
        <v>44648</v>
      </c>
      <c r="C37" t="str">
        <f t="shared" si="0"/>
        <v>March</v>
      </c>
      <c r="D37" t="s">
        <v>10</v>
      </c>
      <c r="E37" t="s">
        <v>55</v>
      </c>
      <c r="F37" s="60">
        <v>3000</v>
      </c>
      <c r="G37" s="29"/>
      <c r="H37" s="264"/>
      <c r="I37" s="29"/>
    </row>
    <row r="38" spans="2:9" ht="15.6" x14ac:dyDescent="0.3">
      <c r="B38" s="299">
        <v>44648</v>
      </c>
      <c r="C38" t="str">
        <f t="shared" ref="C38:C61" si="1">TEXT(B38,"MMMM")</f>
        <v>March</v>
      </c>
      <c r="D38" t="s">
        <v>12</v>
      </c>
      <c r="E38" t="s">
        <v>56</v>
      </c>
      <c r="F38" s="60">
        <v>59</v>
      </c>
      <c r="G38" s="29"/>
      <c r="H38" s="264"/>
      <c r="I38" s="29"/>
    </row>
    <row r="39" spans="2:9" ht="15.6" x14ac:dyDescent="0.3">
      <c r="B39" s="299">
        <v>44652</v>
      </c>
      <c r="C39" t="str">
        <f t="shared" si="1"/>
        <v>April</v>
      </c>
      <c r="D39" t="s">
        <v>15</v>
      </c>
      <c r="E39" t="s">
        <v>46</v>
      </c>
      <c r="F39" s="60">
        <v>1120</v>
      </c>
      <c r="G39" s="29"/>
      <c r="H39" s="264"/>
      <c r="I39" s="29"/>
    </row>
    <row r="40" spans="2:9" ht="15.6" x14ac:dyDescent="0.3">
      <c r="B40" s="299">
        <v>44652</v>
      </c>
      <c r="C40" t="str">
        <f t="shared" si="1"/>
        <v>April</v>
      </c>
      <c r="D40" t="s">
        <v>16</v>
      </c>
      <c r="E40" t="s">
        <v>47</v>
      </c>
      <c r="F40" s="60">
        <v>140</v>
      </c>
      <c r="G40" s="29"/>
      <c r="H40" s="264"/>
      <c r="I40" s="29"/>
    </row>
    <row r="41" spans="2:9" ht="15.6" x14ac:dyDescent="0.3">
      <c r="B41" s="299">
        <v>44652</v>
      </c>
      <c r="C41" t="str">
        <f t="shared" si="1"/>
        <v>April</v>
      </c>
      <c r="D41" t="s">
        <v>17</v>
      </c>
      <c r="E41" t="s">
        <v>48</v>
      </c>
      <c r="F41" s="60">
        <v>55</v>
      </c>
      <c r="G41" s="29"/>
      <c r="H41" s="264"/>
      <c r="I41" s="29"/>
    </row>
    <row r="42" spans="2:9" ht="15.6" x14ac:dyDescent="0.3">
      <c r="B42" s="299">
        <v>44659</v>
      </c>
      <c r="C42" t="str">
        <f t="shared" si="1"/>
        <v>April</v>
      </c>
      <c r="D42" t="s">
        <v>19</v>
      </c>
      <c r="E42" t="s">
        <v>49</v>
      </c>
      <c r="F42" s="60">
        <v>449</v>
      </c>
      <c r="G42" s="29"/>
      <c r="H42" s="264"/>
      <c r="I42" s="29"/>
    </row>
    <row r="43" spans="2:9" ht="15.6" x14ac:dyDescent="0.3">
      <c r="B43" s="299">
        <v>44662</v>
      </c>
      <c r="C43" t="str">
        <f t="shared" si="1"/>
        <v>April</v>
      </c>
      <c r="D43" t="s">
        <v>20</v>
      </c>
      <c r="E43" t="s">
        <v>65</v>
      </c>
      <c r="F43" s="60">
        <v>245</v>
      </c>
      <c r="G43" s="29"/>
      <c r="H43" s="264"/>
      <c r="I43" s="29"/>
    </row>
    <row r="44" spans="2:9" ht="15.6" x14ac:dyDescent="0.3">
      <c r="B44" s="299">
        <v>44663</v>
      </c>
      <c r="C44" t="str">
        <f t="shared" si="1"/>
        <v>April</v>
      </c>
      <c r="D44" t="s">
        <v>20</v>
      </c>
      <c r="E44" t="s">
        <v>51</v>
      </c>
      <c r="F44" s="60">
        <v>168</v>
      </c>
      <c r="G44" s="29"/>
      <c r="H44" s="264"/>
      <c r="I44" s="29"/>
    </row>
    <row r="45" spans="2:9" ht="15.6" x14ac:dyDescent="0.3">
      <c r="B45" s="299">
        <v>44663</v>
      </c>
      <c r="C45" t="str">
        <f t="shared" si="1"/>
        <v>April</v>
      </c>
      <c r="D45" t="s">
        <v>20</v>
      </c>
      <c r="E45" t="s">
        <v>66</v>
      </c>
      <c r="F45" s="60">
        <v>49</v>
      </c>
      <c r="G45" s="29"/>
      <c r="H45" s="264"/>
      <c r="I45" s="29"/>
    </row>
    <row r="46" spans="2:9" ht="15.6" x14ac:dyDescent="0.3">
      <c r="B46" s="299">
        <v>44665</v>
      </c>
      <c r="C46" t="str">
        <f t="shared" si="1"/>
        <v>April</v>
      </c>
      <c r="D46" t="s">
        <v>21</v>
      </c>
      <c r="E46" t="s">
        <v>53</v>
      </c>
      <c r="F46" s="60">
        <v>249</v>
      </c>
      <c r="G46" s="29"/>
      <c r="H46" s="264"/>
      <c r="I46" s="29"/>
    </row>
    <row r="47" spans="2:9" ht="15.6" x14ac:dyDescent="0.3">
      <c r="B47" s="299">
        <v>44679</v>
      </c>
      <c r="C47" t="str">
        <f t="shared" si="1"/>
        <v>April</v>
      </c>
      <c r="D47" t="s">
        <v>11</v>
      </c>
      <c r="E47" t="s">
        <v>54</v>
      </c>
      <c r="F47" s="60">
        <v>669</v>
      </c>
      <c r="G47" s="29"/>
      <c r="H47" s="264"/>
      <c r="I47" s="29"/>
    </row>
    <row r="48" spans="2:9" ht="15.6" x14ac:dyDescent="0.3">
      <c r="B48" s="299">
        <v>44679</v>
      </c>
      <c r="C48" t="str">
        <f t="shared" si="1"/>
        <v>April</v>
      </c>
      <c r="D48" t="s">
        <v>10</v>
      </c>
      <c r="E48" t="s">
        <v>55</v>
      </c>
      <c r="F48" s="60">
        <v>3000</v>
      </c>
      <c r="G48" s="29"/>
      <c r="H48" s="264"/>
      <c r="I48" s="29"/>
    </row>
    <row r="49" spans="2:9" ht="15.6" x14ac:dyDescent="0.3">
      <c r="B49" s="299">
        <v>44679</v>
      </c>
      <c r="C49" t="str">
        <f t="shared" si="1"/>
        <v>April</v>
      </c>
      <c r="D49" t="s">
        <v>12</v>
      </c>
      <c r="E49" t="s">
        <v>56</v>
      </c>
      <c r="F49" s="60">
        <v>258</v>
      </c>
      <c r="G49" s="29"/>
      <c r="H49" s="264"/>
      <c r="I49" s="29"/>
    </row>
    <row r="50" spans="2:9" ht="15.6" x14ac:dyDescent="0.3">
      <c r="B50" s="299">
        <v>44682</v>
      </c>
      <c r="C50" t="str">
        <f t="shared" si="1"/>
        <v>May</v>
      </c>
      <c r="D50" t="s">
        <v>15</v>
      </c>
      <c r="E50" t="s">
        <v>46</v>
      </c>
      <c r="F50" s="60">
        <v>1120</v>
      </c>
      <c r="G50" s="29"/>
      <c r="H50" s="264"/>
      <c r="I50" s="29"/>
    </row>
    <row r="51" spans="2:9" ht="15.6" x14ac:dyDescent="0.3">
      <c r="B51" s="299">
        <v>44682</v>
      </c>
      <c r="C51" t="str">
        <f t="shared" si="1"/>
        <v>May</v>
      </c>
      <c r="D51" t="s">
        <v>16</v>
      </c>
      <c r="E51" t="s">
        <v>47</v>
      </c>
      <c r="F51" s="60">
        <v>155</v>
      </c>
      <c r="G51" s="29"/>
      <c r="H51" s="264"/>
      <c r="I51" s="29"/>
    </row>
    <row r="52" spans="2:9" ht="15.6" x14ac:dyDescent="0.3">
      <c r="B52" s="299">
        <v>44682</v>
      </c>
      <c r="C52" t="str">
        <f t="shared" si="1"/>
        <v>May</v>
      </c>
      <c r="D52" t="s">
        <v>17</v>
      </c>
      <c r="E52" t="s">
        <v>48</v>
      </c>
      <c r="F52" s="60">
        <v>55</v>
      </c>
      <c r="G52" s="29"/>
      <c r="H52" s="264"/>
      <c r="I52" s="29"/>
    </row>
    <row r="53" spans="2:9" ht="15.6" x14ac:dyDescent="0.3">
      <c r="B53" s="299">
        <v>44689</v>
      </c>
      <c r="C53" t="str">
        <f t="shared" si="1"/>
        <v>May</v>
      </c>
      <c r="D53" t="s">
        <v>19</v>
      </c>
      <c r="E53" t="s">
        <v>49</v>
      </c>
      <c r="F53" s="60">
        <v>449</v>
      </c>
      <c r="G53" s="29"/>
      <c r="H53" s="264"/>
      <c r="I53" s="29"/>
    </row>
    <row r="54" spans="2:9" ht="15.6" x14ac:dyDescent="0.3">
      <c r="B54" s="299">
        <v>44692</v>
      </c>
      <c r="C54" t="str">
        <f t="shared" si="1"/>
        <v>May</v>
      </c>
      <c r="D54" t="s">
        <v>20</v>
      </c>
      <c r="E54" t="s">
        <v>50</v>
      </c>
      <c r="F54" s="60">
        <v>245</v>
      </c>
      <c r="G54" s="29"/>
      <c r="H54" s="264"/>
      <c r="I54" s="29"/>
    </row>
    <row r="55" spans="2:9" ht="15.6" x14ac:dyDescent="0.3">
      <c r="B55" s="299">
        <v>44693</v>
      </c>
      <c r="C55" t="str">
        <f t="shared" si="1"/>
        <v>May</v>
      </c>
      <c r="D55" t="s">
        <v>20</v>
      </c>
      <c r="E55" t="s">
        <v>51</v>
      </c>
      <c r="F55" s="60">
        <v>168</v>
      </c>
      <c r="G55" s="29"/>
      <c r="H55" s="264"/>
      <c r="I55" s="29"/>
    </row>
    <row r="56" spans="2:9" ht="15.6" x14ac:dyDescent="0.3">
      <c r="B56" s="299">
        <v>44693</v>
      </c>
      <c r="C56" t="str">
        <f t="shared" si="1"/>
        <v>May</v>
      </c>
      <c r="D56" t="s">
        <v>20</v>
      </c>
      <c r="E56" t="s">
        <v>67</v>
      </c>
      <c r="F56" s="60">
        <v>233</v>
      </c>
      <c r="G56" s="29"/>
      <c r="H56" s="264"/>
      <c r="I56" s="29"/>
    </row>
    <row r="57" spans="2:9" ht="15.6" x14ac:dyDescent="0.3">
      <c r="B57" s="299">
        <v>44695</v>
      </c>
      <c r="C57" t="str">
        <f t="shared" si="1"/>
        <v>May</v>
      </c>
      <c r="D57" t="s">
        <v>21</v>
      </c>
      <c r="E57" t="s">
        <v>53</v>
      </c>
      <c r="F57" s="60">
        <v>249</v>
      </c>
      <c r="G57" s="29"/>
      <c r="H57" s="264"/>
      <c r="I57" s="29"/>
    </row>
    <row r="58" spans="2:9" ht="15.6" x14ac:dyDescent="0.3">
      <c r="B58" s="299">
        <v>44709</v>
      </c>
      <c r="C58" t="str">
        <f t="shared" si="1"/>
        <v>May</v>
      </c>
      <c r="D58" t="s">
        <v>11</v>
      </c>
      <c r="E58" t="s">
        <v>54</v>
      </c>
      <c r="F58" s="60">
        <v>708</v>
      </c>
      <c r="G58" s="29"/>
      <c r="H58" s="264"/>
      <c r="I58" s="29"/>
    </row>
    <row r="59" spans="2:9" ht="15.6" x14ac:dyDescent="0.3">
      <c r="B59" s="299">
        <v>44709</v>
      </c>
      <c r="C59" t="str">
        <f t="shared" si="1"/>
        <v>May</v>
      </c>
      <c r="D59" t="s">
        <v>10</v>
      </c>
      <c r="E59" t="s">
        <v>55</v>
      </c>
      <c r="F59" s="60">
        <v>3000</v>
      </c>
      <c r="G59" s="29"/>
      <c r="H59" s="264"/>
      <c r="I59" s="29"/>
    </row>
    <row r="60" spans="2:9" ht="15.6" x14ac:dyDescent="0.3">
      <c r="B60" s="299">
        <v>44709</v>
      </c>
      <c r="C60" t="str">
        <f t="shared" si="1"/>
        <v>May</v>
      </c>
      <c r="D60" t="s">
        <v>12</v>
      </c>
      <c r="E60" t="s">
        <v>56</v>
      </c>
      <c r="F60" s="60">
        <v>366</v>
      </c>
      <c r="G60" s="29"/>
      <c r="H60" s="264"/>
      <c r="I60" s="29"/>
    </row>
    <row r="61" spans="2:9" ht="15.6" x14ac:dyDescent="0.3">
      <c r="B61" s="299">
        <v>44710</v>
      </c>
      <c r="C61" t="str">
        <f t="shared" si="1"/>
        <v>May</v>
      </c>
      <c r="D61" t="s">
        <v>12</v>
      </c>
      <c r="E61" t="s">
        <v>68</v>
      </c>
      <c r="F61" s="60">
        <v>1000</v>
      </c>
      <c r="G61" s="265"/>
      <c r="H61" s="266"/>
      <c r="I61" s="29"/>
    </row>
  </sheetData>
  <dataValidations count="1">
    <dataValidation type="list" allowBlank="1" showInputMessage="1" showErrorMessage="1" sqref="D6:D61" xr:uid="{7387B23A-E825-2246-AD05-B202110F41A6}">
      <formula1>$AJ$10:$AJ$18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6890-D2F6-4A52-A244-DF80E59D878A}">
  <sheetPr>
    <tabColor theme="4" tint="0.39997558519241921"/>
  </sheetPr>
  <dimension ref="B1:Q35"/>
  <sheetViews>
    <sheetView showGridLines="0" topLeftCell="A5" zoomScaleNormal="100" workbookViewId="0"/>
  </sheetViews>
  <sheetFormatPr defaultColWidth="11.6640625" defaultRowHeight="15.6" x14ac:dyDescent="0.3"/>
  <cols>
    <col min="1" max="1" width="11.6640625" style="29"/>
    <col min="2" max="2" width="25.109375" style="29" customWidth="1"/>
    <col min="3" max="3" width="13.109375" style="29" bestFit="1" customWidth="1"/>
    <col min="4" max="4" width="12.109375" style="29" bestFit="1" customWidth="1"/>
    <col min="5" max="8" width="11.6640625" style="29"/>
    <col min="9" max="9" width="11.88671875" style="29" customWidth="1"/>
    <col min="10" max="15" width="11.6640625" style="29"/>
    <col min="16" max="16" width="13.6640625" style="29" bestFit="1" customWidth="1"/>
    <col min="17" max="16384" width="11.6640625" style="29"/>
  </cols>
  <sheetData>
    <row r="1" spans="2:17" x14ac:dyDescent="0.3">
      <c r="C1" s="29" t="s">
        <v>69</v>
      </c>
    </row>
    <row r="2" spans="2:17" ht="21" x14ac:dyDescent="0.4">
      <c r="B2" s="27" t="s">
        <v>70</v>
      </c>
      <c r="C2" s="46"/>
      <c r="D2" s="46"/>
      <c r="E2" s="46"/>
      <c r="F2" s="46"/>
      <c r="G2" s="46"/>
      <c r="H2" s="46"/>
      <c r="I2" s="46"/>
      <c r="J2" s="46"/>
    </row>
    <row r="3" spans="2:17" ht="18" x14ac:dyDescent="0.35">
      <c r="B3" s="58" t="s">
        <v>71</v>
      </c>
    </row>
    <row r="5" spans="2:17" x14ac:dyDescent="0.3">
      <c r="B5" s="304" t="s">
        <v>72</v>
      </c>
      <c r="C5" s="304"/>
      <c r="D5" s="304"/>
      <c r="E5" s="304"/>
      <c r="F5" s="304"/>
      <c r="G5" s="304"/>
      <c r="H5" s="304"/>
      <c r="I5" s="304"/>
      <c r="J5" s="304"/>
    </row>
    <row r="6" spans="2:17" ht="16.2" thickBot="1" x14ac:dyDescent="0.35">
      <c r="B6" s="277" t="s">
        <v>73</v>
      </c>
      <c r="C6" s="277">
        <v>0</v>
      </c>
      <c r="D6" s="277">
        <v>1</v>
      </c>
      <c r="E6" s="277">
        <v>2</v>
      </c>
      <c r="F6" s="277">
        <v>3</v>
      </c>
      <c r="G6" s="277">
        <v>4</v>
      </c>
      <c r="H6" s="277">
        <v>5</v>
      </c>
      <c r="I6" s="277">
        <v>6</v>
      </c>
      <c r="J6" s="277">
        <v>7</v>
      </c>
    </row>
    <row r="7" spans="2:17" x14ac:dyDescent="0.3">
      <c r="B7" s="29" t="s">
        <v>74</v>
      </c>
      <c r="C7" s="47"/>
      <c r="D7" s="47">
        <v>325000</v>
      </c>
      <c r="E7" s="47">
        <v>475000</v>
      </c>
      <c r="F7" s="47">
        <v>550000</v>
      </c>
      <c r="G7" s="47">
        <v>595000</v>
      </c>
      <c r="H7" s="47">
        <v>625000</v>
      </c>
      <c r="I7" s="47">
        <v>650000</v>
      </c>
      <c r="J7" s="47">
        <v>700000</v>
      </c>
      <c r="Q7" s="48"/>
    </row>
    <row r="8" spans="2:17" x14ac:dyDescent="0.3">
      <c r="B8" s="29" t="s">
        <v>75</v>
      </c>
      <c r="C8" s="47">
        <v>-1500000</v>
      </c>
      <c r="D8" s="47">
        <v>-100000</v>
      </c>
      <c r="E8" s="47">
        <v>-100000</v>
      </c>
      <c r="F8" s="47">
        <v>-100000</v>
      </c>
      <c r="G8" s="47">
        <v>-100000</v>
      </c>
      <c r="H8" s="47">
        <v>-100000</v>
      </c>
      <c r="I8" s="47">
        <v>-100000</v>
      </c>
      <c r="J8" s="47">
        <v>-100000</v>
      </c>
      <c r="P8" s="49"/>
      <c r="Q8" s="48"/>
    </row>
    <row r="9" spans="2:17" x14ac:dyDescent="0.3">
      <c r="B9" s="272" t="s">
        <v>76</v>
      </c>
      <c r="C9" s="273">
        <f>SUM(C7:C8)</f>
        <v>-1500000</v>
      </c>
      <c r="D9" s="273">
        <f t="shared" ref="D9:J9" si="0">SUM(D7:D8)</f>
        <v>225000</v>
      </c>
      <c r="E9" s="273">
        <f t="shared" si="0"/>
        <v>375000</v>
      </c>
      <c r="F9" s="273">
        <f t="shared" si="0"/>
        <v>450000</v>
      </c>
      <c r="G9" s="273">
        <f t="shared" si="0"/>
        <v>495000</v>
      </c>
      <c r="H9" s="273">
        <f t="shared" si="0"/>
        <v>525000</v>
      </c>
      <c r="I9" s="273">
        <f t="shared" si="0"/>
        <v>550000</v>
      </c>
      <c r="J9" s="273">
        <f t="shared" si="0"/>
        <v>600000</v>
      </c>
      <c r="P9" s="49"/>
      <c r="Q9" s="48"/>
    </row>
    <row r="10" spans="2:17" x14ac:dyDescent="0.3">
      <c r="B10" s="274" t="s">
        <v>77</v>
      </c>
      <c r="C10" s="275">
        <f>C9</f>
        <v>-1500000</v>
      </c>
      <c r="D10" s="275">
        <f t="shared" ref="D10:J10" si="1">D9+C10</f>
        <v>-1275000</v>
      </c>
      <c r="E10" s="275">
        <f t="shared" si="1"/>
        <v>-900000</v>
      </c>
      <c r="F10" s="275">
        <f t="shared" si="1"/>
        <v>-450000</v>
      </c>
      <c r="G10" s="275">
        <f t="shared" si="1"/>
        <v>45000</v>
      </c>
      <c r="H10" s="275">
        <f t="shared" si="1"/>
        <v>570000</v>
      </c>
      <c r="I10" s="275">
        <f t="shared" si="1"/>
        <v>1120000</v>
      </c>
      <c r="J10" s="275">
        <f t="shared" si="1"/>
        <v>1720000</v>
      </c>
      <c r="P10" s="50"/>
      <c r="Q10" s="48"/>
    </row>
    <row r="11" spans="2:17" x14ac:dyDescent="0.3">
      <c r="B11" s="41"/>
      <c r="C11" s="51"/>
      <c r="D11" s="51"/>
      <c r="E11" s="51"/>
      <c r="F11" s="51"/>
      <c r="G11" s="51"/>
      <c r="H11" s="51"/>
      <c r="P11" s="49"/>
      <c r="Q11" s="48"/>
    </row>
    <row r="12" spans="2:17" x14ac:dyDescent="0.3">
      <c r="B12" s="52" t="s">
        <v>78</v>
      </c>
      <c r="C12" s="53">
        <v>0.08</v>
      </c>
      <c r="D12" s="51"/>
      <c r="E12" s="51"/>
      <c r="F12" s="51"/>
      <c r="G12" s="51"/>
      <c r="H12" s="51"/>
      <c r="P12" s="49"/>
      <c r="Q12" s="48"/>
    </row>
    <row r="13" spans="2:17" x14ac:dyDescent="0.3">
      <c r="C13" s="33"/>
      <c r="Q13" s="48"/>
    </row>
    <row r="14" spans="2:17" x14ac:dyDescent="0.3">
      <c r="B14" s="52" t="s">
        <v>79</v>
      </c>
      <c r="C14" s="54">
        <f>NPV(C12,D9:J9)+C9</f>
        <v>804893.38692553062</v>
      </c>
    </row>
    <row r="15" spans="2:17" ht="9" customHeight="1" x14ac:dyDescent="0.3">
      <c r="B15" s="52"/>
      <c r="C15" s="32"/>
    </row>
    <row r="16" spans="2:17" x14ac:dyDescent="0.3">
      <c r="B16" s="52" t="s">
        <v>80</v>
      </c>
      <c r="C16" s="55">
        <f>IRR(C9:J9)</f>
        <v>0.20202001972216688</v>
      </c>
    </row>
    <row r="17" spans="2:8" ht="9" customHeight="1" x14ac:dyDescent="0.3">
      <c r="B17" s="52"/>
      <c r="C17" s="32"/>
    </row>
    <row r="18" spans="2:8" x14ac:dyDescent="0.3">
      <c r="B18" s="52" t="s">
        <v>81</v>
      </c>
      <c r="C18" s="56">
        <f>3+ABS(F10/G9)</f>
        <v>3.9090909090909092</v>
      </c>
    </row>
    <row r="21" spans="2:8" x14ac:dyDescent="0.3">
      <c r="B21" s="304" t="s">
        <v>82</v>
      </c>
      <c r="C21" s="304"/>
      <c r="D21" s="304"/>
      <c r="E21" s="304"/>
      <c r="F21" s="304"/>
      <c r="G21" s="304"/>
      <c r="H21" s="304"/>
    </row>
    <row r="22" spans="2:8" x14ac:dyDescent="0.3">
      <c r="B22" s="278" t="s">
        <v>73</v>
      </c>
      <c r="C22" s="278">
        <v>0</v>
      </c>
      <c r="D22" s="278">
        <v>1</v>
      </c>
      <c r="E22" s="278">
        <v>2</v>
      </c>
      <c r="F22" s="278">
        <v>3</v>
      </c>
      <c r="G22" s="278">
        <v>4</v>
      </c>
      <c r="H22" s="278">
        <v>5</v>
      </c>
    </row>
    <row r="23" spans="2:8" x14ac:dyDescent="0.3">
      <c r="B23" s="29" t="s">
        <v>74</v>
      </c>
      <c r="C23" s="47"/>
      <c r="D23" s="47">
        <v>65000</v>
      </c>
      <c r="E23" s="47">
        <v>75000</v>
      </c>
      <c r="F23" s="47">
        <v>82500</v>
      </c>
      <c r="G23" s="47">
        <v>86000</v>
      </c>
      <c r="H23" s="47">
        <v>89000</v>
      </c>
    </row>
    <row r="24" spans="2:8" x14ac:dyDescent="0.3">
      <c r="B24" s="29" t="s">
        <v>75</v>
      </c>
      <c r="C24" s="47">
        <v>-250000</v>
      </c>
      <c r="D24" s="47">
        <v>-10000</v>
      </c>
      <c r="E24" s="47">
        <v>-10000</v>
      </c>
      <c r="F24" s="47">
        <v>-10000</v>
      </c>
      <c r="G24" s="47">
        <v>-10000</v>
      </c>
      <c r="H24" s="47">
        <v>-10000</v>
      </c>
    </row>
    <row r="25" spans="2:8" x14ac:dyDescent="0.3">
      <c r="B25" s="272" t="s">
        <v>76</v>
      </c>
      <c r="C25" s="273">
        <f>SUM(C23:C24)</f>
        <v>-250000</v>
      </c>
      <c r="D25" s="273">
        <f t="shared" ref="D25:H25" si="2">SUM(D23:D24)</f>
        <v>55000</v>
      </c>
      <c r="E25" s="273">
        <f t="shared" si="2"/>
        <v>65000</v>
      </c>
      <c r="F25" s="273">
        <f t="shared" si="2"/>
        <v>72500</v>
      </c>
      <c r="G25" s="273">
        <f t="shared" si="2"/>
        <v>76000</v>
      </c>
      <c r="H25" s="273">
        <f t="shared" si="2"/>
        <v>79000</v>
      </c>
    </row>
    <row r="26" spans="2:8" x14ac:dyDescent="0.3">
      <c r="B26" s="274" t="s">
        <v>77</v>
      </c>
      <c r="C26" s="275">
        <f>C25</f>
        <v>-250000</v>
      </c>
      <c r="D26" s="275">
        <f>D25+C26</f>
        <v>-195000</v>
      </c>
      <c r="E26" s="275">
        <f>E25+D26</f>
        <v>-130000</v>
      </c>
      <c r="F26" s="275">
        <f>F25+E26</f>
        <v>-57500</v>
      </c>
      <c r="G26" s="275">
        <f>G25+F26</f>
        <v>18500</v>
      </c>
      <c r="H26" s="275">
        <f>H25+G26</f>
        <v>97500</v>
      </c>
    </row>
    <row r="28" spans="2:8" x14ac:dyDescent="0.3">
      <c r="B28" s="52" t="s">
        <v>78</v>
      </c>
      <c r="C28" s="53">
        <v>0.08</v>
      </c>
    </row>
    <row r="29" spans="2:8" x14ac:dyDescent="0.3">
      <c r="C29" s="33"/>
    </row>
    <row r="30" spans="2:8" x14ac:dyDescent="0.3">
      <c r="B30" s="52" t="s">
        <v>79</v>
      </c>
      <c r="C30" s="57">
        <f>NPV(C28,D25:H25)+C25</f>
        <v>23834.128097701061</v>
      </c>
    </row>
    <row r="31" spans="2:8" ht="9" customHeight="1" x14ac:dyDescent="0.3">
      <c r="B31" s="52"/>
      <c r="C31" s="32"/>
    </row>
    <row r="32" spans="2:8" x14ac:dyDescent="0.3">
      <c r="B32" s="52" t="s">
        <v>80</v>
      </c>
      <c r="C32" s="55">
        <f>IRR(C25:H25)</f>
        <v>0.11337777494709433</v>
      </c>
    </row>
    <row r="33" spans="2:3" ht="9" customHeight="1" x14ac:dyDescent="0.3">
      <c r="B33" s="52"/>
      <c r="C33" s="32"/>
    </row>
    <row r="34" spans="2:3" x14ac:dyDescent="0.3">
      <c r="B34" s="52" t="s">
        <v>81</v>
      </c>
      <c r="C34" s="56">
        <f>3+ABS(F26/G25)</f>
        <v>3.7565789473684212</v>
      </c>
    </row>
    <row r="35" spans="2:3" x14ac:dyDescent="0.3">
      <c r="C35" s="41"/>
    </row>
  </sheetData>
  <mergeCells count="2">
    <mergeCell ref="B5:J5"/>
    <mergeCell ref="B21:H21"/>
  </mergeCells>
  <pageMargins left="0.7" right="0.7" top="0.75" bottom="0.75" header="0.3" footer="0.3"/>
  <pageSetup orientation="portrait" horizontalDpi="4294967295" verticalDpi="4294967295" r:id="rId1"/>
  <ignoredErrors>
    <ignoredError sqref="C9:J9 C25:H2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B84E-2F48-46B4-9222-23DF3B173901}">
  <sheetPr>
    <tabColor theme="4" tint="0.59999389629810485"/>
  </sheetPr>
  <dimension ref="B2:P26"/>
  <sheetViews>
    <sheetView showGridLines="0" zoomScaleNormal="80" workbookViewId="0">
      <selection activeCell="H26" sqref="H26"/>
    </sheetView>
  </sheetViews>
  <sheetFormatPr defaultColWidth="8.88671875" defaultRowHeight="14.4" x14ac:dyDescent="0.3"/>
  <cols>
    <col min="2" max="2" width="22.6640625" customWidth="1"/>
    <col min="3" max="8" width="11.88671875" customWidth="1"/>
    <col min="10" max="12" width="11.88671875" customWidth="1"/>
    <col min="14" max="16" width="11.88671875" customWidth="1"/>
  </cols>
  <sheetData>
    <row r="2" spans="2:16" ht="25.8" x14ac:dyDescent="0.5">
      <c r="B2" s="25" t="s">
        <v>83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4" spans="2:16" ht="15.6" x14ac:dyDescent="0.3">
      <c r="B4" s="78"/>
      <c r="C4" s="78"/>
      <c r="D4" s="305" t="s">
        <v>84</v>
      </c>
      <c r="E4" s="305"/>
      <c r="F4" s="305"/>
      <c r="G4" s="305"/>
      <c r="H4" s="305"/>
      <c r="I4" s="78"/>
      <c r="J4" s="305" t="s">
        <v>85</v>
      </c>
      <c r="K4" s="305"/>
      <c r="L4" s="305"/>
      <c r="M4" s="78"/>
      <c r="N4" s="305" t="s">
        <v>86</v>
      </c>
      <c r="O4" s="305"/>
      <c r="P4" s="305"/>
    </row>
    <row r="5" spans="2:16" ht="46.8" x14ac:dyDescent="0.3">
      <c r="B5" s="79" t="s">
        <v>87</v>
      </c>
      <c r="C5" s="79" t="s">
        <v>88</v>
      </c>
      <c r="D5" s="80" t="s">
        <v>89</v>
      </c>
      <c r="E5" s="80" t="s">
        <v>90</v>
      </c>
      <c r="F5" s="80" t="s">
        <v>91</v>
      </c>
      <c r="G5" s="80" t="s">
        <v>92</v>
      </c>
      <c r="H5" s="80" t="s">
        <v>93</v>
      </c>
      <c r="I5" s="81"/>
      <c r="J5" s="81" t="s">
        <v>94</v>
      </c>
      <c r="K5" s="81" t="s">
        <v>95</v>
      </c>
      <c r="L5" s="81" t="s">
        <v>96</v>
      </c>
      <c r="M5" s="81"/>
      <c r="N5" s="81" t="s">
        <v>97</v>
      </c>
      <c r="O5" s="81" t="s">
        <v>98</v>
      </c>
      <c r="P5" s="81" t="s">
        <v>99</v>
      </c>
    </row>
    <row r="6" spans="2:16" ht="15.6" x14ac:dyDescent="0.3">
      <c r="B6" s="62"/>
      <c r="C6" s="62"/>
      <c r="D6" s="63"/>
      <c r="E6" s="63"/>
      <c r="F6" s="63"/>
      <c r="G6" s="63"/>
      <c r="H6" s="63"/>
      <c r="I6" s="64"/>
      <c r="J6" s="64"/>
      <c r="K6" s="64"/>
      <c r="L6" s="64"/>
      <c r="M6" s="64"/>
      <c r="N6" s="64"/>
      <c r="O6" s="64"/>
      <c r="P6" s="64"/>
    </row>
    <row r="7" spans="2:16" ht="15.6" x14ac:dyDescent="0.3">
      <c r="B7" s="92" t="s">
        <v>100</v>
      </c>
      <c r="C7" s="93" t="s">
        <v>101</v>
      </c>
      <c r="D7" s="94">
        <v>11.44</v>
      </c>
      <c r="E7" s="95">
        <v>125</v>
      </c>
      <c r="F7" s="96">
        <f>D7*E7</f>
        <v>1430</v>
      </c>
      <c r="G7" s="95">
        <v>740</v>
      </c>
      <c r="H7" s="96">
        <f>SUM(F7:G7)</f>
        <v>2170</v>
      </c>
      <c r="I7" s="95"/>
      <c r="J7" s="95">
        <v>845</v>
      </c>
      <c r="K7" s="95">
        <v>305</v>
      </c>
      <c r="L7" s="95">
        <v>135</v>
      </c>
      <c r="M7" s="97"/>
      <c r="N7" s="98">
        <f>$H7/J7</f>
        <v>2.5680473372781063</v>
      </c>
      <c r="O7" s="98">
        <f>$H7/K7</f>
        <v>7.1147540983606561</v>
      </c>
      <c r="P7" s="98">
        <f>F7/L7</f>
        <v>10.592592592592593</v>
      </c>
    </row>
    <row r="8" spans="2:16" ht="15.6" x14ac:dyDescent="0.3">
      <c r="B8" t="s">
        <v>102</v>
      </c>
      <c r="C8" s="65" t="s">
        <v>103</v>
      </c>
      <c r="D8" s="66">
        <v>8.43</v>
      </c>
      <c r="E8" s="67">
        <v>150</v>
      </c>
      <c r="F8" s="68">
        <f>D8*E8</f>
        <v>1264.5</v>
      </c>
      <c r="G8" s="67">
        <v>600</v>
      </c>
      <c r="H8" s="68">
        <f>SUM(F8:G8)</f>
        <v>1864.5</v>
      </c>
      <c r="I8" s="67"/>
      <c r="J8" s="67">
        <v>678</v>
      </c>
      <c r="K8" s="67">
        <v>220</v>
      </c>
      <c r="L8" s="67">
        <v>109</v>
      </c>
      <c r="M8" s="69"/>
      <c r="N8" s="70">
        <f>$H8/J8</f>
        <v>2.75</v>
      </c>
      <c r="O8" s="70">
        <f>$H8/K8</f>
        <v>8.4749999999999996</v>
      </c>
      <c r="P8" s="70">
        <f>F8/L8</f>
        <v>11.600917431192661</v>
      </c>
    </row>
    <row r="9" spans="2:16" ht="15.6" x14ac:dyDescent="0.3">
      <c r="B9" t="s">
        <v>104</v>
      </c>
      <c r="C9" s="65" t="s">
        <v>105</v>
      </c>
      <c r="D9" s="66">
        <v>3.19</v>
      </c>
      <c r="E9" s="67">
        <v>350</v>
      </c>
      <c r="F9" s="68">
        <f t="shared" ref="F9:F12" si="0">D9*E9</f>
        <v>1116.5</v>
      </c>
      <c r="G9" s="67">
        <v>414</v>
      </c>
      <c r="H9" s="68">
        <f t="shared" ref="H9:H12" si="1">SUM(F9:G9)</f>
        <v>1530.5</v>
      </c>
      <c r="I9" s="67"/>
      <c r="J9" s="67">
        <v>505</v>
      </c>
      <c r="K9" s="67">
        <v>253</v>
      </c>
      <c r="L9" s="67">
        <v>112</v>
      </c>
      <c r="M9" s="69"/>
      <c r="N9" s="70">
        <f t="shared" ref="N9:O12" si="2">$H9/J9</f>
        <v>3.0306930693069307</v>
      </c>
      <c r="O9" s="70">
        <f t="shared" si="2"/>
        <v>6.0494071146245059</v>
      </c>
      <c r="P9" s="70">
        <f t="shared" ref="P9:P12" si="3">F9/L9</f>
        <v>9.96875</v>
      </c>
    </row>
    <row r="10" spans="2:16" ht="15.6" x14ac:dyDescent="0.3">
      <c r="B10" t="s">
        <v>106</v>
      </c>
      <c r="C10" s="65" t="s">
        <v>107</v>
      </c>
      <c r="D10" s="66">
        <v>7.6510000000000007</v>
      </c>
      <c r="E10" s="67">
        <v>175</v>
      </c>
      <c r="F10" s="68">
        <f t="shared" si="0"/>
        <v>1338.9250000000002</v>
      </c>
      <c r="G10" s="67">
        <v>936</v>
      </c>
      <c r="H10" s="68">
        <f t="shared" si="1"/>
        <v>2274.9250000000002</v>
      </c>
      <c r="I10" s="67"/>
      <c r="J10" s="67">
        <v>1045</v>
      </c>
      <c r="K10" s="67">
        <v>287</v>
      </c>
      <c r="L10" s="67">
        <v>148</v>
      </c>
      <c r="M10" s="69"/>
      <c r="N10" s="70">
        <f t="shared" si="2"/>
        <v>2.1769617224880387</v>
      </c>
      <c r="O10" s="70">
        <f t="shared" si="2"/>
        <v>7.9265679442508716</v>
      </c>
      <c r="P10" s="70">
        <f t="shared" si="3"/>
        <v>9.0467905405405418</v>
      </c>
    </row>
    <row r="11" spans="2:16" ht="15.6" x14ac:dyDescent="0.3">
      <c r="B11" t="s">
        <v>108</v>
      </c>
      <c r="C11" s="65" t="s">
        <v>109</v>
      </c>
      <c r="D11" s="66">
        <v>23.544999999999998</v>
      </c>
      <c r="E11" s="67">
        <v>75</v>
      </c>
      <c r="F11" s="68">
        <f t="shared" si="0"/>
        <v>1765.8749999999998</v>
      </c>
      <c r="G11" s="67">
        <v>948</v>
      </c>
      <c r="H11" s="68">
        <f t="shared" si="1"/>
        <v>2713.875</v>
      </c>
      <c r="I11" s="67"/>
      <c r="J11" s="67">
        <v>1181.44</v>
      </c>
      <c r="K11" s="67">
        <v>349</v>
      </c>
      <c r="L11" s="67">
        <v>237</v>
      </c>
      <c r="M11" s="69"/>
      <c r="N11" s="70">
        <f t="shared" si="2"/>
        <v>2.2970908382990247</v>
      </c>
      <c r="O11" s="70">
        <f t="shared" si="2"/>
        <v>7.7761461318051577</v>
      </c>
      <c r="P11" s="70">
        <f t="shared" si="3"/>
        <v>7.4509493670886062</v>
      </c>
    </row>
    <row r="12" spans="2:16" ht="15.6" x14ac:dyDescent="0.3">
      <c r="B12" t="s">
        <v>110</v>
      </c>
      <c r="C12" s="65" t="s">
        <v>111</v>
      </c>
      <c r="D12" s="66">
        <v>12.770999999999999</v>
      </c>
      <c r="E12" s="67">
        <v>100</v>
      </c>
      <c r="F12" s="68">
        <f t="shared" si="0"/>
        <v>1277.0999999999999</v>
      </c>
      <c r="G12" s="67">
        <v>300</v>
      </c>
      <c r="H12" s="68">
        <f t="shared" si="1"/>
        <v>1577.1</v>
      </c>
      <c r="I12" s="67"/>
      <c r="J12" s="67">
        <v>1411.48</v>
      </c>
      <c r="K12" s="67">
        <v>407</v>
      </c>
      <c r="L12" s="67">
        <v>279</v>
      </c>
      <c r="M12" s="69"/>
      <c r="N12" s="70">
        <f t="shared" si="2"/>
        <v>1.1173378297956753</v>
      </c>
      <c r="O12" s="70">
        <f t="shared" si="2"/>
        <v>3.8749385749385747</v>
      </c>
      <c r="P12" s="70">
        <f t="shared" si="3"/>
        <v>4.5774193548387094</v>
      </c>
    </row>
    <row r="13" spans="2:16" x14ac:dyDescent="0.3">
      <c r="E13" s="71"/>
    </row>
    <row r="14" spans="2:16" x14ac:dyDescent="0.3">
      <c r="B14" s="88" t="s">
        <v>112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>
        <f>MAX(N8:N12)</f>
        <v>3.0306930693069307</v>
      </c>
      <c r="O14" s="89">
        <f>MAX(O8:O12)</f>
        <v>8.4749999999999996</v>
      </c>
      <c r="P14" s="89">
        <f>MAX(P8:P12)</f>
        <v>11.600917431192661</v>
      </c>
    </row>
    <row r="15" spans="2:16" ht="15.6" x14ac:dyDescent="0.3">
      <c r="B15" s="82" t="s">
        <v>113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2">
        <f>QUARTILE(N8:N12,3)</f>
        <v>2.75</v>
      </c>
      <c r="O15" s="72">
        <f>QUARTILE(O8:O12,3)</f>
        <v>7.9265679442508716</v>
      </c>
      <c r="P15" s="72">
        <f>QUARTILE(P8:P12,3)</f>
        <v>9.96875</v>
      </c>
    </row>
    <row r="16" spans="2:16" ht="15.6" x14ac:dyDescent="0.3">
      <c r="B16" s="73" t="s">
        <v>114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4">
        <f>AVERAGE(N8:N12)</f>
        <v>2.2744166919779341</v>
      </c>
      <c r="O16" s="74">
        <f>AVERAGE(O8:O12)</f>
        <v>6.8204119531238216</v>
      </c>
      <c r="P16" s="74">
        <f>AVERAGE(P8:P12)</f>
        <v>8.5289653387321032</v>
      </c>
    </row>
    <row r="17" spans="2:16" ht="15.6" x14ac:dyDescent="0.3">
      <c r="B17" s="73" t="s">
        <v>115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4">
        <f>MEDIAN(N8:N12)</f>
        <v>2.2970908382990247</v>
      </c>
      <c r="O17" s="74">
        <f>MEDIAN(O8:O12)</f>
        <v>7.7761461318051577</v>
      </c>
      <c r="P17" s="74">
        <f>MEDIAN(P8:P12)</f>
        <v>9.0467905405405418</v>
      </c>
    </row>
    <row r="18" spans="2:16" ht="15.6" x14ac:dyDescent="0.3">
      <c r="B18" s="82" t="s">
        <v>116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2">
        <f>QUARTILE(N8:N12,1)</f>
        <v>2.1769617224880387</v>
      </c>
      <c r="O18" s="72">
        <f>QUARTILE(O8:O12,1)</f>
        <v>6.0494071146245059</v>
      </c>
      <c r="P18" s="72">
        <f>QUARTILE(P8:P12,1)</f>
        <v>7.4509493670886062</v>
      </c>
    </row>
    <row r="19" spans="2:16" x14ac:dyDescent="0.3">
      <c r="B19" s="90" t="s">
        <v>117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1">
        <f>MIN(N8:N12)</f>
        <v>1.1173378297956753</v>
      </c>
      <c r="O19" s="91">
        <f>MIN(O8:O12)</f>
        <v>3.8749385749385747</v>
      </c>
      <c r="P19" s="91">
        <f>MIN(P8:P12)</f>
        <v>4.5774193548387094</v>
      </c>
    </row>
    <row r="21" spans="2:16" ht="15.6" x14ac:dyDescent="0.3">
      <c r="B21" s="78" t="s">
        <v>118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1" t="s">
        <v>97</v>
      </c>
      <c r="O21" s="81" t="s">
        <v>98</v>
      </c>
      <c r="P21" s="81" t="s">
        <v>99</v>
      </c>
    </row>
    <row r="22" spans="2:16" ht="15.6" x14ac:dyDescent="0.3">
      <c r="B22" t="s">
        <v>119</v>
      </c>
      <c r="J22" s="75"/>
      <c r="N22" s="68">
        <f>N17*J7</f>
        <v>1941.0417583626759</v>
      </c>
      <c r="O22" s="68">
        <f>O17*K7</f>
        <v>2371.724570200573</v>
      </c>
      <c r="P22" s="71">
        <f>P23+P24</f>
        <v>1961.3167229729731</v>
      </c>
    </row>
    <row r="23" spans="2:16" ht="15.6" x14ac:dyDescent="0.3">
      <c r="B23" t="s">
        <v>92</v>
      </c>
      <c r="G23" s="67"/>
      <c r="J23" s="75"/>
      <c r="N23" s="68">
        <f>$G$7</f>
        <v>740</v>
      </c>
      <c r="O23" s="68">
        <f>$G$7</f>
        <v>740</v>
      </c>
      <c r="P23" s="68">
        <f t="shared" ref="P23" si="4">$G$7</f>
        <v>740</v>
      </c>
    </row>
    <row r="24" spans="2:16" ht="15.6" x14ac:dyDescent="0.3">
      <c r="B24" t="s">
        <v>120</v>
      </c>
      <c r="G24" s="67"/>
      <c r="J24" s="75"/>
      <c r="N24" s="68">
        <f>N22-N23</f>
        <v>1201.0417583626759</v>
      </c>
      <c r="O24" s="68">
        <f>O22-O23</f>
        <v>1631.724570200573</v>
      </c>
      <c r="P24" s="68">
        <f>P17*L7</f>
        <v>1221.3167229729731</v>
      </c>
    </row>
    <row r="25" spans="2:16" ht="15.6" x14ac:dyDescent="0.3">
      <c r="B25" t="s">
        <v>90</v>
      </c>
      <c r="G25" s="67"/>
      <c r="N25" s="68">
        <f>$E$7</f>
        <v>125</v>
      </c>
      <c r="O25" s="68">
        <f>$E$7</f>
        <v>125</v>
      </c>
      <c r="P25" s="68">
        <f t="shared" ref="P25" si="5">$E$7</f>
        <v>125</v>
      </c>
    </row>
    <row r="26" spans="2:16" ht="15.6" x14ac:dyDescent="0.3">
      <c r="B26" s="84" t="s">
        <v>121</v>
      </c>
      <c r="C26" s="84"/>
      <c r="D26" s="85"/>
      <c r="E26" s="85"/>
      <c r="F26" s="84"/>
      <c r="G26" s="86"/>
      <c r="H26" s="84"/>
      <c r="I26" s="84"/>
      <c r="J26" s="84"/>
      <c r="K26" s="84"/>
      <c r="L26" s="84"/>
      <c r="M26" s="84"/>
      <c r="N26" s="87">
        <f>N24/N25</f>
        <v>9.6083340669014063</v>
      </c>
      <c r="O26" s="87">
        <f t="shared" ref="O26:P26" si="6">O24/O25</f>
        <v>13.053796561604583</v>
      </c>
      <c r="P26" s="87">
        <f t="shared" si="6"/>
        <v>9.7705337837837849</v>
      </c>
    </row>
  </sheetData>
  <mergeCells count="3">
    <mergeCell ref="D4:H4"/>
    <mergeCell ref="J4:L4"/>
    <mergeCell ref="N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F3EF-71D7-43B4-B3E6-741ADFF1645F}">
  <sheetPr>
    <tabColor theme="4" tint="0.79998168889431442"/>
  </sheetPr>
  <dimension ref="A2:H124"/>
  <sheetViews>
    <sheetView showGridLines="0" topLeftCell="A2" zoomScale="111" workbookViewId="0">
      <selection activeCell="K37" sqref="K37"/>
    </sheetView>
  </sheetViews>
  <sheetFormatPr defaultColWidth="8.88671875" defaultRowHeight="14.4" outlineLevelRow="1" x14ac:dyDescent="0.3"/>
  <cols>
    <col min="2" max="2" width="30.33203125" bestFit="1" customWidth="1"/>
    <col min="3" max="3" width="15.88671875" bestFit="1" customWidth="1"/>
    <col min="4" max="4" width="7.6640625" bestFit="1" customWidth="1"/>
    <col min="5" max="8" width="8.109375" bestFit="1" customWidth="1"/>
  </cols>
  <sheetData>
    <row r="2" spans="1:8" ht="25.8" x14ac:dyDescent="0.5">
      <c r="B2" s="25" t="s">
        <v>122</v>
      </c>
      <c r="C2" s="26"/>
      <c r="D2" s="26"/>
      <c r="E2" s="26"/>
      <c r="F2" s="26"/>
      <c r="G2" s="26"/>
      <c r="H2" s="26"/>
    </row>
    <row r="4" spans="1:8" x14ac:dyDescent="0.3">
      <c r="A4" s="100"/>
      <c r="B4" s="101" t="s">
        <v>123</v>
      </c>
      <c r="C4" s="183"/>
      <c r="D4" s="183"/>
      <c r="E4" s="183"/>
      <c r="F4" s="183"/>
      <c r="G4" s="183"/>
      <c r="H4" s="184"/>
    </row>
    <row r="5" spans="1:8" ht="15" thickBot="1" x14ac:dyDescent="0.35">
      <c r="A5" s="100"/>
      <c r="B5" s="185" t="s">
        <v>124</v>
      </c>
      <c r="C5" s="76"/>
      <c r="D5" s="76">
        <v>44562</v>
      </c>
      <c r="E5" s="76">
        <v>44927</v>
      </c>
      <c r="F5" s="76">
        <v>45292</v>
      </c>
      <c r="G5" s="76">
        <v>45658</v>
      </c>
      <c r="H5" s="105">
        <v>46023</v>
      </c>
    </row>
    <row r="6" spans="1:8" x14ac:dyDescent="0.3">
      <c r="A6" s="100"/>
      <c r="B6" s="106" t="s">
        <v>94</v>
      </c>
      <c r="H6" s="100"/>
    </row>
    <row r="7" spans="1:8" x14ac:dyDescent="0.3">
      <c r="A7" s="100"/>
      <c r="B7" s="128" t="s">
        <v>125</v>
      </c>
      <c r="D7" s="16">
        <f>D97*D98</f>
        <v>25000</v>
      </c>
      <c r="E7" s="16">
        <f>E97*E98</f>
        <v>27500</v>
      </c>
      <c r="F7" s="16">
        <f>F97*F98</f>
        <v>32500</v>
      </c>
      <c r="G7" s="16">
        <f>G97*G98</f>
        <v>40000</v>
      </c>
      <c r="H7" s="186">
        <f>H97*H98</f>
        <v>50000</v>
      </c>
    </row>
    <row r="8" spans="1:8" x14ac:dyDescent="0.3">
      <c r="A8" s="100"/>
      <c r="B8" s="187" t="s">
        <v>126</v>
      </c>
      <c r="C8" s="1"/>
      <c r="D8" s="1">
        <f>D7*-D99</f>
        <v>-1250</v>
      </c>
      <c r="E8" s="1">
        <f>E7*-E99</f>
        <v>-1375</v>
      </c>
      <c r="F8" s="1">
        <f>F7*-F99</f>
        <v>-1625</v>
      </c>
      <c r="G8" s="1">
        <f>G7*-G99</f>
        <v>-2000</v>
      </c>
      <c r="H8" s="188">
        <f>H7*-H99</f>
        <v>-2500</v>
      </c>
    </row>
    <row r="9" spans="1:8" x14ac:dyDescent="0.3">
      <c r="A9" s="100"/>
      <c r="B9" s="110" t="s">
        <v>127</v>
      </c>
      <c r="C9" s="18"/>
      <c r="D9" s="18">
        <f>SUM(D7:D8)</f>
        <v>23750</v>
      </c>
      <c r="E9" s="18">
        <f t="shared" ref="E9:H9" si="0">SUM(E7:E8)</f>
        <v>26125</v>
      </c>
      <c r="F9" s="18">
        <f t="shared" si="0"/>
        <v>30875</v>
      </c>
      <c r="G9" s="18">
        <f t="shared" si="0"/>
        <v>38000</v>
      </c>
      <c r="H9" s="189">
        <f t="shared" si="0"/>
        <v>47500</v>
      </c>
    </row>
    <row r="10" spans="1:8" x14ac:dyDescent="0.3">
      <c r="A10" s="100"/>
      <c r="B10" s="106" t="s">
        <v>128</v>
      </c>
      <c r="H10" s="100"/>
    </row>
    <row r="11" spans="1:8" x14ac:dyDescent="0.3">
      <c r="A11" s="100"/>
      <c r="B11" s="128" t="s">
        <v>129</v>
      </c>
      <c r="C11" s="16"/>
      <c r="D11" s="16">
        <f t="shared" ref="D11:H13" si="1">-D$7*D102</f>
        <v>-7500</v>
      </c>
      <c r="E11" s="16">
        <f t="shared" si="1"/>
        <v>-8250</v>
      </c>
      <c r="F11" s="16">
        <f t="shared" si="1"/>
        <v>-9750</v>
      </c>
      <c r="G11" s="16">
        <f t="shared" si="1"/>
        <v>-12000</v>
      </c>
      <c r="H11" s="186">
        <f t="shared" si="1"/>
        <v>-15000</v>
      </c>
    </row>
    <row r="12" spans="1:8" x14ac:dyDescent="0.3">
      <c r="A12" s="100"/>
      <c r="B12" s="128" t="s">
        <v>130</v>
      </c>
      <c r="C12" s="16"/>
      <c r="D12" s="16">
        <f t="shared" si="1"/>
        <v>-1750.0000000000002</v>
      </c>
      <c r="E12" s="16">
        <f t="shared" si="1"/>
        <v>-1925.0000000000002</v>
      </c>
      <c r="F12" s="16">
        <f t="shared" si="1"/>
        <v>-2275</v>
      </c>
      <c r="G12" s="16">
        <f t="shared" si="1"/>
        <v>-2800.0000000000005</v>
      </c>
      <c r="H12" s="186">
        <f t="shared" si="1"/>
        <v>-3500.0000000000005</v>
      </c>
    </row>
    <row r="13" spans="1:8" x14ac:dyDescent="0.3">
      <c r="A13" s="100"/>
      <c r="B13" s="128" t="s">
        <v>131</v>
      </c>
      <c r="C13" s="16"/>
      <c r="D13" s="16">
        <f t="shared" si="1"/>
        <v>-500</v>
      </c>
      <c r="E13" s="16">
        <f t="shared" si="1"/>
        <v>-550</v>
      </c>
      <c r="F13" s="16">
        <f t="shared" si="1"/>
        <v>-650</v>
      </c>
      <c r="G13" s="16">
        <f t="shared" si="1"/>
        <v>-800</v>
      </c>
      <c r="H13" s="186">
        <f t="shared" si="1"/>
        <v>-1000</v>
      </c>
    </row>
    <row r="14" spans="1:8" x14ac:dyDescent="0.3">
      <c r="A14" s="100"/>
      <c r="B14" s="108" t="s">
        <v>132</v>
      </c>
      <c r="C14" s="2"/>
      <c r="D14" s="2">
        <f>SUM(D11:D13)</f>
        <v>-9750</v>
      </c>
      <c r="E14" s="2">
        <f t="shared" ref="E14:H14" si="2">SUM(E11:E13)</f>
        <v>-10725</v>
      </c>
      <c r="F14" s="2">
        <f t="shared" si="2"/>
        <v>-12675</v>
      </c>
      <c r="G14" s="2">
        <f t="shared" si="2"/>
        <v>-15600</v>
      </c>
      <c r="H14" s="190">
        <f t="shared" si="2"/>
        <v>-19500</v>
      </c>
    </row>
    <row r="15" spans="1:8" x14ac:dyDescent="0.3">
      <c r="A15" s="100"/>
      <c r="B15" s="110" t="s">
        <v>133</v>
      </c>
      <c r="C15" s="18"/>
      <c r="D15" s="18">
        <f>D9+D14</f>
        <v>14000</v>
      </c>
      <c r="E15" s="18">
        <f>E9+E14</f>
        <v>15400</v>
      </c>
      <c r="F15" s="18">
        <f>F9+F14</f>
        <v>18200</v>
      </c>
      <c r="G15" s="18">
        <f>G9+G14</f>
        <v>22400</v>
      </c>
      <c r="H15" s="189">
        <f>H9+H14</f>
        <v>28000</v>
      </c>
    </row>
    <row r="16" spans="1:8" x14ac:dyDescent="0.3">
      <c r="A16" s="100"/>
      <c r="B16" s="191" t="s">
        <v>134</v>
      </c>
      <c r="C16" s="4"/>
      <c r="D16" s="4">
        <f>D15/D9</f>
        <v>0.58947368421052626</v>
      </c>
      <c r="E16" s="4">
        <f>E15/E9</f>
        <v>0.58947368421052626</v>
      </c>
      <c r="F16" s="4">
        <f>F15/F9</f>
        <v>0.58947368421052626</v>
      </c>
      <c r="G16" s="4">
        <f>G15/G9</f>
        <v>0.58947368421052626</v>
      </c>
      <c r="H16" s="192">
        <f>H15/H9</f>
        <v>0.58947368421052626</v>
      </c>
    </row>
    <row r="17" spans="1:8" x14ac:dyDescent="0.3">
      <c r="A17" s="100"/>
      <c r="B17" s="106" t="s">
        <v>135</v>
      </c>
      <c r="H17" s="100"/>
    </row>
    <row r="18" spans="1:8" x14ac:dyDescent="0.3">
      <c r="A18" s="100"/>
      <c r="B18" s="128" t="s">
        <v>136</v>
      </c>
      <c r="C18" s="19"/>
      <c r="D18" s="19">
        <f t="shared" ref="D18:H20" si="3">-D$7*D107</f>
        <v>-3750</v>
      </c>
      <c r="E18" s="19">
        <f t="shared" si="3"/>
        <v>-4125</v>
      </c>
      <c r="F18" s="19">
        <f t="shared" si="3"/>
        <v>-4875</v>
      </c>
      <c r="G18" s="19">
        <f t="shared" si="3"/>
        <v>-6000</v>
      </c>
      <c r="H18" s="193">
        <f t="shared" si="3"/>
        <v>-7500</v>
      </c>
    </row>
    <row r="19" spans="1:8" x14ac:dyDescent="0.3">
      <c r="A19" s="100"/>
      <c r="B19" s="128" t="s">
        <v>137</v>
      </c>
      <c r="C19" s="19"/>
      <c r="D19" s="19">
        <f t="shared" si="3"/>
        <v>-1250</v>
      </c>
      <c r="E19" s="19">
        <f t="shared" si="3"/>
        <v>-1375</v>
      </c>
      <c r="F19" s="19">
        <f t="shared" si="3"/>
        <v>-1625</v>
      </c>
      <c r="G19" s="19">
        <f t="shared" si="3"/>
        <v>-2000</v>
      </c>
      <c r="H19" s="193">
        <f t="shared" si="3"/>
        <v>-2500</v>
      </c>
    </row>
    <row r="20" spans="1:8" x14ac:dyDescent="0.3">
      <c r="A20" s="100"/>
      <c r="B20" s="128" t="s">
        <v>138</v>
      </c>
      <c r="C20" s="19"/>
      <c r="D20" s="19">
        <f t="shared" si="3"/>
        <v>-1250</v>
      </c>
      <c r="E20" s="19">
        <f t="shared" si="3"/>
        <v>-1375</v>
      </c>
      <c r="F20" s="19">
        <f t="shared" si="3"/>
        <v>-1625</v>
      </c>
      <c r="G20" s="19">
        <f t="shared" si="3"/>
        <v>-2000</v>
      </c>
      <c r="H20" s="193">
        <f t="shared" si="3"/>
        <v>-2500</v>
      </c>
    </row>
    <row r="21" spans="1:8" x14ac:dyDescent="0.3">
      <c r="A21" s="100"/>
      <c r="B21" s="194" t="s">
        <v>139</v>
      </c>
      <c r="C21" s="2"/>
      <c r="D21" s="2">
        <f>SUM(D18:D20)</f>
        <v>-6250</v>
      </c>
      <c r="E21" s="2">
        <f t="shared" ref="E21:H21" si="4">SUM(E18:E20)</f>
        <v>-6875</v>
      </c>
      <c r="F21" s="2">
        <f t="shared" si="4"/>
        <v>-8125</v>
      </c>
      <c r="G21" s="2">
        <f t="shared" si="4"/>
        <v>-10000</v>
      </c>
      <c r="H21" s="190">
        <f t="shared" si="4"/>
        <v>-12500</v>
      </c>
    </row>
    <row r="22" spans="1:8" x14ac:dyDescent="0.3">
      <c r="A22" s="100"/>
      <c r="B22" s="195" t="s">
        <v>95</v>
      </c>
      <c r="C22" s="18"/>
      <c r="D22" s="18">
        <f>D15+D21</f>
        <v>7750</v>
      </c>
      <c r="E22" s="18">
        <f>E15+E21</f>
        <v>8525</v>
      </c>
      <c r="F22" s="18">
        <f>F15+F21</f>
        <v>10075</v>
      </c>
      <c r="G22" s="18">
        <f>G15+G21</f>
        <v>12400</v>
      </c>
      <c r="H22" s="189">
        <f>H15+H21</f>
        <v>15500</v>
      </c>
    </row>
    <row r="23" spans="1:8" x14ac:dyDescent="0.3">
      <c r="A23" s="100"/>
      <c r="B23" s="194" t="s">
        <v>140</v>
      </c>
      <c r="C23" s="2"/>
      <c r="D23" s="2">
        <f>-D91</f>
        <v>-3928.5714285714284</v>
      </c>
      <c r="E23" s="2">
        <f t="shared" ref="E23:H23" si="5">-E91</f>
        <v>-3928.5714285714284</v>
      </c>
      <c r="F23" s="2">
        <f t="shared" si="5"/>
        <v>-3928.5714285714284</v>
      </c>
      <c r="G23" s="2">
        <f t="shared" si="5"/>
        <v>-3928.5714285714284</v>
      </c>
      <c r="H23" s="190">
        <f t="shared" si="5"/>
        <v>-1928.5714285714284</v>
      </c>
    </row>
    <row r="24" spans="1:8" x14ac:dyDescent="0.3">
      <c r="A24" s="100"/>
      <c r="B24" s="195" t="s">
        <v>141</v>
      </c>
      <c r="C24" s="18"/>
      <c r="D24" s="18">
        <f>SUM(D22:D23)</f>
        <v>3821.4285714285716</v>
      </c>
      <c r="E24" s="18">
        <f t="shared" ref="E24:H24" si="6">SUM(E22:E23)</f>
        <v>4596.4285714285716</v>
      </c>
      <c r="F24" s="18">
        <f t="shared" si="6"/>
        <v>6146.4285714285716</v>
      </c>
      <c r="G24" s="18">
        <f t="shared" si="6"/>
        <v>8471.4285714285725</v>
      </c>
      <c r="H24" s="189">
        <f t="shared" si="6"/>
        <v>13571.428571428572</v>
      </c>
    </row>
    <row r="25" spans="1:8" x14ac:dyDescent="0.3">
      <c r="A25" s="100"/>
      <c r="B25" s="194" t="s">
        <v>142</v>
      </c>
      <c r="C25" s="5"/>
      <c r="D25" s="5">
        <f>-D124</f>
        <v>-665.00000000000011</v>
      </c>
      <c r="E25" s="5">
        <f>-E124</f>
        <v>-630.00000000000011</v>
      </c>
      <c r="F25" s="5">
        <f>-F124</f>
        <v>-927.50000000000011</v>
      </c>
      <c r="G25" s="5">
        <f>-G124</f>
        <v>-875.00000000000011</v>
      </c>
      <c r="H25" s="196">
        <f>-H124</f>
        <v>-822.50000000000011</v>
      </c>
    </row>
    <row r="26" spans="1:8" x14ac:dyDescent="0.3">
      <c r="A26" s="100"/>
      <c r="B26" s="195" t="s">
        <v>143</v>
      </c>
      <c r="C26" s="18"/>
      <c r="D26" s="18">
        <f>SUM(D24:D25)</f>
        <v>3156.4285714285716</v>
      </c>
      <c r="E26" s="18">
        <f t="shared" ref="E26:H26" si="7">SUM(E24:E25)</f>
        <v>3966.4285714285716</v>
      </c>
      <c r="F26" s="18">
        <f t="shared" si="7"/>
        <v>5218.9285714285716</v>
      </c>
      <c r="G26" s="18">
        <f t="shared" si="7"/>
        <v>7596.4285714285725</v>
      </c>
      <c r="H26" s="189">
        <f t="shared" si="7"/>
        <v>12748.928571428572</v>
      </c>
    </row>
    <row r="27" spans="1:8" x14ac:dyDescent="0.3">
      <c r="A27" s="100"/>
      <c r="B27" s="197" t="s">
        <v>144</v>
      </c>
      <c r="C27" s="6"/>
      <c r="D27" s="6">
        <f>-D26*D111</f>
        <v>-662.85</v>
      </c>
      <c r="E27" s="6">
        <f>-E26*E111</f>
        <v>-832.95</v>
      </c>
      <c r="F27" s="6">
        <f>-F26*F111</f>
        <v>-1095.9749999999999</v>
      </c>
      <c r="G27" s="6">
        <f>-G26*G111</f>
        <v>-1595.2500000000002</v>
      </c>
      <c r="H27" s="198">
        <f>-H26*H111</f>
        <v>-2677.2750000000001</v>
      </c>
    </row>
    <row r="28" spans="1:8" ht="15" thickBot="1" x14ac:dyDescent="0.35">
      <c r="A28" s="100"/>
      <c r="B28" s="199" t="s">
        <v>96</v>
      </c>
      <c r="C28" s="7"/>
      <c r="D28" s="7">
        <f>D26+D27</f>
        <v>2493.5785714285716</v>
      </c>
      <c r="E28" s="7">
        <f t="shared" ref="E28:H28" si="8">E26+E27</f>
        <v>3133.4785714285717</v>
      </c>
      <c r="F28" s="7">
        <f t="shared" si="8"/>
        <v>4122.9535714285721</v>
      </c>
      <c r="G28" s="7">
        <f t="shared" si="8"/>
        <v>6001.1785714285725</v>
      </c>
      <c r="H28" s="200">
        <f t="shared" si="8"/>
        <v>10071.653571428573</v>
      </c>
    </row>
    <row r="29" spans="1:8" x14ac:dyDescent="0.3">
      <c r="A29" s="100"/>
      <c r="B29" s="197"/>
      <c r="D29" s="6"/>
      <c r="E29" s="6"/>
      <c r="F29" s="6"/>
      <c r="G29" s="6"/>
      <c r="H29" s="198"/>
    </row>
    <row r="30" spans="1:8" x14ac:dyDescent="0.3">
      <c r="B30" s="3"/>
      <c r="C30" s="4"/>
      <c r="D30" s="4"/>
      <c r="E30" s="4"/>
      <c r="F30" s="4"/>
      <c r="G30" s="4"/>
    </row>
    <row r="31" spans="1:8" x14ac:dyDescent="0.3">
      <c r="B31" s="101" t="s">
        <v>145</v>
      </c>
      <c r="C31" s="183"/>
      <c r="D31" s="183"/>
      <c r="E31" s="183"/>
      <c r="F31" s="183"/>
      <c r="G31" s="183"/>
      <c r="H31" s="184"/>
    </row>
    <row r="32" spans="1:8" ht="15" thickBot="1" x14ac:dyDescent="0.35">
      <c r="B32" s="185" t="s">
        <v>124</v>
      </c>
      <c r="C32" s="77">
        <v>44561</v>
      </c>
      <c r="D32" s="76">
        <v>44926</v>
      </c>
      <c r="E32" s="76">
        <v>45291</v>
      </c>
      <c r="F32" s="76">
        <v>45657</v>
      </c>
      <c r="G32" s="76">
        <v>46022</v>
      </c>
      <c r="H32" s="105">
        <v>46387</v>
      </c>
    </row>
    <row r="33" spans="2:8" x14ac:dyDescent="0.3">
      <c r="B33" s="106" t="s">
        <v>146</v>
      </c>
      <c r="H33" s="100"/>
    </row>
    <row r="34" spans="2:8" x14ac:dyDescent="0.3">
      <c r="B34" s="128" t="s">
        <v>147</v>
      </c>
      <c r="C34" s="11">
        <v>5000</v>
      </c>
      <c r="D34" s="6">
        <f>C34+D76</f>
        <v>1413.3223163841812</v>
      </c>
      <c r="E34" s="6">
        <f>D34+E76</f>
        <v>7989.4895480225996</v>
      </c>
      <c r="F34" s="6">
        <f>E34+F76</f>
        <v>20319.249011299435</v>
      </c>
      <c r="G34" s="6">
        <f>F34+G76</f>
        <v>26541.350706214689</v>
      </c>
      <c r="H34" s="198">
        <f>G34+H76</f>
        <v>37848.04463276836</v>
      </c>
    </row>
    <row r="35" spans="2:8" x14ac:dyDescent="0.3">
      <c r="B35" s="128" t="s">
        <v>148</v>
      </c>
      <c r="C35" s="11">
        <v>150</v>
      </c>
      <c r="D35" s="6">
        <f>D$114*D116</f>
        <v>237.5</v>
      </c>
      <c r="E35" s="6">
        <f>E$114*E116</f>
        <v>261.25</v>
      </c>
      <c r="F35" s="6">
        <f>F$114*F116</f>
        <v>308.75</v>
      </c>
      <c r="G35" s="6">
        <f>G$114*G116</f>
        <v>380</v>
      </c>
      <c r="H35" s="198">
        <f>H$114*H116</f>
        <v>475</v>
      </c>
    </row>
    <row r="36" spans="2:8" x14ac:dyDescent="0.3">
      <c r="B36" s="201" t="s">
        <v>149</v>
      </c>
      <c r="C36" s="8">
        <f>SUM(C34:C35)</f>
        <v>5150</v>
      </c>
      <c r="D36" s="8">
        <f t="shared" ref="D36:H36" si="9">SUM(D34:D35)</f>
        <v>1650.8223163841812</v>
      </c>
      <c r="E36" s="8">
        <f t="shared" si="9"/>
        <v>8250.7395480226005</v>
      </c>
      <c r="F36" s="8">
        <f t="shared" si="9"/>
        <v>20627.999011299435</v>
      </c>
      <c r="G36" s="8">
        <f t="shared" si="9"/>
        <v>26921.350706214689</v>
      </c>
      <c r="H36" s="202">
        <f t="shared" si="9"/>
        <v>38323.04463276836</v>
      </c>
    </row>
    <row r="37" spans="2:8" x14ac:dyDescent="0.3">
      <c r="B37" s="106" t="s">
        <v>150</v>
      </c>
      <c r="H37" s="100"/>
    </row>
    <row r="38" spans="2:8" x14ac:dyDescent="0.3">
      <c r="B38" s="128" t="s">
        <v>151</v>
      </c>
      <c r="C38" s="11">
        <v>10000</v>
      </c>
      <c r="D38" s="6">
        <f>C38+D84</f>
        <v>19500</v>
      </c>
      <c r="E38" s="6">
        <f>D38+E84</f>
        <v>19500</v>
      </c>
      <c r="F38" s="6">
        <f>E38+F84</f>
        <v>19500</v>
      </c>
      <c r="G38" s="6">
        <f>F38+G84</f>
        <v>22500</v>
      </c>
      <c r="H38" s="198">
        <f>G38+H84</f>
        <v>22500</v>
      </c>
    </row>
    <row r="39" spans="2:8" x14ac:dyDescent="0.3">
      <c r="B39" s="128" t="s">
        <v>152</v>
      </c>
      <c r="C39" s="11">
        <v>-2000</v>
      </c>
      <c r="D39" s="17">
        <f>C39-D91</f>
        <v>-5928.5714285714284</v>
      </c>
      <c r="E39" s="17">
        <f>D39-E91</f>
        <v>-9857.1428571428569</v>
      </c>
      <c r="F39" s="17">
        <f>E39-F91</f>
        <v>-13785.714285714286</v>
      </c>
      <c r="G39" s="17">
        <f>F39-G91</f>
        <v>-17714.285714285714</v>
      </c>
      <c r="H39" s="203">
        <f>G39-H91</f>
        <v>-19642.857142857141</v>
      </c>
    </row>
    <row r="40" spans="2:8" x14ac:dyDescent="0.3">
      <c r="B40" s="106" t="s">
        <v>153</v>
      </c>
      <c r="C40" s="6">
        <f>SUM(C38:C39)</f>
        <v>8000</v>
      </c>
      <c r="D40" s="6">
        <f t="shared" ref="D40:H40" si="10">SUM(D38:D39)</f>
        <v>13571.428571428572</v>
      </c>
      <c r="E40" s="6">
        <f t="shared" si="10"/>
        <v>9642.8571428571431</v>
      </c>
      <c r="F40" s="6">
        <f t="shared" si="10"/>
        <v>5714.2857142857138</v>
      </c>
      <c r="G40" s="6">
        <f t="shared" si="10"/>
        <v>4785.7142857142862</v>
      </c>
      <c r="H40" s="198">
        <f t="shared" si="10"/>
        <v>2857.1428571428587</v>
      </c>
    </row>
    <row r="41" spans="2:8" x14ac:dyDescent="0.3">
      <c r="B41" s="110" t="s">
        <v>154</v>
      </c>
      <c r="C41" s="18">
        <f>C40</f>
        <v>8000</v>
      </c>
      <c r="D41" s="18">
        <f t="shared" ref="D41:H41" si="11">D40</f>
        <v>13571.428571428572</v>
      </c>
      <c r="E41" s="18">
        <f t="shared" si="11"/>
        <v>9642.8571428571431</v>
      </c>
      <c r="F41" s="18">
        <f t="shared" si="11"/>
        <v>5714.2857142857138</v>
      </c>
      <c r="G41" s="18">
        <f t="shared" si="11"/>
        <v>4785.7142857142862</v>
      </c>
      <c r="H41" s="189">
        <f t="shared" si="11"/>
        <v>2857.1428571428587</v>
      </c>
    </row>
    <row r="42" spans="2:8" ht="15" thickBot="1" x14ac:dyDescent="0.35">
      <c r="B42" s="204" t="s">
        <v>155</v>
      </c>
      <c r="C42" s="7">
        <f>SUM(C36,C41)</f>
        <v>13150</v>
      </c>
      <c r="D42" s="7">
        <f t="shared" ref="D42:H42" si="12">SUM(D36,D41)</f>
        <v>15222.250887812754</v>
      </c>
      <c r="E42" s="7">
        <f t="shared" si="12"/>
        <v>17893.596690879742</v>
      </c>
      <c r="F42" s="7">
        <f t="shared" si="12"/>
        <v>26342.284725585148</v>
      </c>
      <c r="G42" s="7">
        <f t="shared" si="12"/>
        <v>31707.064991928975</v>
      </c>
      <c r="H42" s="200">
        <f t="shared" si="12"/>
        <v>41180.187489911215</v>
      </c>
    </row>
    <row r="43" spans="2:8" x14ac:dyDescent="0.3">
      <c r="B43" s="106"/>
      <c r="C43" s="14"/>
      <c r="H43" s="100"/>
    </row>
    <row r="44" spans="2:8" x14ac:dyDescent="0.3">
      <c r="B44" s="106" t="s">
        <v>156</v>
      </c>
      <c r="C44" s="14"/>
      <c r="H44" s="100"/>
    </row>
    <row r="45" spans="2:8" x14ac:dyDescent="0.3">
      <c r="B45" s="128" t="s">
        <v>157</v>
      </c>
      <c r="C45" s="14">
        <v>200</v>
      </c>
      <c r="D45" s="6">
        <f>D$115*D117</f>
        <v>220.33898305084745</v>
      </c>
      <c r="E45" s="6">
        <f>E$115*E117</f>
        <v>242.37288135593221</v>
      </c>
      <c r="F45" s="6">
        <f>F$115*F117</f>
        <v>286.4406779661017</v>
      </c>
      <c r="G45" s="6">
        <f>G$115*G117</f>
        <v>352.54237288135596</v>
      </c>
      <c r="H45" s="198">
        <f>H$115*H117</f>
        <v>440.67796610169489</v>
      </c>
    </row>
    <row r="46" spans="2:8" x14ac:dyDescent="0.3">
      <c r="B46" s="128" t="s">
        <v>158</v>
      </c>
      <c r="C46" s="14">
        <v>100</v>
      </c>
      <c r="D46" s="6">
        <f>D$114*D118</f>
        <v>158.33333333333334</v>
      </c>
      <c r="E46" s="6">
        <f>E$114*E118</f>
        <v>174.16666666666669</v>
      </c>
      <c r="F46" s="6">
        <f>F$114*F118</f>
        <v>205.83333333333334</v>
      </c>
      <c r="G46" s="6">
        <f>G$114*G118</f>
        <v>253.33333333333334</v>
      </c>
      <c r="H46" s="198">
        <f>H$114*H118</f>
        <v>316.66666666666669</v>
      </c>
    </row>
    <row r="47" spans="2:8" x14ac:dyDescent="0.3">
      <c r="B47" s="201" t="s">
        <v>159</v>
      </c>
      <c r="C47" s="10">
        <f>SUM(C45:C46)</f>
        <v>300</v>
      </c>
      <c r="D47" s="10">
        <f t="shared" ref="D47:H47" si="13">SUM(D45:D46)</f>
        <v>378.67231638418082</v>
      </c>
      <c r="E47" s="10">
        <f t="shared" si="13"/>
        <v>416.53954802259886</v>
      </c>
      <c r="F47" s="10">
        <f t="shared" si="13"/>
        <v>492.27401129943507</v>
      </c>
      <c r="G47" s="10">
        <f t="shared" si="13"/>
        <v>605.87570621468933</v>
      </c>
      <c r="H47" s="205">
        <f t="shared" si="13"/>
        <v>757.34463276836163</v>
      </c>
    </row>
    <row r="48" spans="2:8" x14ac:dyDescent="0.3">
      <c r="B48" s="197" t="s">
        <v>160</v>
      </c>
      <c r="C48" s="14"/>
      <c r="H48" s="100"/>
    </row>
    <row r="49" spans="2:8" x14ac:dyDescent="0.3">
      <c r="B49" s="128" t="s">
        <v>161</v>
      </c>
      <c r="C49" s="11">
        <v>10000</v>
      </c>
      <c r="D49" s="6">
        <f>C49+D121-D122</f>
        <v>9500</v>
      </c>
      <c r="E49" s="6">
        <f>D49+E121-E122</f>
        <v>9000</v>
      </c>
      <c r="F49" s="6">
        <f>E49+F121-F122</f>
        <v>13250</v>
      </c>
      <c r="G49" s="6">
        <f>F49+G121-G122</f>
        <v>12500</v>
      </c>
      <c r="H49" s="198">
        <f>G49+H121-H122</f>
        <v>11750</v>
      </c>
    </row>
    <row r="50" spans="2:8" x14ac:dyDescent="0.3">
      <c r="B50" s="195" t="s">
        <v>162</v>
      </c>
      <c r="C50" s="18">
        <f>C49</f>
        <v>10000</v>
      </c>
      <c r="D50" s="18">
        <f t="shared" ref="D50:H50" si="14">D49</f>
        <v>9500</v>
      </c>
      <c r="E50" s="18">
        <f t="shared" si="14"/>
        <v>9000</v>
      </c>
      <c r="F50" s="18">
        <f t="shared" si="14"/>
        <v>13250</v>
      </c>
      <c r="G50" s="18">
        <f t="shared" si="14"/>
        <v>12500</v>
      </c>
      <c r="H50" s="189">
        <f t="shared" si="14"/>
        <v>11750</v>
      </c>
    </row>
    <row r="51" spans="2:8" ht="15" thickBot="1" x14ac:dyDescent="0.35">
      <c r="B51" s="204" t="s">
        <v>163</v>
      </c>
      <c r="C51" s="7">
        <f>SUM(C47,C50)</f>
        <v>10300</v>
      </c>
      <c r="D51" s="7">
        <f t="shared" ref="D51:H51" si="15">SUM(D47,D50)</f>
        <v>9878.6723163841816</v>
      </c>
      <c r="E51" s="7">
        <f t="shared" si="15"/>
        <v>9416.5395480225998</v>
      </c>
      <c r="F51" s="7">
        <f t="shared" si="15"/>
        <v>13742.274011299434</v>
      </c>
      <c r="G51" s="7">
        <f t="shared" si="15"/>
        <v>13105.875706214689</v>
      </c>
      <c r="H51" s="200">
        <f t="shared" si="15"/>
        <v>12507.344632768361</v>
      </c>
    </row>
    <row r="52" spans="2:8" x14ac:dyDescent="0.3">
      <c r="B52" s="106" t="s">
        <v>164</v>
      </c>
      <c r="C52" s="14"/>
      <c r="H52" s="100"/>
    </row>
    <row r="53" spans="2:8" x14ac:dyDescent="0.3">
      <c r="B53" s="128" t="s">
        <v>165</v>
      </c>
      <c r="C53" s="11">
        <v>300</v>
      </c>
      <c r="D53" s="6">
        <f>C53</f>
        <v>300</v>
      </c>
      <c r="E53" s="6">
        <f t="shared" ref="E53:H53" si="16">D53</f>
        <v>300</v>
      </c>
      <c r="F53" s="6">
        <f t="shared" si="16"/>
        <v>300</v>
      </c>
      <c r="G53" s="6">
        <f t="shared" si="16"/>
        <v>300</v>
      </c>
      <c r="H53" s="198">
        <f t="shared" si="16"/>
        <v>300</v>
      </c>
    </row>
    <row r="54" spans="2:8" x14ac:dyDescent="0.3">
      <c r="B54" s="128" t="s">
        <v>166</v>
      </c>
      <c r="C54" s="11">
        <v>2550</v>
      </c>
      <c r="D54" s="6">
        <f>C54+D28</f>
        <v>5043.5785714285721</v>
      </c>
      <c r="E54" s="6">
        <f>D54+E28</f>
        <v>8177.0571428571438</v>
      </c>
      <c r="F54" s="6">
        <f>E54+F28</f>
        <v>12300.010714285716</v>
      </c>
      <c r="G54" s="6">
        <f>F54+G28</f>
        <v>18301.189285714288</v>
      </c>
      <c r="H54" s="198">
        <f>G54+H28</f>
        <v>28372.842857142859</v>
      </c>
    </row>
    <row r="55" spans="2:8" x14ac:dyDescent="0.3">
      <c r="B55" s="110" t="s">
        <v>167</v>
      </c>
      <c r="C55" s="18">
        <f>SUM(C53:C54)</f>
        <v>2850</v>
      </c>
      <c r="D55" s="18">
        <f t="shared" ref="D55:H55" si="17">SUM(D53:D54)</f>
        <v>5343.5785714285721</v>
      </c>
      <c r="E55" s="18">
        <f t="shared" si="17"/>
        <v>8477.0571428571438</v>
      </c>
      <c r="F55" s="18">
        <f t="shared" si="17"/>
        <v>12600.010714285716</v>
      </c>
      <c r="G55" s="18">
        <f t="shared" si="17"/>
        <v>18601.189285714288</v>
      </c>
      <c r="H55" s="189">
        <f t="shared" si="17"/>
        <v>28672.842857142859</v>
      </c>
    </row>
    <row r="56" spans="2:8" ht="15" thickBot="1" x14ac:dyDescent="0.35">
      <c r="B56" s="204" t="s">
        <v>168</v>
      </c>
      <c r="C56" s="7">
        <f>C51+C55</f>
        <v>13150</v>
      </c>
      <c r="D56" s="7">
        <f t="shared" ref="D56:H56" si="18">D51+D55</f>
        <v>15222.250887812754</v>
      </c>
      <c r="E56" s="7">
        <f t="shared" si="18"/>
        <v>17893.596690879742</v>
      </c>
      <c r="F56" s="7">
        <f t="shared" si="18"/>
        <v>26342.284725585152</v>
      </c>
      <c r="G56" s="7">
        <f t="shared" si="18"/>
        <v>31707.064991928979</v>
      </c>
      <c r="H56" s="200">
        <f t="shared" si="18"/>
        <v>41180.187489911223</v>
      </c>
    </row>
    <row r="57" spans="2:8" x14ac:dyDescent="0.3">
      <c r="B57" s="106"/>
      <c r="H57" s="100"/>
    </row>
    <row r="58" spans="2:8" x14ac:dyDescent="0.3">
      <c r="B58" s="206" t="s">
        <v>169</v>
      </c>
      <c r="C58" s="207">
        <f>C42-C56</f>
        <v>0</v>
      </c>
      <c r="D58" s="207">
        <f t="shared" ref="D58:G58" si="19">D42-D56</f>
        <v>0</v>
      </c>
      <c r="E58" s="207">
        <f t="shared" si="19"/>
        <v>0</v>
      </c>
      <c r="F58" s="207">
        <f t="shared" si="19"/>
        <v>0</v>
      </c>
      <c r="G58" s="207">
        <f t="shared" si="19"/>
        <v>0</v>
      </c>
      <c r="H58" s="208">
        <f>H42-H56</f>
        <v>0</v>
      </c>
    </row>
    <row r="59" spans="2:8" x14ac:dyDescent="0.3">
      <c r="C59" s="6"/>
      <c r="D59" s="6"/>
      <c r="E59" s="6"/>
      <c r="F59" s="6"/>
      <c r="G59" s="6"/>
      <c r="H59" s="6"/>
    </row>
    <row r="60" spans="2:8" x14ac:dyDescent="0.3">
      <c r="B60" s="101" t="s">
        <v>170</v>
      </c>
      <c r="C60" s="183"/>
      <c r="D60" s="183"/>
      <c r="E60" s="183"/>
      <c r="F60" s="183"/>
      <c r="G60" s="183"/>
      <c r="H60" s="184"/>
    </row>
    <row r="61" spans="2:8" ht="15" thickBot="1" x14ac:dyDescent="0.35">
      <c r="B61" s="185" t="s">
        <v>124</v>
      </c>
      <c r="C61" s="76"/>
      <c r="D61" s="76">
        <v>44562</v>
      </c>
      <c r="E61" s="76">
        <f>EDATE(D61,12)</f>
        <v>44927</v>
      </c>
      <c r="F61" s="76">
        <f t="shared" ref="F61:H61" si="20">EDATE(E61,12)</f>
        <v>45292</v>
      </c>
      <c r="G61" s="76">
        <f t="shared" si="20"/>
        <v>45658</v>
      </c>
      <c r="H61" s="105">
        <f t="shared" si="20"/>
        <v>46023</v>
      </c>
    </row>
    <row r="62" spans="2:8" x14ac:dyDescent="0.3">
      <c r="B62" s="106" t="s">
        <v>171</v>
      </c>
      <c r="C62" s="238"/>
      <c r="D62" s="238"/>
      <c r="E62" s="238"/>
      <c r="F62" s="238"/>
      <c r="G62" s="238"/>
      <c r="H62" s="239"/>
    </row>
    <row r="63" spans="2:8" x14ac:dyDescent="0.3">
      <c r="B63" s="128" t="s">
        <v>96</v>
      </c>
      <c r="C63" s="16"/>
      <c r="D63" s="16">
        <f>D28</f>
        <v>2493.5785714285716</v>
      </c>
      <c r="E63" s="16">
        <f>E28</f>
        <v>3133.4785714285717</v>
      </c>
      <c r="F63" s="16">
        <f>F28</f>
        <v>4122.9535714285721</v>
      </c>
      <c r="G63" s="16">
        <f>G28</f>
        <v>6001.1785714285725</v>
      </c>
      <c r="H63" s="186">
        <f>H28</f>
        <v>10071.653571428573</v>
      </c>
    </row>
    <row r="64" spans="2:8" x14ac:dyDescent="0.3">
      <c r="B64" s="128" t="s">
        <v>172</v>
      </c>
      <c r="C64" s="16"/>
      <c r="D64" s="16">
        <f>-D23</f>
        <v>3928.5714285714284</v>
      </c>
      <c r="E64" s="16">
        <f>-E23</f>
        <v>3928.5714285714284</v>
      </c>
      <c r="F64" s="16">
        <f>-F23</f>
        <v>3928.5714285714284</v>
      </c>
      <c r="G64" s="16">
        <f>-G23</f>
        <v>3928.5714285714284</v>
      </c>
      <c r="H64" s="186">
        <f>-H23</f>
        <v>1928.5714285714284</v>
      </c>
    </row>
    <row r="65" spans="2:8" x14ac:dyDescent="0.3">
      <c r="B65" s="128" t="str">
        <f>"Change in "&amp;B35</f>
        <v>Change in Accounts Receivable</v>
      </c>
      <c r="C65" s="16"/>
      <c r="D65" s="16">
        <f>-(D35-C35)</f>
        <v>-87.5</v>
      </c>
      <c r="E65" s="16">
        <f>-(E35-D35)</f>
        <v>-23.75</v>
      </c>
      <c r="F65" s="16">
        <f>-(F35-E35)</f>
        <v>-47.5</v>
      </c>
      <c r="G65" s="16">
        <f>-(G35-F35)</f>
        <v>-71.25</v>
      </c>
      <c r="H65" s="186">
        <f>-(H35-G35)</f>
        <v>-95</v>
      </c>
    </row>
    <row r="66" spans="2:8" x14ac:dyDescent="0.3">
      <c r="B66" s="128" t="str">
        <f>"Change in "&amp;B45</f>
        <v>Change in Accounts Payable</v>
      </c>
      <c r="C66" s="16"/>
      <c r="D66" s="16">
        <f t="shared" ref="D66:H67" si="21">D45-C45</f>
        <v>20.338983050847446</v>
      </c>
      <c r="E66" s="16">
        <f t="shared" si="21"/>
        <v>22.033898305084762</v>
      </c>
      <c r="F66" s="16">
        <f t="shared" si="21"/>
        <v>44.067796610169495</v>
      </c>
      <c r="G66" s="16">
        <f t="shared" si="21"/>
        <v>66.101694915254257</v>
      </c>
      <c r="H66" s="186">
        <f t="shared" si="21"/>
        <v>88.135593220338933</v>
      </c>
    </row>
    <row r="67" spans="2:8" x14ac:dyDescent="0.3">
      <c r="B67" s="128" t="str">
        <f>"Change in "&amp;B46</f>
        <v>Change in Deferred Revenue</v>
      </c>
      <c r="C67" s="16"/>
      <c r="D67" s="16">
        <f t="shared" si="21"/>
        <v>58.333333333333343</v>
      </c>
      <c r="E67" s="16">
        <f t="shared" si="21"/>
        <v>15.833333333333343</v>
      </c>
      <c r="F67" s="16">
        <f t="shared" si="21"/>
        <v>31.666666666666657</v>
      </c>
      <c r="G67" s="16">
        <f t="shared" si="21"/>
        <v>47.5</v>
      </c>
      <c r="H67" s="186">
        <f t="shared" si="21"/>
        <v>63.333333333333343</v>
      </c>
    </row>
    <row r="68" spans="2:8" x14ac:dyDescent="0.3">
      <c r="B68" s="201" t="s">
        <v>173</v>
      </c>
      <c r="C68" s="8"/>
      <c r="D68" s="8">
        <f>SUM(D64:D67)</f>
        <v>3919.7437449556096</v>
      </c>
      <c r="E68" s="8">
        <f t="shared" ref="E68:H68" si="22">SUM(E64:E67)</f>
        <v>3942.6886602098466</v>
      </c>
      <c r="F68" s="8">
        <f t="shared" si="22"/>
        <v>3956.8058918482643</v>
      </c>
      <c r="G68" s="8">
        <f t="shared" si="22"/>
        <v>3970.9231234866829</v>
      </c>
      <c r="H68" s="202">
        <f t="shared" si="22"/>
        <v>1985.0403551251006</v>
      </c>
    </row>
    <row r="69" spans="2:8" x14ac:dyDescent="0.3">
      <c r="B69" s="106" t="s">
        <v>174</v>
      </c>
      <c r="H69" s="100"/>
    </row>
    <row r="70" spans="2:8" x14ac:dyDescent="0.3">
      <c r="B70" s="128" t="s">
        <v>175</v>
      </c>
      <c r="C70" s="16"/>
      <c r="D70" s="16">
        <f>-D84</f>
        <v>-9500</v>
      </c>
      <c r="E70" s="16">
        <f t="shared" ref="E70:H70" si="23">-E84</f>
        <v>0</v>
      </c>
      <c r="F70" s="16">
        <f t="shared" si="23"/>
        <v>0</v>
      </c>
      <c r="G70" s="16">
        <f t="shared" si="23"/>
        <v>-3000</v>
      </c>
      <c r="H70" s="186">
        <f t="shared" si="23"/>
        <v>0</v>
      </c>
    </row>
    <row r="71" spans="2:8" x14ac:dyDescent="0.3">
      <c r="B71" s="209" t="s">
        <v>176</v>
      </c>
      <c r="C71" s="8"/>
      <c r="D71" s="8">
        <f>D70</f>
        <v>-9500</v>
      </c>
      <c r="E71" s="8">
        <f t="shared" ref="E71:H71" si="24">E70</f>
        <v>0</v>
      </c>
      <c r="F71" s="8">
        <f t="shared" si="24"/>
        <v>0</v>
      </c>
      <c r="G71" s="8">
        <f t="shared" si="24"/>
        <v>-3000</v>
      </c>
      <c r="H71" s="202">
        <f t="shared" si="24"/>
        <v>0</v>
      </c>
    </row>
    <row r="72" spans="2:8" x14ac:dyDescent="0.3">
      <c r="B72" s="106" t="s">
        <v>177</v>
      </c>
      <c r="H72" s="100"/>
    </row>
    <row r="73" spans="2:8" x14ac:dyDescent="0.3">
      <c r="B73" s="128" t="s">
        <v>178</v>
      </c>
      <c r="C73" s="16"/>
      <c r="D73" s="16">
        <f>-D122</f>
        <v>-500</v>
      </c>
      <c r="E73" s="16">
        <f>-E122</f>
        <v>-500</v>
      </c>
      <c r="F73" s="16">
        <f>-F122</f>
        <v>-750</v>
      </c>
      <c r="G73" s="16">
        <f>-G122</f>
        <v>-750</v>
      </c>
      <c r="H73" s="186">
        <f>-H122</f>
        <v>-750</v>
      </c>
    </row>
    <row r="74" spans="2:8" x14ac:dyDescent="0.3">
      <c r="B74" s="128" t="s">
        <v>179</v>
      </c>
      <c r="C74" s="16"/>
      <c r="D74" s="16">
        <f>D121</f>
        <v>0</v>
      </c>
      <c r="E74" s="16">
        <f>E121</f>
        <v>0</v>
      </c>
      <c r="F74" s="16">
        <f>F121</f>
        <v>5000</v>
      </c>
      <c r="G74" s="16">
        <f>G121</f>
        <v>0</v>
      </c>
      <c r="H74" s="186">
        <f>H121</f>
        <v>0</v>
      </c>
    </row>
    <row r="75" spans="2:8" x14ac:dyDescent="0.3">
      <c r="B75" s="209" t="s">
        <v>180</v>
      </c>
      <c r="C75" s="8"/>
      <c r="D75" s="8">
        <f>SUM(D73:D74)</f>
        <v>-500</v>
      </c>
      <c r="E75" s="8">
        <f t="shared" ref="E75:H75" si="25">SUM(E73:E74)</f>
        <v>-500</v>
      </c>
      <c r="F75" s="8">
        <f t="shared" si="25"/>
        <v>4250</v>
      </c>
      <c r="G75" s="8">
        <f t="shared" si="25"/>
        <v>-750</v>
      </c>
      <c r="H75" s="202">
        <f t="shared" si="25"/>
        <v>-750</v>
      </c>
    </row>
    <row r="76" spans="2:8" x14ac:dyDescent="0.3">
      <c r="B76" s="115" t="s">
        <v>76</v>
      </c>
      <c r="C76" s="210"/>
      <c r="D76" s="210">
        <f>SUM(D63,D68,D71,D75)</f>
        <v>-3586.6776836158188</v>
      </c>
      <c r="E76" s="210">
        <f>SUM(E63,E68,E71,E75)</f>
        <v>6576.1672316384183</v>
      </c>
      <c r="F76" s="210">
        <f>SUM(F63,F68,F71,F75)</f>
        <v>12329.759463276836</v>
      </c>
      <c r="G76" s="210">
        <f>SUM(G63,G68,G71,G75)</f>
        <v>6222.1016949152545</v>
      </c>
      <c r="H76" s="211">
        <f>SUM(H63,H68,H71,H75)</f>
        <v>11306.693926553673</v>
      </c>
    </row>
    <row r="77" spans="2:8" x14ac:dyDescent="0.3">
      <c r="C77" s="6"/>
      <c r="D77" s="6"/>
      <c r="E77" s="6"/>
      <c r="F77" s="6"/>
      <c r="G77" s="6"/>
      <c r="H77" s="6"/>
    </row>
    <row r="78" spans="2:8" x14ac:dyDescent="0.3">
      <c r="B78" s="101" t="s">
        <v>151</v>
      </c>
      <c r="C78" s="183"/>
      <c r="D78" s="183"/>
      <c r="E78" s="183"/>
      <c r="F78" s="183"/>
      <c r="G78" s="183"/>
      <c r="H78" s="184"/>
    </row>
    <row r="79" spans="2:8" ht="15" thickBot="1" x14ac:dyDescent="0.35">
      <c r="B79" s="185" t="s">
        <v>124</v>
      </c>
      <c r="C79" s="76" t="s">
        <v>181</v>
      </c>
      <c r="D79" s="76">
        <v>44926</v>
      </c>
      <c r="E79" s="76">
        <f>EDATE(D79,12)</f>
        <v>45291</v>
      </c>
      <c r="F79" s="76">
        <f t="shared" ref="F79:H79" si="26">EDATE(E79,12)</f>
        <v>45657</v>
      </c>
      <c r="G79" s="76">
        <f t="shared" si="26"/>
        <v>46022</v>
      </c>
      <c r="H79" s="105">
        <f t="shared" si="26"/>
        <v>46387</v>
      </c>
    </row>
    <row r="80" spans="2:8" x14ac:dyDescent="0.3">
      <c r="B80" s="106" t="s">
        <v>175</v>
      </c>
      <c r="H80" s="100"/>
    </row>
    <row r="81" spans="2:8" x14ac:dyDescent="0.3">
      <c r="B81" s="128" t="s">
        <v>182</v>
      </c>
      <c r="C81" s="217">
        <v>3</v>
      </c>
      <c r="D81" s="13">
        <v>3000</v>
      </c>
      <c r="E81" s="13"/>
      <c r="F81" s="14"/>
      <c r="G81" s="13">
        <v>3000</v>
      </c>
      <c r="H81" s="100"/>
    </row>
    <row r="82" spans="2:8" x14ac:dyDescent="0.3">
      <c r="B82" s="128" t="s">
        <v>183</v>
      </c>
      <c r="C82" s="217">
        <v>7</v>
      </c>
      <c r="D82" s="13">
        <v>3000</v>
      </c>
      <c r="E82" s="13"/>
      <c r="F82" s="13"/>
      <c r="G82" s="14"/>
      <c r="H82" s="100"/>
    </row>
    <row r="83" spans="2:8" x14ac:dyDescent="0.3">
      <c r="B83" s="128" t="s">
        <v>184</v>
      </c>
      <c r="C83" s="217">
        <v>7</v>
      </c>
      <c r="D83" s="13">
        <v>3500</v>
      </c>
      <c r="E83" s="13"/>
      <c r="F83" s="13"/>
      <c r="G83" s="14"/>
      <c r="H83" s="100"/>
    </row>
    <row r="84" spans="2:8" ht="15" thickBot="1" x14ac:dyDescent="0.35">
      <c r="B84" s="204" t="s">
        <v>185</v>
      </c>
      <c r="C84" s="9"/>
      <c r="D84" s="12">
        <f>SUM(D81:D83)</f>
        <v>9500</v>
      </c>
      <c r="E84" s="12">
        <f>SUM(E81:E83)</f>
        <v>0</v>
      </c>
      <c r="F84" s="12">
        <f>SUM(F81:F83)</f>
        <v>0</v>
      </c>
      <c r="G84" s="12">
        <f>SUM(G81:G83)</f>
        <v>3000</v>
      </c>
      <c r="H84" s="212">
        <f>SUM(H81:H83)</f>
        <v>0</v>
      </c>
    </row>
    <row r="85" spans="2:8" x14ac:dyDescent="0.3">
      <c r="B85" s="106"/>
      <c r="H85" s="100"/>
    </row>
    <row r="86" spans="2:8" x14ac:dyDescent="0.3">
      <c r="B86" s="197" t="s">
        <v>172</v>
      </c>
      <c r="H86" s="100"/>
    </row>
    <row r="87" spans="2:8" x14ac:dyDescent="0.3">
      <c r="B87" s="128" t="s">
        <v>186</v>
      </c>
      <c r="D87" s="13">
        <v>2000</v>
      </c>
      <c r="E87" s="13">
        <v>2000</v>
      </c>
      <c r="F87" s="13">
        <v>2000</v>
      </c>
      <c r="G87" s="13">
        <v>2000</v>
      </c>
      <c r="H87" s="213"/>
    </row>
    <row r="88" spans="2:8" x14ac:dyDescent="0.3">
      <c r="B88" s="128" t="str">
        <f>B81</f>
        <v>Lemon Crusher</v>
      </c>
      <c r="D88" s="15">
        <f t="shared" ref="D88:F90" si="27">$D81/$C81</f>
        <v>1000</v>
      </c>
      <c r="E88" s="15">
        <f t="shared" si="27"/>
        <v>1000</v>
      </c>
      <c r="F88" s="15">
        <f t="shared" si="27"/>
        <v>1000</v>
      </c>
      <c r="G88" s="15">
        <f>$G81/$C81</f>
        <v>1000</v>
      </c>
      <c r="H88" s="214">
        <f>$G81/$C81</f>
        <v>1000</v>
      </c>
    </row>
    <row r="89" spans="2:8" x14ac:dyDescent="0.3">
      <c r="B89" s="128" t="str">
        <f>B82</f>
        <v>Ice Machine</v>
      </c>
      <c r="D89" s="15">
        <f t="shared" si="27"/>
        <v>428.57142857142856</v>
      </c>
      <c r="E89" s="15">
        <f t="shared" si="27"/>
        <v>428.57142857142856</v>
      </c>
      <c r="F89" s="15">
        <f t="shared" si="27"/>
        <v>428.57142857142856</v>
      </c>
      <c r="G89" s="15">
        <f>$D82/$C82</f>
        <v>428.57142857142856</v>
      </c>
      <c r="H89" s="214">
        <f>$D82/$C82</f>
        <v>428.57142857142856</v>
      </c>
    </row>
    <row r="90" spans="2:8" x14ac:dyDescent="0.3">
      <c r="B90" s="128" t="str">
        <f t="shared" ref="B90" si="28">B83</f>
        <v>Refrigerator</v>
      </c>
      <c r="D90" s="15">
        <f t="shared" si="27"/>
        <v>500</v>
      </c>
      <c r="E90" s="15">
        <f t="shared" si="27"/>
        <v>500</v>
      </c>
      <c r="F90" s="15">
        <f t="shared" si="27"/>
        <v>500</v>
      </c>
      <c r="G90" s="15">
        <f>$D83/$C83</f>
        <v>500</v>
      </c>
      <c r="H90" s="214">
        <f>$D83/$C83</f>
        <v>500</v>
      </c>
    </row>
    <row r="91" spans="2:8" x14ac:dyDescent="0.3">
      <c r="B91" s="115" t="s">
        <v>187</v>
      </c>
      <c r="C91" s="126"/>
      <c r="D91" s="215">
        <f>SUM(D87:D90)</f>
        <v>3928.5714285714284</v>
      </c>
      <c r="E91" s="215">
        <f t="shared" ref="E91:H91" si="29">SUM(E87:E90)</f>
        <v>3928.5714285714284</v>
      </c>
      <c r="F91" s="215">
        <f t="shared" si="29"/>
        <v>3928.5714285714284</v>
      </c>
      <c r="G91" s="215">
        <f t="shared" si="29"/>
        <v>3928.5714285714284</v>
      </c>
      <c r="H91" s="216">
        <f t="shared" si="29"/>
        <v>1928.5714285714284</v>
      </c>
    </row>
    <row r="92" spans="2:8" x14ac:dyDescent="0.3">
      <c r="B92" s="99"/>
      <c r="C92" s="99"/>
      <c r="D92" s="240"/>
      <c r="E92" s="240"/>
      <c r="F92" s="240"/>
      <c r="G92" s="240"/>
      <c r="H92" s="240"/>
    </row>
    <row r="93" spans="2:8" x14ac:dyDescent="0.3">
      <c r="B93" s="99"/>
      <c r="C93" s="99"/>
      <c r="D93" s="240"/>
      <c r="E93" s="240"/>
      <c r="F93" s="240"/>
      <c r="G93" s="240"/>
      <c r="H93" s="240"/>
    </row>
    <row r="94" spans="2:8" x14ac:dyDescent="0.3">
      <c r="B94" s="181" t="s">
        <v>188</v>
      </c>
      <c r="C94" s="182"/>
      <c r="D94" s="182"/>
      <c r="E94" s="182"/>
      <c r="F94" s="182"/>
      <c r="G94" s="182"/>
      <c r="H94" s="182"/>
    </row>
    <row r="95" spans="2:8" x14ac:dyDescent="0.3">
      <c r="B95" s="224" t="s">
        <v>189</v>
      </c>
      <c r="C95" s="225"/>
      <c r="D95" s="225"/>
      <c r="E95" s="225"/>
      <c r="F95" s="225"/>
      <c r="G95" s="225"/>
      <c r="H95" s="226"/>
    </row>
    <row r="96" spans="2:8" outlineLevel="1" x14ac:dyDescent="0.3">
      <c r="B96" s="153" t="s">
        <v>94</v>
      </c>
      <c r="C96" s="145"/>
      <c r="D96" s="145"/>
      <c r="E96" s="145"/>
      <c r="F96" s="145"/>
      <c r="G96" s="145"/>
      <c r="H96" s="146"/>
    </row>
    <row r="97" spans="2:8" outlineLevel="1" x14ac:dyDescent="0.3">
      <c r="B97" s="147" t="s">
        <v>190</v>
      </c>
      <c r="C97" s="145"/>
      <c r="D97" s="218">
        <v>5000</v>
      </c>
      <c r="E97" s="218">
        <v>5500</v>
      </c>
      <c r="F97" s="218">
        <v>6500</v>
      </c>
      <c r="G97" s="218">
        <v>8000</v>
      </c>
      <c r="H97" s="227">
        <v>10000</v>
      </c>
    </row>
    <row r="98" spans="2:8" outlineLevel="1" x14ac:dyDescent="0.3">
      <c r="B98" s="147" t="s">
        <v>191</v>
      </c>
      <c r="C98" s="145"/>
      <c r="D98" s="219">
        <v>5</v>
      </c>
      <c r="E98" s="219">
        <v>5</v>
      </c>
      <c r="F98" s="219">
        <v>5</v>
      </c>
      <c r="G98" s="219">
        <v>5</v>
      </c>
      <c r="H98" s="228">
        <v>5</v>
      </c>
    </row>
    <row r="99" spans="2:8" outlineLevel="1" x14ac:dyDescent="0.3">
      <c r="B99" s="147" t="str">
        <f>B8&amp; " as % of Rev"</f>
        <v>Discounts as % of Rev</v>
      </c>
      <c r="C99" s="145"/>
      <c r="D99" s="220">
        <v>0.05</v>
      </c>
      <c r="E99" s="220">
        <v>0.05</v>
      </c>
      <c r="F99" s="220">
        <v>0.05</v>
      </c>
      <c r="G99" s="220">
        <v>0.05</v>
      </c>
      <c r="H99" s="229">
        <v>0.05</v>
      </c>
    </row>
    <row r="100" spans="2:8" outlineLevel="1" x14ac:dyDescent="0.3">
      <c r="B100" s="153"/>
      <c r="C100" s="145"/>
      <c r="D100" s="221"/>
      <c r="E100" s="221"/>
      <c r="F100" s="221"/>
      <c r="G100" s="221"/>
      <c r="H100" s="230"/>
    </row>
    <row r="101" spans="2:8" outlineLevel="1" x14ac:dyDescent="0.3">
      <c r="B101" s="153" t="s">
        <v>128</v>
      </c>
      <c r="C101" s="145"/>
      <c r="D101" s="221"/>
      <c r="E101" s="221"/>
      <c r="F101" s="221"/>
      <c r="G101" s="221"/>
      <c r="H101" s="230"/>
    </row>
    <row r="102" spans="2:8" outlineLevel="1" x14ac:dyDescent="0.3">
      <c r="B102" s="147" t="str">
        <f>B11&amp; " as % of Rev"</f>
        <v>Raw Materials as % of Rev</v>
      </c>
      <c r="C102" s="145"/>
      <c r="D102" s="220">
        <v>0.3</v>
      </c>
      <c r="E102" s="220">
        <v>0.3</v>
      </c>
      <c r="F102" s="220">
        <v>0.3</v>
      </c>
      <c r="G102" s="220">
        <v>0.3</v>
      </c>
      <c r="H102" s="229">
        <v>0.3</v>
      </c>
    </row>
    <row r="103" spans="2:8" outlineLevel="1" x14ac:dyDescent="0.3">
      <c r="B103" s="147" t="str">
        <f>B12&amp; " as % of Rev"</f>
        <v>Fulfillment as % of Rev</v>
      </c>
      <c r="C103" s="145"/>
      <c r="D103" s="220">
        <v>7.0000000000000007E-2</v>
      </c>
      <c r="E103" s="220">
        <v>7.0000000000000007E-2</v>
      </c>
      <c r="F103" s="220">
        <v>7.0000000000000007E-2</v>
      </c>
      <c r="G103" s="220">
        <v>7.0000000000000007E-2</v>
      </c>
      <c r="H103" s="229">
        <v>7.0000000000000007E-2</v>
      </c>
    </row>
    <row r="104" spans="2:8" outlineLevel="1" x14ac:dyDescent="0.3">
      <c r="B104" s="147" t="str">
        <f>B13&amp; " as % of Rev"</f>
        <v>Transaction Fees as % of Rev</v>
      </c>
      <c r="C104" s="145"/>
      <c r="D104" s="220">
        <v>0.02</v>
      </c>
      <c r="E104" s="220">
        <v>0.02</v>
      </c>
      <c r="F104" s="220">
        <v>0.02</v>
      </c>
      <c r="G104" s="220">
        <v>0.02</v>
      </c>
      <c r="H104" s="229">
        <v>0.02</v>
      </c>
    </row>
    <row r="105" spans="2:8" outlineLevel="1" x14ac:dyDescent="0.3">
      <c r="B105" s="153"/>
      <c r="C105" s="145"/>
      <c r="D105" s="221"/>
      <c r="E105" s="221"/>
      <c r="F105" s="221"/>
      <c r="G105" s="221"/>
      <c r="H105" s="230"/>
    </row>
    <row r="106" spans="2:8" outlineLevel="1" x14ac:dyDescent="0.3">
      <c r="B106" s="153" t="s">
        <v>135</v>
      </c>
      <c r="C106" s="145"/>
      <c r="D106" s="221"/>
      <c r="E106" s="221"/>
      <c r="F106" s="221"/>
      <c r="G106" s="221"/>
      <c r="H106" s="230"/>
    </row>
    <row r="107" spans="2:8" outlineLevel="1" x14ac:dyDescent="0.3">
      <c r="B107" s="147" t="str">
        <f>B18&amp; " as % of Rev"</f>
        <v>Labor as % of Rev</v>
      </c>
      <c r="C107" s="145"/>
      <c r="D107" s="220">
        <v>0.15</v>
      </c>
      <c r="E107" s="220">
        <v>0.15</v>
      </c>
      <c r="F107" s="220">
        <v>0.15</v>
      </c>
      <c r="G107" s="220">
        <v>0.15</v>
      </c>
      <c r="H107" s="229">
        <v>0.15</v>
      </c>
    </row>
    <row r="108" spans="2:8" outlineLevel="1" x14ac:dyDescent="0.3">
      <c r="B108" s="147" t="str">
        <f>B19&amp; " as % of Rev"</f>
        <v>Marketing as % of Rev</v>
      </c>
      <c r="C108" s="145"/>
      <c r="D108" s="220">
        <v>0.05</v>
      </c>
      <c r="E108" s="220">
        <v>0.05</v>
      </c>
      <c r="F108" s="220">
        <v>0.05</v>
      </c>
      <c r="G108" s="220">
        <v>0.05</v>
      </c>
      <c r="H108" s="229">
        <v>0.05</v>
      </c>
    </row>
    <row r="109" spans="2:8" outlineLevel="1" x14ac:dyDescent="0.3">
      <c r="B109" s="147" t="str">
        <f>B20&amp; " as % of Rev"</f>
        <v>SGA &amp; Other as % of Rev</v>
      </c>
      <c r="C109" s="145"/>
      <c r="D109" s="220">
        <v>0.05</v>
      </c>
      <c r="E109" s="220">
        <v>0.05</v>
      </c>
      <c r="F109" s="220">
        <v>0.05</v>
      </c>
      <c r="G109" s="220">
        <v>0.05</v>
      </c>
      <c r="H109" s="229">
        <v>0.05</v>
      </c>
    </row>
    <row r="110" spans="2:8" outlineLevel="1" x14ac:dyDescent="0.3">
      <c r="B110" s="153"/>
      <c r="C110" s="145"/>
      <c r="D110" s="220"/>
      <c r="E110" s="220"/>
      <c r="F110" s="220"/>
      <c r="G110" s="220"/>
      <c r="H110" s="229"/>
    </row>
    <row r="111" spans="2:8" outlineLevel="1" x14ac:dyDescent="0.3">
      <c r="B111" s="153" t="s">
        <v>192</v>
      </c>
      <c r="C111" s="145"/>
      <c r="D111" s="220">
        <v>0.21</v>
      </c>
      <c r="E111" s="220">
        <v>0.21</v>
      </c>
      <c r="F111" s="220">
        <v>0.21</v>
      </c>
      <c r="G111" s="220">
        <v>0.21</v>
      </c>
      <c r="H111" s="229">
        <v>0.21</v>
      </c>
    </row>
    <row r="112" spans="2:8" x14ac:dyDescent="0.3">
      <c r="B112" s="106"/>
      <c r="D112" s="236"/>
      <c r="E112" s="236"/>
      <c r="F112" s="236"/>
      <c r="G112" s="236"/>
      <c r="H112" s="237"/>
    </row>
    <row r="113" spans="2:8" x14ac:dyDescent="0.3">
      <c r="B113" s="144" t="s">
        <v>193</v>
      </c>
      <c r="C113" s="145"/>
      <c r="D113" s="145"/>
      <c r="E113" s="145"/>
      <c r="F113" s="145"/>
      <c r="G113" s="145"/>
      <c r="H113" s="146"/>
    </row>
    <row r="114" spans="2:8" outlineLevel="1" x14ac:dyDescent="0.3">
      <c r="B114" s="153" t="s">
        <v>127</v>
      </c>
      <c r="C114" s="218">
        <v>15000</v>
      </c>
      <c r="D114" s="148">
        <f>D9</f>
        <v>23750</v>
      </c>
      <c r="E114" s="148">
        <f>E9</f>
        <v>26125</v>
      </c>
      <c r="F114" s="148">
        <f>F9</f>
        <v>30875</v>
      </c>
      <c r="G114" s="148">
        <f>G9</f>
        <v>38000</v>
      </c>
      <c r="H114" s="149">
        <f>H9</f>
        <v>47500</v>
      </c>
    </row>
    <row r="115" spans="2:8" outlineLevel="1" x14ac:dyDescent="0.3">
      <c r="B115" s="153" t="s">
        <v>194</v>
      </c>
      <c r="C115" s="218">
        <v>8850</v>
      </c>
      <c r="D115" s="148">
        <f>-D14</f>
        <v>9750</v>
      </c>
      <c r="E115" s="148">
        <f>-E14</f>
        <v>10725</v>
      </c>
      <c r="F115" s="148">
        <f>-F14</f>
        <v>12675</v>
      </c>
      <c r="G115" s="148">
        <f>-G14</f>
        <v>15600</v>
      </c>
      <c r="H115" s="149">
        <f>-H14</f>
        <v>19500</v>
      </c>
    </row>
    <row r="116" spans="2:8" outlineLevel="1" x14ac:dyDescent="0.3">
      <c r="B116" s="147" t="s">
        <v>195</v>
      </c>
      <c r="C116" s="222">
        <f>C35/C$114</f>
        <v>0.01</v>
      </c>
      <c r="D116" s="160">
        <f>C116</f>
        <v>0.01</v>
      </c>
      <c r="E116" s="160">
        <f t="shared" ref="E116:H118" si="30">D116</f>
        <v>0.01</v>
      </c>
      <c r="F116" s="160">
        <f t="shared" si="30"/>
        <v>0.01</v>
      </c>
      <c r="G116" s="160">
        <f t="shared" si="30"/>
        <v>0.01</v>
      </c>
      <c r="H116" s="163">
        <f t="shared" si="30"/>
        <v>0.01</v>
      </c>
    </row>
    <row r="117" spans="2:8" outlineLevel="1" x14ac:dyDescent="0.3">
      <c r="B117" s="147" t="s">
        <v>196</v>
      </c>
      <c r="C117" s="222">
        <f>C45/C$115</f>
        <v>2.2598870056497175E-2</v>
      </c>
      <c r="D117" s="160">
        <f>C117</f>
        <v>2.2598870056497175E-2</v>
      </c>
      <c r="E117" s="160">
        <f t="shared" si="30"/>
        <v>2.2598870056497175E-2</v>
      </c>
      <c r="F117" s="160">
        <f t="shared" si="30"/>
        <v>2.2598870056497175E-2</v>
      </c>
      <c r="G117" s="160">
        <f t="shared" si="30"/>
        <v>2.2598870056497175E-2</v>
      </c>
      <c r="H117" s="163">
        <f t="shared" si="30"/>
        <v>2.2598870056497175E-2</v>
      </c>
    </row>
    <row r="118" spans="2:8" outlineLevel="1" x14ac:dyDescent="0.3">
      <c r="B118" s="147" t="s">
        <v>197</v>
      </c>
      <c r="C118" s="222">
        <f>C46/C$114</f>
        <v>6.6666666666666671E-3</v>
      </c>
      <c r="D118" s="160">
        <f>C118</f>
        <v>6.6666666666666671E-3</v>
      </c>
      <c r="E118" s="160">
        <f t="shared" si="30"/>
        <v>6.6666666666666671E-3</v>
      </c>
      <c r="F118" s="160">
        <f t="shared" si="30"/>
        <v>6.6666666666666671E-3</v>
      </c>
      <c r="G118" s="160">
        <f t="shared" si="30"/>
        <v>6.6666666666666671E-3</v>
      </c>
      <c r="H118" s="163">
        <f t="shared" si="30"/>
        <v>6.6666666666666671E-3</v>
      </c>
    </row>
    <row r="119" spans="2:8" outlineLevel="1" x14ac:dyDescent="0.3">
      <c r="B119" s="153"/>
      <c r="C119" s="145"/>
      <c r="D119" s="145"/>
      <c r="E119" s="145"/>
      <c r="F119" s="145"/>
      <c r="G119" s="145"/>
      <c r="H119" s="146"/>
    </row>
    <row r="120" spans="2:8" outlineLevel="1" x14ac:dyDescent="0.3">
      <c r="B120" s="153" t="s">
        <v>161</v>
      </c>
      <c r="C120" s="145"/>
      <c r="D120" s="145"/>
      <c r="E120" s="145"/>
      <c r="F120" s="145"/>
      <c r="G120" s="145"/>
      <c r="H120" s="146"/>
    </row>
    <row r="121" spans="2:8" outlineLevel="1" x14ac:dyDescent="0.3">
      <c r="B121" s="231" t="s">
        <v>198</v>
      </c>
      <c r="C121" s="145"/>
      <c r="D121" s="223"/>
      <c r="E121" s="223"/>
      <c r="F121" s="218">
        <v>5000</v>
      </c>
      <c r="G121" s="223"/>
      <c r="H121" s="232"/>
    </row>
    <row r="122" spans="2:8" outlineLevel="1" x14ac:dyDescent="0.3">
      <c r="B122" s="231" t="s">
        <v>178</v>
      </c>
      <c r="C122" s="145"/>
      <c r="D122" s="218">
        <v>500</v>
      </c>
      <c r="E122" s="218">
        <v>500</v>
      </c>
      <c r="F122" s="218">
        <v>750</v>
      </c>
      <c r="G122" s="218">
        <v>750</v>
      </c>
      <c r="H122" s="227">
        <v>750</v>
      </c>
    </row>
    <row r="123" spans="2:8" outlineLevel="1" x14ac:dyDescent="0.3">
      <c r="B123" s="231" t="s">
        <v>199</v>
      </c>
      <c r="C123" s="145"/>
      <c r="D123" s="220">
        <v>7.0000000000000007E-2</v>
      </c>
      <c r="E123" s="220">
        <v>7.0000000000000007E-2</v>
      </c>
      <c r="F123" s="220">
        <v>7.0000000000000007E-2</v>
      </c>
      <c r="G123" s="220">
        <v>7.0000000000000007E-2</v>
      </c>
      <c r="H123" s="229">
        <v>7.0000000000000007E-2</v>
      </c>
    </row>
    <row r="124" spans="2:8" outlineLevel="1" x14ac:dyDescent="0.3">
      <c r="B124" s="233" t="s">
        <v>200</v>
      </c>
      <c r="C124" s="178"/>
      <c r="D124" s="234">
        <f>D49*D123</f>
        <v>665.00000000000011</v>
      </c>
      <c r="E124" s="234">
        <f>E49*E123</f>
        <v>630.00000000000011</v>
      </c>
      <c r="F124" s="234">
        <f>F49*F123</f>
        <v>927.50000000000011</v>
      </c>
      <c r="G124" s="234">
        <f>G49*G123</f>
        <v>875.00000000000011</v>
      </c>
      <c r="H124" s="235">
        <f>H49*H123</f>
        <v>822.50000000000011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D7AE5-8AB0-4A4B-BC1B-1A2E438BEDBB}">
  <dimension ref="A2:K212"/>
  <sheetViews>
    <sheetView showGridLines="0" workbookViewId="0">
      <selection activeCell="D13" sqref="D13"/>
    </sheetView>
  </sheetViews>
  <sheetFormatPr defaultColWidth="8.88671875" defaultRowHeight="14.4" outlineLevelRow="1" x14ac:dyDescent="0.3"/>
  <cols>
    <col min="2" max="2" width="68" bestFit="1" customWidth="1"/>
    <col min="3" max="3" width="11.88671875" bestFit="1" customWidth="1"/>
    <col min="4" max="5" width="12.109375" bestFit="1" customWidth="1"/>
    <col min="6" max="6" width="11.109375" bestFit="1" customWidth="1"/>
  </cols>
  <sheetData>
    <row r="2" spans="1:11" ht="25.8" x14ac:dyDescent="0.5">
      <c r="B2" s="25" t="s">
        <v>201</v>
      </c>
      <c r="C2" s="26"/>
      <c r="D2" s="26"/>
      <c r="E2" s="26"/>
      <c r="F2" s="26"/>
      <c r="G2" s="26"/>
      <c r="H2" s="26"/>
      <c r="I2" s="26"/>
      <c r="J2" s="26"/>
      <c r="K2" s="26"/>
    </row>
    <row r="4" spans="1:11" x14ac:dyDescent="0.3">
      <c r="A4" s="100"/>
      <c r="B4" s="101" t="s">
        <v>202</v>
      </c>
      <c r="C4" s="102"/>
      <c r="D4" s="102"/>
      <c r="E4" s="102"/>
      <c r="F4" s="102"/>
      <c r="G4" s="102"/>
      <c r="H4" s="102"/>
      <c r="I4" s="102"/>
      <c r="J4" s="102"/>
      <c r="K4" s="103"/>
    </row>
    <row r="5" spans="1:11" ht="15" thickBot="1" x14ac:dyDescent="0.35">
      <c r="A5" s="100"/>
      <c r="B5" s="104" t="s">
        <v>203</v>
      </c>
      <c r="C5" s="77"/>
      <c r="D5" s="77">
        <v>43830</v>
      </c>
      <c r="E5" s="77">
        <v>44196</v>
      </c>
      <c r="F5" s="77">
        <v>44561</v>
      </c>
      <c r="G5" s="76">
        <v>44926</v>
      </c>
      <c r="H5" s="76">
        <v>45291</v>
      </c>
      <c r="I5" s="76">
        <v>45657</v>
      </c>
      <c r="J5" s="76">
        <v>46022</v>
      </c>
      <c r="K5" s="105">
        <v>46387</v>
      </c>
    </row>
    <row r="6" spans="1:11" x14ac:dyDescent="0.3">
      <c r="A6" s="100"/>
      <c r="B6" s="106" t="s">
        <v>94</v>
      </c>
      <c r="C6" s="23"/>
      <c r="D6" s="23">
        <f>D117</f>
        <v>152703</v>
      </c>
      <c r="E6" s="23">
        <f t="shared" ref="E6:F6" si="0">E117</f>
        <v>166761</v>
      </c>
      <c r="F6" s="23">
        <f t="shared" si="0"/>
        <v>195929</v>
      </c>
      <c r="G6" s="23">
        <f>F6*(1+G27)</f>
        <v>215521.90000000002</v>
      </c>
      <c r="H6" s="23">
        <f t="shared" ref="H6:K6" si="1">G6*(1+H27)</f>
        <v>237074.09000000005</v>
      </c>
      <c r="I6" s="23">
        <f t="shared" si="1"/>
        <v>258410.75810000006</v>
      </c>
      <c r="J6" s="23">
        <f t="shared" si="1"/>
        <v>276499.51116700011</v>
      </c>
      <c r="K6" s="107">
        <f t="shared" si="1"/>
        <v>290324.48672535014</v>
      </c>
    </row>
    <row r="7" spans="1:11" x14ac:dyDescent="0.3">
      <c r="A7" s="100"/>
      <c r="B7" s="108" t="s">
        <v>194</v>
      </c>
      <c r="C7" s="20"/>
      <c r="D7" s="20">
        <f>D119</f>
        <v>132886</v>
      </c>
      <c r="E7" s="20">
        <f t="shared" ref="E7:F7" si="2">E119</f>
        <v>144939</v>
      </c>
      <c r="F7" s="20">
        <f t="shared" si="2"/>
        <v>170684</v>
      </c>
      <c r="G7" s="20">
        <f>G6*G29</f>
        <v>187541.37989690871</v>
      </c>
      <c r="H7" s="20">
        <f t="shared" ref="H7:K7" si="3">H6*H29</f>
        <v>206295.51788659961</v>
      </c>
      <c r="I7" s="20">
        <f t="shared" si="3"/>
        <v>224862.11449639357</v>
      </c>
      <c r="J7" s="20">
        <f t="shared" si="3"/>
        <v>240602.46251114114</v>
      </c>
      <c r="K7" s="109">
        <f t="shared" si="3"/>
        <v>252632.58563669823</v>
      </c>
    </row>
    <row r="8" spans="1:11" x14ac:dyDescent="0.3">
      <c r="A8" s="100"/>
      <c r="B8" s="110" t="s">
        <v>133</v>
      </c>
      <c r="C8" s="24"/>
      <c r="D8" s="24">
        <f>D6-D7</f>
        <v>19817</v>
      </c>
      <c r="E8" s="24">
        <f t="shared" ref="E8:K8" si="4">E6-E7</f>
        <v>21822</v>
      </c>
      <c r="F8" s="24">
        <f t="shared" si="4"/>
        <v>25245</v>
      </c>
      <c r="G8" s="24">
        <f t="shared" si="4"/>
        <v>27980.520103091316</v>
      </c>
      <c r="H8" s="24">
        <f t="shared" si="4"/>
        <v>30778.572113400442</v>
      </c>
      <c r="I8" s="24">
        <f t="shared" si="4"/>
        <v>33548.643603606499</v>
      </c>
      <c r="J8" s="24">
        <f t="shared" si="4"/>
        <v>35897.048655858962</v>
      </c>
      <c r="K8" s="111">
        <f t="shared" si="4"/>
        <v>37691.90108865191</v>
      </c>
    </row>
    <row r="9" spans="1:11" x14ac:dyDescent="0.3">
      <c r="A9" s="100"/>
      <c r="B9" s="106" t="s">
        <v>135</v>
      </c>
      <c r="C9" s="23"/>
      <c r="D9" s="23"/>
      <c r="E9" s="23"/>
      <c r="F9" s="23"/>
      <c r="G9" s="23"/>
      <c r="H9" s="23"/>
      <c r="I9" s="23"/>
      <c r="J9" s="23"/>
      <c r="K9" s="107"/>
    </row>
    <row r="10" spans="1:11" x14ac:dyDescent="0.3">
      <c r="A10" s="100"/>
      <c r="B10" s="106" t="s">
        <v>204</v>
      </c>
      <c r="C10" s="23"/>
      <c r="D10" s="23">
        <f>SUM(D120,D122)</f>
        <v>13588</v>
      </c>
      <c r="E10" s="23">
        <f t="shared" ref="E10:F10" si="5">SUM(E120,E122)</f>
        <v>14742</v>
      </c>
      <c r="F10" s="23">
        <f t="shared" si="5"/>
        <v>16756</v>
      </c>
      <c r="G10" s="23">
        <f>G6*G30</f>
        <v>18887.32847958626</v>
      </c>
      <c r="H10" s="23">
        <f t="shared" ref="H10:K10" si="6">H6*H30</f>
        <v>20776.061327544889</v>
      </c>
      <c r="I10" s="23">
        <f t="shared" si="6"/>
        <v>22645.906847023929</v>
      </c>
      <c r="J10" s="23">
        <f t="shared" si="6"/>
        <v>24231.120326315606</v>
      </c>
      <c r="K10" s="107">
        <f t="shared" si="6"/>
        <v>25442.676342631388</v>
      </c>
    </row>
    <row r="11" spans="1:11" x14ac:dyDescent="0.3">
      <c r="A11" s="100"/>
      <c r="B11" s="108" t="s">
        <v>205</v>
      </c>
      <c r="C11" s="20"/>
      <c r="D11" s="20">
        <f>SUM(D10)</f>
        <v>13588</v>
      </c>
      <c r="E11" s="20">
        <f t="shared" ref="E11:K11" si="7">SUM(E10)</f>
        <v>14742</v>
      </c>
      <c r="F11" s="20">
        <f t="shared" si="7"/>
        <v>16756</v>
      </c>
      <c r="G11" s="20">
        <f t="shared" si="7"/>
        <v>18887.32847958626</v>
      </c>
      <c r="H11" s="20">
        <f t="shared" si="7"/>
        <v>20776.061327544889</v>
      </c>
      <c r="I11" s="20">
        <f t="shared" si="7"/>
        <v>22645.906847023929</v>
      </c>
      <c r="J11" s="20">
        <f t="shared" si="7"/>
        <v>24231.120326315606</v>
      </c>
      <c r="K11" s="109">
        <f t="shared" si="7"/>
        <v>25442.676342631388</v>
      </c>
    </row>
    <row r="12" spans="1:11" x14ac:dyDescent="0.3">
      <c r="A12" s="100"/>
      <c r="B12" s="110" t="s">
        <v>95</v>
      </c>
      <c r="C12" s="24"/>
      <c r="D12" s="24">
        <f>D8-D11</f>
        <v>6229</v>
      </c>
      <c r="E12" s="24">
        <f t="shared" ref="E12:F12" si="8">E8-E11</f>
        <v>7080</v>
      </c>
      <c r="F12" s="24">
        <f t="shared" si="8"/>
        <v>8489</v>
      </c>
      <c r="G12" s="24">
        <f>G8-G11</f>
        <v>9093.1916235050558</v>
      </c>
      <c r="H12" s="24">
        <f t="shared" ref="H12:K12" si="9">H8-H11</f>
        <v>10002.510785855553</v>
      </c>
      <c r="I12" s="24">
        <f t="shared" si="9"/>
        <v>10902.73675658257</v>
      </c>
      <c r="J12" s="24">
        <f t="shared" si="9"/>
        <v>11665.928329543356</v>
      </c>
      <c r="K12" s="111">
        <f t="shared" si="9"/>
        <v>12249.224746020522</v>
      </c>
    </row>
    <row r="13" spans="1:11" x14ac:dyDescent="0.3">
      <c r="A13" s="100"/>
      <c r="B13" s="108" t="s">
        <v>140</v>
      </c>
      <c r="C13" s="20"/>
      <c r="D13" s="20">
        <f>D121</f>
        <v>1492</v>
      </c>
      <c r="E13" s="20">
        <f t="shared" ref="E13:F13" si="10">E121</f>
        <v>1645</v>
      </c>
      <c r="F13" s="20">
        <f t="shared" si="10"/>
        <v>1781</v>
      </c>
      <c r="G13" s="20">
        <f>G36</f>
        <v>1995.9571154515827</v>
      </c>
      <c r="H13" s="20">
        <f t="shared" ref="H13:K13" si="11">H36</f>
        <v>2144.3445116404519</v>
      </c>
      <c r="I13" s="20">
        <f t="shared" si="11"/>
        <v>2303.7636174673962</v>
      </c>
      <c r="J13" s="20">
        <f t="shared" si="11"/>
        <v>2475.0345741348665</v>
      </c>
      <c r="K13" s="109">
        <f t="shared" si="11"/>
        <v>2659.0384954065948</v>
      </c>
    </row>
    <row r="14" spans="1:11" x14ac:dyDescent="0.3">
      <c r="A14" s="100"/>
      <c r="B14" s="110" t="s">
        <v>206</v>
      </c>
      <c r="C14" s="24"/>
      <c r="D14" s="24">
        <f>D12-D13</f>
        <v>4737</v>
      </c>
      <c r="E14" s="24">
        <f t="shared" ref="E14:F14" si="12">E12-E13</f>
        <v>5435</v>
      </c>
      <c r="F14" s="24">
        <f t="shared" si="12"/>
        <v>6708</v>
      </c>
      <c r="G14" s="24">
        <f>G12-G13</f>
        <v>7097.2345080534733</v>
      </c>
      <c r="H14" s="24">
        <f t="shared" ref="H14:K14" si="13">H12-H13</f>
        <v>7858.1662742151011</v>
      </c>
      <c r="I14" s="24">
        <f t="shared" si="13"/>
        <v>8598.9731391151727</v>
      </c>
      <c r="J14" s="24">
        <f t="shared" si="13"/>
        <v>9190.8937554084896</v>
      </c>
      <c r="K14" s="111">
        <f t="shared" si="13"/>
        <v>9590.1862506139259</v>
      </c>
    </row>
    <row r="15" spans="1:11" x14ac:dyDescent="0.3">
      <c r="A15" s="100"/>
      <c r="B15" s="108" t="s">
        <v>207</v>
      </c>
      <c r="C15" s="20"/>
      <c r="D15" s="20">
        <f>D128</f>
        <v>1061</v>
      </c>
      <c r="E15" s="20">
        <f t="shared" ref="E15:F15" si="14">E128</f>
        <v>1308</v>
      </c>
      <c r="F15" s="20">
        <f t="shared" si="14"/>
        <v>1601</v>
      </c>
      <c r="G15" s="20">
        <f>G14*G31</f>
        <v>1490.4192466912293</v>
      </c>
      <c r="H15" s="20">
        <f t="shared" ref="H15:K15" si="15">H14*H31</f>
        <v>1650.2149175851712</v>
      </c>
      <c r="I15" s="20">
        <f t="shared" si="15"/>
        <v>1805.7843592141862</v>
      </c>
      <c r="J15" s="20">
        <f t="shared" si="15"/>
        <v>1930.0876886357828</v>
      </c>
      <c r="K15" s="109">
        <f t="shared" si="15"/>
        <v>2013.9391126289245</v>
      </c>
    </row>
    <row r="16" spans="1:11" x14ac:dyDescent="0.3">
      <c r="A16" s="100"/>
      <c r="B16" s="110" t="s">
        <v>208</v>
      </c>
      <c r="C16" s="24"/>
      <c r="D16" s="24">
        <f>D14-D15</f>
        <v>3676</v>
      </c>
      <c r="E16" s="24">
        <f t="shared" ref="E16:K16" si="16">E14-E15</f>
        <v>4127</v>
      </c>
      <c r="F16" s="24">
        <f t="shared" si="16"/>
        <v>5107</v>
      </c>
      <c r="G16" s="24">
        <f t="shared" si="16"/>
        <v>5606.8152613622442</v>
      </c>
      <c r="H16" s="24">
        <f t="shared" si="16"/>
        <v>6207.9513566299302</v>
      </c>
      <c r="I16" s="24">
        <f t="shared" si="16"/>
        <v>6793.1887799009864</v>
      </c>
      <c r="J16" s="24">
        <f t="shared" si="16"/>
        <v>7260.8060667727068</v>
      </c>
      <c r="K16" s="111">
        <f t="shared" si="16"/>
        <v>7576.2471379850012</v>
      </c>
    </row>
    <row r="17" spans="1:11" x14ac:dyDescent="0.3">
      <c r="A17" s="100"/>
      <c r="B17" s="106" t="s">
        <v>209</v>
      </c>
      <c r="C17" s="23"/>
      <c r="D17" s="23">
        <f>D13</f>
        <v>1492</v>
      </c>
      <c r="E17" s="23">
        <f t="shared" ref="E17:K17" si="17">E13</f>
        <v>1645</v>
      </c>
      <c r="F17" s="23">
        <f t="shared" si="17"/>
        <v>1781</v>
      </c>
      <c r="G17" s="23">
        <f t="shared" si="17"/>
        <v>1995.9571154515827</v>
      </c>
      <c r="H17" s="23">
        <f t="shared" si="17"/>
        <v>2144.3445116404519</v>
      </c>
      <c r="I17" s="23">
        <f t="shared" si="17"/>
        <v>2303.7636174673962</v>
      </c>
      <c r="J17" s="23">
        <f t="shared" si="17"/>
        <v>2475.0345741348665</v>
      </c>
      <c r="K17" s="107">
        <f t="shared" si="17"/>
        <v>2659.0384954065948</v>
      </c>
    </row>
    <row r="18" spans="1:11" x14ac:dyDescent="0.3">
      <c r="A18" s="100"/>
      <c r="B18" s="106" t="s">
        <v>210</v>
      </c>
      <c r="C18" s="23"/>
      <c r="D18" s="23">
        <f>D37</f>
        <v>2701</v>
      </c>
      <c r="E18" s="23">
        <f t="shared" ref="E18:K18" si="18">E37</f>
        <v>5350</v>
      </c>
      <c r="F18" s="23">
        <f t="shared" si="18"/>
        <v>3568</v>
      </c>
      <c r="G18" s="23">
        <f t="shared" si="18"/>
        <v>3957.2999999999997</v>
      </c>
      <c r="H18" s="23">
        <f t="shared" si="18"/>
        <v>4251.501432682262</v>
      </c>
      <c r="I18" s="23">
        <f t="shared" si="18"/>
        <v>4567.5749708385338</v>
      </c>
      <c r="J18" s="23">
        <f t="shared" si="18"/>
        <v>4907.1466738442041</v>
      </c>
      <c r="K18" s="107">
        <f t="shared" si="18"/>
        <v>5271.9634888006049</v>
      </c>
    </row>
    <row r="19" spans="1:11" x14ac:dyDescent="0.3">
      <c r="A19" s="100"/>
      <c r="B19" s="106" t="s">
        <v>211</v>
      </c>
      <c r="C19" s="23"/>
      <c r="D19" s="23">
        <f>D20-(C50-C57)</f>
        <v>-691</v>
      </c>
      <c r="E19" s="23">
        <f>E20-D20</f>
        <v>-2437</v>
      </c>
      <c r="F19" s="23">
        <f t="shared" ref="F19:K19" si="19">F20-E20</f>
        <v>-1378</v>
      </c>
      <c r="G19" s="23">
        <f t="shared" si="19"/>
        <v>-244.07865700528419</v>
      </c>
      <c r="H19" s="23">
        <f t="shared" si="19"/>
        <v>-1155.6078657005237</v>
      </c>
      <c r="I19" s="23">
        <f t="shared" si="19"/>
        <v>-1144.0517870435324</v>
      </c>
      <c r="J19" s="23">
        <f t="shared" si="19"/>
        <v>-969.90168168245873</v>
      </c>
      <c r="K19" s="107">
        <f t="shared" si="19"/>
        <v>-741.28199957158722</v>
      </c>
    </row>
    <row r="20" spans="1:11" x14ac:dyDescent="0.3">
      <c r="A20" s="100"/>
      <c r="B20" s="112" t="s">
        <v>212</v>
      </c>
      <c r="C20" s="23"/>
      <c r="D20" s="23">
        <f>D21-D22</f>
        <v>-7497</v>
      </c>
      <c r="E20" s="23">
        <f t="shared" ref="E20:K20" si="20">E21-E22</f>
        <v>-9934</v>
      </c>
      <c r="F20" s="23">
        <f t="shared" si="20"/>
        <v>-11312</v>
      </c>
      <c r="G20" s="23">
        <f t="shared" si="20"/>
        <v>-11556.078657005284</v>
      </c>
      <c r="H20" s="23">
        <f t="shared" si="20"/>
        <v>-12711.686522705808</v>
      </c>
      <c r="I20" s="23">
        <f t="shared" si="20"/>
        <v>-13855.73830974934</v>
      </c>
      <c r="J20" s="23">
        <f t="shared" si="20"/>
        <v>-14825.639991431799</v>
      </c>
      <c r="K20" s="107">
        <f t="shared" si="20"/>
        <v>-15566.921991003386</v>
      </c>
    </row>
    <row r="21" spans="1:11" x14ac:dyDescent="0.3">
      <c r="A21" s="100"/>
      <c r="B21" s="113" t="s">
        <v>146</v>
      </c>
      <c r="C21" s="23"/>
      <c r="D21" s="23">
        <f>D50</f>
        <v>14041</v>
      </c>
      <c r="E21" s="23">
        <f t="shared" ref="E21:K21" si="21">E50</f>
        <v>14815</v>
      </c>
      <c r="F21" s="23">
        <f t="shared" si="21"/>
        <v>17330</v>
      </c>
      <c r="G21" s="23">
        <f t="shared" si="21"/>
        <v>19467.228558197166</v>
      </c>
      <c r="H21" s="23">
        <f t="shared" si="21"/>
        <v>21413.95141401689</v>
      </c>
      <c r="I21" s="23">
        <f t="shared" si="21"/>
        <v>23341.207041278405</v>
      </c>
      <c r="J21" s="23">
        <f t="shared" si="21"/>
        <v>24975.091534167896</v>
      </c>
      <c r="K21" s="107">
        <f t="shared" si="21"/>
        <v>26223.846110876293</v>
      </c>
    </row>
    <row r="22" spans="1:11" x14ac:dyDescent="0.3">
      <c r="A22" s="100"/>
      <c r="B22" s="113" t="s">
        <v>213</v>
      </c>
      <c r="C22" s="23"/>
      <c r="D22" s="23">
        <f>D57</f>
        <v>21538</v>
      </c>
      <c r="E22" s="23">
        <f t="shared" ref="E22:K22" si="22">E57</f>
        <v>24749</v>
      </c>
      <c r="F22" s="23">
        <f t="shared" si="22"/>
        <v>28642</v>
      </c>
      <c r="G22" s="23">
        <f t="shared" si="22"/>
        <v>31023.307215202451</v>
      </c>
      <c r="H22" s="23">
        <f t="shared" si="22"/>
        <v>34125.637936722698</v>
      </c>
      <c r="I22" s="23">
        <f t="shared" si="22"/>
        <v>37196.945351027745</v>
      </c>
      <c r="J22" s="23">
        <f t="shared" si="22"/>
        <v>39800.731525599695</v>
      </c>
      <c r="K22" s="107">
        <f t="shared" si="22"/>
        <v>41790.768101879679</v>
      </c>
    </row>
    <row r="23" spans="1:11" x14ac:dyDescent="0.3">
      <c r="A23" s="100"/>
      <c r="B23" s="132" t="s">
        <v>214</v>
      </c>
      <c r="C23" s="139"/>
      <c r="D23" s="139">
        <f>D16+D17-D18-D19</f>
        <v>3158</v>
      </c>
      <c r="E23" s="139">
        <f t="shared" ref="E23:K23" si="23">E16+E17-E18-E19</f>
        <v>2859</v>
      </c>
      <c r="F23" s="139">
        <f t="shared" si="23"/>
        <v>4698</v>
      </c>
      <c r="G23" s="139">
        <f t="shared" si="23"/>
        <v>3889.5510338191111</v>
      </c>
      <c r="H23" s="139">
        <f t="shared" si="23"/>
        <v>5256.4023012886446</v>
      </c>
      <c r="I23" s="139">
        <f t="shared" si="23"/>
        <v>5673.4292135733813</v>
      </c>
      <c r="J23" s="139">
        <f t="shared" si="23"/>
        <v>5798.595648745827</v>
      </c>
      <c r="K23" s="140">
        <f t="shared" si="23"/>
        <v>5704.6041441625775</v>
      </c>
    </row>
    <row r="25" spans="1:11" x14ac:dyDescent="0.3">
      <c r="B25" s="154" t="s">
        <v>215</v>
      </c>
      <c r="C25" s="155"/>
      <c r="D25" s="155"/>
      <c r="E25" s="155"/>
      <c r="F25" s="155"/>
      <c r="G25" s="155"/>
      <c r="H25" s="155"/>
      <c r="I25" s="155"/>
      <c r="J25" s="155"/>
      <c r="K25" s="156"/>
    </row>
    <row r="26" spans="1:11" ht="15" thickBot="1" x14ac:dyDescent="0.35">
      <c r="B26" s="157" t="str">
        <f>B5</f>
        <v>Fiscal Year</v>
      </c>
      <c r="C26" s="142"/>
      <c r="D26" s="142">
        <f t="shared" ref="D26:K26" si="24">D5</f>
        <v>43830</v>
      </c>
      <c r="E26" s="142">
        <f t="shared" si="24"/>
        <v>44196</v>
      </c>
      <c r="F26" s="142">
        <f t="shared" si="24"/>
        <v>44561</v>
      </c>
      <c r="G26" s="158">
        <f t="shared" si="24"/>
        <v>44926</v>
      </c>
      <c r="H26" s="158">
        <f t="shared" si="24"/>
        <v>45291</v>
      </c>
      <c r="I26" s="158">
        <f t="shared" si="24"/>
        <v>45657</v>
      </c>
      <c r="J26" s="158">
        <f t="shared" si="24"/>
        <v>46022</v>
      </c>
      <c r="K26" s="159">
        <f t="shared" si="24"/>
        <v>46387</v>
      </c>
    </row>
    <row r="27" spans="1:11" x14ac:dyDescent="0.3">
      <c r="B27" s="153" t="s">
        <v>216</v>
      </c>
      <c r="C27" s="145"/>
      <c r="D27" s="145"/>
      <c r="E27" s="160">
        <f>E6/D6-1</f>
        <v>9.2061059704131587E-2</v>
      </c>
      <c r="F27" s="160">
        <f>F6/E6-1</f>
        <v>0.17490900150514799</v>
      </c>
      <c r="G27" s="161">
        <v>0.1</v>
      </c>
      <c r="H27" s="161">
        <v>0.1</v>
      </c>
      <c r="I27" s="161">
        <v>0.09</v>
      </c>
      <c r="J27" s="161">
        <v>7.0000000000000007E-2</v>
      </c>
      <c r="K27" s="162">
        <v>0.05</v>
      </c>
    </row>
    <row r="28" spans="1:11" x14ac:dyDescent="0.3">
      <c r="B28" s="153"/>
      <c r="C28" s="145"/>
      <c r="D28" s="145"/>
      <c r="E28" s="145"/>
      <c r="F28" s="145"/>
      <c r="G28" s="145"/>
      <c r="H28" s="145"/>
      <c r="I28" s="145"/>
      <c r="J28" s="145"/>
      <c r="K28" s="146"/>
    </row>
    <row r="29" spans="1:11" x14ac:dyDescent="0.3">
      <c r="B29" s="153" t="s">
        <v>217</v>
      </c>
      <c r="C29" s="160"/>
      <c r="D29" s="160">
        <f>D7/D6</f>
        <v>0.87022520841109863</v>
      </c>
      <c r="E29" s="160">
        <f>E7/E6</f>
        <v>0.86914206559087559</v>
      </c>
      <c r="F29" s="160">
        <f>F7/F6</f>
        <v>0.87115230517177145</v>
      </c>
      <c r="G29" s="160">
        <f>AVERAGE(D29:F29)</f>
        <v>0.87017319305791518</v>
      </c>
      <c r="H29" s="160">
        <f>G29</f>
        <v>0.87017319305791518</v>
      </c>
      <c r="I29" s="160">
        <f t="shared" ref="I29:K30" si="25">H29</f>
        <v>0.87017319305791518</v>
      </c>
      <c r="J29" s="160">
        <f t="shared" si="25"/>
        <v>0.87017319305791518</v>
      </c>
      <c r="K29" s="163">
        <f t="shared" si="25"/>
        <v>0.87017319305791518</v>
      </c>
    </row>
    <row r="30" spans="1:11" x14ac:dyDescent="0.3">
      <c r="B30" s="153" t="s">
        <v>218</v>
      </c>
      <c r="C30" s="160"/>
      <c r="D30" s="160">
        <f>D10/D6</f>
        <v>8.8983189590250353E-2</v>
      </c>
      <c r="E30" s="160">
        <f>E10/E6</f>
        <v>8.8401964488099741E-2</v>
      </c>
      <c r="F30" s="160">
        <f>F10/F6</f>
        <v>8.5520775382919328E-2</v>
      </c>
      <c r="G30" s="160">
        <f>AVERAGE(D30:F30)</f>
        <v>8.7635309820423155E-2</v>
      </c>
      <c r="H30" s="160">
        <f>G30</f>
        <v>8.7635309820423155E-2</v>
      </c>
      <c r="I30" s="160">
        <f t="shared" si="25"/>
        <v>8.7635309820423155E-2</v>
      </c>
      <c r="J30" s="160">
        <f t="shared" si="25"/>
        <v>8.7635309820423155E-2</v>
      </c>
      <c r="K30" s="163">
        <f t="shared" si="25"/>
        <v>8.7635309820423155E-2</v>
      </c>
    </row>
    <row r="31" spans="1:11" x14ac:dyDescent="0.3">
      <c r="B31" s="164" t="s">
        <v>219</v>
      </c>
      <c r="C31" s="165"/>
      <c r="D31" s="165">
        <f>D15/D14</f>
        <v>0.22398142284146083</v>
      </c>
      <c r="E31" s="165">
        <f>E15/E14</f>
        <v>0.24066237350505978</v>
      </c>
      <c r="F31" s="165">
        <f>F15/F14</f>
        <v>0.23867024448419796</v>
      </c>
      <c r="G31" s="166">
        <v>0.21</v>
      </c>
      <c r="H31" s="166">
        <v>0.21</v>
      </c>
      <c r="I31" s="166">
        <v>0.21</v>
      </c>
      <c r="J31" s="166">
        <v>0.21</v>
      </c>
      <c r="K31" s="167">
        <v>0.21</v>
      </c>
    </row>
    <row r="33" spans="2:11" x14ac:dyDescent="0.3">
      <c r="B33" s="101" t="s">
        <v>220</v>
      </c>
      <c r="C33" s="102"/>
      <c r="D33" s="102"/>
      <c r="E33" s="102"/>
      <c r="F33" s="102"/>
      <c r="G33" s="102"/>
      <c r="H33" s="102"/>
      <c r="I33" s="102"/>
      <c r="J33" s="102"/>
      <c r="K33" s="103"/>
    </row>
    <row r="34" spans="2:11" ht="15" thickBot="1" x14ac:dyDescent="0.35">
      <c r="B34" s="104" t="s">
        <v>203</v>
      </c>
      <c r="C34" s="77"/>
      <c r="D34" s="77">
        <v>43830</v>
      </c>
      <c r="E34" s="77">
        <v>44196</v>
      </c>
      <c r="F34" s="77">
        <v>44561</v>
      </c>
      <c r="G34" s="76">
        <v>44926</v>
      </c>
      <c r="H34" s="76">
        <v>45291</v>
      </c>
      <c r="I34" s="76">
        <v>45657</v>
      </c>
      <c r="J34" s="76">
        <v>46022</v>
      </c>
      <c r="K34" s="105">
        <v>46387</v>
      </c>
    </row>
    <row r="35" spans="2:11" x14ac:dyDescent="0.3">
      <c r="B35" s="106" t="s">
        <v>221</v>
      </c>
      <c r="C35" s="22"/>
      <c r="D35" s="22">
        <f>SUM(C145:C146)</f>
        <v>19681</v>
      </c>
      <c r="E35" s="22">
        <f t="shared" ref="E35:F35" si="26">SUM(D145:D146)</f>
        <v>20890</v>
      </c>
      <c r="F35" s="22">
        <f t="shared" si="26"/>
        <v>24595</v>
      </c>
      <c r="G35" s="22">
        <f>F38</f>
        <v>26382</v>
      </c>
      <c r="H35" s="22">
        <f t="shared" ref="H35:K35" si="27">G38</f>
        <v>28343.342884548416</v>
      </c>
      <c r="I35" s="22">
        <f t="shared" si="27"/>
        <v>30450.499805590225</v>
      </c>
      <c r="J35" s="22">
        <f t="shared" si="27"/>
        <v>32714.311158961362</v>
      </c>
      <c r="K35" s="114">
        <f t="shared" si="27"/>
        <v>35146.4232586707</v>
      </c>
    </row>
    <row r="36" spans="2:11" x14ac:dyDescent="0.3">
      <c r="B36" s="106" t="s">
        <v>222</v>
      </c>
      <c r="C36" s="22"/>
      <c r="D36" s="22">
        <f>D13</f>
        <v>1492</v>
      </c>
      <c r="E36" s="22">
        <f t="shared" ref="E36:F36" si="28">E13</f>
        <v>1645</v>
      </c>
      <c r="F36" s="22">
        <f t="shared" si="28"/>
        <v>1781</v>
      </c>
      <c r="G36" s="22">
        <f>G42*G35</f>
        <v>1995.9571154515827</v>
      </c>
      <c r="H36" s="22">
        <f t="shared" ref="H36:K36" si="29">H42*H35</f>
        <v>2144.3445116404519</v>
      </c>
      <c r="I36" s="22">
        <f t="shared" si="29"/>
        <v>2303.7636174673962</v>
      </c>
      <c r="J36" s="22">
        <f t="shared" si="29"/>
        <v>2475.0345741348665</v>
      </c>
      <c r="K36" s="114">
        <f t="shared" si="29"/>
        <v>2659.0384954065948</v>
      </c>
    </row>
    <row r="37" spans="2:11" x14ac:dyDescent="0.3">
      <c r="B37" s="106" t="s">
        <v>175</v>
      </c>
      <c r="C37" s="22"/>
      <c r="D37" s="22">
        <f>D38-D35+D36</f>
        <v>2701</v>
      </c>
      <c r="E37" s="22">
        <f t="shared" ref="E37:F37" si="30">E38-E35+E36</f>
        <v>5350</v>
      </c>
      <c r="F37" s="22">
        <f t="shared" si="30"/>
        <v>3568</v>
      </c>
      <c r="G37" s="22">
        <f>G35*G43</f>
        <v>3957.2999999999997</v>
      </c>
      <c r="H37" s="22">
        <f t="shared" ref="H37:K37" si="31">H35*H43</f>
        <v>4251.501432682262</v>
      </c>
      <c r="I37" s="22">
        <f t="shared" si="31"/>
        <v>4567.5749708385338</v>
      </c>
      <c r="J37" s="22">
        <f t="shared" si="31"/>
        <v>4907.1466738442041</v>
      </c>
      <c r="K37" s="114">
        <f t="shared" si="31"/>
        <v>5271.9634888006049</v>
      </c>
    </row>
    <row r="38" spans="2:11" x14ac:dyDescent="0.3">
      <c r="B38" s="134" t="s">
        <v>223</v>
      </c>
      <c r="C38" s="136"/>
      <c r="D38" s="136">
        <f>SUM(D145:D146)</f>
        <v>20890</v>
      </c>
      <c r="E38" s="136">
        <f t="shared" ref="E38:F38" si="32">SUM(E145:E146)</f>
        <v>24595</v>
      </c>
      <c r="F38" s="136">
        <f t="shared" si="32"/>
        <v>26382</v>
      </c>
      <c r="G38" s="136">
        <f>G35-G36+G37</f>
        <v>28343.342884548416</v>
      </c>
      <c r="H38" s="136">
        <f t="shared" ref="H38:K38" si="33">H35-H36+H37</f>
        <v>30450.499805590225</v>
      </c>
      <c r="I38" s="136">
        <f t="shared" si="33"/>
        <v>32714.311158961362</v>
      </c>
      <c r="J38" s="136">
        <f t="shared" si="33"/>
        <v>35146.4232586707</v>
      </c>
      <c r="K38" s="137">
        <f t="shared" si="33"/>
        <v>37759.348252064709</v>
      </c>
    </row>
    <row r="40" spans="2:11" x14ac:dyDescent="0.3">
      <c r="B40" s="154" t="s">
        <v>188</v>
      </c>
      <c r="C40" s="155"/>
      <c r="D40" s="155"/>
      <c r="E40" s="155"/>
      <c r="F40" s="155"/>
      <c r="G40" s="155"/>
      <c r="H40" s="155"/>
      <c r="I40" s="155"/>
      <c r="J40" s="155"/>
      <c r="K40" s="156"/>
    </row>
    <row r="41" spans="2:11" ht="15" thickBot="1" x14ac:dyDescent="0.35">
      <c r="B41" s="168" t="s">
        <v>203</v>
      </c>
      <c r="C41" s="169"/>
      <c r="D41" s="169">
        <v>43830</v>
      </c>
      <c r="E41" s="169">
        <v>44196</v>
      </c>
      <c r="F41" s="169">
        <v>44561</v>
      </c>
      <c r="G41" s="170">
        <v>44926</v>
      </c>
      <c r="H41" s="170">
        <v>45291</v>
      </c>
      <c r="I41" s="170">
        <v>45657</v>
      </c>
      <c r="J41" s="170">
        <v>46022</v>
      </c>
      <c r="K41" s="171">
        <v>46387</v>
      </c>
    </row>
    <row r="42" spans="2:11" x14ac:dyDescent="0.3">
      <c r="B42" s="153" t="s">
        <v>224</v>
      </c>
      <c r="C42" s="160"/>
      <c r="D42" s="160">
        <f>D36/D35</f>
        <v>7.5809156038819159E-2</v>
      </c>
      <c r="E42" s="160">
        <f t="shared" ref="E42:F42" si="34">E36/E35</f>
        <v>7.8745811393011012E-2</v>
      </c>
      <c r="F42" s="160">
        <f t="shared" si="34"/>
        <v>7.2413092091888592E-2</v>
      </c>
      <c r="G42" s="160">
        <f>AVERAGE(D42:F42)</f>
        <v>7.5656019841239583E-2</v>
      </c>
      <c r="H42" s="160">
        <f>G42</f>
        <v>7.5656019841239583E-2</v>
      </c>
      <c r="I42" s="160">
        <f t="shared" ref="I42:K43" si="35">H42</f>
        <v>7.5656019841239583E-2</v>
      </c>
      <c r="J42" s="160">
        <f t="shared" si="35"/>
        <v>7.5656019841239583E-2</v>
      </c>
      <c r="K42" s="163">
        <f t="shared" si="35"/>
        <v>7.5656019841239583E-2</v>
      </c>
    </row>
    <row r="43" spans="2:11" x14ac:dyDescent="0.3">
      <c r="B43" s="164" t="s">
        <v>225</v>
      </c>
      <c r="C43" s="165"/>
      <c r="D43" s="165">
        <f>D37/D35</f>
        <v>0.13723896143488643</v>
      </c>
      <c r="E43" s="165">
        <f t="shared" ref="E43:F43" si="36">E37/E35</f>
        <v>0.25610339875538535</v>
      </c>
      <c r="F43" s="165">
        <f t="shared" si="36"/>
        <v>0.14507013620654605</v>
      </c>
      <c r="G43" s="166">
        <v>0.15</v>
      </c>
      <c r="H43" s="166">
        <f>G43</f>
        <v>0.15</v>
      </c>
      <c r="I43" s="166">
        <f t="shared" si="35"/>
        <v>0.15</v>
      </c>
      <c r="J43" s="166">
        <f t="shared" si="35"/>
        <v>0.15</v>
      </c>
      <c r="K43" s="167">
        <f t="shared" si="35"/>
        <v>0.15</v>
      </c>
    </row>
    <row r="45" spans="2:11" x14ac:dyDescent="0.3">
      <c r="B45" s="101" t="s">
        <v>226</v>
      </c>
      <c r="C45" s="102"/>
      <c r="D45" s="102"/>
      <c r="E45" s="102"/>
      <c r="F45" s="102"/>
      <c r="G45" s="102"/>
      <c r="H45" s="102"/>
      <c r="I45" s="102"/>
      <c r="J45" s="102"/>
      <c r="K45" s="103"/>
    </row>
    <row r="46" spans="2:11" ht="15" thickBot="1" x14ac:dyDescent="0.35">
      <c r="B46" s="104" t="s">
        <v>203</v>
      </c>
      <c r="C46" s="77">
        <v>43465</v>
      </c>
      <c r="D46" s="77">
        <v>43830</v>
      </c>
      <c r="E46" s="77">
        <v>44196</v>
      </c>
      <c r="F46" s="77">
        <v>44561</v>
      </c>
      <c r="G46" s="76">
        <v>44926</v>
      </c>
      <c r="H46" s="76">
        <v>45291</v>
      </c>
      <c r="I46" s="76">
        <v>45657</v>
      </c>
      <c r="J46" s="76">
        <v>46022</v>
      </c>
      <c r="K46" s="105">
        <v>46387</v>
      </c>
    </row>
    <row r="47" spans="2:11" x14ac:dyDescent="0.3">
      <c r="B47" s="106" t="s">
        <v>227</v>
      </c>
      <c r="C47" s="22">
        <f>C140</f>
        <v>1669</v>
      </c>
      <c r="D47" s="22">
        <f t="shared" ref="D47:F49" si="37">D140</f>
        <v>1535</v>
      </c>
      <c r="E47" s="22">
        <f t="shared" si="37"/>
        <v>1550</v>
      </c>
      <c r="F47" s="22">
        <f t="shared" si="37"/>
        <v>1803</v>
      </c>
      <c r="G47" s="22">
        <f>G64*G61/360</f>
        <v>2173.4287864674234</v>
      </c>
      <c r="H47" s="22">
        <f t="shared" ref="H47:K48" si="38">H64*H61/360</f>
        <v>2390.7716651141654</v>
      </c>
      <c r="I47" s="22">
        <f t="shared" si="38"/>
        <v>2605.9411149744406</v>
      </c>
      <c r="J47" s="22">
        <f t="shared" si="38"/>
        <v>2788.3569930226517</v>
      </c>
      <c r="K47" s="114">
        <f t="shared" si="38"/>
        <v>2927.7748426737844</v>
      </c>
    </row>
    <row r="48" spans="2:11" x14ac:dyDescent="0.3">
      <c r="B48" s="106" t="s">
        <v>228</v>
      </c>
      <c r="C48" s="22">
        <f>C141</f>
        <v>11040</v>
      </c>
      <c r="D48" s="22">
        <f t="shared" si="37"/>
        <v>11395</v>
      </c>
      <c r="E48" s="22">
        <f t="shared" si="37"/>
        <v>12242</v>
      </c>
      <c r="F48" s="22">
        <f t="shared" si="37"/>
        <v>14215</v>
      </c>
      <c r="G48" s="22">
        <f>G65*G62/360</f>
        <v>16088.292808196813</v>
      </c>
      <c r="H48" s="22">
        <f t="shared" si="38"/>
        <v>17697.122089016499</v>
      </c>
      <c r="I48" s="22">
        <f t="shared" si="38"/>
        <v>19289.863077027981</v>
      </c>
      <c r="J48" s="22">
        <f t="shared" si="38"/>
        <v>20640.15349241994</v>
      </c>
      <c r="K48" s="114">
        <f t="shared" si="38"/>
        <v>21672.16116704094</v>
      </c>
    </row>
    <row r="49" spans="2:11" x14ac:dyDescent="0.3">
      <c r="B49" s="106" t="s">
        <v>229</v>
      </c>
      <c r="C49" s="22">
        <f>C142</f>
        <v>321</v>
      </c>
      <c r="D49" s="22">
        <f t="shared" si="37"/>
        <v>1111</v>
      </c>
      <c r="E49" s="22">
        <f t="shared" si="37"/>
        <v>1023</v>
      </c>
      <c r="F49" s="22">
        <f t="shared" si="37"/>
        <v>1312</v>
      </c>
      <c r="G49" s="22">
        <f>G68*G$61</f>
        <v>1205.5069635329301</v>
      </c>
      <c r="H49" s="22">
        <f t="shared" ref="H49:K49" si="39">H68*H$61</f>
        <v>1326.0576598862233</v>
      </c>
      <c r="I49" s="22">
        <f t="shared" si="39"/>
        <v>1445.4028492759833</v>
      </c>
      <c r="J49" s="22">
        <f t="shared" si="39"/>
        <v>1546.5810487253025</v>
      </c>
      <c r="K49" s="114">
        <f t="shared" si="39"/>
        <v>1623.9101011615676</v>
      </c>
    </row>
    <row r="50" spans="2:11" x14ac:dyDescent="0.3">
      <c r="B50" s="116" t="s">
        <v>146</v>
      </c>
      <c r="C50" s="21">
        <f>SUM(C47:C49)</f>
        <v>13030</v>
      </c>
      <c r="D50" s="21">
        <f t="shared" ref="D50:K50" si="40">SUM(D47:D49)</f>
        <v>14041</v>
      </c>
      <c r="E50" s="21">
        <f t="shared" si="40"/>
        <v>14815</v>
      </c>
      <c r="F50" s="21">
        <f t="shared" si="40"/>
        <v>17330</v>
      </c>
      <c r="G50" s="21">
        <f t="shared" si="40"/>
        <v>19467.228558197166</v>
      </c>
      <c r="H50" s="21">
        <f t="shared" si="40"/>
        <v>21413.95141401689</v>
      </c>
      <c r="I50" s="21">
        <f t="shared" si="40"/>
        <v>23341.207041278405</v>
      </c>
      <c r="J50" s="21">
        <f t="shared" si="40"/>
        <v>24975.091534167896</v>
      </c>
      <c r="K50" s="117">
        <f t="shared" si="40"/>
        <v>26223.846110876293</v>
      </c>
    </row>
    <row r="51" spans="2:11" x14ac:dyDescent="0.3">
      <c r="B51" s="106"/>
      <c r="K51" s="100"/>
    </row>
    <row r="52" spans="2:11" x14ac:dyDescent="0.3">
      <c r="B52" s="106" t="s">
        <v>157</v>
      </c>
      <c r="C52" s="22">
        <f>C150</f>
        <v>11237</v>
      </c>
      <c r="D52" s="22">
        <f t="shared" ref="D52:F52" si="41">D150</f>
        <v>11679</v>
      </c>
      <c r="E52" s="22">
        <f t="shared" si="41"/>
        <v>14172</v>
      </c>
      <c r="F52" s="22">
        <f t="shared" si="41"/>
        <v>16278</v>
      </c>
      <c r="G52" s="22">
        <f>G66*G62/360</f>
        <v>17454.504998680797</v>
      </c>
      <c r="H52" s="22">
        <f t="shared" ref="H52:K52" si="42">H66*H62/360</f>
        <v>19199.955498548879</v>
      </c>
      <c r="I52" s="22">
        <f t="shared" si="42"/>
        <v>20927.951493418277</v>
      </c>
      <c r="J52" s="22">
        <f t="shared" si="42"/>
        <v>22392.908097957559</v>
      </c>
      <c r="K52" s="114">
        <f t="shared" si="42"/>
        <v>23512.55350285544</v>
      </c>
    </row>
    <row r="53" spans="2:11" x14ac:dyDescent="0.3">
      <c r="B53" s="106" t="s">
        <v>230</v>
      </c>
      <c r="C53" s="22">
        <f t="shared" ref="C53:F53" si="43">C151</f>
        <v>2994</v>
      </c>
      <c r="D53" s="22">
        <f t="shared" si="43"/>
        <v>3176</v>
      </c>
      <c r="E53" s="22">
        <f t="shared" si="43"/>
        <v>3605</v>
      </c>
      <c r="F53" s="22">
        <f t="shared" si="43"/>
        <v>4090</v>
      </c>
      <c r="G53" s="22">
        <f>G69*G$61</f>
        <v>4549.6063613377883</v>
      </c>
      <c r="H53" s="22">
        <f t="shared" ref="H53:K53" si="44">H69*H$61</f>
        <v>5004.5669974715684</v>
      </c>
      <c r="I53" s="22">
        <f t="shared" si="44"/>
        <v>5454.9780272440094</v>
      </c>
      <c r="J53" s="22">
        <f t="shared" si="44"/>
        <v>5836.8264891510908</v>
      </c>
      <c r="K53" s="114">
        <f t="shared" si="44"/>
        <v>6128.6678136086457</v>
      </c>
    </row>
    <row r="54" spans="2:11" x14ac:dyDescent="0.3">
      <c r="B54" s="106" t="s">
        <v>231</v>
      </c>
      <c r="C54" s="22">
        <f t="shared" ref="C54:F54" si="45">C152</f>
        <v>1057</v>
      </c>
      <c r="D54" s="22">
        <f t="shared" si="45"/>
        <v>1180</v>
      </c>
      <c r="E54" s="22">
        <f t="shared" si="45"/>
        <v>1393</v>
      </c>
      <c r="F54" s="22">
        <f t="shared" si="45"/>
        <v>1671</v>
      </c>
      <c r="G54" s="22">
        <f t="shared" ref="G54:K54" si="46">G70*G$61</f>
        <v>1728.2294341420902</v>
      </c>
      <c r="H54" s="22">
        <f t="shared" si="46"/>
        <v>1901.0523775562995</v>
      </c>
      <c r="I54" s="22">
        <f t="shared" si="46"/>
        <v>2072.1470915363666</v>
      </c>
      <c r="J54" s="22">
        <f t="shared" si="46"/>
        <v>2217.1973879439124</v>
      </c>
      <c r="K54" s="114">
        <f t="shared" si="46"/>
        <v>2328.0572573411082</v>
      </c>
    </row>
    <row r="55" spans="2:11" x14ac:dyDescent="0.3">
      <c r="B55" s="106" t="s">
        <v>232</v>
      </c>
      <c r="C55" s="22">
        <f t="shared" ref="C55:F55" si="47">C153</f>
        <v>1624</v>
      </c>
      <c r="D55" s="22">
        <f t="shared" si="47"/>
        <v>1711</v>
      </c>
      <c r="E55" s="22">
        <f t="shared" si="47"/>
        <v>1851</v>
      </c>
      <c r="F55" s="22">
        <f t="shared" si="47"/>
        <v>2042</v>
      </c>
      <c r="G55" s="22">
        <f t="shared" ref="G55:K55" si="48">G71*G$61</f>
        <v>2381.381646728039</v>
      </c>
      <c r="H55" s="22">
        <f t="shared" si="48"/>
        <v>2619.5198114008431</v>
      </c>
      <c r="I55" s="22">
        <f t="shared" si="48"/>
        <v>2855.276594426919</v>
      </c>
      <c r="J55" s="22">
        <f t="shared" si="48"/>
        <v>3055.1459560368039</v>
      </c>
      <c r="K55" s="114">
        <f t="shared" si="48"/>
        <v>3207.9032538386446</v>
      </c>
    </row>
    <row r="56" spans="2:11" x14ac:dyDescent="0.3">
      <c r="B56" s="106" t="s">
        <v>233</v>
      </c>
      <c r="C56" s="22">
        <f>C155</f>
        <v>2924</v>
      </c>
      <c r="D56" s="22">
        <f t="shared" ref="D56:F56" si="49">D155</f>
        <v>3792</v>
      </c>
      <c r="E56" s="22">
        <f t="shared" si="49"/>
        <v>3728</v>
      </c>
      <c r="F56" s="22">
        <f t="shared" si="49"/>
        <v>4561</v>
      </c>
      <c r="G56" s="22">
        <f t="shared" ref="G56:K56" si="50">G72*G$61</f>
        <v>4909.5847743137392</v>
      </c>
      <c r="H56" s="22">
        <f t="shared" si="50"/>
        <v>5400.5432517451136</v>
      </c>
      <c r="I56" s="22">
        <f t="shared" si="50"/>
        <v>5886.5921444021742</v>
      </c>
      <c r="J56" s="22">
        <f t="shared" si="50"/>
        <v>6298.6535945103269</v>
      </c>
      <c r="K56" s="114">
        <f t="shared" si="50"/>
        <v>6613.586274235844</v>
      </c>
    </row>
    <row r="57" spans="2:11" x14ac:dyDescent="0.3">
      <c r="B57" s="134" t="s">
        <v>156</v>
      </c>
      <c r="C57" s="136">
        <f>SUM(C52:C56)</f>
        <v>19836</v>
      </c>
      <c r="D57" s="136">
        <f t="shared" ref="D57:K57" si="51">SUM(D52:D56)</f>
        <v>21538</v>
      </c>
      <c r="E57" s="136">
        <f t="shared" si="51"/>
        <v>24749</v>
      </c>
      <c r="F57" s="136">
        <f t="shared" si="51"/>
        <v>28642</v>
      </c>
      <c r="G57" s="136">
        <f t="shared" si="51"/>
        <v>31023.307215202451</v>
      </c>
      <c r="H57" s="136">
        <f t="shared" si="51"/>
        <v>34125.637936722698</v>
      </c>
      <c r="I57" s="136">
        <f t="shared" si="51"/>
        <v>37196.945351027745</v>
      </c>
      <c r="J57" s="136">
        <f t="shared" si="51"/>
        <v>39800.731525599695</v>
      </c>
      <c r="K57" s="137">
        <f t="shared" si="51"/>
        <v>41790.768101879679</v>
      </c>
    </row>
    <row r="59" spans="2:11" x14ac:dyDescent="0.3">
      <c r="B59" s="154" t="s">
        <v>188</v>
      </c>
      <c r="C59" s="155"/>
      <c r="D59" s="155"/>
      <c r="E59" s="155"/>
      <c r="F59" s="155"/>
      <c r="G59" s="155"/>
      <c r="H59" s="155"/>
      <c r="I59" s="155"/>
      <c r="J59" s="155"/>
      <c r="K59" s="156"/>
    </row>
    <row r="60" spans="2:11" ht="15" thickBot="1" x14ac:dyDescent="0.35">
      <c r="B60" s="168" t="s">
        <v>203</v>
      </c>
      <c r="C60" s="169">
        <v>43465</v>
      </c>
      <c r="D60" s="169">
        <v>43830</v>
      </c>
      <c r="E60" s="169">
        <v>44196</v>
      </c>
      <c r="F60" s="169">
        <v>44561</v>
      </c>
      <c r="G60" s="170">
        <v>44926</v>
      </c>
      <c r="H60" s="170">
        <v>45291</v>
      </c>
      <c r="I60" s="170">
        <v>45657</v>
      </c>
      <c r="J60" s="170">
        <v>46022</v>
      </c>
      <c r="K60" s="171">
        <v>46387</v>
      </c>
    </row>
    <row r="61" spans="2:11" x14ac:dyDescent="0.3">
      <c r="B61" s="153" t="s">
        <v>94</v>
      </c>
      <c r="C61" s="172">
        <v>141576</v>
      </c>
      <c r="D61" s="173">
        <f>D6</f>
        <v>152703</v>
      </c>
      <c r="E61" s="173">
        <f t="shared" ref="E61:K61" si="52">E6</f>
        <v>166761</v>
      </c>
      <c r="F61" s="173">
        <f t="shared" si="52"/>
        <v>195929</v>
      </c>
      <c r="G61" s="173">
        <f t="shared" si="52"/>
        <v>215521.90000000002</v>
      </c>
      <c r="H61" s="173">
        <f t="shared" si="52"/>
        <v>237074.09000000005</v>
      </c>
      <c r="I61" s="173">
        <f t="shared" si="52"/>
        <v>258410.75810000006</v>
      </c>
      <c r="J61" s="173">
        <f t="shared" si="52"/>
        <v>276499.51116700011</v>
      </c>
      <c r="K61" s="174">
        <f t="shared" si="52"/>
        <v>290324.48672535014</v>
      </c>
    </row>
    <row r="62" spans="2:11" x14ac:dyDescent="0.3">
      <c r="B62" s="153" t="s">
        <v>194</v>
      </c>
      <c r="C62" s="172">
        <v>123152</v>
      </c>
      <c r="D62" s="173">
        <f>D7</f>
        <v>132886</v>
      </c>
      <c r="E62" s="173">
        <f t="shared" ref="E62:K62" si="53">E7</f>
        <v>144939</v>
      </c>
      <c r="F62" s="173">
        <f t="shared" si="53"/>
        <v>170684</v>
      </c>
      <c r="G62" s="173">
        <f t="shared" si="53"/>
        <v>187541.37989690871</v>
      </c>
      <c r="H62" s="173">
        <f t="shared" si="53"/>
        <v>206295.51788659961</v>
      </c>
      <c r="I62" s="173">
        <f t="shared" si="53"/>
        <v>224862.11449639357</v>
      </c>
      <c r="J62" s="173">
        <f t="shared" si="53"/>
        <v>240602.46251114114</v>
      </c>
      <c r="K62" s="174">
        <f t="shared" si="53"/>
        <v>252632.58563669823</v>
      </c>
    </row>
    <row r="63" spans="2:11" x14ac:dyDescent="0.3">
      <c r="B63" s="153"/>
      <c r="C63" s="145"/>
      <c r="D63" s="145"/>
      <c r="E63" s="145"/>
      <c r="F63" s="145"/>
      <c r="G63" s="145"/>
      <c r="H63" s="145"/>
      <c r="I63" s="145"/>
      <c r="J63" s="145"/>
      <c r="K63" s="146"/>
    </row>
    <row r="64" spans="2:11" x14ac:dyDescent="0.3">
      <c r="B64" s="153" t="s">
        <v>234</v>
      </c>
      <c r="C64" s="175">
        <f>C47/C61*360</f>
        <v>4.2439396507882696</v>
      </c>
      <c r="D64" s="175">
        <f t="shared" ref="D64:F65" si="54">D47/D61*360</f>
        <v>3.6187894147462725</v>
      </c>
      <c r="E64" s="175">
        <f t="shared" si="54"/>
        <v>3.3461061039451674</v>
      </c>
      <c r="F64" s="175">
        <f t="shared" si="54"/>
        <v>3.3128327098081449</v>
      </c>
      <c r="G64" s="175">
        <f>AVERAGE(C64:F64)</f>
        <v>3.6304169698219635</v>
      </c>
      <c r="H64" s="175">
        <f>G64</f>
        <v>3.6304169698219635</v>
      </c>
      <c r="I64" s="175">
        <f t="shared" ref="I64:K64" si="55">H64</f>
        <v>3.6304169698219635</v>
      </c>
      <c r="J64" s="175">
        <f t="shared" si="55"/>
        <v>3.6304169698219635</v>
      </c>
      <c r="K64" s="176">
        <f t="shared" si="55"/>
        <v>3.6304169698219635</v>
      </c>
    </row>
    <row r="65" spans="2:11" x14ac:dyDescent="0.3">
      <c r="B65" s="153" t="s">
        <v>235</v>
      </c>
      <c r="C65" s="175">
        <f>C48/C62*360</f>
        <v>32.272313888527997</v>
      </c>
      <c r="D65" s="175">
        <f t="shared" si="54"/>
        <v>30.870069081769337</v>
      </c>
      <c r="E65" s="175">
        <f t="shared" si="54"/>
        <v>30.406722828224286</v>
      </c>
      <c r="F65" s="175">
        <f t="shared" si="54"/>
        <v>29.981720606500904</v>
      </c>
      <c r="G65" s="175">
        <f t="shared" ref="G65:G66" si="56">AVERAGE(C65:F65)</f>
        <v>30.882706601255631</v>
      </c>
      <c r="H65" s="175">
        <f t="shared" ref="H65:K66" si="57">G65</f>
        <v>30.882706601255631</v>
      </c>
      <c r="I65" s="175">
        <f t="shared" si="57"/>
        <v>30.882706601255631</v>
      </c>
      <c r="J65" s="175">
        <f t="shared" si="57"/>
        <v>30.882706601255631</v>
      </c>
      <c r="K65" s="176">
        <f t="shared" si="57"/>
        <v>30.882706601255631</v>
      </c>
    </row>
    <row r="66" spans="2:11" x14ac:dyDescent="0.3">
      <c r="B66" s="153" t="s">
        <v>236</v>
      </c>
      <c r="C66" s="175">
        <f>C52/C62*360</f>
        <v>32.848187605560611</v>
      </c>
      <c r="D66" s="175">
        <f t="shared" ref="D66:F66" si="58">D52/D62*360</f>
        <v>31.639450355944192</v>
      </c>
      <c r="E66" s="175">
        <f t="shared" si="58"/>
        <v>35.200463643325811</v>
      </c>
      <c r="F66" s="175">
        <f t="shared" si="58"/>
        <v>34.332919312882282</v>
      </c>
      <c r="G66" s="175">
        <f t="shared" si="56"/>
        <v>33.505255229428229</v>
      </c>
      <c r="H66" s="175">
        <f t="shared" si="57"/>
        <v>33.505255229428229</v>
      </c>
      <c r="I66" s="175">
        <f t="shared" si="57"/>
        <v>33.505255229428229</v>
      </c>
      <c r="J66" s="175">
        <f t="shared" si="57"/>
        <v>33.505255229428229</v>
      </c>
      <c r="K66" s="176">
        <f t="shared" si="57"/>
        <v>33.505255229428229</v>
      </c>
    </row>
    <row r="67" spans="2:11" x14ac:dyDescent="0.3">
      <c r="B67" s="153"/>
      <c r="C67" s="145"/>
      <c r="D67" s="145"/>
      <c r="E67" s="145"/>
      <c r="F67" s="145"/>
      <c r="G67" s="145"/>
      <c r="H67" s="145"/>
      <c r="I67" s="145"/>
      <c r="J67" s="145"/>
      <c r="K67" s="146"/>
    </row>
    <row r="68" spans="2:11" x14ac:dyDescent="0.3">
      <c r="B68" s="153" t="s">
        <v>237</v>
      </c>
      <c r="C68" s="160">
        <f>C49/C$61</f>
        <v>2.2673334463468382E-3</v>
      </c>
      <c r="D68" s="160">
        <f t="shared" ref="D68:F68" si="59">D49/D$61</f>
        <v>7.2755610564298016E-3</v>
      </c>
      <c r="E68" s="160">
        <f t="shared" si="59"/>
        <v>6.1345278572328063E-3</v>
      </c>
      <c r="F68" s="160">
        <f t="shared" si="59"/>
        <v>6.6963032527088892E-3</v>
      </c>
      <c r="G68" s="160">
        <f>AVERAGE(C68:F68)</f>
        <v>5.5934314031795837E-3</v>
      </c>
      <c r="H68" s="160">
        <f>G68</f>
        <v>5.5934314031795837E-3</v>
      </c>
      <c r="I68" s="160">
        <f t="shared" ref="I68:K69" si="60">H68</f>
        <v>5.5934314031795837E-3</v>
      </c>
      <c r="J68" s="160">
        <f t="shared" si="60"/>
        <v>5.5934314031795837E-3</v>
      </c>
      <c r="K68" s="163">
        <f t="shared" si="60"/>
        <v>5.5934314031795837E-3</v>
      </c>
    </row>
    <row r="69" spans="2:11" x14ac:dyDescent="0.3">
      <c r="B69" s="153" t="s">
        <v>238</v>
      </c>
      <c r="C69" s="160">
        <f>C53/C$61</f>
        <v>2.1147652144431258E-2</v>
      </c>
      <c r="D69" s="160">
        <f t="shared" ref="D69:F69" si="61">D53/D$61</f>
        <v>2.0798543578056751E-2</v>
      </c>
      <c r="E69" s="160">
        <f t="shared" si="61"/>
        <v>2.1617764345380514E-2</v>
      </c>
      <c r="F69" s="160">
        <f t="shared" si="61"/>
        <v>2.0874908767972072E-2</v>
      </c>
      <c r="G69" s="160">
        <f>AVERAGE(C69:F69)</f>
        <v>2.1109717208960148E-2</v>
      </c>
      <c r="H69" s="160">
        <f>G69</f>
        <v>2.1109717208960148E-2</v>
      </c>
      <c r="I69" s="160">
        <f t="shared" si="60"/>
        <v>2.1109717208960148E-2</v>
      </c>
      <c r="J69" s="160">
        <f t="shared" si="60"/>
        <v>2.1109717208960148E-2</v>
      </c>
      <c r="K69" s="163">
        <f t="shared" si="60"/>
        <v>2.1109717208960148E-2</v>
      </c>
    </row>
    <row r="70" spans="2:11" x14ac:dyDescent="0.3">
      <c r="B70" s="153" t="s">
        <v>239</v>
      </c>
      <c r="C70" s="160">
        <f t="shared" ref="C70:F70" si="62">C54/C$61</f>
        <v>7.4659546815844489E-3</v>
      </c>
      <c r="D70" s="160">
        <f t="shared" si="62"/>
        <v>7.7274185837868277E-3</v>
      </c>
      <c r="E70" s="160">
        <f t="shared" si="62"/>
        <v>8.3532720480208201E-3</v>
      </c>
      <c r="F70" s="160">
        <f t="shared" si="62"/>
        <v>8.5285996457900564E-3</v>
      </c>
      <c r="G70" s="160">
        <f t="shared" ref="G70:G72" si="63">AVERAGE(C70:F70)</f>
        <v>8.0188112397955383E-3</v>
      </c>
      <c r="H70" s="160">
        <f t="shared" ref="H70:K72" si="64">G70</f>
        <v>8.0188112397955383E-3</v>
      </c>
      <c r="I70" s="160">
        <f t="shared" si="64"/>
        <v>8.0188112397955383E-3</v>
      </c>
      <c r="J70" s="160">
        <f t="shared" si="64"/>
        <v>8.0188112397955383E-3</v>
      </c>
      <c r="K70" s="163">
        <f t="shared" si="64"/>
        <v>8.0188112397955383E-3</v>
      </c>
    </row>
    <row r="71" spans="2:11" x14ac:dyDescent="0.3">
      <c r="B71" s="153" t="s">
        <v>240</v>
      </c>
      <c r="C71" s="160">
        <f t="shared" ref="C71:F71" si="65">C55/C$61</f>
        <v>1.1470870769056903E-2</v>
      </c>
      <c r="D71" s="160">
        <f t="shared" si="65"/>
        <v>1.1204756946490901E-2</v>
      </c>
      <c r="E71" s="160">
        <f t="shared" si="65"/>
        <v>1.1099717559861118E-2</v>
      </c>
      <c r="F71" s="160">
        <f t="shared" si="65"/>
        <v>1.0422142714963074E-2</v>
      </c>
      <c r="G71" s="160">
        <f>AVERAGE(C71:F71)</f>
        <v>1.1049371997593E-2</v>
      </c>
      <c r="H71" s="160">
        <f t="shared" si="64"/>
        <v>1.1049371997593E-2</v>
      </c>
      <c r="I71" s="160">
        <f t="shared" si="64"/>
        <v>1.1049371997593E-2</v>
      </c>
      <c r="J71" s="160">
        <f t="shared" si="64"/>
        <v>1.1049371997593E-2</v>
      </c>
      <c r="K71" s="163">
        <f t="shared" si="64"/>
        <v>1.1049371997593E-2</v>
      </c>
    </row>
    <row r="72" spans="2:11" x14ac:dyDescent="0.3">
      <c r="B72" s="164" t="s">
        <v>241</v>
      </c>
      <c r="C72" s="165">
        <f t="shared" ref="C72:F72" si="66">C56/C$61</f>
        <v>2.0653218059558116E-2</v>
      </c>
      <c r="D72" s="165">
        <f t="shared" si="66"/>
        <v>2.4832518025186146E-2</v>
      </c>
      <c r="E72" s="165">
        <f t="shared" si="66"/>
        <v>2.2355346873669503E-2</v>
      </c>
      <c r="F72" s="165">
        <f t="shared" si="66"/>
        <v>2.3278840804577167E-2</v>
      </c>
      <c r="G72" s="165">
        <f t="shared" si="63"/>
        <v>2.2779980940747731E-2</v>
      </c>
      <c r="H72" s="165">
        <f t="shared" si="64"/>
        <v>2.2779980940747731E-2</v>
      </c>
      <c r="I72" s="165">
        <f t="shared" si="64"/>
        <v>2.2779980940747731E-2</v>
      </c>
      <c r="J72" s="165">
        <f t="shared" si="64"/>
        <v>2.2779980940747731E-2</v>
      </c>
      <c r="K72" s="177">
        <f t="shared" si="64"/>
        <v>2.2779980940747731E-2</v>
      </c>
    </row>
    <row r="74" spans="2:11" ht="15" thickBot="1" x14ac:dyDescent="0.35">
      <c r="B74" s="118" t="s">
        <v>242</v>
      </c>
      <c r="C74" s="119"/>
    </row>
    <row r="75" spans="2:11" x14ac:dyDescent="0.3">
      <c r="B75" s="106" t="s">
        <v>243</v>
      </c>
      <c r="C75" s="120">
        <v>214560</v>
      </c>
    </row>
    <row r="76" spans="2:11" x14ac:dyDescent="0.3">
      <c r="B76" s="106" t="s">
        <v>244</v>
      </c>
      <c r="C76" s="114">
        <f>SUM(F154,F158)</f>
        <v>7491</v>
      </c>
    </row>
    <row r="77" spans="2:11" x14ac:dyDescent="0.3">
      <c r="B77" s="106"/>
      <c r="C77" s="100"/>
    </row>
    <row r="78" spans="2:11" x14ac:dyDescent="0.3">
      <c r="B78" s="106" t="s">
        <v>245</v>
      </c>
      <c r="C78" s="121">
        <f>-F125/C76</f>
        <v>2.2827392871445733E-2</v>
      </c>
    </row>
    <row r="79" spans="2:11" x14ac:dyDescent="0.3">
      <c r="B79" s="106" t="s">
        <v>246</v>
      </c>
      <c r="C79" s="122">
        <f>G31</f>
        <v>0.21</v>
      </c>
    </row>
    <row r="80" spans="2:11" x14ac:dyDescent="0.3">
      <c r="B80" s="106" t="s">
        <v>247</v>
      </c>
      <c r="C80" s="121">
        <f>C76/SUM(C75:C76)</f>
        <v>3.3735493197508681E-2</v>
      </c>
    </row>
    <row r="81" spans="2:11" x14ac:dyDescent="0.3">
      <c r="B81" s="116" t="s">
        <v>248</v>
      </c>
      <c r="C81" s="123">
        <f>C78*(1-C79)</f>
        <v>1.8033640368442131E-2</v>
      </c>
    </row>
    <row r="82" spans="2:11" x14ac:dyDescent="0.3">
      <c r="B82" s="110"/>
      <c r="C82" s="124"/>
    </row>
    <row r="83" spans="2:11" x14ac:dyDescent="0.3">
      <c r="B83" s="106" t="s">
        <v>249</v>
      </c>
      <c r="C83" s="122">
        <v>3.1E-2</v>
      </c>
    </row>
    <row r="84" spans="2:11" x14ac:dyDescent="0.3">
      <c r="B84" s="106" t="s">
        <v>250</v>
      </c>
      <c r="C84" s="122">
        <v>7.8E-2</v>
      </c>
    </row>
    <row r="85" spans="2:11" x14ac:dyDescent="0.3">
      <c r="B85" s="106" t="s">
        <v>251</v>
      </c>
      <c r="C85" s="121">
        <f>C84-C83</f>
        <v>4.7E-2</v>
      </c>
    </row>
    <row r="86" spans="2:11" x14ac:dyDescent="0.3">
      <c r="B86" s="106" t="s">
        <v>252</v>
      </c>
      <c r="C86" s="125">
        <v>0.7</v>
      </c>
    </row>
    <row r="87" spans="2:11" x14ac:dyDescent="0.3">
      <c r="B87" s="106" t="s">
        <v>253</v>
      </c>
      <c r="C87" s="121">
        <f>C75/SUM(C75:C76)</f>
        <v>0.96626450680249132</v>
      </c>
    </row>
    <row r="88" spans="2:11" x14ac:dyDescent="0.3">
      <c r="B88" s="116" t="s">
        <v>254</v>
      </c>
      <c r="C88" s="123">
        <f>C83+C86*C85</f>
        <v>6.3899999999999998E-2</v>
      </c>
    </row>
    <row r="89" spans="2:11" x14ac:dyDescent="0.3">
      <c r="B89" s="106"/>
      <c r="C89" s="100"/>
    </row>
    <row r="90" spans="2:11" x14ac:dyDescent="0.3">
      <c r="B90" s="132" t="s">
        <v>255</v>
      </c>
      <c r="C90" s="138">
        <f>C81*C80+C88*C87</f>
        <v>6.2352675736655094E-2</v>
      </c>
    </row>
    <row r="92" spans="2:11" x14ac:dyDescent="0.3">
      <c r="B92" s="101" t="s">
        <v>202</v>
      </c>
      <c r="C92" s="102"/>
      <c r="D92" s="102"/>
      <c r="E92" s="102"/>
      <c r="F92" s="102"/>
      <c r="G92" s="102"/>
      <c r="H92" s="102"/>
      <c r="I92" s="102"/>
      <c r="J92" s="102"/>
      <c r="K92" s="103"/>
    </row>
    <row r="93" spans="2:11" ht="15" thickBot="1" x14ac:dyDescent="0.35">
      <c r="B93" s="104" t="s">
        <v>203</v>
      </c>
      <c r="C93" s="77"/>
      <c r="D93" s="77">
        <v>43830</v>
      </c>
      <c r="E93" s="77">
        <v>44196</v>
      </c>
      <c r="F93" s="77">
        <v>44561</v>
      </c>
      <c r="G93" s="76">
        <v>44926</v>
      </c>
      <c r="H93" s="76">
        <v>45291</v>
      </c>
      <c r="I93" s="76">
        <v>45657</v>
      </c>
      <c r="J93" s="76">
        <v>46022</v>
      </c>
      <c r="K93" s="105">
        <v>46387</v>
      </c>
    </row>
    <row r="94" spans="2:11" x14ac:dyDescent="0.3">
      <c r="B94" s="106" t="s">
        <v>214</v>
      </c>
      <c r="C94" s="22"/>
      <c r="D94" s="22">
        <f>D23</f>
        <v>3158</v>
      </c>
      <c r="E94" s="22">
        <f t="shared" ref="E94:K94" si="67">E23</f>
        <v>2859</v>
      </c>
      <c r="F94" s="22">
        <f t="shared" si="67"/>
        <v>4698</v>
      </c>
      <c r="G94" s="22">
        <f t="shared" si="67"/>
        <v>3889.5510338191111</v>
      </c>
      <c r="H94" s="22">
        <f t="shared" si="67"/>
        <v>5256.4023012886446</v>
      </c>
      <c r="I94" s="22">
        <f t="shared" si="67"/>
        <v>5673.4292135733813</v>
      </c>
      <c r="J94" s="22">
        <f t="shared" si="67"/>
        <v>5798.595648745827</v>
      </c>
      <c r="K94" s="114">
        <f t="shared" si="67"/>
        <v>5704.6041441625775</v>
      </c>
    </row>
    <row r="95" spans="2:11" x14ac:dyDescent="0.3">
      <c r="B95" s="106"/>
      <c r="K95" s="100"/>
    </row>
    <row r="96" spans="2:11" x14ac:dyDescent="0.3">
      <c r="B96" s="106" t="s">
        <v>256</v>
      </c>
      <c r="G96">
        <v>1</v>
      </c>
      <c r="H96">
        <v>2</v>
      </c>
      <c r="I96">
        <v>3</v>
      </c>
      <c r="J96">
        <v>4</v>
      </c>
      <c r="K96" s="100">
        <v>5</v>
      </c>
    </row>
    <row r="97" spans="2:11" x14ac:dyDescent="0.3">
      <c r="B97" s="134" t="s">
        <v>257</v>
      </c>
      <c r="C97" s="135"/>
      <c r="D97" s="135"/>
      <c r="E97" s="135"/>
      <c r="F97" s="135"/>
      <c r="G97" s="136">
        <f>G94/(1+$C$102)^G96</f>
        <v>3661.2615778672789</v>
      </c>
      <c r="H97" s="136">
        <f t="shared" ref="H97:K97" si="68">H94/(1+$C$102)^H96</f>
        <v>4657.4817796908446</v>
      </c>
      <c r="I97" s="136">
        <f t="shared" si="68"/>
        <v>4731.9428669391891</v>
      </c>
      <c r="J97" s="136">
        <f t="shared" si="68"/>
        <v>4552.4791031573495</v>
      </c>
      <c r="K97" s="137">
        <f t="shared" si="68"/>
        <v>4215.81876555901</v>
      </c>
    </row>
    <row r="99" spans="2:11" ht="15" thickBot="1" x14ac:dyDescent="0.35">
      <c r="B99" s="118" t="s">
        <v>258</v>
      </c>
      <c r="C99" s="119"/>
    </row>
    <row r="100" spans="2:11" x14ac:dyDescent="0.3">
      <c r="B100" s="106" t="s">
        <v>259</v>
      </c>
      <c r="C100" s="114">
        <f>SUM(G97:K97)</f>
        <v>21818.984093213672</v>
      </c>
    </row>
    <row r="101" spans="2:11" x14ac:dyDescent="0.3">
      <c r="B101" s="106" t="s">
        <v>260</v>
      </c>
      <c r="C101" s="127">
        <v>0.03</v>
      </c>
    </row>
    <row r="102" spans="2:11" x14ac:dyDescent="0.3">
      <c r="B102" s="106" t="s">
        <v>255</v>
      </c>
      <c r="C102" s="121">
        <f>C90</f>
        <v>6.2352675736655094E-2</v>
      </c>
    </row>
    <row r="103" spans="2:11" x14ac:dyDescent="0.3">
      <c r="B103" s="106" t="s">
        <v>261</v>
      </c>
      <c r="C103" s="114">
        <f>(K94*(1+C101))/(C102-C101)</f>
        <v>181615.34199875552</v>
      </c>
    </row>
    <row r="104" spans="2:11" x14ac:dyDescent="0.3">
      <c r="B104" s="106" t="s">
        <v>262</v>
      </c>
      <c r="C104" s="114">
        <f>C103/(1+C102)^K96</f>
        <v>134217.44043278706</v>
      </c>
    </row>
    <row r="105" spans="2:11" x14ac:dyDescent="0.3">
      <c r="B105" s="106" t="s">
        <v>263</v>
      </c>
      <c r="C105" s="114">
        <f>SUM(C104,C100)</f>
        <v>156036.42452600074</v>
      </c>
    </row>
    <row r="106" spans="2:11" x14ac:dyDescent="0.3">
      <c r="B106" s="128" t="s">
        <v>264</v>
      </c>
      <c r="C106" s="114">
        <f>F138</f>
        <v>11258</v>
      </c>
    </row>
    <row r="107" spans="2:11" x14ac:dyDescent="0.3">
      <c r="B107" s="128" t="s">
        <v>265</v>
      </c>
      <c r="C107" s="114">
        <f>C76</f>
        <v>7491</v>
      </c>
    </row>
    <row r="108" spans="2:11" x14ac:dyDescent="0.3">
      <c r="B108" s="128" t="s">
        <v>266</v>
      </c>
      <c r="C108" s="114">
        <f>F169</f>
        <v>514</v>
      </c>
    </row>
    <row r="109" spans="2:11" x14ac:dyDescent="0.3">
      <c r="B109" s="129" t="s">
        <v>91</v>
      </c>
      <c r="C109" s="130">
        <f>C105+C106-C107-C108</f>
        <v>159289.42452600074</v>
      </c>
    </row>
    <row r="110" spans="2:11" x14ac:dyDescent="0.3">
      <c r="B110" s="106" t="s">
        <v>267</v>
      </c>
      <c r="C110" s="131">
        <v>444.346</v>
      </c>
    </row>
    <row r="111" spans="2:11" x14ac:dyDescent="0.3">
      <c r="B111" s="132" t="s">
        <v>268</v>
      </c>
      <c r="C111" s="133">
        <f>C109/C110</f>
        <v>358.48060863831506</v>
      </c>
    </row>
    <row r="114" spans="2:6" x14ac:dyDescent="0.3">
      <c r="B114" s="181" t="s">
        <v>269</v>
      </c>
      <c r="C114" s="182"/>
      <c r="D114" s="182"/>
      <c r="E114" s="182"/>
      <c r="F114" s="182"/>
    </row>
    <row r="115" spans="2:6" ht="15" thickBot="1" x14ac:dyDescent="0.35">
      <c r="B115" s="141" t="s">
        <v>270</v>
      </c>
      <c r="C115" s="142"/>
      <c r="D115" s="142">
        <v>43466</v>
      </c>
      <c r="E115" s="142">
        <v>44073</v>
      </c>
      <c r="F115" s="143">
        <v>44437</v>
      </c>
    </row>
    <row r="116" spans="2:6" outlineLevel="1" x14ac:dyDescent="0.3">
      <c r="B116" s="144" t="s">
        <v>94</v>
      </c>
      <c r="C116" s="145"/>
      <c r="D116" s="145"/>
      <c r="E116" s="145"/>
      <c r="F116" s="146"/>
    </row>
    <row r="117" spans="2:6" outlineLevel="1" x14ac:dyDescent="0.3">
      <c r="B117" s="147" t="s">
        <v>271</v>
      </c>
      <c r="C117" s="145"/>
      <c r="D117" s="148">
        <v>152703</v>
      </c>
      <c r="E117" s="148">
        <v>166761</v>
      </c>
      <c r="F117" s="149">
        <v>195929</v>
      </c>
    </row>
    <row r="118" spans="2:6" outlineLevel="1" x14ac:dyDescent="0.3">
      <c r="B118" s="144" t="s">
        <v>135</v>
      </c>
      <c r="C118" s="145"/>
      <c r="D118" s="148"/>
      <c r="E118" s="148"/>
      <c r="F118" s="149"/>
    </row>
    <row r="119" spans="2:6" outlineLevel="1" x14ac:dyDescent="0.3">
      <c r="B119" s="147" t="s">
        <v>272</v>
      </c>
      <c r="C119" s="145"/>
      <c r="D119" s="148">
        <v>132886</v>
      </c>
      <c r="E119" s="148">
        <v>144939</v>
      </c>
      <c r="F119" s="149">
        <v>170684</v>
      </c>
    </row>
    <row r="120" spans="2:6" outlineLevel="1" x14ac:dyDescent="0.3">
      <c r="B120" s="147" t="s">
        <v>273</v>
      </c>
      <c r="C120" s="145"/>
      <c r="D120" s="148">
        <v>13502</v>
      </c>
      <c r="E120" s="148">
        <v>14687</v>
      </c>
      <c r="F120" s="149">
        <v>16680</v>
      </c>
    </row>
    <row r="121" spans="2:6" outlineLevel="1" x14ac:dyDescent="0.3">
      <c r="B121" s="147" t="s">
        <v>140</v>
      </c>
      <c r="C121" s="145"/>
      <c r="D121" s="148">
        <v>1492</v>
      </c>
      <c r="E121" s="148">
        <v>1645</v>
      </c>
      <c r="F121" s="149">
        <v>1781</v>
      </c>
    </row>
    <row r="122" spans="2:6" outlineLevel="1" x14ac:dyDescent="0.3">
      <c r="B122" s="147" t="s">
        <v>274</v>
      </c>
      <c r="C122" s="145"/>
      <c r="D122" s="148">
        <v>86</v>
      </c>
      <c r="E122" s="148">
        <v>55</v>
      </c>
      <c r="F122" s="149">
        <v>76</v>
      </c>
    </row>
    <row r="123" spans="2:6" outlineLevel="1" x14ac:dyDescent="0.3">
      <c r="B123" s="144" t="s">
        <v>275</v>
      </c>
      <c r="C123" s="150"/>
      <c r="D123" s="151">
        <v>4737</v>
      </c>
      <c r="E123" s="151">
        <v>5435</v>
      </c>
      <c r="F123" s="152">
        <v>6708</v>
      </c>
    </row>
    <row r="124" spans="2:6" outlineLevel="1" x14ac:dyDescent="0.3">
      <c r="B124" s="144" t="s">
        <v>276</v>
      </c>
      <c r="C124" s="145"/>
      <c r="D124" s="148"/>
      <c r="E124" s="148"/>
      <c r="F124" s="149"/>
    </row>
    <row r="125" spans="2:6" outlineLevel="1" x14ac:dyDescent="0.3">
      <c r="B125" s="147" t="s">
        <v>277</v>
      </c>
      <c r="C125" s="145"/>
      <c r="D125" s="148">
        <v>-150</v>
      </c>
      <c r="E125" s="148">
        <v>-160</v>
      </c>
      <c r="F125" s="149">
        <v>-171</v>
      </c>
    </row>
    <row r="126" spans="2:6" outlineLevel="1" x14ac:dyDescent="0.3">
      <c r="B126" s="147" t="s">
        <v>278</v>
      </c>
      <c r="C126" s="145"/>
      <c r="D126" s="148">
        <v>178</v>
      </c>
      <c r="E126" s="148">
        <v>92</v>
      </c>
      <c r="F126" s="149">
        <v>143</v>
      </c>
    </row>
    <row r="127" spans="2:6" outlineLevel="1" x14ac:dyDescent="0.3">
      <c r="B127" s="144" t="s">
        <v>279</v>
      </c>
      <c r="C127" s="150"/>
      <c r="D127" s="151">
        <v>4765</v>
      </c>
      <c r="E127" s="151">
        <v>5367</v>
      </c>
      <c r="F127" s="152">
        <v>6680</v>
      </c>
    </row>
    <row r="128" spans="2:6" outlineLevel="1" x14ac:dyDescent="0.3">
      <c r="B128" s="147" t="s">
        <v>280</v>
      </c>
      <c r="C128" s="145"/>
      <c r="D128" s="148">
        <v>1061</v>
      </c>
      <c r="E128" s="148">
        <v>1308</v>
      </c>
      <c r="F128" s="149">
        <v>1601</v>
      </c>
    </row>
    <row r="129" spans="2:6" outlineLevel="1" x14ac:dyDescent="0.3">
      <c r="B129" s="144" t="s">
        <v>96</v>
      </c>
      <c r="C129" s="150"/>
      <c r="D129" s="151">
        <v>3704</v>
      </c>
      <c r="E129" s="151">
        <v>4059</v>
      </c>
      <c r="F129" s="152">
        <v>5079</v>
      </c>
    </row>
    <row r="130" spans="2:6" outlineLevel="1" x14ac:dyDescent="0.3">
      <c r="B130" s="153"/>
      <c r="C130" s="145"/>
      <c r="D130" s="148"/>
      <c r="E130" s="148"/>
      <c r="F130" s="149"/>
    </row>
    <row r="131" spans="2:6" outlineLevel="1" x14ac:dyDescent="0.3">
      <c r="B131" s="153" t="s">
        <v>281</v>
      </c>
      <c r="C131" s="145"/>
      <c r="D131" s="148">
        <v>442923</v>
      </c>
      <c r="E131" s="148">
        <v>443901</v>
      </c>
      <c r="F131" s="149">
        <v>444346</v>
      </c>
    </row>
    <row r="132" spans="2:6" outlineLevel="1" x14ac:dyDescent="0.3">
      <c r="B132" s="153"/>
      <c r="C132" s="145"/>
      <c r="D132" s="148"/>
      <c r="E132" s="148"/>
      <c r="F132" s="149"/>
    </row>
    <row r="133" spans="2:6" outlineLevel="1" x14ac:dyDescent="0.3">
      <c r="B133" s="153" t="s">
        <v>282</v>
      </c>
      <c r="C133" s="145"/>
      <c r="D133" s="148">
        <v>149351</v>
      </c>
      <c r="E133" s="148">
        <v>163220</v>
      </c>
      <c r="F133" s="149">
        <v>192052</v>
      </c>
    </row>
    <row r="134" spans="2:6" outlineLevel="1" x14ac:dyDescent="0.3">
      <c r="B134" s="153" t="s">
        <v>283</v>
      </c>
      <c r="C134" s="145"/>
      <c r="D134" s="148">
        <v>3352</v>
      </c>
      <c r="E134" s="148">
        <v>3541</v>
      </c>
      <c r="F134" s="149">
        <v>3877</v>
      </c>
    </row>
    <row r="135" spans="2:6" x14ac:dyDescent="0.3">
      <c r="B135" s="106"/>
      <c r="F135" s="100"/>
    </row>
    <row r="136" spans="2:6" ht="15" thickBot="1" x14ac:dyDescent="0.35">
      <c r="B136" s="141" t="s">
        <v>284</v>
      </c>
      <c r="C136" s="142">
        <v>43345</v>
      </c>
      <c r="D136" s="142">
        <v>43709</v>
      </c>
      <c r="E136" s="142">
        <v>44073</v>
      </c>
      <c r="F136" s="143">
        <v>44437</v>
      </c>
    </row>
    <row r="137" spans="2:6" outlineLevel="1" x14ac:dyDescent="0.3">
      <c r="B137" s="144" t="s">
        <v>146</v>
      </c>
      <c r="C137" s="145"/>
      <c r="D137" s="145"/>
      <c r="E137" s="145"/>
      <c r="F137" s="146"/>
    </row>
    <row r="138" spans="2:6" outlineLevel="1" x14ac:dyDescent="0.3">
      <c r="B138" s="147" t="s">
        <v>285</v>
      </c>
      <c r="C138" s="148">
        <v>6055</v>
      </c>
      <c r="D138" s="148">
        <v>8384</v>
      </c>
      <c r="E138" s="148">
        <v>12277</v>
      </c>
      <c r="F138" s="149">
        <v>11258</v>
      </c>
    </row>
    <row r="139" spans="2:6" outlineLevel="1" x14ac:dyDescent="0.3">
      <c r="B139" s="147" t="s">
        <v>286</v>
      </c>
      <c r="C139" s="148">
        <v>1204</v>
      </c>
      <c r="D139" s="148">
        <v>1060</v>
      </c>
      <c r="E139" s="148">
        <v>1028</v>
      </c>
      <c r="F139" s="149">
        <v>917</v>
      </c>
    </row>
    <row r="140" spans="2:6" outlineLevel="1" x14ac:dyDescent="0.3">
      <c r="B140" s="147" t="s">
        <v>287</v>
      </c>
      <c r="C140" s="148">
        <v>1669</v>
      </c>
      <c r="D140" s="148">
        <v>1535</v>
      </c>
      <c r="E140" s="148">
        <v>1550</v>
      </c>
      <c r="F140" s="149">
        <v>1803</v>
      </c>
    </row>
    <row r="141" spans="2:6" outlineLevel="1" x14ac:dyDescent="0.3">
      <c r="B141" s="147" t="s">
        <v>288</v>
      </c>
      <c r="C141" s="148">
        <v>11040</v>
      </c>
      <c r="D141" s="148">
        <v>11395</v>
      </c>
      <c r="E141" s="148">
        <v>12242</v>
      </c>
      <c r="F141" s="149">
        <v>14215</v>
      </c>
    </row>
    <row r="142" spans="2:6" outlineLevel="1" x14ac:dyDescent="0.3">
      <c r="B142" s="147" t="s">
        <v>289</v>
      </c>
      <c r="C142" s="148">
        <v>321</v>
      </c>
      <c r="D142" s="148">
        <v>1111</v>
      </c>
      <c r="E142" s="148">
        <v>1023</v>
      </c>
      <c r="F142" s="149">
        <v>1312</v>
      </c>
    </row>
    <row r="143" spans="2:6" outlineLevel="1" x14ac:dyDescent="0.3">
      <c r="B143" s="144" t="s">
        <v>149</v>
      </c>
      <c r="C143" s="151">
        <v>20289</v>
      </c>
      <c r="D143" s="151">
        <v>23485</v>
      </c>
      <c r="E143" s="151">
        <v>28120</v>
      </c>
      <c r="F143" s="152">
        <v>29505</v>
      </c>
    </row>
    <row r="144" spans="2:6" outlineLevel="1" x14ac:dyDescent="0.3">
      <c r="B144" s="144" t="s">
        <v>290</v>
      </c>
      <c r="C144" s="148"/>
      <c r="D144" s="148"/>
      <c r="E144" s="148"/>
      <c r="F144" s="149"/>
    </row>
    <row r="145" spans="2:6" outlineLevel="1" x14ac:dyDescent="0.3">
      <c r="B145" s="147" t="s">
        <v>291</v>
      </c>
      <c r="C145" s="148">
        <v>19681</v>
      </c>
      <c r="D145" s="148">
        <v>20890</v>
      </c>
      <c r="E145" s="148">
        <v>21807</v>
      </c>
      <c r="F145" s="149">
        <v>23492</v>
      </c>
    </row>
    <row r="146" spans="2:6" outlineLevel="1" x14ac:dyDescent="0.3">
      <c r="B146" s="147" t="s">
        <v>292</v>
      </c>
      <c r="C146" s="148"/>
      <c r="D146" s="148">
        <v>0</v>
      </c>
      <c r="E146" s="148">
        <v>2788</v>
      </c>
      <c r="F146" s="149">
        <v>2890</v>
      </c>
    </row>
    <row r="147" spans="2:6" outlineLevel="1" x14ac:dyDescent="0.3">
      <c r="B147" s="147" t="s">
        <v>293</v>
      </c>
      <c r="C147" s="148">
        <v>860</v>
      </c>
      <c r="D147" s="148">
        <v>1025</v>
      </c>
      <c r="E147" s="148">
        <v>2841</v>
      </c>
      <c r="F147" s="149">
        <v>3381</v>
      </c>
    </row>
    <row r="148" spans="2:6" outlineLevel="1" x14ac:dyDescent="0.3">
      <c r="B148" s="144" t="s">
        <v>155</v>
      </c>
      <c r="C148" s="151">
        <v>40830</v>
      </c>
      <c r="D148" s="151">
        <v>45400</v>
      </c>
      <c r="E148" s="151">
        <v>55556</v>
      </c>
      <c r="F148" s="152">
        <v>59268</v>
      </c>
    </row>
    <row r="149" spans="2:6" outlineLevel="1" x14ac:dyDescent="0.3">
      <c r="B149" s="144" t="s">
        <v>156</v>
      </c>
      <c r="C149" s="148"/>
      <c r="D149" s="148"/>
      <c r="E149" s="148"/>
      <c r="F149" s="149"/>
    </row>
    <row r="150" spans="2:6" outlineLevel="1" x14ac:dyDescent="0.3">
      <c r="B150" s="147" t="s">
        <v>294</v>
      </c>
      <c r="C150" s="148">
        <v>11237</v>
      </c>
      <c r="D150" s="148">
        <v>11679</v>
      </c>
      <c r="E150" s="148">
        <v>14172</v>
      </c>
      <c r="F150" s="149">
        <v>16278</v>
      </c>
    </row>
    <row r="151" spans="2:6" outlineLevel="1" x14ac:dyDescent="0.3">
      <c r="B151" s="147" t="s">
        <v>295</v>
      </c>
      <c r="C151" s="148">
        <v>2994</v>
      </c>
      <c r="D151" s="148">
        <v>3176</v>
      </c>
      <c r="E151" s="148">
        <v>3605</v>
      </c>
      <c r="F151" s="149">
        <v>4090</v>
      </c>
    </row>
    <row r="152" spans="2:6" outlineLevel="1" x14ac:dyDescent="0.3">
      <c r="B152" s="147" t="s">
        <v>296</v>
      </c>
      <c r="C152" s="148">
        <v>1057</v>
      </c>
      <c r="D152" s="148">
        <v>1180</v>
      </c>
      <c r="E152" s="148">
        <v>1393</v>
      </c>
      <c r="F152" s="149">
        <v>1671</v>
      </c>
    </row>
    <row r="153" spans="2:6" outlineLevel="1" x14ac:dyDescent="0.3">
      <c r="B153" s="147" t="s">
        <v>297</v>
      </c>
      <c r="C153" s="148">
        <v>1624</v>
      </c>
      <c r="D153" s="148">
        <v>1711</v>
      </c>
      <c r="E153" s="148">
        <v>1851</v>
      </c>
      <c r="F153" s="149">
        <v>2042</v>
      </c>
    </row>
    <row r="154" spans="2:6" outlineLevel="1" x14ac:dyDescent="0.3">
      <c r="B154" s="147" t="s">
        <v>298</v>
      </c>
      <c r="C154" s="148">
        <v>90</v>
      </c>
      <c r="D154" s="148">
        <v>1699</v>
      </c>
      <c r="E154" s="148">
        <v>95</v>
      </c>
      <c r="F154" s="149">
        <v>799</v>
      </c>
    </row>
    <row r="155" spans="2:6" outlineLevel="1" x14ac:dyDescent="0.3">
      <c r="B155" s="147" t="s">
        <v>299</v>
      </c>
      <c r="C155" s="148">
        <v>2924</v>
      </c>
      <c r="D155" s="148">
        <v>3792</v>
      </c>
      <c r="E155" s="148">
        <v>3728</v>
      </c>
      <c r="F155" s="149">
        <v>4561</v>
      </c>
    </row>
    <row r="156" spans="2:6" outlineLevel="1" x14ac:dyDescent="0.3">
      <c r="B156" s="144" t="s">
        <v>300</v>
      </c>
      <c r="C156" s="151">
        <v>19926</v>
      </c>
      <c r="D156" s="151">
        <v>23237</v>
      </c>
      <c r="E156" s="151">
        <v>24844</v>
      </c>
      <c r="F156" s="152">
        <v>29441</v>
      </c>
    </row>
    <row r="157" spans="2:6" outlineLevel="1" x14ac:dyDescent="0.3">
      <c r="B157" s="144" t="s">
        <v>301</v>
      </c>
      <c r="C157" s="148"/>
      <c r="D157" s="148"/>
      <c r="E157" s="148"/>
      <c r="F157" s="149"/>
    </row>
    <row r="158" spans="2:6" outlineLevel="1" x14ac:dyDescent="0.3">
      <c r="B158" s="147" t="s">
        <v>302</v>
      </c>
      <c r="C158" s="148">
        <v>6487</v>
      </c>
      <c r="D158" s="148">
        <v>5124</v>
      </c>
      <c r="E158" s="148">
        <v>7514</v>
      </c>
      <c r="F158" s="149">
        <v>6692</v>
      </c>
    </row>
    <row r="159" spans="2:6" outlineLevel="1" x14ac:dyDescent="0.3">
      <c r="B159" s="147" t="s">
        <v>303</v>
      </c>
      <c r="C159" s="148"/>
      <c r="D159" s="148">
        <v>0</v>
      </c>
      <c r="E159" s="148">
        <v>2558</v>
      </c>
      <c r="F159" s="149">
        <v>2642</v>
      </c>
    </row>
    <row r="160" spans="2:6" outlineLevel="1" x14ac:dyDescent="0.3">
      <c r="B160" s="147" t="s">
        <v>304</v>
      </c>
      <c r="C160" s="148">
        <v>1314</v>
      </c>
      <c r="D160" s="148">
        <v>1455</v>
      </c>
      <c r="E160" s="148">
        <v>1935</v>
      </c>
      <c r="F160" s="149">
        <v>2415</v>
      </c>
    </row>
    <row r="161" spans="2:6" outlineLevel="1" x14ac:dyDescent="0.3">
      <c r="B161" s="144" t="s">
        <v>305</v>
      </c>
      <c r="C161" s="151">
        <v>27727</v>
      </c>
      <c r="D161" s="151">
        <v>29816</v>
      </c>
      <c r="E161" s="151">
        <v>36851</v>
      </c>
      <c r="F161" s="152">
        <v>41190</v>
      </c>
    </row>
    <row r="162" spans="2:6" outlineLevel="1" x14ac:dyDescent="0.3">
      <c r="B162" s="144" t="s">
        <v>164</v>
      </c>
      <c r="C162" s="148"/>
      <c r="D162" s="148"/>
      <c r="E162" s="148"/>
      <c r="F162" s="149"/>
    </row>
    <row r="163" spans="2:6" outlineLevel="1" x14ac:dyDescent="0.3">
      <c r="B163" s="147" t="s">
        <v>306</v>
      </c>
      <c r="C163" s="148">
        <v>0</v>
      </c>
      <c r="D163" s="148">
        <v>0</v>
      </c>
      <c r="E163" s="148">
        <v>0</v>
      </c>
      <c r="F163" s="149">
        <v>0</v>
      </c>
    </row>
    <row r="164" spans="2:6" outlineLevel="1" x14ac:dyDescent="0.3">
      <c r="B164" s="147" t="s">
        <v>307</v>
      </c>
      <c r="C164" s="148">
        <v>4</v>
      </c>
      <c r="D164" s="148">
        <v>4</v>
      </c>
      <c r="E164" s="148">
        <v>4</v>
      </c>
      <c r="F164" s="149">
        <v>4</v>
      </c>
    </row>
    <row r="165" spans="2:6" outlineLevel="1" x14ac:dyDescent="0.3">
      <c r="B165" s="147" t="s">
        <v>308</v>
      </c>
      <c r="C165" s="148">
        <v>6107</v>
      </c>
      <c r="D165" s="148">
        <v>6417</v>
      </c>
      <c r="E165" s="148">
        <v>6698</v>
      </c>
      <c r="F165" s="149">
        <v>7031</v>
      </c>
    </row>
    <row r="166" spans="2:6" outlineLevel="1" x14ac:dyDescent="0.3">
      <c r="B166" s="147" t="s">
        <v>309</v>
      </c>
      <c r="C166" s="148">
        <v>-1199</v>
      </c>
      <c r="D166" s="148">
        <v>-1436</v>
      </c>
      <c r="E166" s="148">
        <v>-1297</v>
      </c>
      <c r="F166" s="149">
        <v>-1137</v>
      </c>
    </row>
    <row r="167" spans="2:6" outlineLevel="1" x14ac:dyDescent="0.3">
      <c r="B167" s="147" t="s">
        <v>310</v>
      </c>
      <c r="C167" s="148">
        <v>7887</v>
      </c>
      <c r="D167" s="148">
        <v>10258</v>
      </c>
      <c r="E167" s="148">
        <v>12879</v>
      </c>
      <c r="F167" s="149">
        <v>11666</v>
      </c>
    </row>
    <row r="168" spans="2:6" outlineLevel="1" x14ac:dyDescent="0.3">
      <c r="B168" s="144" t="s">
        <v>311</v>
      </c>
      <c r="C168" s="151">
        <v>12799</v>
      </c>
      <c r="D168" s="151">
        <v>15243</v>
      </c>
      <c r="E168" s="151">
        <v>18284</v>
      </c>
      <c r="F168" s="152">
        <v>17564</v>
      </c>
    </row>
    <row r="169" spans="2:6" outlineLevel="1" x14ac:dyDescent="0.3">
      <c r="B169" s="153" t="s">
        <v>312</v>
      </c>
      <c r="C169" s="148">
        <v>304</v>
      </c>
      <c r="D169" s="148">
        <v>341</v>
      </c>
      <c r="E169" s="148">
        <v>421</v>
      </c>
      <c r="F169" s="149">
        <v>514</v>
      </c>
    </row>
    <row r="170" spans="2:6" outlineLevel="1" x14ac:dyDescent="0.3">
      <c r="B170" s="144" t="s">
        <v>167</v>
      </c>
      <c r="C170" s="151">
        <v>13103</v>
      </c>
      <c r="D170" s="151">
        <v>15584</v>
      </c>
      <c r="E170" s="151">
        <v>18705</v>
      </c>
      <c r="F170" s="152">
        <v>18078</v>
      </c>
    </row>
    <row r="171" spans="2:6" outlineLevel="1" x14ac:dyDescent="0.3">
      <c r="B171" s="144" t="s">
        <v>313</v>
      </c>
      <c r="C171" s="151">
        <v>40830</v>
      </c>
      <c r="D171" s="151">
        <v>45400</v>
      </c>
      <c r="E171" s="151">
        <v>55556</v>
      </c>
      <c r="F171" s="152">
        <v>59268</v>
      </c>
    </row>
    <row r="172" spans="2:6" x14ac:dyDescent="0.3">
      <c r="B172" s="106"/>
      <c r="F172" s="100"/>
    </row>
    <row r="173" spans="2:6" ht="15" thickBot="1" x14ac:dyDescent="0.35">
      <c r="B173" s="141" t="s">
        <v>314</v>
      </c>
      <c r="C173" s="142"/>
      <c r="D173" s="142">
        <v>43709</v>
      </c>
      <c r="E173" s="142">
        <v>44073</v>
      </c>
      <c r="F173" s="143">
        <v>44437</v>
      </c>
    </row>
    <row r="174" spans="2:6" outlineLevel="1" x14ac:dyDescent="0.3">
      <c r="B174" s="144" t="s">
        <v>171</v>
      </c>
      <c r="C174" s="145"/>
      <c r="D174" s="145"/>
      <c r="E174" s="145"/>
      <c r="F174" s="146"/>
    </row>
    <row r="175" spans="2:6" outlineLevel="1" x14ac:dyDescent="0.3">
      <c r="B175" s="153" t="s">
        <v>315</v>
      </c>
      <c r="C175" s="145"/>
      <c r="D175" s="148">
        <v>3704</v>
      </c>
      <c r="E175" s="148">
        <v>4059</v>
      </c>
      <c r="F175" s="149">
        <v>5079</v>
      </c>
    </row>
    <row r="176" spans="2:6" outlineLevel="1" x14ac:dyDescent="0.3">
      <c r="B176" s="144" t="s">
        <v>316</v>
      </c>
      <c r="C176" s="145"/>
      <c r="D176" s="148"/>
      <c r="E176" s="148"/>
      <c r="F176" s="149"/>
    </row>
    <row r="177" spans="2:6" outlineLevel="1" x14ac:dyDescent="0.3">
      <c r="B177" s="147" t="s">
        <v>317</v>
      </c>
      <c r="C177" s="145"/>
      <c r="D177" s="148">
        <v>1492</v>
      </c>
      <c r="E177" s="148">
        <v>1645</v>
      </c>
      <c r="F177" s="149">
        <v>1781</v>
      </c>
    </row>
    <row r="178" spans="2:6" outlineLevel="1" x14ac:dyDescent="0.3">
      <c r="B178" s="147" t="s">
        <v>318</v>
      </c>
      <c r="C178" s="145"/>
      <c r="D178" s="148">
        <v>0</v>
      </c>
      <c r="E178" s="148">
        <v>194</v>
      </c>
      <c r="F178" s="149">
        <v>286</v>
      </c>
    </row>
    <row r="179" spans="2:6" outlineLevel="1" x14ac:dyDescent="0.3">
      <c r="B179" s="147" t="s">
        <v>319</v>
      </c>
      <c r="C179" s="145"/>
      <c r="D179" s="148">
        <v>595</v>
      </c>
      <c r="E179" s="148">
        <v>619</v>
      </c>
      <c r="F179" s="149">
        <v>665</v>
      </c>
    </row>
    <row r="180" spans="2:6" outlineLevel="1" x14ac:dyDescent="0.3">
      <c r="B180" s="147" t="s">
        <v>320</v>
      </c>
      <c r="C180" s="145"/>
      <c r="D180" s="148">
        <v>9</v>
      </c>
      <c r="E180" s="148">
        <v>42</v>
      </c>
      <c r="F180" s="149">
        <v>85</v>
      </c>
    </row>
    <row r="181" spans="2:6" outlineLevel="1" x14ac:dyDescent="0.3">
      <c r="B181" s="147" t="s">
        <v>321</v>
      </c>
      <c r="C181" s="145"/>
      <c r="D181" s="148">
        <v>147</v>
      </c>
      <c r="E181" s="148">
        <v>104</v>
      </c>
      <c r="F181" s="149">
        <v>59</v>
      </c>
    </row>
    <row r="182" spans="2:6" outlineLevel="1" x14ac:dyDescent="0.3">
      <c r="B182" s="147" t="s">
        <v>322</v>
      </c>
      <c r="C182" s="145"/>
      <c r="D182" s="148"/>
      <c r="E182" s="148"/>
      <c r="F182" s="149"/>
    </row>
    <row r="183" spans="2:6" outlineLevel="1" x14ac:dyDescent="0.3">
      <c r="B183" s="147" t="s">
        <v>288</v>
      </c>
      <c r="C183" s="145"/>
      <c r="D183" s="148">
        <v>-536</v>
      </c>
      <c r="E183" s="148">
        <v>-791</v>
      </c>
      <c r="F183" s="149">
        <v>-1892</v>
      </c>
    </row>
    <row r="184" spans="2:6" outlineLevel="1" x14ac:dyDescent="0.3">
      <c r="B184" s="147" t="s">
        <v>294</v>
      </c>
      <c r="C184" s="145"/>
      <c r="D184" s="148">
        <v>322</v>
      </c>
      <c r="E184" s="148">
        <v>2261</v>
      </c>
      <c r="F184" s="149">
        <v>1838</v>
      </c>
    </row>
    <row r="185" spans="2:6" outlineLevel="1" x14ac:dyDescent="0.3">
      <c r="B185" s="147" t="s">
        <v>323</v>
      </c>
      <c r="C185" s="145"/>
      <c r="D185" s="148">
        <v>623</v>
      </c>
      <c r="E185" s="148">
        <v>728</v>
      </c>
      <c r="F185" s="149">
        <v>1057</v>
      </c>
    </row>
    <row r="186" spans="2:6" outlineLevel="1" x14ac:dyDescent="0.3">
      <c r="B186" s="144" t="s">
        <v>324</v>
      </c>
      <c r="C186" s="150"/>
      <c r="D186" s="151">
        <v>6356</v>
      </c>
      <c r="E186" s="151">
        <v>8861</v>
      </c>
      <c r="F186" s="152">
        <v>8958</v>
      </c>
    </row>
    <row r="187" spans="2:6" outlineLevel="1" x14ac:dyDescent="0.3">
      <c r="B187" s="144" t="s">
        <v>174</v>
      </c>
      <c r="C187" s="145"/>
      <c r="D187" s="148"/>
      <c r="E187" s="148"/>
      <c r="F187" s="149"/>
    </row>
    <row r="188" spans="2:6" outlineLevel="1" x14ac:dyDescent="0.3">
      <c r="B188" s="147" t="s">
        <v>325</v>
      </c>
      <c r="C188" s="145"/>
      <c r="D188" s="148">
        <v>-1094</v>
      </c>
      <c r="E188" s="148">
        <v>-1626</v>
      </c>
      <c r="F188" s="149">
        <v>-1331</v>
      </c>
    </row>
    <row r="189" spans="2:6" outlineLevel="1" x14ac:dyDescent="0.3">
      <c r="B189" s="147" t="s">
        <v>326</v>
      </c>
      <c r="C189" s="145"/>
      <c r="D189" s="148">
        <v>1231</v>
      </c>
      <c r="E189" s="148">
        <v>1678</v>
      </c>
      <c r="F189" s="149">
        <v>1446</v>
      </c>
    </row>
    <row r="190" spans="2:6" outlineLevel="1" x14ac:dyDescent="0.3">
      <c r="B190" s="147" t="s">
        <v>327</v>
      </c>
      <c r="C190" s="145"/>
      <c r="D190" s="148">
        <v>-2998</v>
      </c>
      <c r="E190" s="148">
        <v>-2810</v>
      </c>
      <c r="F190" s="149">
        <v>-3588</v>
      </c>
    </row>
    <row r="191" spans="2:6" outlineLevel="1" x14ac:dyDescent="0.3">
      <c r="B191" s="147" t="s">
        <v>328</v>
      </c>
      <c r="C191" s="145"/>
      <c r="D191" s="148">
        <v>0</v>
      </c>
      <c r="E191" s="148">
        <v>-1163</v>
      </c>
      <c r="F191" s="149">
        <v>0</v>
      </c>
    </row>
    <row r="192" spans="2:6" outlineLevel="1" x14ac:dyDescent="0.3">
      <c r="B192" s="147" t="s">
        <v>329</v>
      </c>
      <c r="C192" s="145"/>
      <c r="D192" s="148">
        <v>-4</v>
      </c>
      <c r="E192" s="148">
        <v>30</v>
      </c>
      <c r="F192" s="149">
        <v>-62</v>
      </c>
    </row>
    <row r="193" spans="2:6" outlineLevel="1" x14ac:dyDescent="0.3">
      <c r="B193" s="144" t="s">
        <v>330</v>
      </c>
      <c r="C193" s="145"/>
      <c r="D193" s="148">
        <v>-2865</v>
      </c>
      <c r="E193" s="148">
        <v>-3891</v>
      </c>
      <c r="F193" s="149">
        <v>-3535</v>
      </c>
    </row>
    <row r="194" spans="2:6" outlineLevel="1" x14ac:dyDescent="0.3">
      <c r="B194" s="144" t="s">
        <v>177</v>
      </c>
      <c r="C194" s="145"/>
      <c r="D194" s="148"/>
      <c r="E194" s="148"/>
      <c r="F194" s="149"/>
    </row>
    <row r="195" spans="2:6" outlineLevel="1" x14ac:dyDescent="0.3">
      <c r="B195" s="147" t="s">
        <v>331</v>
      </c>
      <c r="C195" s="145"/>
      <c r="D195" s="148">
        <v>210</v>
      </c>
      <c r="E195" s="148">
        <v>137</v>
      </c>
      <c r="F195" s="149">
        <v>188</v>
      </c>
    </row>
    <row r="196" spans="2:6" outlineLevel="1" x14ac:dyDescent="0.3">
      <c r="B196" s="147" t="s">
        <v>332</v>
      </c>
      <c r="C196" s="145"/>
      <c r="D196" s="148">
        <v>0</v>
      </c>
      <c r="E196" s="148">
        <v>0</v>
      </c>
      <c r="F196" s="149">
        <v>41</v>
      </c>
    </row>
    <row r="197" spans="2:6" outlineLevel="1" x14ac:dyDescent="0.3">
      <c r="B197" s="147" t="s">
        <v>333</v>
      </c>
      <c r="C197" s="145"/>
      <c r="D197" s="148">
        <v>298</v>
      </c>
      <c r="E197" s="148">
        <v>3992</v>
      </c>
      <c r="F197" s="149">
        <v>0</v>
      </c>
    </row>
    <row r="198" spans="2:6" outlineLevel="1" x14ac:dyDescent="0.3">
      <c r="B198" s="147" t="s">
        <v>334</v>
      </c>
      <c r="C198" s="145"/>
      <c r="D198" s="148">
        <v>-89</v>
      </c>
      <c r="E198" s="148">
        <v>-3200</v>
      </c>
      <c r="F198" s="149">
        <v>-94</v>
      </c>
    </row>
    <row r="199" spans="2:6" outlineLevel="1" x14ac:dyDescent="0.3">
      <c r="B199" s="147" t="s">
        <v>335</v>
      </c>
      <c r="C199" s="145"/>
      <c r="D199" s="148">
        <v>-272</v>
      </c>
      <c r="E199" s="148">
        <v>-330</v>
      </c>
      <c r="F199" s="149">
        <v>-312</v>
      </c>
    </row>
    <row r="200" spans="2:6" outlineLevel="1" x14ac:dyDescent="0.3">
      <c r="B200" s="147" t="s">
        <v>336</v>
      </c>
      <c r="C200" s="145"/>
      <c r="D200" s="148">
        <v>-247</v>
      </c>
      <c r="E200" s="148">
        <v>-196</v>
      </c>
      <c r="F200" s="149">
        <v>-496</v>
      </c>
    </row>
    <row r="201" spans="2:6" outlineLevel="1" x14ac:dyDescent="0.3">
      <c r="B201" s="147" t="s">
        <v>337</v>
      </c>
      <c r="C201" s="145"/>
      <c r="D201" s="148">
        <v>-1038</v>
      </c>
      <c r="E201" s="148">
        <v>-1479</v>
      </c>
      <c r="F201" s="149">
        <v>-5748</v>
      </c>
    </row>
    <row r="202" spans="2:6" outlineLevel="1" x14ac:dyDescent="0.3">
      <c r="B202" s="147" t="s">
        <v>338</v>
      </c>
      <c r="C202" s="145"/>
      <c r="D202" s="148">
        <v>-9</v>
      </c>
      <c r="E202" s="148">
        <v>-71</v>
      </c>
      <c r="F202" s="149">
        <v>-67</v>
      </c>
    </row>
    <row r="203" spans="2:6" outlineLevel="1" x14ac:dyDescent="0.3">
      <c r="B203" s="144" t="s">
        <v>339</v>
      </c>
      <c r="C203" s="145"/>
      <c r="D203" s="148">
        <v>-1147</v>
      </c>
      <c r="E203" s="148">
        <v>-1147</v>
      </c>
      <c r="F203" s="149">
        <v>-6488</v>
      </c>
    </row>
    <row r="204" spans="2:6" outlineLevel="1" x14ac:dyDescent="0.3">
      <c r="B204" s="153" t="s">
        <v>340</v>
      </c>
      <c r="C204" s="145"/>
      <c r="D204" s="148">
        <v>-15</v>
      </c>
      <c r="E204" s="148">
        <v>70</v>
      </c>
      <c r="F204" s="149">
        <v>46</v>
      </c>
    </row>
    <row r="205" spans="2:6" outlineLevel="1" x14ac:dyDescent="0.3">
      <c r="B205" s="144" t="s">
        <v>341</v>
      </c>
      <c r="C205" s="145"/>
      <c r="D205" s="148">
        <v>2329</v>
      </c>
      <c r="E205" s="148">
        <v>3893</v>
      </c>
      <c r="F205" s="149">
        <v>-1019</v>
      </c>
    </row>
    <row r="206" spans="2:6" outlineLevel="1" x14ac:dyDescent="0.3">
      <c r="B206" s="144" t="s">
        <v>342</v>
      </c>
      <c r="C206" s="145"/>
      <c r="D206" s="148">
        <v>6055</v>
      </c>
      <c r="E206" s="148">
        <v>8384</v>
      </c>
      <c r="F206" s="149">
        <v>12277</v>
      </c>
    </row>
    <row r="207" spans="2:6" outlineLevel="1" x14ac:dyDescent="0.3">
      <c r="B207" s="144" t="s">
        <v>343</v>
      </c>
      <c r="C207" s="145"/>
      <c r="D207" s="148">
        <v>8384</v>
      </c>
      <c r="E207" s="148">
        <v>12277</v>
      </c>
      <c r="F207" s="149">
        <v>11258</v>
      </c>
    </row>
    <row r="208" spans="2:6" outlineLevel="1" x14ac:dyDescent="0.3">
      <c r="B208" s="153" t="s">
        <v>344</v>
      </c>
      <c r="C208" s="145"/>
      <c r="D208" s="148"/>
      <c r="E208" s="148"/>
      <c r="F208" s="149"/>
    </row>
    <row r="209" spans="2:6" outlineLevel="1" x14ac:dyDescent="0.3">
      <c r="B209" s="153" t="s">
        <v>345</v>
      </c>
      <c r="C209" s="145"/>
      <c r="D209" s="148">
        <v>141</v>
      </c>
      <c r="E209" s="148">
        <v>124</v>
      </c>
      <c r="F209" s="149">
        <v>149</v>
      </c>
    </row>
    <row r="210" spans="2:6" outlineLevel="1" x14ac:dyDescent="0.3">
      <c r="B210" s="153" t="s">
        <v>346</v>
      </c>
      <c r="C210" s="145"/>
      <c r="D210" s="148">
        <v>1187</v>
      </c>
      <c r="E210" s="148">
        <v>1052</v>
      </c>
      <c r="F210" s="149">
        <v>1527</v>
      </c>
    </row>
    <row r="211" spans="2:6" outlineLevel="1" x14ac:dyDescent="0.3">
      <c r="B211" s="153" t="s">
        <v>347</v>
      </c>
      <c r="C211" s="145"/>
      <c r="D211" s="148"/>
      <c r="E211" s="148"/>
      <c r="F211" s="149"/>
    </row>
    <row r="212" spans="2:6" outlineLevel="1" x14ac:dyDescent="0.3">
      <c r="B212" s="164" t="s">
        <v>348</v>
      </c>
      <c r="C212" s="178"/>
      <c r="D212" s="179">
        <v>286</v>
      </c>
      <c r="E212" s="179">
        <v>0</v>
      </c>
      <c r="F212" s="180">
        <v>0</v>
      </c>
    </row>
  </sheetData>
  <sheetProtection sheet="1" objects="1" scenarios="1"/>
  <pageMargins left="0.7" right="0.7" top="0.75" bottom="0.75" header="0.3" footer="0.3"/>
  <pageSetup orientation="portrait" horizontalDpi="4294967295" verticalDpi="4294967295" r:id="rId1"/>
  <ignoredErrors>
    <ignoredError sqref="D15:K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Variance Analysis Model</vt:lpstr>
      <vt:lpstr>Variance Budget</vt:lpstr>
      <vt:lpstr>Variance Actuals</vt:lpstr>
      <vt:lpstr>Capital Budgeting Model</vt:lpstr>
      <vt:lpstr>Comps Model</vt:lpstr>
      <vt:lpstr>3 Statement Model</vt:lpstr>
      <vt:lpstr>DCF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Q</dc:creator>
  <cp:keywords/>
  <dc:description/>
  <cp:lastModifiedBy>hari priya</cp:lastModifiedBy>
  <cp:revision/>
  <dcterms:created xsi:type="dcterms:W3CDTF">2022-11-15T11:25:17Z</dcterms:created>
  <dcterms:modified xsi:type="dcterms:W3CDTF">2025-07-02T11:49:53Z</dcterms:modified>
  <cp:category/>
  <cp:contentStatus/>
</cp:coreProperties>
</file>