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1\Desktop\"/>
    </mc:Choice>
  </mc:AlternateContent>
  <bookViews>
    <workbookView xWindow="0" yWindow="0" windowWidth="23040" windowHeight="9975" activeTab="1"/>
  </bookViews>
  <sheets>
    <sheet name="Arkusz1" sheetId="1" r:id="rId1"/>
    <sheet name="korelacj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 a="1"/>
  <c r="B31" i="2"/>
  <c r="C31" i="2"/>
  <c r="B32" i="2"/>
  <c r="C32" i="2"/>
  <c r="B33" i="2"/>
  <c r="C33" i="2"/>
  <c r="B34" i="2"/>
  <c r="C34" i="2"/>
  <c r="O28" i="2"/>
  <c r="O29" i="2"/>
  <c r="O27" i="2"/>
  <c r="O18" i="2"/>
  <c r="O17" i="2"/>
  <c r="G2" i="2"/>
  <c r="F2" i="2"/>
  <c r="E2" i="2"/>
  <c r="O12" i="2"/>
  <c r="O16" i="2"/>
  <c r="O15" i="2"/>
  <c r="O14" i="2"/>
  <c r="O13" i="2"/>
  <c r="D3" i="2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  <c r="B12" i="2"/>
  <c r="A12" i="2"/>
  <c r="H32" i="1" l="1"/>
  <c r="H18" i="1" l="1"/>
  <c r="H17" i="1"/>
  <c r="H13" i="1"/>
  <c r="H12" i="1"/>
  <c r="H11" i="1"/>
  <c r="H14" i="1" s="1"/>
  <c r="H15" i="1" s="1"/>
  <c r="H8" i="1" l="1"/>
  <c r="H9" i="1" s="1"/>
  <c r="H31" i="1"/>
  <c r="O3" i="1" l="1" a="1"/>
  <c r="O3" i="1" s="1"/>
  <c r="H7" i="1"/>
  <c r="H6" i="1"/>
  <c r="I3" i="1"/>
  <c r="H5" i="1"/>
  <c r="H4" i="1"/>
  <c r="H2" i="1"/>
  <c r="H1" i="1"/>
  <c r="R3" i="1" l="1"/>
  <c r="H3" i="1"/>
  <c r="O5" i="1"/>
  <c r="O6" i="1"/>
  <c r="O4" i="1"/>
  <c r="O7" i="1"/>
  <c r="H16" i="1" l="1"/>
  <c r="H10" i="1"/>
  <c r="H33" i="1"/>
  <c r="R9" i="1"/>
  <c r="R5" i="1"/>
  <c r="R7" i="1"/>
  <c r="R4" i="1"/>
  <c r="O8" i="1"/>
  <c r="R6" i="1"/>
  <c r="P3" i="1" l="1"/>
  <c r="H30" i="1"/>
  <c r="H29" i="1"/>
  <c r="P4" i="1"/>
  <c r="P7" i="1"/>
  <c r="R8" i="1"/>
  <c r="H26" i="1" s="1"/>
  <c r="S3" i="1"/>
  <c r="S4" i="1" s="1"/>
  <c r="P6" i="1"/>
  <c r="P5" i="1"/>
  <c r="P8" i="1" l="1"/>
  <c r="T6" i="1"/>
  <c r="U6" i="1" s="1"/>
  <c r="T7" i="1"/>
  <c r="U7" i="1" s="1"/>
  <c r="T3" i="1"/>
  <c r="T5" i="1"/>
  <c r="U5" i="1" s="1"/>
  <c r="T4" i="1"/>
  <c r="U4" i="1" s="1"/>
  <c r="S5" i="1"/>
  <c r="S6" i="1" s="1"/>
  <c r="S7" i="1" s="1"/>
  <c r="H27" i="1" l="1"/>
  <c r="H28" i="1" s="1"/>
  <c r="H36" i="1" s="1"/>
  <c r="U3" i="1"/>
  <c r="U8" i="1" s="1"/>
  <c r="U9" i="1" s="1"/>
  <c r="H35" i="1" l="1"/>
  <c r="H34" i="1"/>
</calcChain>
</file>

<file path=xl/sharedStrings.xml><?xml version="1.0" encoding="utf-8"?>
<sst xmlns="http://schemas.openxmlformats.org/spreadsheetml/2006/main" count="66" uniqueCount="55">
  <si>
    <t>x</t>
  </si>
  <si>
    <t>liczebność próby (n)</t>
  </si>
  <si>
    <t>suma</t>
  </si>
  <si>
    <t>średnia arytmetyczna</t>
  </si>
  <si>
    <t>maksimum</t>
  </si>
  <si>
    <t>minimum</t>
  </si>
  <si>
    <t>dominanta</t>
  </si>
  <si>
    <t>mediana</t>
  </si>
  <si>
    <t>xi</t>
  </si>
  <si>
    <t>ni</t>
  </si>
  <si>
    <t xml:space="preserve"> 1 - 2</t>
  </si>
  <si>
    <t xml:space="preserve"> 2 - 3</t>
  </si>
  <si>
    <t xml:space="preserve"> 3- 4</t>
  </si>
  <si>
    <t xml:space="preserve"> 4- 5</t>
  </si>
  <si>
    <t xml:space="preserve"> 0-1</t>
  </si>
  <si>
    <t>wi</t>
  </si>
  <si>
    <t>xi^</t>
  </si>
  <si>
    <t>xi^*ni</t>
  </si>
  <si>
    <t>wi suma</t>
  </si>
  <si>
    <t>(xi^-xśr)^2</t>
  </si>
  <si>
    <t>i</t>
  </si>
  <si>
    <t>xśr</t>
  </si>
  <si>
    <t>przeciętna wartość transakcji</t>
  </si>
  <si>
    <t>kwartyl pierwszy</t>
  </si>
  <si>
    <t>kwartyl trzeci</t>
  </si>
  <si>
    <t>wariancja</t>
  </si>
  <si>
    <t>odchylenie standardowe</t>
  </si>
  <si>
    <t>współczynnik zmienności</t>
  </si>
  <si>
    <t>współczynnik asymetrii</t>
  </si>
  <si>
    <t>współczynnik spłaszczenia</t>
  </si>
  <si>
    <t>(xi^-xśr)^2*ni</t>
  </si>
  <si>
    <t>kwartyl drugi</t>
  </si>
  <si>
    <t>as. Prawos.</t>
  </si>
  <si>
    <t>odchylenie ćwiartkowe</t>
  </si>
  <si>
    <t>ćwiartkowy współczynnik zmienności</t>
  </si>
  <si>
    <t>skośność</t>
  </si>
  <si>
    <t>współczynnik koncentracji (kurtoza)</t>
  </si>
  <si>
    <t>y</t>
  </si>
  <si>
    <t>(xi-x^)(yi-y^)</t>
  </si>
  <si>
    <t>xi-x^</t>
  </si>
  <si>
    <t>yi-y^</t>
  </si>
  <si>
    <t>(xix^)^2</t>
  </si>
  <si>
    <t>współczynnik korelacji</t>
  </si>
  <si>
    <t>warincja x</t>
  </si>
  <si>
    <t>wariancja y</t>
  </si>
  <si>
    <t>pearson</t>
  </si>
  <si>
    <t>(yiy^)^2</t>
  </si>
  <si>
    <t>c</t>
  </si>
  <si>
    <t>d</t>
  </si>
  <si>
    <t xml:space="preserve"> (r)współczynnik korelacji</t>
  </si>
  <si>
    <t>model regresji</t>
  </si>
  <si>
    <t>^x= 6,03*y-56,5</t>
  </si>
  <si>
    <t>keidy nie będzie zamówień?</t>
  </si>
  <si>
    <t>wilekość zamówień przy 12c</t>
  </si>
  <si>
    <t>wielkość zamówień przy 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</si>
</sst>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9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49" fontId="0" fillId="0" borderId="2" xfId="0" applyNumberFormat="1" applyBorder="1"/>
    <xf numFmtId="49" fontId="0" fillId="0" borderId="4" xfId="0" applyNumberFormat="1" applyBorder="1"/>
    <xf numFmtId="10" fontId="0" fillId="0" borderId="8" xfId="0" applyNumberFormat="1" applyBorder="1"/>
    <xf numFmtId="10" fontId="0" fillId="0" borderId="10" xfId="0" applyNumberFormat="1" applyBorder="1"/>
    <xf numFmtId="10" fontId="0" fillId="0" borderId="9" xfId="0" applyNumberFormat="1" applyBorder="1"/>
    <xf numFmtId="0" fontId="0" fillId="2" borderId="1" xfId="0" applyFill="1" applyBorder="1"/>
    <xf numFmtId="0" fontId="0" fillId="0" borderId="0" xfId="0" applyBorder="1"/>
    <xf numFmtId="0" fontId="0" fillId="0" borderId="12" xfId="0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3" xfId="0" applyFill="1" applyBorder="1"/>
    <xf numFmtId="0" fontId="0" fillId="2" borderId="9" xfId="0" applyFill="1" applyBorder="1"/>
    <xf numFmtId="10" fontId="0" fillId="2" borderId="5" xfId="0" applyNumberFormat="1" applyFill="1" applyBorder="1"/>
    <xf numFmtId="0" fontId="0" fillId="0" borderId="10" xfId="0" applyBorder="1"/>
    <xf numFmtId="0" fontId="0" fillId="4" borderId="10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11" xfId="0" applyNumberFormat="1" applyBorder="1"/>
    <xf numFmtId="2" fontId="0" fillId="0" borderId="2" xfId="0" applyNumberFormat="1" applyBorder="1"/>
    <xf numFmtId="2" fontId="0" fillId="0" borderId="4" xfId="0" applyNumberFormat="1" applyBorder="1"/>
    <xf numFmtId="0" fontId="0" fillId="5" borderId="1" xfId="0" applyFill="1" applyBorder="1"/>
    <xf numFmtId="2" fontId="0" fillId="5" borderId="10" xfId="0" applyNumberFormat="1" applyFill="1" applyBorder="1"/>
    <xf numFmtId="2" fontId="0" fillId="5" borderId="8" xfId="0" applyNumberFormat="1" applyFill="1" applyBorder="1"/>
    <xf numFmtId="0" fontId="0" fillId="5" borderId="6" xfId="0" applyFill="1" applyBorder="1"/>
    <xf numFmtId="164" fontId="0" fillId="5" borderId="7" xfId="0" applyNumberFormat="1" applyFill="1" applyBorder="1"/>
    <xf numFmtId="0" fontId="0" fillId="6" borderId="0" xfId="0" applyFill="1"/>
    <xf numFmtId="2" fontId="0" fillId="0" borderId="10" xfId="0" applyNumberFormat="1" applyBorder="1"/>
    <xf numFmtId="2" fontId="0" fillId="0" borderId="8" xfId="0" applyNumberFormat="1" applyBorder="1"/>
    <xf numFmtId="0" fontId="0" fillId="3" borderId="15" xfId="0" applyFill="1" applyBorder="1"/>
    <xf numFmtId="0" fontId="0" fillId="0" borderId="16" xfId="0" applyBorder="1"/>
    <xf numFmtId="0" fontId="0" fillId="3" borderId="17" xfId="0" applyFill="1" applyBorder="1"/>
    <xf numFmtId="2" fontId="0" fillId="0" borderId="18" xfId="0" applyNumberFormat="1" applyBorder="1"/>
    <xf numFmtId="0" fontId="0" fillId="3" borderId="19" xfId="0" applyFill="1" applyBorder="1"/>
    <xf numFmtId="0" fontId="0" fillId="7" borderId="17" xfId="0" applyFill="1" applyBorder="1"/>
    <xf numFmtId="9" fontId="0" fillId="0" borderId="18" xfId="1" applyFont="1" applyBorder="1"/>
    <xf numFmtId="9" fontId="0" fillId="0" borderId="20" xfId="1" applyFont="1" applyBorder="1"/>
    <xf numFmtId="2" fontId="0" fillId="0" borderId="9" xfId="0" applyNumberFormat="1" applyBorder="1"/>
    <xf numFmtId="0" fontId="0" fillId="0" borderId="11" xfId="0" applyBorder="1"/>
    <xf numFmtId="0" fontId="0" fillId="8" borderId="14" xfId="0" applyFill="1" applyBorder="1"/>
    <xf numFmtId="9" fontId="0" fillId="0" borderId="10" xfId="1" applyFont="1" applyBorder="1"/>
    <xf numFmtId="9" fontId="0" fillId="0" borderId="9" xfId="1" applyFont="1" applyBorder="1"/>
    <xf numFmtId="0" fontId="0" fillId="0" borderId="21" xfId="0" applyBorder="1"/>
    <xf numFmtId="0" fontId="0" fillId="3" borderId="21" xfId="0" applyFill="1" applyBorder="1"/>
    <xf numFmtId="0" fontId="0" fillId="9" borderId="21" xfId="0" applyFill="1" applyBorder="1"/>
    <xf numFmtId="0" fontId="0" fillId="10" borderId="21" xfId="0" applyFill="1" applyBorder="1"/>
    <xf numFmtId="0" fontId="0" fillId="11" borderId="21" xfId="0" applyFill="1" applyBorder="1"/>
    <xf numFmtId="2" fontId="0" fillId="0" borderId="21" xfId="0" applyNumberFormat="1" applyBorder="1"/>
    <xf numFmtId="169" fontId="0" fillId="0" borderId="21" xfId="0" applyNumberFormat="1" applyBorder="1"/>
    <xf numFmtId="0" fontId="0" fillId="12" borderId="21" xfId="0" applyFill="1" applyBorder="1"/>
    <xf numFmtId="2" fontId="0" fillId="10" borderId="21" xfId="0" applyNumberFormat="1" applyFill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765105114314407E-2"/>
          <c:y val="0.24683505635959654"/>
          <c:w val="0.89333340486155299"/>
          <c:h val="0.68686758257802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Arkusz1!$M$3:$M$7</c:f>
              <c:strCache>
                <c:ptCount val="5"/>
                <c:pt idx="0">
                  <c:v> 0-1</c:v>
                </c:pt>
                <c:pt idx="1">
                  <c:v> 1 - 2</c:v>
                </c:pt>
                <c:pt idx="2">
                  <c:v> 2 - 3</c:v>
                </c:pt>
                <c:pt idx="3">
                  <c:v> 3- 4</c:v>
                </c:pt>
                <c:pt idx="4">
                  <c:v> 4- 5</c:v>
                </c:pt>
              </c:strCache>
            </c:strRef>
          </c:cat>
          <c:val>
            <c:numRef>
              <c:f>Arkusz1!$O$3:$O$7</c:f>
              <c:numCache>
                <c:formatCode>General</c:formatCode>
                <c:ptCount val="5"/>
                <c:pt idx="0">
                  <c:v>8</c:v>
                </c:pt>
                <c:pt idx="1">
                  <c:v>18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0-4E58-8EC7-7698A7B50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07076704"/>
        <c:axId val="1507068544"/>
      </c:barChart>
      <c:catAx>
        <c:axId val="150707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wielkość</a:t>
                </a:r>
                <a:r>
                  <a:rPr lang="pl-PL" sz="1400" baseline="0"/>
                  <a:t> transakcji</a:t>
                </a:r>
                <a:endParaRPr lang="pl-PL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7068544"/>
        <c:crosses val="autoZero"/>
        <c:auto val="1"/>
        <c:lblAlgn val="ctr"/>
        <c:lblOffset val="100"/>
        <c:noMultiLvlLbl val="0"/>
      </c:catAx>
      <c:valAx>
        <c:axId val="15070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liczba</a:t>
                </a:r>
                <a:r>
                  <a:rPr lang="pl-PL" sz="1400" baseline="0"/>
                  <a:t> osób</a:t>
                </a:r>
                <a:endParaRPr lang="pl-PL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707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Struktura transakcji kartą VISA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5D-4721-8EC3-CB052D51F4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5D-4721-8EC3-CB052D51F4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5D-4721-8EC3-CB052D51F4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5D-4721-8EC3-CB052D51F4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5D-4721-8EC3-CB052D51F4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Arkusz1!$M$3:$M$7</c:f>
              <c:strCache>
                <c:ptCount val="5"/>
                <c:pt idx="0">
                  <c:v> 0-1</c:v>
                </c:pt>
                <c:pt idx="1">
                  <c:v> 1 - 2</c:v>
                </c:pt>
                <c:pt idx="2">
                  <c:v> 2 - 3</c:v>
                </c:pt>
                <c:pt idx="3">
                  <c:v> 3- 4</c:v>
                </c:pt>
                <c:pt idx="4">
                  <c:v> 4- 5</c:v>
                </c:pt>
              </c:strCache>
            </c:strRef>
          </c:cat>
          <c:val>
            <c:numRef>
              <c:f>Arkusz1!$P$3:$P$7</c:f>
              <c:numCache>
                <c:formatCode>0.00%</c:formatCode>
                <c:ptCount val="5"/>
                <c:pt idx="0">
                  <c:v>0.16</c:v>
                </c:pt>
                <c:pt idx="1">
                  <c:v>0.36</c:v>
                </c:pt>
                <c:pt idx="2">
                  <c:v>0.24</c:v>
                </c:pt>
                <c:pt idx="3">
                  <c:v>0.16</c:v>
                </c:pt>
                <c:pt idx="4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5-41B3-ADE6-CD4544821E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rozrzutu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1546246719160104E-2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korelacja!$A$2:$A$11</c:f>
              <c:numCache>
                <c:formatCode>General</c:formatCode>
                <c:ptCount val="10"/>
                <c:pt idx="0">
                  <c:v>50</c:v>
                </c:pt>
                <c:pt idx="1">
                  <c:v>93</c:v>
                </c:pt>
                <c:pt idx="2">
                  <c:v>119</c:v>
                </c:pt>
                <c:pt idx="3">
                  <c:v>60</c:v>
                </c:pt>
                <c:pt idx="4">
                  <c:v>160</c:v>
                </c:pt>
                <c:pt idx="5">
                  <c:v>52</c:v>
                </c:pt>
                <c:pt idx="6">
                  <c:v>35</c:v>
                </c:pt>
                <c:pt idx="7">
                  <c:v>105</c:v>
                </c:pt>
                <c:pt idx="8">
                  <c:v>120</c:v>
                </c:pt>
                <c:pt idx="9">
                  <c:v>71</c:v>
                </c:pt>
              </c:numCache>
            </c:numRef>
          </c:xVal>
          <c:yVal>
            <c:numRef>
              <c:f>korelacja!$B$2:$B$11</c:f>
              <c:numCache>
                <c:formatCode>General</c:formatCode>
                <c:ptCount val="10"/>
                <c:pt idx="0">
                  <c:v>18</c:v>
                </c:pt>
                <c:pt idx="1">
                  <c:v>24</c:v>
                </c:pt>
                <c:pt idx="2">
                  <c:v>29</c:v>
                </c:pt>
                <c:pt idx="3">
                  <c:v>20</c:v>
                </c:pt>
                <c:pt idx="4">
                  <c:v>35</c:v>
                </c:pt>
                <c:pt idx="5">
                  <c:v>18</c:v>
                </c:pt>
                <c:pt idx="6">
                  <c:v>14</c:v>
                </c:pt>
                <c:pt idx="7">
                  <c:v>27</c:v>
                </c:pt>
                <c:pt idx="8">
                  <c:v>30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8-4FA6-8CFD-D21DC2611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07784"/>
        <c:axId val="357805816"/>
      </c:scatterChart>
      <c:valAx>
        <c:axId val="3578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zamówień na napoje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7805816"/>
        <c:crosses val="autoZero"/>
        <c:crossBetween val="midCat"/>
      </c:valAx>
      <c:valAx>
        <c:axId val="35780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780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595674</xdr:colOff>
      <xdr:row>38</xdr:row>
      <xdr:rowOff>0</xdr:rowOff>
    </xdr:from>
    <xdr:to>
      <xdr:col>11</xdr:col>
      <xdr:colOff>76200</xdr:colOff>
      <xdr:row>56</xdr:row>
      <xdr:rowOff>148347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245985</xdr:colOff>
      <xdr:row>37</xdr:row>
      <xdr:rowOff>180975</xdr:rowOff>
    </xdr:from>
    <xdr:to>
      <xdr:col>21</xdr:col>
      <xdr:colOff>352425</xdr:colOff>
      <xdr:row>56</xdr:row>
      <xdr:rowOff>98389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100012</xdr:rowOff>
    </xdr:from>
    <xdr:to>
      <xdr:col>7</xdr:col>
      <xdr:colOff>304800</xdr:colOff>
      <xdr:row>28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B10" zoomScaleNormal="100" workbookViewId="0">
      <selection activeCell="H29" sqref="H29"/>
    </sheetView>
  </sheetViews>
  <sheetFormatPr defaultRowHeight="15" x14ac:dyDescent="0.25"/>
  <cols>
    <col min="7" max="7" width="30.42578125" customWidth="1"/>
    <col min="8" max="9" width="9.140625" bestFit="1" customWidth="1"/>
    <col min="20" max="20" width="9.7109375" customWidth="1"/>
    <col min="21" max="21" width="11.7109375" customWidth="1"/>
  </cols>
  <sheetData>
    <row r="1" spans="1:21" ht="15.75" thickBot="1" x14ac:dyDescent="0.3">
      <c r="A1" t="s">
        <v>0</v>
      </c>
      <c r="G1" s="21" t="s">
        <v>1</v>
      </c>
      <c r="H1" s="20">
        <f>COUNT(A2:A51)</f>
        <v>50</v>
      </c>
      <c r="J1" s="12"/>
    </row>
    <row r="2" spans="1:21" ht="15.75" thickBot="1" x14ac:dyDescent="0.3">
      <c r="A2">
        <v>0.4</v>
      </c>
      <c r="G2" s="21" t="s">
        <v>2</v>
      </c>
      <c r="H2" s="20">
        <f>SUM(A2:A51)</f>
        <v>107.70000000000002</v>
      </c>
      <c r="J2" s="12"/>
      <c r="M2" s="15" t="s">
        <v>8</v>
      </c>
      <c r="N2" s="14" t="s">
        <v>20</v>
      </c>
      <c r="O2" s="16" t="s">
        <v>9</v>
      </c>
      <c r="P2" s="14" t="s">
        <v>15</v>
      </c>
      <c r="Q2" s="17" t="s">
        <v>16</v>
      </c>
      <c r="R2" s="14" t="s">
        <v>17</v>
      </c>
      <c r="S2" s="17" t="s">
        <v>18</v>
      </c>
      <c r="T2" s="14" t="s">
        <v>19</v>
      </c>
      <c r="U2" s="27" t="s">
        <v>30</v>
      </c>
    </row>
    <row r="3" spans="1:21" ht="16.5" thickTop="1" thickBot="1" x14ac:dyDescent="0.3">
      <c r="A3">
        <v>0.4</v>
      </c>
      <c r="G3" s="21" t="s">
        <v>3</v>
      </c>
      <c r="H3" s="44">
        <f>H2/H1</f>
        <v>2.1540000000000004</v>
      </c>
      <c r="I3" s="45">
        <f>AVERAGE(A2:A51)</f>
        <v>2.1540000000000004</v>
      </c>
      <c r="J3" s="12"/>
      <c r="M3" s="6" t="s">
        <v>14</v>
      </c>
      <c r="N3" s="4">
        <v>1</v>
      </c>
      <c r="O3" s="1">
        <f t="array" ref="O3:O7">FREQUENCY(A2:A51,N3:N6)</f>
        <v>8</v>
      </c>
      <c r="P3" s="8">
        <f>(O3/$O$8)</f>
        <v>0.16</v>
      </c>
      <c r="Q3" s="12">
        <v>0.5</v>
      </c>
      <c r="R3" s="20">
        <f>Q3*O3</f>
        <v>4</v>
      </c>
      <c r="S3" s="9">
        <f>P3</f>
        <v>0.16</v>
      </c>
      <c r="T3" s="24">
        <f>(Q3-$H$26)^2</f>
        <v>2.6896000000000004</v>
      </c>
      <c r="U3" s="28">
        <f>T3*O3</f>
        <v>21.516800000000003</v>
      </c>
    </row>
    <row r="4" spans="1:21" ht="16.5" thickTop="1" thickBot="1" x14ac:dyDescent="0.3">
      <c r="A4">
        <v>0.5</v>
      </c>
      <c r="G4" s="22" t="s">
        <v>4</v>
      </c>
      <c r="H4" s="3">
        <f>MAX(A2:A51)</f>
        <v>4.9000000000000004</v>
      </c>
      <c r="J4" s="12"/>
      <c r="M4" s="6" t="s">
        <v>10</v>
      </c>
      <c r="N4" s="4">
        <v>2</v>
      </c>
      <c r="O4" s="1">
        <v>18</v>
      </c>
      <c r="P4" s="8">
        <f t="shared" ref="P4:P7" si="0">(O4/$O$8)</f>
        <v>0.36</v>
      </c>
      <c r="Q4" s="12">
        <v>1.5</v>
      </c>
      <c r="R4" s="4">
        <f t="shared" ref="R4:R7" si="1">Q4*O4</f>
        <v>27</v>
      </c>
      <c r="S4" s="8">
        <f>P4+S3</f>
        <v>0.52</v>
      </c>
      <c r="T4" s="25">
        <f>(Q4-$H$26)^2</f>
        <v>0.40960000000000019</v>
      </c>
      <c r="U4" s="29">
        <f t="shared" ref="U4:U7" si="2">T4*O4</f>
        <v>7.3728000000000034</v>
      </c>
    </row>
    <row r="5" spans="1:21" ht="15.75" thickBot="1" x14ac:dyDescent="0.3">
      <c r="A5">
        <v>0.6</v>
      </c>
      <c r="G5" s="23" t="s">
        <v>5</v>
      </c>
      <c r="H5" s="5">
        <f>MIN(A2:A51)</f>
        <v>0.4</v>
      </c>
      <c r="J5" s="12"/>
      <c r="M5" s="6" t="s">
        <v>11</v>
      </c>
      <c r="N5" s="4">
        <v>3</v>
      </c>
      <c r="O5" s="1">
        <v>12</v>
      </c>
      <c r="P5" s="8">
        <f t="shared" si="0"/>
        <v>0.24</v>
      </c>
      <c r="Q5" s="12">
        <v>2.5</v>
      </c>
      <c r="R5" s="4">
        <f t="shared" si="1"/>
        <v>30</v>
      </c>
      <c r="S5" s="8">
        <f t="shared" ref="S5:S6" si="3">P5+S4</f>
        <v>0.76</v>
      </c>
      <c r="T5" s="25">
        <f>(Q5-$H$26)^2</f>
        <v>0.12959999999999991</v>
      </c>
      <c r="U5" s="29">
        <f t="shared" si="2"/>
        <v>1.5551999999999988</v>
      </c>
    </row>
    <row r="6" spans="1:21" ht="15.75" thickBot="1" x14ac:dyDescent="0.3">
      <c r="A6">
        <v>0.6</v>
      </c>
      <c r="G6" s="23" t="s">
        <v>6</v>
      </c>
      <c r="H6" s="5">
        <f>_xlfn.MODE.SNGL(A2:A51)</f>
        <v>1.2</v>
      </c>
      <c r="J6" s="12"/>
      <c r="M6" s="6" t="s">
        <v>12</v>
      </c>
      <c r="N6" s="4">
        <v>4</v>
      </c>
      <c r="O6" s="1">
        <v>8</v>
      </c>
      <c r="P6" s="8">
        <f t="shared" si="0"/>
        <v>0.16</v>
      </c>
      <c r="Q6" s="12">
        <v>3.5</v>
      </c>
      <c r="R6" s="4">
        <f t="shared" si="1"/>
        <v>28</v>
      </c>
      <c r="S6" s="8">
        <f t="shared" si="3"/>
        <v>0.92</v>
      </c>
      <c r="T6" s="25">
        <f>(Q6-$H$26)^2</f>
        <v>1.8495999999999997</v>
      </c>
      <c r="U6" s="29">
        <f t="shared" si="2"/>
        <v>14.796799999999998</v>
      </c>
    </row>
    <row r="7" spans="1:21" ht="15.75" thickBot="1" x14ac:dyDescent="0.3">
      <c r="A7">
        <v>0.7</v>
      </c>
      <c r="G7" s="23" t="s">
        <v>7</v>
      </c>
      <c r="H7" s="5">
        <f>MEDIAN(A2:A51)</f>
        <v>1.75</v>
      </c>
      <c r="J7" s="12"/>
      <c r="M7" s="7" t="s">
        <v>13</v>
      </c>
      <c r="N7" s="5">
        <v>5</v>
      </c>
      <c r="O7" s="2">
        <v>4</v>
      </c>
      <c r="P7" s="10">
        <f t="shared" si="0"/>
        <v>0.08</v>
      </c>
      <c r="Q7" s="13">
        <v>4.5</v>
      </c>
      <c r="R7" s="5">
        <f t="shared" si="1"/>
        <v>18</v>
      </c>
      <c r="S7" s="10">
        <f>P7+S6</f>
        <v>1</v>
      </c>
      <c r="T7" s="26">
        <f>(Q7-$H$26)^2</f>
        <v>5.5695999999999994</v>
      </c>
      <c r="U7" s="29">
        <f t="shared" si="2"/>
        <v>22.278399999999998</v>
      </c>
    </row>
    <row r="8" spans="1:21" ht="15.75" thickBot="1" x14ac:dyDescent="0.3">
      <c r="A8">
        <v>0.7</v>
      </c>
      <c r="G8" s="21" t="s">
        <v>25</v>
      </c>
      <c r="H8" s="34">
        <f>_xlfn.VAR.P(A2:A51)</f>
        <v>1.4824839999999981</v>
      </c>
      <c r="J8" s="12"/>
      <c r="O8" s="18">
        <f>SUM(O3:O7)</f>
        <v>50</v>
      </c>
      <c r="P8" s="19">
        <f>SUM(P3:P7)</f>
        <v>1</v>
      </c>
      <c r="R8" s="11">
        <f>SUM(R3:R7)</f>
        <v>107</v>
      </c>
      <c r="U8" s="28">
        <f>SUM(U3:U7)</f>
        <v>67.52000000000001</v>
      </c>
    </row>
    <row r="9" spans="1:21" ht="15.75" thickBot="1" x14ac:dyDescent="0.3">
      <c r="A9">
        <v>0.8</v>
      </c>
      <c r="G9" s="21" t="s">
        <v>26</v>
      </c>
      <c r="H9" s="33">
        <f>SQRT(H8)</f>
        <v>1.2175729957583645</v>
      </c>
      <c r="R9" s="32">
        <f>SUMPRODUCT(O3:O7,Q3:Q7)</f>
        <v>107</v>
      </c>
      <c r="T9" s="30" t="s">
        <v>25</v>
      </c>
      <c r="U9" s="31">
        <f>U8*1/O8</f>
        <v>1.3504000000000003</v>
      </c>
    </row>
    <row r="10" spans="1:21" ht="15.75" thickBot="1" x14ac:dyDescent="0.3">
      <c r="A10">
        <v>1.1000000000000001</v>
      </c>
      <c r="G10" s="21" t="s">
        <v>27</v>
      </c>
      <c r="H10" s="46">
        <f>H9/H3</f>
        <v>0.56526137221836781</v>
      </c>
    </row>
    <row r="11" spans="1:21" ht="15.75" thickBot="1" x14ac:dyDescent="0.3">
      <c r="A11">
        <v>1.2</v>
      </c>
      <c r="F11" t="s">
        <v>21</v>
      </c>
      <c r="G11" s="21" t="s">
        <v>23</v>
      </c>
      <c r="H11" s="20">
        <f>_xlfn.QUARTILE.EXC($A$2:$A$51,1)</f>
        <v>1.2</v>
      </c>
    </row>
    <row r="12" spans="1:21" ht="15.75" thickBot="1" x14ac:dyDescent="0.3">
      <c r="A12">
        <v>1.2</v>
      </c>
      <c r="G12" s="21" t="s">
        <v>31</v>
      </c>
      <c r="H12" s="20">
        <f>_xlfn.QUARTILE.EXC($A$2:$A$51,2)</f>
        <v>1.75</v>
      </c>
    </row>
    <row r="13" spans="1:21" ht="15.75" thickBot="1" x14ac:dyDescent="0.3">
      <c r="A13">
        <v>1.2</v>
      </c>
      <c r="G13" s="22" t="s">
        <v>24</v>
      </c>
      <c r="H13" s="3">
        <f>_xlfn.QUARTILE.EXC($A$2:$A$51,3)</f>
        <v>2.9750000000000001</v>
      </c>
    </row>
    <row r="14" spans="1:21" ht="15.75" thickBot="1" x14ac:dyDescent="0.3">
      <c r="A14">
        <v>1.2</v>
      </c>
      <c r="G14" s="23" t="s">
        <v>33</v>
      </c>
      <c r="H14" s="5">
        <f>(H13-H11)/2</f>
        <v>0.88750000000000007</v>
      </c>
    </row>
    <row r="15" spans="1:21" ht="15.75" thickBot="1" x14ac:dyDescent="0.3">
      <c r="A15">
        <v>1.3</v>
      </c>
      <c r="G15" s="23" t="s">
        <v>34</v>
      </c>
      <c r="H15" s="47">
        <f>H14/H12</f>
        <v>0.50714285714285723</v>
      </c>
    </row>
    <row r="16" spans="1:21" ht="15.75" thickBot="1" x14ac:dyDescent="0.3">
      <c r="A16">
        <v>1.3</v>
      </c>
      <c r="G16" s="23" t="s">
        <v>28</v>
      </c>
      <c r="H16" s="43">
        <f>(H3-H6)/H9</f>
        <v>0.78352591862946352</v>
      </c>
    </row>
    <row r="17" spans="1:10" ht="15.75" thickBot="1" x14ac:dyDescent="0.3">
      <c r="A17">
        <v>1.3</v>
      </c>
      <c r="G17" s="23" t="s">
        <v>35</v>
      </c>
      <c r="H17" s="43">
        <f>SKEW($A$2:$A$51)</f>
        <v>0.55116944288722114</v>
      </c>
    </row>
    <row r="18" spans="1:10" ht="15.75" thickBot="1" x14ac:dyDescent="0.3">
      <c r="A18">
        <v>1.4</v>
      </c>
      <c r="G18" s="23" t="s">
        <v>36</v>
      </c>
      <c r="H18" s="43">
        <f>KURT($A$2:$A$52)</f>
        <v>-0.66087464918988736</v>
      </c>
    </row>
    <row r="19" spans="1:10" x14ac:dyDescent="0.25">
      <c r="A19">
        <v>1.4</v>
      </c>
    </row>
    <row r="20" spans="1:10" x14ac:dyDescent="0.25">
      <c r="A20">
        <v>1.5</v>
      </c>
    </row>
    <row r="21" spans="1:10" x14ac:dyDescent="0.25">
      <c r="A21">
        <v>1.5</v>
      </c>
    </row>
    <row r="22" spans="1:10" x14ac:dyDescent="0.25">
      <c r="A22">
        <v>1.6</v>
      </c>
    </row>
    <row r="23" spans="1:10" x14ac:dyDescent="0.25">
      <c r="A23">
        <v>1.6</v>
      </c>
    </row>
    <row r="24" spans="1:10" x14ac:dyDescent="0.25">
      <c r="A24">
        <v>1.6</v>
      </c>
    </row>
    <row r="25" spans="1:10" ht="15.75" thickBot="1" x14ac:dyDescent="0.3">
      <c r="A25">
        <v>1.7</v>
      </c>
    </row>
    <row r="26" spans="1:10" x14ac:dyDescent="0.25">
      <c r="A26">
        <v>1.7</v>
      </c>
      <c r="G26" s="35" t="s">
        <v>22</v>
      </c>
      <c r="H26" s="36">
        <f>R8/O8</f>
        <v>2.14</v>
      </c>
      <c r="J26" s="12"/>
    </row>
    <row r="27" spans="1:10" x14ac:dyDescent="0.25">
      <c r="A27">
        <v>1.8</v>
      </c>
      <c r="G27" s="37" t="s">
        <v>25</v>
      </c>
      <c r="H27" s="38">
        <f>SUMPRODUCT(O3:O7,T3:T7)/O8</f>
        <v>1.3504000000000003</v>
      </c>
    </row>
    <row r="28" spans="1:10" x14ac:dyDescent="0.25">
      <c r="A28">
        <v>2.1</v>
      </c>
      <c r="G28" s="37" t="s">
        <v>26</v>
      </c>
      <c r="H28" s="38">
        <f>SQRT(H27)</f>
        <v>1.1620671237067162</v>
      </c>
    </row>
    <row r="29" spans="1:10" x14ac:dyDescent="0.25">
      <c r="A29">
        <v>2.2000000000000002</v>
      </c>
      <c r="G29" s="37" t="s">
        <v>7</v>
      </c>
      <c r="H29" s="38">
        <f>1+(((O8)/2)-O3)*(1/18)</f>
        <v>1.9444444444444444</v>
      </c>
    </row>
    <row r="30" spans="1:10" x14ac:dyDescent="0.25">
      <c r="A30">
        <v>2.2000000000000002</v>
      </c>
      <c r="G30" s="40" t="s">
        <v>23</v>
      </c>
      <c r="H30" s="38">
        <f>1+(O8/4-O3)*(1/18)</f>
        <v>1.25</v>
      </c>
    </row>
    <row r="31" spans="1:10" x14ac:dyDescent="0.25">
      <c r="A31">
        <v>2.4</v>
      </c>
      <c r="G31" s="40" t="s">
        <v>31</v>
      </c>
      <c r="H31" s="38">
        <f>1+(50/2-8)*(1/18)</f>
        <v>1.9444444444444444</v>
      </c>
    </row>
    <row r="32" spans="1:10" x14ac:dyDescent="0.25">
      <c r="A32">
        <v>2.5</v>
      </c>
      <c r="G32" s="40" t="s">
        <v>24</v>
      </c>
      <c r="H32" s="38">
        <f>1+(O8*3/4-SUM(O3:O4))*(1/12)</f>
        <v>1.9583333333333333</v>
      </c>
    </row>
    <row r="33" spans="1:9" x14ac:dyDescent="0.25">
      <c r="A33">
        <v>2.5</v>
      </c>
      <c r="G33" s="37" t="s">
        <v>6</v>
      </c>
      <c r="H33" s="38">
        <f>1+(O4-O3)/((O4-O3)+(O4-O5))*1</f>
        <v>1.625</v>
      </c>
    </row>
    <row r="34" spans="1:9" x14ac:dyDescent="0.25">
      <c r="A34">
        <v>2.5</v>
      </c>
      <c r="G34" s="37" t="s">
        <v>27</v>
      </c>
      <c r="H34" s="41">
        <f>H26/H28</f>
        <v>1.8415459454475505</v>
      </c>
    </row>
    <row r="35" spans="1:9" x14ac:dyDescent="0.25">
      <c r="A35">
        <v>2.6</v>
      </c>
      <c r="G35" s="37" t="s">
        <v>28</v>
      </c>
      <c r="H35" s="41">
        <f>(H26-H33)/H28</f>
        <v>0.44317577659134982</v>
      </c>
      <c r="I35" t="s">
        <v>32</v>
      </c>
    </row>
    <row r="36" spans="1:9" ht="15.75" thickBot="1" x14ac:dyDescent="0.3">
      <c r="A36">
        <v>2.6</v>
      </c>
      <c r="G36" s="39" t="s">
        <v>29</v>
      </c>
      <c r="H36" s="42">
        <f>SUMPRODUCT(T3:T7,T3:T7)/50/(H28^4)</f>
        <v>0.45909669032591338</v>
      </c>
    </row>
    <row r="37" spans="1:9" x14ac:dyDescent="0.25">
      <c r="A37">
        <v>2.7</v>
      </c>
    </row>
    <row r="38" spans="1:9" x14ac:dyDescent="0.25">
      <c r="A38">
        <v>2.8</v>
      </c>
    </row>
    <row r="39" spans="1:9" x14ac:dyDescent="0.25">
      <c r="A39">
        <v>2.9</v>
      </c>
    </row>
    <row r="40" spans="1:9" x14ac:dyDescent="0.25">
      <c r="A40">
        <v>3.2</v>
      </c>
    </row>
    <row r="41" spans="1:9" x14ac:dyDescent="0.25">
      <c r="A41">
        <v>3.4</v>
      </c>
    </row>
    <row r="42" spans="1:9" x14ac:dyDescent="0.25">
      <c r="A42">
        <v>3.5</v>
      </c>
    </row>
    <row r="43" spans="1:9" x14ac:dyDescent="0.25">
      <c r="A43">
        <v>3.6</v>
      </c>
    </row>
    <row r="44" spans="1:9" x14ac:dyDescent="0.25">
      <c r="A44">
        <v>3.7</v>
      </c>
    </row>
    <row r="45" spans="1:9" x14ac:dyDescent="0.25">
      <c r="A45">
        <v>3.8</v>
      </c>
    </row>
    <row r="46" spans="1:9" x14ac:dyDescent="0.25">
      <c r="A46">
        <v>3.9</v>
      </c>
    </row>
    <row r="47" spans="1:9" x14ac:dyDescent="0.25">
      <c r="A47">
        <v>3.9</v>
      </c>
    </row>
    <row r="48" spans="1:9" x14ac:dyDescent="0.25">
      <c r="A48">
        <v>4.3</v>
      </c>
    </row>
    <row r="49" spans="1:1" x14ac:dyDescent="0.25">
      <c r="A49">
        <v>4.5999999999999996</v>
      </c>
    </row>
    <row r="50" spans="1:1" x14ac:dyDescent="0.25">
      <c r="A50">
        <v>4.5999999999999996</v>
      </c>
    </row>
    <row r="51" spans="1:1" x14ac:dyDescent="0.25">
      <c r="A51">
        <v>4.9000000000000004</v>
      </c>
    </row>
  </sheetData>
  <sortState ref="A2:A51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O12" sqref="O12"/>
    </sheetView>
  </sheetViews>
  <sheetFormatPr defaultRowHeight="15" x14ac:dyDescent="0.25"/>
  <cols>
    <col min="5" max="5" width="12" customWidth="1"/>
    <col min="14" max="14" width="25.7109375" customWidth="1"/>
    <col min="15" max="15" width="14" customWidth="1"/>
  </cols>
  <sheetData>
    <row r="1" spans="1:15" x14ac:dyDescent="0.25">
      <c r="A1" s="52" t="s">
        <v>0</v>
      </c>
      <c r="B1" s="52" t="s">
        <v>37</v>
      </c>
      <c r="C1" s="49" t="s">
        <v>39</v>
      </c>
      <c r="D1" s="49" t="s">
        <v>40</v>
      </c>
      <c r="E1" s="49" t="s">
        <v>38</v>
      </c>
      <c r="F1" s="49" t="s">
        <v>41</v>
      </c>
      <c r="G1" s="49" t="s">
        <v>46</v>
      </c>
      <c r="H1" s="48"/>
      <c r="I1" s="48"/>
    </row>
    <row r="2" spans="1:15" x14ac:dyDescent="0.25">
      <c r="A2" s="50">
        <v>50</v>
      </c>
      <c r="B2" s="50">
        <v>18</v>
      </c>
      <c r="C2" s="48">
        <f>A2-$A$12</f>
        <v>-36.5</v>
      </c>
      <c r="D2" s="48">
        <f>B2-$B$12</f>
        <v>-5.6999999999999993</v>
      </c>
      <c r="E2" s="48">
        <f>SUMPRODUCT(C2:C11,D2:D11)/10</f>
        <v>230.55</v>
      </c>
      <c r="F2" s="48">
        <f>SUMSQ(C2:C11,D2:D11)/10</f>
        <v>1446.46</v>
      </c>
      <c r="G2">
        <f>SUMSQ(D2:D11)/10</f>
        <v>38.209999999999994</v>
      </c>
      <c r="H2" s="48"/>
      <c r="I2" s="48"/>
    </row>
    <row r="3" spans="1:15" x14ac:dyDescent="0.25">
      <c r="A3" s="50">
        <v>93</v>
      </c>
      <c r="B3" s="50">
        <v>24</v>
      </c>
      <c r="C3" s="48">
        <f t="shared" ref="C3:C11" si="0">A3-$A$12</f>
        <v>6.5</v>
      </c>
      <c r="D3" s="48">
        <f t="shared" ref="D3:D11" si="1">B3-$B$12</f>
        <v>0.30000000000000071</v>
      </c>
      <c r="E3" s="48"/>
      <c r="F3" s="48"/>
      <c r="G3" s="48"/>
      <c r="H3" s="48"/>
      <c r="I3" s="48"/>
    </row>
    <row r="4" spans="1:15" x14ac:dyDescent="0.25">
      <c r="A4" s="50">
        <v>119</v>
      </c>
      <c r="B4" s="50">
        <v>29</v>
      </c>
      <c r="C4" s="48">
        <f t="shared" si="0"/>
        <v>32.5</v>
      </c>
      <c r="D4" s="48">
        <f t="shared" si="1"/>
        <v>5.3000000000000007</v>
      </c>
      <c r="E4" s="48"/>
      <c r="F4" s="48"/>
      <c r="G4" s="48"/>
      <c r="H4" s="48"/>
      <c r="I4" s="48"/>
    </row>
    <row r="5" spans="1:15" x14ac:dyDescent="0.25">
      <c r="A5" s="50">
        <v>60</v>
      </c>
      <c r="B5" s="50">
        <v>20</v>
      </c>
      <c r="C5" s="48">
        <f t="shared" si="0"/>
        <v>-26.5</v>
      </c>
      <c r="D5" s="48">
        <f t="shared" si="1"/>
        <v>-3.6999999999999993</v>
      </c>
      <c r="E5" s="48"/>
      <c r="F5" s="48"/>
      <c r="G5" s="48"/>
      <c r="H5" s="48"/>
      <c r="I5" s="48"/>
    </row>
    <row r="6" spans="1:15" x14ac:dyDescent="0.25">
      <c r="A6" s="50">
        <v>160</v>
      </c>
      <c r="B6" s="50">
        <v>35</v>
      </c>
      <c r="C6" s="48">
        <f t="shared" si="0"/>
        <v>73.5</v>
      </c>
      <c r="D6" s="48">
        <f t="shared" si="1"/>
        <v>11.3</v>
      </c>
      <c r="E6" s="48"/>
      <c r="F6" s="48"/>
      <c r="G6" s="48"/>
      <c r="H6" s="48"/>
      <c r="I6" s="48"/>
    </row>
    <row r="7" spans="1:15" x14ac:dyDescent="0.25">
      <c r="A7" s="50">
        <v>52</v>
      </c>
      <c r="B7" s="50">
        <v>18</v>
      </c>
      <c r="C7" s="48">
        <f t="shared" si="0"/>
        <v>-34.5</v>
      </c>
      <c r="D7" s="48">
        <f t="shared" si="1"/>
        <v>-5.6999999999999993</v>
      </c>
      <c r="E7" s="48"/>
      <c r="F7" s="48"/>
      <c r="G7" s="48"/>
      <c r="H7" s="48"/>
      <c r="I7" s="48"/>
    </row>
    <row r="8" spans="1:15" x14ac:dyDescent="0.25">
      <c r="A8" s="50">
        <v>35</v>
      </c>
      <c r="B8" s="50">
        <v>14</v>
      </c>
      <c r="C8" s="48">
        <f t="shared" si="0"/>
        <v>-51.5</v>
      </c>
      <c r="D8" s="48">
        <f t="shared" si="1"/>
        <v>-9.6999999999999993</v>
      </c>
      <c r="E8" s="48"/>
      <c r="F8" s="48"/>
      <c r="G8" s="48"/>
      <c r="H8" s="48"/>
      <c r="I8" s="48"/>
    </row>
    <row r="9" spans="1:15" x14ac:dyDescent="0.25">
      <c r="A9" s="50">
        <v>105</v>
      </c>
      <c r="B9" s="50">
        <v>27</v>
      </c>
      <c r="C9" s="48">
        <f t="shared" si="0"/>
        <v>18.5</v>
      </c>
      <c r="D9" s="48">
        <f t="shared" si="1"/>
        <v>3.3000000000000007</v>
      </c>
      <c r="E9" s="48"/>
      <c r="F9" s="48"/>
      <c r="G9" s="48"/>
      <c r="H9" s="48"/>
      <c r="I9" s="48"/>
    </row>
    <row r="10" spans="1:15" x14ac:dyDescent="0.25">
      <c r="A10" s="50">
        <v>120</v>
      </c>
      <c r="B10" s="50">
        <v>30</v>
      </c>
      <c r="C10" s="48">
        <f t="shared" si="0"/>
        <v>33.5</v>
      </c>
      <c r="D10" s="48">
        <f t="shared" si="1"/>
        <v>6.3000000000000007</v>
      </c>
      <c r="E10" s="48"/>
      <c r="F10" s="48"/>
      <c r="G10" s="48"/>
      <c r="H10" s="48"/>
      <c r="I10" s="48"/>
    </row>
    <row r="11" spans="1:15" x14ac:dyDescent="0.25">
      <c r="A11" s="50">
        <v>71</v>
      </c>
      <c r="B11" s="50">
        <v>22</v>
      </c>
      <c r="C11" s="48">
        <f t="shared" si="0"/>
        <v>-15.5</v>
      </c>
      <c r="D11" s="48">
        <f t="shared" si="1"/>
        <v>-1.6999999999999993</v>
      </c>
      <c r="E11" s="48"/>
      <c r="F11" s="48"/>
      <c r="G11" s="48"/>
      <c r="H11" s="48"/>
      <c r="I11" s="48"/>
    </row>
    <row r="12" spans="1:15" x14ac:dyDescent="0.25">
      <c r="A12">
        <f>AVERAGEA(A2:A11)</f>
        <v>86.5</v>
      </c>
      <c r="B12">
        <f>AVERAGEA(B2:B11)</f>
        <v>23.7</v>
      </c>
      <c r="N12" s="49" t="s">
        <v>42</v>
      </c>
      <c r="O12" s="48">
        <f>SUMPRODUCT(C2:C11,D2:D11)/10</f>
        <v>230.55</v>
      </c>
    </row>
    <row r="13" spans="1:15" x14ac:dyDescent="0.25">
      <c r="N13" s="49" t="s">
        <v>43</v>
      </c>
      <c r="O13" s="48">
        <f>SUMSQ(C2:C11,D2:D11)/10</f>
        <v>1446.46</v>
      </c>
    </row>
    <row r="14" spans="1:15" x14ac:dyDescent="0.25">
      <c r="N14" s="49" t="s">
        <v>44</v>
      </c>
      <c r="O14" s="48">
        <f>SUMSQ(D2:D11,C2:C11)/10</f>
        <v>1446.46</v>
      </c>
    </row>
    <row r="15" spans="1:15" x14ac:dyDescent="0.25">
      <c r="N15" s="49" t="s">
        <v>49</v>
      </c>
      <c r="O15" s="48">
        <f>CORREL(C2:C11,D2:D11)</f>
        <v>0.99388635389048763</v>
      </c>
    </row>
    <row r="16" spans="1:15" x14ac:dyDescent="0.25">
      <c r="N16" s="49" t="s">
        <v>45</v>
      </c>
      <c r="O16" s="48">
        <f>PEARSON(C2:C11,D2:D11)</f>
        <v>0.99388635389048763</v>
      </c>
    </row>
    <row r="17" spans="2:15" x14ac:dyDescent="0.25">
      <c r="N17" s="49" t="s">
        <v>47</v>
      </c>
      <c r="O17" s="53">
        <f>O12/G2</f>
        <v>6.0337607956032464</v>
      </c>
    </row>
    <row r="18" spans="2:15" x14ac:dyDescent="0.25">
      <c r="N18" s="49" t="s">
        <v>48</v>
      </c>
      <c r="O18" s="54">
        <f>A12-O17*B12</f>
        <v>-56.500130855796925</v>
      </c>
    </row>
    <row r="19" spans="2:15" x14ac:dyDescent="0.25">
      <c r="N19" s="49" t="s">
        <v>50</v>
      </c>
      <c r="O19" s="48" t="s">
        <v>51</v>
      </c>
    </row>
    <row r="20" spans="2:15" x14ac:dyDescent="0.25">
      <c r="N20" s="49"/>
      <c r="O20" s="48"/>
    </row>
    <row r="21" spans="2:15" x14ac:dyDescent="0.25">
      <c r="N21" s="49"/>
      <c r="O21" s="48"/>
    </row>
    <row r="27" spans="2:15" x14ac:dyDescent="0.25">
      <c r="N27" s="55" t="s">
        <v>52</v>
      </c>
      <c r="O27" s="56">
        <f>56.5/O17</f>
        <v>9.3639774452396427</v>
      </c>
    </row>
    <row r="28" spans="2:15" x14ac:dyDescent="0.25">
      <c r="N28" s="55" t="s">
        <v>54</v>
      </c>
      <c r="O28" s="51">
        <f>O17*32-56.5</f>
        <v>136.58034545930389</v>
      </c>
    </row>
    <row r="29" spans="2:15" x14ac:dyDescent="0.25">
      <c r="N29" s="55" t="s">
        <v>53</v>
      </c>
      <c r="O29" s="51">
        <f>O17*12-56.5</f>
        <v>15.905129547238957</v>
      </c>
    </row>
    <row r="31" spans="2:15" x14ac:dyDescent="0.25">
      <c r="B31">
        <f t="array" ref="B31:C34">LINEST(A2:A11,B2:B11,1,1)</f>
        <v>6.0337607956032437</v>
      </c>
      <c r="C31">
        <v>-56.500130855796868</v>
      </c>
    </row>
    <row r="32" spans="2:15" x14ac:dyDescent="0.25">
      <c r="B32">
        <v>0.2369772831018466</v>
      </c>
      <c r="C32">
        <v>5.8042504942954531</v>
      </c>
    </row>
    <row r="33" spans="2:3" x14ac:dyDescent="0.25">
      <c r="B33">
        <v>0.98781008444972718</v>
      </c>
      <c r="C33">
        <v>4.6322846109765043</v>
      </c>
    </row>
    <row r="34" spans="2:3" x14ac:dyDescent="0.25">
      <c r="B34">
        <v>648.2801823365304</v>
      </c>
      <c r="C3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korelacja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student1</cp:lastModifiedBy>
  <dcterms:created xsi:type="dcterms:W3CDTF">2017-10-09T09:41:23Z</dcterms:created>
  <dcterms:modified xsi:type="dcterms:W3CDTF">2017-10-30T12:03:59Z</dcterms:modified>
</cp:coreProperties>
</file>