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1.xml" ContentType="application/vnd.openxmlformats-officedocument.spreadsheetml.table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updateLinks="never" codeName="EstaPastaDeTrabalho"/>
  <mc:AlternateContent xmlns:mc="http://schemas.openxmlformats.org/markup-compatibility/2006">
    <mc:Choice Requires="x15">
      <x15ac:absPath xmlns:x15ac="http://schemas.microsoft.com/office/spreadsheetml/2010/11/ac" url="C:\Users\Windcraft\Downloads\"/>
    </mc:Choice>
  </mc:AlternateContent>
  <xr:revisionPtr revIDLastSave="0" documentId="13_ncr:1_{4E4FC997-B66B-401D-8251-E481C9387F2C}" xr6:coauthVersionLast="47" xr6:coauthVersionMax="47" xr10:uidLastSave="{00000000-0000-0000-0000-000000000000}"/>
  <bookViews>
    <workbookView xWindow="20370" yWindow="-120" windowWidth="24240" windowHeight="13020" tabRatio="790" activeTab="2" xr2:uid="{00000000-000D-0000-FFFF-FFFF00000000}"/>
  </bookViews>
  <sheets>
    <sheet name="Capa" sheetId="1" r:id="rId1"/>
    <sheet name="Mapa" sheetId="5" r:id="rId2"/>
    <sheet name="Helexia" sheetId="4" r:id="rId3"/>
    <sheet name="TI" sheetId="8" r:id="rId4"/>
    <sheet name="Equipamentos" sheetId="18" r:id="rId5"/>
    <sheet name="HSE-Jurídico" sheetId="13" r:id="rId6"/>
    <sheet name="Faturamento" sheetId="16" r:id="rId7"/>
    <sheet name="Gráficos" sheetId="6" r:id="rId8"/>
    <sheet name="Pontos de Atenção" sheetId="11" r:id="rId9"/>
    <sheet name="MWp" sheetId="3" r:id="rId10"/>
    <sheet name="Salários" sheetId="17" r:id="rId11"/>
    <sheet name="Source" sheetId="7" r:id="rId12"/>
  </sheets>
  <definedNames>
    <definedName name="_xlnm._FilterDatabase" localSheetId="6" hidden="1">Faturamento!$A$6:$M$13</definedName>
    <definedName name="_xlnm._FilterDatabase" localSheetId="2" hidden="1">Helexia!$C$2:$L$65</definedName>
    <definedName name="_xlnm._FilterDatabase" localSheetId="10" hidden="1">Salários!$A$2:$D$62</definedName>
    <definedName name="_xlchart.v5.0" hidden="1">Source!$B$3:$D$3</definedName>
    <definedName name="_xlchart.v5.1" hidden="1">Source!$B$4:$D$52</definedName>
    <definedName name="_xlchart.v5.2" hidden="1">Source!$E$3</definedName>
    <definedName name="_xlchart.v5.3" hidden="1">Source!$E$4:$E$52</definedName>
    <definedName name="Abr" localSheetId="6">Faturamento!DaysAndWeeks+DATE(Faturamento!CalendárioYear,4,1)-WEEKDAY(DATE(Faturamento!CalendárioYear,4,1),Faturamento!OpçãodeDiadaSemana)+1</definedName>
    <definedName name="Abr" localSheetId="2">Helexia!DaysAndWeeks+DATE(CalendárioYear,4,1)-WEEKDAY(DATE(CalendárioYear,4,1),Helexia!OpçãodeDiadaSemana)+1</definedName>
    <definedName name="Abr" localSheetId="1">Mapa!DaysAndWeeks+DATE(CalendárioYear,4,1)-WEEKDAY(DATE(CalendárioYear,4,1),Mapa!OpçãodeDiadaSemana)+1</definedName>
    <definedName name="Abr" localSheetId="9">MWp!DaysAndWeeks+DATE(MWp!CalendárioYear,4,1)-WEEKDAY(DATE(MWp!CalendárioYear,4,1),MWp!OpçãodeDiadaSemana)+1</definedName>
    <definedName name="Abr" localSheetId="10">Salários!DaysAndWeeks+DATE(Salários!CalendárioYear,4,1)-WEEKDAY(DATE(Salários!CalendárioYear,4,1),Salários!OpçãodeDiadaSemana)+1</definedName>
    <definedName name="Abr" localSheetId="11">Source!DaysAndWeeks+DATE(CalendárioYear,4,1)-WEEKDAY(DATE(CalendárioYear,4,1),Source!OpçãodeDiadaSemana)+1</definedName>
    <definedName name="Abr">DaysAndWeeks+DATE(CalendárioYear,4,1)-WEEKDAY(DATE(CalendárioYear,4,1),OpçãodeDiadaSemana)+1</definedName>
    <definedName name="Ago" localSheetId="6">Faturamento!DaysAndWeeks+DATE(Faturamento!CalendárioYear,8,1)-WEEKDAY(DATE(Faturamento!CalendárioYear,8,1),Faturamento!OpçãodeDiadaSemana)+1</definedName>
    <definedName name="Ago" localSheetId="2">Helexia!DaysAndWeeks+DATE(CalendárioYear,8,1)-WEEKDAY(DATE(CalendárioYear,8,1),Helexia!OpçãodeDiadaSemana)+1</definedName>
    <definedName name="Ago" localSheetId="1">Mapa!DaysAndWeeks+DATE(CalendárioYear,8,1)-WEEKDAY(DATE(CalendárioYear,8,1),Mapa!OpçãodeDiadaSemana)+1</definedName>
    <definedName name="Ago" localSheetId="9">MWp!DaysAndWeeks+DATE(MWp!CalendárioYear,8,1)-WEEKDAY(DATE(MWp!CalendárioYear,8,1),MWp!OpçãodeDiadaSemana)+1</definedName>
    <definedName name="Ago" localSheetId="10">Salários!DaysAndWeeks+DATE(Salários!CalendárioYear,8,1)-WEEKDAY(DATE(Salários!CalendárioYear,8,1),Salários!OpçãodeDiadaSemana)+1</definedName>
    <definedName name="Ago" localSheetId="11">Source!DaysAndWeeks+DATE(CalendárioYear,8,1)-WEEKDAY(DATE(CalendárioYear,8,1),Source!OpçãodeDiadaSemana)+1</definedName>
    <definedName name="Ago">DaysAndWeeks+DATE(CalendárioYear,8,1)-WEEKDAY(DATE(CalendárioYear,8,1),OpçãodeDiadaSemana)+1</definedName>
    <definedName name="_xlnm.Print_Area" localSheetId="0">Capa!$A$1:$Q$40</definedName>
    <definedName name="_xlnm.Print_Area" localSheetId="4">Equipamentos!$A$1:$AB$27</definedName>
    <definedName name="_xlnm.Print_Area" localSheetId="6">Faturamento!$A$1:$AA$26</definedName>
    <definedName name="_xlnm.Print_Area" localSheetId="7">Gráficos!$A$1:$N$17</definedName>
    <definedName name="_xlnm.Print_Area" localSheetId="2">Helexia!$C$1:$N$65</definedName>
    <definedName name="_xlnm.Print_Area" localSheetId="5">'HSE-Jurídico'!$A$1:$N$54</definedName>
    <definedName name="_xlnm.Print_Area" localSheetId="1">Mapa!$A$1:$O$38</definedName>
    <definedName name="_xlnm.Print_Area" localSheetId="8">'Pontos de Atenção'!$A$1:$H$30</definedName>
    <definedName name="_xlnm.Print_Area" localSheetId="3">TI!$A$1:$G$38</definedName>
    <definedName name="CabeçalhosdeDia" localSheetId="6">LEFT(TEXT(#REF!,"ddd"),1)</definedName>
    <definedName name="CabeçalhosdeDia" localSheetId="9">LEFT(TEXT(#REF!,"ddd"),1)</definedName>
    <definedName name="CabeçalhosdeDia" localSheetId="10">LEFT(TEXT(#REF!,"ddd"),1)</definedName>
    <definedName name="CabeçalhosdeDia">LEFT(TEXT(#REF!,"ddd"),1)</definedName>
    <definedName name="CabeçalhosdeMês" localSheetId="6">UPPER(TEXT(#REF!,"mmmm"))</definedName>
    <definedName name="CabeçalhosdeMês" localSheetId="9">UPPER(TEXT(#REF!,"mmmm"))</definedName>
    <definedName name="CabeçalhosdeMês" localSheetId="10">UPPER(TEXT(#REF!,"mmmm"))</definedName>
    <definedName name="CabeçalhosdeMês">UPPER(TEXT(#REF!,"mmmm"))</definedName>
    <definedName name="Calendário" localSheetId="6">Faturamento!DaysAndWeeks + DateOfFirst - WEEKDAY(DateOfFirst,2)</definedName>
    <definedName name="Calendário" localSheetId="2">Helexia!DaysAndWeeks + DateOfFirst - WEEKDAY(DateOfFirst,2)</definedName>
    <definedName name="Calendário" localSheetId="1">Mapa!DaysAndWeeks + DateOfFirst - WEEKDAY(DateOfFirst,2)</definedName>
    <definedName name="Calendário" localSheetId="9">MWp!DaysAndWeeks + DateOfFirst - WEEKDAY(DateOfFirst,2)</definedName>
    <definedName name="Calendário" localSheetId="10">Salários!DaysAndWeeks + DateOfFirst - WEEKDAY(DateOfFirst,2)</definedName>
    <definedName name="Calendário" localSheetId="11">Source!DaysAndWeeks + DateOfFirst - WEEKDAY(DateOfFirst,2)</definedName>
    <definedName name="Calendário">DaysAndWeeks + DateOfFirst - WEEKDAY(DateOfFirst,2)</definedName>
    <definedName name="CalendárioYear" localSheetId="6">#REF!</definedName>
    <definedName name="CalendárioYear" localSheetId="9">#REF!</definedName>
    <definedName name="CalendárioYear" localSheetId="10">#REF!</definedName>
    <definedName name="CalendárioYear">#REF!</definedName>
    <definedName name="Contrato" localSheetId="6">#REF!</definedName>
    <definedName name="Contrato" localSheetId="10">#REF!</definedName>
    <definedName name="Contrato">#REF!</definedName>
    <definedName name="DaysAndWeeks" localSheetId="6">{0,1,2,3,4,5,6} + {0;1;2;3;4;5}*7</definedName>
    <definedName name="DaysAndWeeks" localSheetId="2">{0,1,2,3,4,5,6} + {0;1;2;3;4;5}*7</definedName>
    <definedName name="DaysAndWeeks" localSheetId="1">{0,1,2,3,4,5,6} + {0;1;2;3;4;5}*7</definedName>
    <definedName name="DaysAndWeeks" localSheetId="9">{0,1,2,3,4,5,6} + {0;1;2;3;4;5}*7</definedName>
    <definedName name="DaysAndWeeks" localSheetId="10">{0,1,2,3,4,5,6} + {0;1;2;3;4;5}*7</definedName>
    <definedName name="DaysAndWeeks" localSheetId="11">{0,1,2,3,4,5,6} + {0;1;2;3;4;5}*7</definedName>
    <definedName name="DaysAndWeeks">{0,1,2,3,4,5,6} + {0;1;2;3;4;5}*7</definedName>
    <definedName name="Dez" localSheetId="6">Faturamento!DaysAndWeeks+DATE(Faturamento!CalendárioYear,12,1)-WEEKDAY(DATE(Faturamento!CalendárioYear,12,1),Faturamento!OpçãodeDiadaSemana)+1</definedName>
    <definedName name="Dez" localSheetId="2">Helexia!DaysAndWeeks+DATE(CalendárioYear,12,1)-WEEKDAY(DATE(CalendárioYear,12,1),Helexia!OpçãodeDiadaSemana)+1</definedName>
    <definedName name="Dez" localSheetId="1">Mapa!DaysAndWeeks+DATE(CalendárioYear,12,1)-WEEKDAY(DATE(CalendárioYear,12,1),Mapa!OpçãodeDiadaSemana)+1</definedName>
    <definedName name="Dez" localSheetId="9">MWp!DaysAndWeeks+DATE(MWp!CalendárioYear,12,1)-WEEKDAY(DATE(MWp!CalendárioYear,12,1),MWp!OpçãodeDiadaSemana)+1</definedName>
    <definedName name="Dez" localSheetId="10">Salários!DaysAndWeeks+DATE(Salários!CalendárioYear,12,1)-WEEKDAY(DATE(Salários!CalendárioYear,12,1),Salários!OpçãodeDiadaSemana)+1</definedName>
    <definedName name="Dez" localSheetId="11">Source!DaysAndWeeks+DATE(CalendárioYear,12,1)-WEEKDAY(DATE(CalendárioYear,12,1),Source!OpçãodeDiadaSemana)+1</definedName>
    <definedName name="Dez">DaysAndWeeks+DATE(CalendárioYear,12,1)-WEEKDAY(DATE(CalendárioYear,12,1),OpçãodeDiadaSemana)+1</definedName>
    <definedName name="DiasÚteis" localSheetId="6">{"segunda-feira","terça-feira","quarta-feira","quinta-feira","sexta-feira","sábado","domingo"}</definedName>
    <definedName name="DiasÚteis" localSheetId="2">{"segunda-feira","terça-feira","quarta-feira","quinta-feira","sexta-feira","sábado","domingo"}</definedName>
    <definedName name="DiasÚteis" localSheetId="1">{"segunda-feira","terça-feira","quarta-feira","quinta-feira","sexta-feira","sábado","domingo"}</definedName>
    <definedName name="DiasÚteis" localSheetId="9">{"segunda-feira","terça-feira","quarta-feira","quinta-feira","sexta-feira","sábado","domingo"}</definedName>
    <definedName name="DiasÚteis" localSheetId="10">{"segunda-feira","terça-feira","quarta-feira","quinta-feira","sexta-feira","sábado","domingo"}</definedName>
    <definedName name="DiasÚteis" localSheetId="11">{"segunda-feira","terça-feira","quarta-feira","quinta-feira","sexta-feira","sábado","domingo"}</definedName>
    <definedName name="DiasÚteis">{"segunda-feira","terça-feira","quarta-feira","quinta-feira","sexta-feira","sábado","domingo"}</definedName>
    <definedName name="Fev" localSheetId="6">Faturamento!DaysAndWeeks+DATE(Faturamento!CalendárioYear,2,1)-WEEKDAY(DATE(Faturamento!CalendárioYear,2,1),Faturamento!OpçãodeDiadaSemana)+1</definedName>
    <definedName name="Fev" localSheetId="2">Helexia!DaysAndWeeks+DATE(CalendárioYear,2,1)-WEEKDAY(DATE(CalendárioYear,2,1),Helexia!OpçãodeDiadaSemana)+1</definedName>
    <definedName name="Fev" localSheetId="1">Mapa!DaysAndWeeks+DATE(CalendárioYear,2,1)-WEEKDAY(DATE(CalendárioYear,2,1),Mapa!OpçãodeDiadaSemana)+1</definedName>
    <definedName name="Fev" localSheetId="9">MWp!DaysAndWeeks+DATE(MWp!CalendárioYear,2,1)-WEEKDAY(DATE(MWp!CalendárioYear,2,1),MWp!OpçãodeDiadaSemana)+1</definedName>
    <definedName name="Fev" localSheetId="10">Salários!DaysAndWeeks+DATE(Salários!CalendárioYear,2,1)-WEEKDAY(DATE(Salários!CalendárioYear,2,1),Salários!OpçãodeDiadaSemana)+1</definedName>
    <definedName name="Fev" localSheetId="11">Source!DaysAndWeeks+DATE(CalendárioYear,2,1)-WEEKDAY(DATE(CalendárioYear,2,1),Source!OpçãodeDiadaSemana)+1</definedName>
    <definedName name="Fev">DaysAndWeeks+DATE(CalendárioYear,2,1)-WEEKDAY(DATE(CalendárioYear,2,1),OpçãodeDiadaSemana)+1</definedName>
    <definedName name="Filtro_Val">#REF!</definedName>
    <definedName name="IníciodaSemana" localSheetId="6">#REF!</definedName>
    <definedName name="IníciodaSemana" localSheetId="9">#REF!</definedName>
    <definedName name="IníciodaSemana" localSheetId="10">#REF!</definedName>
    <definedName name="IníciodaSemana">#REF!</definedName>
    <definedName name="IR">#REF!</definedName>
    <definedName name="Jan" localSheetId="6">Faturamento!DaysAndWeeks+DATE(Faturamento!CalendárioYear,1,1)-WEEKDAY(DATE(Faturamento!CalendárioYear,1,1),Faturamento!OpçãodeDiadaSemana)+1</definedName>
    <definedName name="Jan" localSheetId="2">Helexia!DaysAndWeeks+DATE(CalendárioYear,1,1)-WEEKDAY(DATE(CalendárioYear,1,1),Helexia!OpçãodeDiadaSemana)+1</definedName>
    <definedName name="Jan" localSheetId="1">Mapa!DaysAndWeeks+DATE(CalendárioYear,1,1)-WEEKDAY(DATE(CalendárioYear,1,1),Mapa!OpçãodeDiadaSemana)+1</definedName>
    <definedName name="Jan" localSheetId="9">MWp!DaysAndWeeks+DATE(MWp!CalendárioYear,1,1)-WEEKDAY(DATE(MWp!CalendárioYear,1,1),MWp!OpçãodeDiadaSemana)+1</definedName>
    <definedName name="Jan" localSheetId="10">Salários!DaysAndWeeks+DATE(Salários!CalendárioYear,1,1)-WEEKDAY(DATE(Salários!CalendárioYear,1,1),Salários!OpçãodeDiadaSemana)+1</definedName>
    <definedName name="Jan" localSheetId="11">Source!DaysAndWeeks+DATE(CalendárioYear,1,1)-WEEKDAY(DATE(CalendárioYear,1,1),Source!OpçãodeDiadaSemana)+1</definedName>
    <definedName name="Jan">DaysAndWeeks+DATE(CalendárioYear,1,1)-WEEKDAY(DATE(CalendárioYear,1,1),OpçãodeDiadaSemana)+1</definedName>
    <definedName name="Jul" localSheetId="6">Faturamento!DaysAndWeeks+DATE(Faturamento!CalendárioYear,7,1)-WEEKDAY(DATE(Faturamento!CalendárioYear,7,1),Faturamento!OpçãodeDiadaSemana)+1</definedName>
    <definedName name="Jul" localSheetId="2">Helexia!DaysAndWeeks+DATE(CalendárioYear,7,1)-WEEKDAY(DATE(CalendárioYear,7,1),Helexia!OpçãodeDiadaSemana)+1</definedName>
    <definedName name="Jul" localSheetId="1">Mapa!DaysAndWeeks+DATE(CalendárioYear,7,1)-WEEKDAY(DATE(CalendárioYear,7,1),Mapa!OpçãodeDiadaSemana)+1</definedName>
    <definedName name="Jul" localSheetId="9">MWp!DaysAndWeeks+DATE(MWp!CalendárioYear,7,1)-WEEKDAY(DATE(MWp!CalendárioYear,7,1),MWp!OpçãodeDiadaSemana)+1</definedName>
    <definedName name="Jul" localSheetId="10">Salários!DaysAndWeeks+DATE(Salários!CalendárioYear,7,1)-WEEKDAY(DATE(Salários!CalendárioYear,7,1),Salários!OpçãodeDiadaSemana)+1</definedName>
    <definedName name="Jul" localSheetId="11">Source!DaysAndWeeks+DATE(CalendárioYear,7,1)-WEEKDAY(DATE(CalendárioYear,7,1),Source!OpçãodeDiadaSemana)+1</definedName>
    <definedName name="Jul">DaysAndWeeks+DATE(CalendárioYear,7,1)-WEEKDAY(DATE(CalendárioYear,7,1),OpçãodeDiadaSemana)+1</definedName>
    <definedName name="Jun" localSheetId="6">Faturamento!DaysAndWeeks+DATE(Faturamento!CalendárioYear,6,1)-WEEKDAY(DATE(Faturamento!CalendárioYear,6,1),Faturamento!OpçãodeDiadaSemana)+1</definedName>
    <definedName name="Jun" localSheetId="2">Helexia!DaysAndWeeks+DATE(CalendárioYear,6,1)-WEEKDAY(DATE(CalendárioYear,6,1),Helexia!OpçãodeDiadaSemana)+1</definedName>
    <definedName name="Jun" localSheetId="1">Mapa!DaysAndWeeks+DATE(CalendárioYear,6,1)-WEEKDAY(DATE(CalendárioYear,6,1),Mapa!OpçãodeDiadaSemana)+1</definedName>
    <definedName name="Jun" localSheetId="9">MWp!DaysAndWeeks+DATE(MWp!CalendárioYear,6,1)-WEEKDAY(DATE(MWp!CalendárioYear,6,1),MWp!OpçãodeDiadaSemana)+1</definedName>
    <definedName name="Jun" localSheetId="10">Salários!DaysAndWeeks+DATE(Salários!CalendárioYear,6,1)-WEEKDAY(DATE(Salários!CalendárioYear,6,1),Salários!OpçãodeDiadaSemana)+1</definedName>
    <definedName name="Jun" localSheetId="11">Source!DaysAndWeeks+DATE(CalendárioYear,6,1)-WEEKDAY(DATE(CalendárioYear,6,1),Source!OpçãodeDiadaSemana)+1</definedName>
    <definedName name="Jun">DaysAndWeeks+DATE(CalendárioYear,6,1)-WEEKDAY(DATE(CalendárioYear,6,1),OpçãodeDiadaSemana)+1</definedName>
    <definedName name="Maio" localSheetId="6">Faturamento!DaysAndWeeks+DATE(Faturamento!CalendárioYear,5,1)-WEEKDAY(DATE(Faturamento!CalendárioYear,5,1),Faturamento!OpçãodeDiadaSemana)+1</definedName>
    <definedName name="Maio" localSheetId="2">Helexia!DaysAndWeeks+DATE(CalendárioYear,5,1)-WEEKDAY(DATE(CalendárioYear,5,1),Helexia!OpçãodeDiadaSemana)+1</definedName>
    <definedName name="Maio" localSheetId="1">Mapa!DaysAndWeeks+DATE(CalendárioYear,5,1)-WEEKDAY(DATE(CalendárioYear,5,1),Mapa!OpçãodeDiadaSemana)+1</definedName>
    <definedName name="Maio" localSheetId="9">MWp!DaysAndWeeks+DATE(MWp!CalendárioYear,5,1)-WEEKDAY(DATE(MWp!CalendárioYear,5,1),MWp!OpçãodeDiadaSemana)+1</definedName>
    <definedName name="Maio" localSheetId="10">Salários!DaysAndWeeks+DATE(Salários!CalendárioYear,5,1)-WEEKDAY(DATE(Salários!CalendárioYear,5,1),Salários!OpçãodeDiadaSemana)+1</definedName>
    <definedName name="Maio" localSheetId="11">Source!DaysAndWeeks+DATE(CalendárioYear,5,1)-WEEKDAY(DATE(CalendárioYear,5,1),Source!OpçãodeDiadaSemana)+1</definedName>
    <definedName name="Maio">DaysAndWeeks+DATE(CalendárioYear,5,1)-WEEKDAY(DATE(CalendárioYear,5,1),OpçãodeDiadaSemana)+1</definedName>
    <definedName name="Mar" localSheetId="6">Faturamento!DaysAndWeeks+DATE(Faturamento!CalendárioYear,3,1)-WEEKDAY(DATE(Faturamento!CalendárioYear,3,1),Faturamento!OpçãodeDiadaSemana)+1</definedName>
    <definedName name="Mar" localSheetId="2">Helexia!DaysAndWeeks+DATE(CalendárioYear,3,1)-WEEKDAY(DATE(CalendárioYear,3,1),Helexia!OpçãodeDiadaSemana)+1</definedName>
    <definedName name="Mar" localSheetId="1">Mapa!DaysAndWeeks+DATE(CalendárioYear,3,1)-WEEKDAY(DATE(CalendárioYear,3,1),Mapa!OpçãodeDiadaSemana)+1</definedName>
    <definedName name="Mar" localSheetId="9">MWp!DaysAndWeeks+DATE(MWp!CalendárioYear,3,1)-WEEKDAY(DATE(MWp!CalendárioYear,3,1),MWp!OpçãodeDiadaSemana)+1</definedName>
    <definedName name="Mar" localSheetId="10">Salários!DaysAndWeeks+DATE(Salários!CalendárioYear,3,1)-WEEKDAY(DATE(Salários!CalendárioYear,3,1),Salários!OpçãodeDiadaSemana)+1</definedName>
    <definedName name="Mar" localSheetId="11">Source!DaysAndWeeks+DATE(CalendárioYear,3,1)-WEEKDAY(DATE(CalendárioYear,3,1),Source!OpçãodeDiadaSemana)+1</definedName>
    <definedName name="Mar">DaysAndWeeks+DATE(CalendárioYear,3,1)-WEEKDAY(DATE(CalendárioYear,3,1),OpçãodeDiadaSemana)+1</definedName>
    <definedName name="Nov" localSheetId="6">Faturamento!DaysAndWeeks+DATE(Faturamento!CalendárioYear,11,1)-WEEKDAY(DATE(Faturamento!CalendárioYear,11,1),Faturamento!OpçãodeDiadaSemana)+1</definedName>
    <definedName name="Nov" localSheetId="2">Helexia!DaysAndWeeks+DATE(CalendárioYear,11,1)-WEEKDAY(DATE(CalendárioYear,11,1),Helexia!OpçãodeDiadaSemana)+1</definedName>
    <definedName name="Nov" localSheetId="1">Mapa!DaysAndWeeks+DATE(CalendárioYear,11,1)-WEEKDAY(DATE(CalendárioYear,11,1),Mapa!OpçãodeDiadaSemana)+1</definedName>
    <definedName name="Nov" localSheetId="9">MWp!DaysAndWeeks+DATE(MWp!CalendárioYear,11,1)-WEEKDAY(DATE(MWp!CalendárioYear,11,1),MWp!OpçãodeDiadaSemana)+1</definedName>
    <definedName name="Nov" localSheetId="10">Salários!DaysAndWeeks+DATE(Salários!CalendárioYear,11,1)-WEEKDAY(DATE(Salários!CalendárioYear,11,1),Salários!OpçãodeDiadaSemana)+1</definedName>
    <definedName name="Nov" localSheetId="11">Source!DaysAndWeeks+DATE(CalendárioYear,11,1)-WEEKDAY(DATE(CalendárioYear,11,1),Source!OpçãodeDiadaSemana)+1</definedName>
    <definedName name="Nov">DaysAndWeeks+DATE(CalendárioYear,11,1)-WEEKDAY(DATE(CalendárioYear,11,1),OpçãodeDiadaSemana)+1</definedName>
    <definedName name="OpçãodeDiadaSemana" localSheetId="6">MATCH(Faturamento!IníciodaSemana,Faturamento!DiasÚteis,0)+10</definedName>
    <definedName name="OpçãodeDiadaSemana" localSheetId="2">MATCH(IníciodaSemana,Helexia!DiasÚteis,0)+10</definedName>
    <definedName name="OpçãodeDiadaSemana" localSheetId="1">MATCH(IníciodaSemana,Mapa!DiasÚteis,0)+10</definedName>
    <definedName name="OpçãodeDiadaSemana" localSheetId="9">MATCH(MWp!IníciodaSemana,MWp!DiasÚteis,0)+10</definedName>
    <definedName name="OpçãodeDiadaSemana" localSheetId="10">MATCH(Salários!IníciodaSemana,Salários!DiasÚteis,0)+10</definedName>
    <definedName name="OpçãodeDiadaSemana" localSheetId="11">MATCH(IníciodaSemana,Source!DiasÚteis,0)+10</definedName>
    <definedName name="OpçãodeDiadaSemana">MATCH(IníciodaSemana,DiasÚteis,0)+10</definedName>
    <definedName name="Out" localSheetId="6">Faturamento!DaysAndWeeks+DATE(Faturamento!CalendárioYear,10,1)-WEEKDAY(DATE(Faturamento!CalendárioYear,10,1),Faturamento!OpçãodeDiadaSemana)+1</definedName>
    <definedName name="Out" localSheetId="2">Helexia!DaysAndWeeks+DATE(CalendárioYear,10,1)-WEEKDAY(DATE(CalendárioYear,10,1),Helexia!OpçãodeDiadaSemana)+1</definedName>
    <definedName name="Out" localSheetId="1">Mapa!DaysAndWeeks+DATE(CalendárioYear,10,1)-WEEKDAY(DATE(CalendárioYear,10,1),Mapa!OpçãodeDiadaSemana)+1</definedName>
    <definedName name="Out" localSheetId="9">MWp!DaysAndWeeks+DATE(MWp!CalendárioYear,10,1)-WEEKDAY(DATE(MWp!CalendárioYear,10,1),MWp!OpçãodeDiadaSemana)+1</definedName>
    <definedName name="Out" localSheetId="10">Salários!DaysAndWeeks+DATE(Salários!CalendárioYear,10,1)-WEEKDAY(DATE(Salários!CalendárioYear,10,1),Salários!OpçãodeDiadaSemana)+1</definedName>
    <definedName name="Out" localSheetId="11">Source!DaysAndWeeks+DATE(CalendárioYear,10,1)-WEEKDAY(DATE(CalendárioYear,10,1),Source!OpçãodeDiadaSemana)+1</definedName>
    <definedName name="Out">DaysAndWeeks+DATE(CalendárioYear,10,1)-WEEKDAY(DATE(CalendárioYear,10,1),OpçãodeDiadaSemana)+1</definedName>
    <definedName name="Set" localSheetId="6">Faturamento!DaysAndWeeks+DATE(Faturamento!CalendárioYear,9,1)-WEEKDAY(DATE(Faturamento!CalendárioYear,9,1),Faturamento!OpçãodeDiadaSemana)+1</definedName>
    <definedName name="Set" localSheetId="2">Helexia!DaysAndWeeks+DATE(CalendárioYear,9,1)-WEEKDAY(DATE(CalendárioYear,9,1),Helexia!OpçãodeDiadaSemana)+1</definedName>
    <definedName name="Set" localSheetId="1">Mapa!DaysAndWeeks+DATE(CalendárioYear,9,1)-WEEKDAY(DATE(CalendárioYear,9,1),Mapa!OpçãodeDiadaSemana)+1</definedName>
    <definedName name="Set" localSheetId="9">MWp!DaysAndWeeks+DATE(MWp!CalendárioYear,9,1)-WEEKDAY(DATE(MWp!CalendárioYear,9,1),MWp!OpçãodeDiadaSemana)+1</definedName>
    <definedName name="Set" localSheetId="10">Salários!DaysAndWeeks+DATE(Salários!CalendárioYear,9,1)-WEEKDAY(DATE(Salários!CalendárioYear,9,1),Salários!OpçãodeDiadaSemana)+1</definedName>
    <definedName name="Set" localSheetId="11">Source!DaysAndWeeks+DATE(CalendárioYear,9,1)-WEEKDAY(DATE(CalendárioYear,9,1),Source!OpçãodeDiadaSemana)+1</definedName>
    <definedName name="Set">DaysAndWeeks+DATE(CalendárioYear,9,1)-WEEKDAY(DATE(CalendárioYear,9,1),OpçãodeDiadaSemana)+1</definedName>
    <definedName name="teste" localSheetId="6">OFFSET(#REF!,0,0,1,COUNTIFS(#REF!,"&gt;0"))</definedName>
    <definedName name="teste" localSheetId="10">OFFSET(#REF!,0,0,1,COUNTIFS(#REF!,"&gt;0"))</definedName>
    <definedName name="teste">OFFSET(#REF!,0,0,1,COUNTIFS(#REF!,"&gt;0"))</definedName>
    <definedName name="TIPO">#REF!</definedName>
    <definedName name="wrn.PENDENCIAS." localSheetId="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9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10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1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13" i="7" l="1"/>
  <c r="C4" i="7"/>
  <c r="C5" i="7"/>
  <c r="C6" i="7"/>
  <c r="C7" i="7"/>
  <c r="C8" i="7"/>
  <c r="C9" i="7"/>
  <c r="C10" i="7"/>
  <c r="C11" i="7"/>
  <c r="C12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P13" i="16"/>
  <c r="Q13" i="16"/>
  <c r="Q14" i="16" s="1"/>
  <c r="R13" i="16"/>
  <c r="S13" i="16"/>
  <c r="T13" i="16"/>
  <c r="U13" i="16"/>
  <c r="U14" i="16" s="1"/>
  <c r="V13" i="16"/>
  <c r="W13" i="16"/>
  <c r="X13" i="16"/>
  <c r="Y13" i="16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34" i="17"/>
  <c r="A35" i="17"/>
  <c r="A36" i="17"/>
  <c r="A37" i="17"/>
  <c r="A38" i="17"/>
  <c r="A39" i="17"/>
  <c r="A40" i="17"/>
  <c r="A41" i="17"/>
  <c r="A42" i="17"/>
  <c r="A43" i="17"/>
  <c r="A44" i="17"/>
  <c r="A45" i="17"/>
  <c r="A46" i="17"/>
  <c r="A47" i="17"/>
  <c r="A48" i="17"/>
  <c r="A49" i="17"/>
  <c r="A50" i="17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3" i="17"/>
  <c r="U2" i="6" a="1"/>
  <c r="U2" i="6" s="1"/>
  <c r="Q7" i="6" s="1"/>
  <c r="I14" i="16"/>
  <c r="E13" i="16"/>
  <c r="F13" i="16"/>
  <c r="G13" i="16"/>
  <c r="H13" i="16"/>
  <c r="I13" i="16"/>
  <c r="J13" i="16"/>
  <c r="K13" i="16"/>
  <c r="L13" i="16"/>
  <c r="L14" i="16" s="1"/>
  <c r="M13" i="16"/>
  <c r="N13" i="16"/>
  <c r="O13" i="16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4" i="8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4" i="7"/>
  <c r="Z9" i="16"/>
  <c r="Z13" i="16" s="1"/>
  <c r="AA9" i="16"/>
  <c r="AA13" i="16" s="1"/>
  <c r="Y9" i="16"/>
  <c r="M14" i="16" l="1"/>
  <c r="Y14" i="16"/>
  <c r="X14" i="16"/>
  <c r="P14" i="16"/>
  <c r="H14" i="16"/>
  <c r="V14" i="16"/>
  <c r="N14" i="16"/>
  <c r="T14" i="16"/>
  <c r="F14" i="16"/>
  <c r="R14" i="16"/>
  <c r="J14" i="16"/>
  <c r="AA14" i="16"/>
  <c r="W14" i="16"/>
  <c r="O14" i="16"/>
  <c r="G14" i="16"/>
  <c r="Z14" i="16"/>
  <c r="S14" i="16"/>
  <c r="K14" i="16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9" i="7"/>
  <c r="D40" i="7"/>
  <c r="D41" i="7"/>
  <c r="D42" i="7"/>
  <c r="D43" i="7"/>
  <c r="D44" i="7"/>
  <c r="D45" i="7"/>
  <c r="D46" i="7"/>
  <c r="D47" i="7"/>
  <c r="H65" i="4" l="1" a="1"/>
  <c r="H65" i="4" s="1"/>
  <c r="Q2" i="6" a="1"/>
  <c r="Q2" i="6" s="1"/>
  <c r="C5" i="17" l="1"/>
  <c r="C6" i="17"/>
  <c r="C7" i="17"/>
  <c r="C8" i="17"/>
  <c r="C9" i="17"/>
  <c r="C10" i="17"/>
  <c r="C11" i="17"/>
  <c r="C12" i="17"/>
  <c r="C13" i="17"/>
  <c r="C14" i="17"/>
  <c r="C15" i="17"/>
  <c r="C16" i="17"/>
  <c r="C17" i="17"/>
  <c r="C18" i="17"/>
  <c r="C19" i="17"/>
  <c r="C20" i="17"/>
  <c r="C21" i="17"/>
  <c r="C22" i="17"/>
  <c r="C23" i="17"/>
  <c r="C24" i="17"/>
  <c r="C25" i="17"/>
  <c r="C26" i="17"/>
  <c r="C27" i="17"/>
  <c r="C28" i="17"/>
  <c r="C29" i="17"/>
  <c r="C30" i="17"/>
  <c r="C31" i="17"/>
  <c r="C32" i="17"/>
  <c r="C33" i="17"/>
  <c r="C34" i="17"/>
  <c r="C35" i="17"/>
  <c r="C36" i="17"/>
  <c r="C37" i="17"/>
  <c r="I37" i="4" s="1"/>
  <c r="C38" i="17"/>
  <c r="I38" i="4" s="1"/>
  <c r="C39" i="17"/>
  <c r="I39" i="4" s="1"/>
  <c r="C40" i="17"/>
  <c r="I40" i="4" s="1"/>
  <c r="C41" i="17"/>
  <c r="I41" i="4" s="1"/>
  <c r="C42" i="17"/>
  <c r="I42" i="4" s="1"/>
  <c r="C43" i="17"/>
  <c r="I43" i="4" s="1"/>
  <c r="C44" i="17"/>
  <c r="I44" i="4" s="1"/>
  <c r="C45" i="17"/>
  <c r="I45" i="4" s="1"/>
  <c r="C46" i="17"/>
  <c r="I46" i="4" s="1"/>
  <c r="C47" i="17"/>
  <c r="I47" i="4" s="1"/>
  <c r="C48" i="17"/>
  <c r="I48" i="4" s="1"/>
  <c r="C49" i="17"/>
  <c r="I49" i="4" s="1"/>
  <c r="C50" i="17"/>
  <c r="I50" i="4" s="1"/>
  <c r="C51" i="17"/>
  <c r="I51" i="4" s="1"/>
  <c r="C52" i="17"/>
  <c r="I52" i="4" s="1"/>
  <c r="C53" i="17"/>
  <c r="I53" i="4" s="1"/>
  <c r="C54" i="17"/>
  <c r="C55" i="17"/>
  <c r="I55" i="4" s="1"/>
  <c r="C56" i="17"/>
  <c r="I56" i="4" s="1"/>
  <c r="C57" i="17"/>
  <c r="I57" i="4" s="1"/>
  <c r="C58" i="17"/>
  <c r="C59" i="17"/>
  <c r="C60" i="17"/>
  <c r="I60" i="4" s="1"/>
  <c r="C61" i="17"/>
  <c r="I61" i="4" s="1"/>
  <c r="C62" i="17"/>
  <c r="I62" i="4" s="1"/>
  <c r="C63" i="17"/>
  <c r="I63" i="4" s="1"/>
  <c r="B5" i="17"/>
  <c r="B6" i="17"/>
  <c r="B7" i="17"/>
  <c r="B8" i="17"/>
  <c r="B9" i="17"/>
  <c r="B10" i="17"/>
  <c r="B11" i="17"/>
  <c r="B12" i="17"/>
  <c r="B13" i="17"/>
  <c r="B14" i="17"/>
  <c r="B15" i="17"/>
  <c r="B16" i="17"/>
  <c r="B17" i="17"/>
  <c r="B18" i="17"/>
  <c r="B19" i="17"/>
  <c r="B20" i="17"/>
  <c r="B21" i="17"/>
  <c r="B22" i="17"/>
  <c r="B23" i="17"/>
  <c r="B24" i="17"/>
  <c r="B25" i="17"/>
  <c r="B26" i="17"/>
  <c r="B27" i="17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46" i="17"/>
  <c r="B47" i="17"/>
  <c r="B48" i="17"/>
  <c r="B49" i="17"/>
  <c r="B50" i="17"/>
  <c r="B51" i="17"/>
  <c r="B52" i="17"/>
  <c r="B53" i="17"/>
  <c r="B54" i="17"/>
  <c r="B55" i="17"/>
  <c r="B56" i="17"/>
  <c r="B57" i="17"/>
  <c r="B58" i="17"/>
  <c r="B59" i="17"/>
  <c r="B60" i="17"/>
  <c r="B61" i="17"/>
  <c r="B62" i="17"/>
  <c r="B63" i="17"/>
  <c r="AE51" i="17"/>
  <c r="AD51" i="17"/>
  <c r="AC51" i="17"/>
  <c r="AB51" i="17"/>
  <c r="AA51" i="17"/>
  <c r="Z51" i="17"/>
  <c r="Y51" i="17"/>
  <c r="X51" i="17"/>
  <c r="W51" i="17"/>
  <c r="K51" i="17"/>
  <c r="L51" i="17" s="1"/>
  <c r="M51" i="17" s="1"/>
  <c r="P51" i="17" s="1"/>
  <c r="BA51" i="17" l="1"/>
  <c r="AG51" i="17"/>
  <c r="R51" i="17"/>
  <c r="N51" i="17"/>
  <c r="O51" i="17"/>
  <c r="Q51" i="17" s="1"/>
  <c r="S51" i="17" l="1"/>
  <c r="V51" i="17" s="1"/>
  <c r="AH51" i="17" s="1"/>
  <c r="AR51" i="17" l="1"/>
  <c r="AN51" i="17"/>
  <c r="AJ51" i="17"/>
  <c r="AZ51" i="17"/>
  <c r="AY51" i="17"/>
  <c r="AX51" i="17" l="1"/>
  <c r="AT51" i="17"/>
  <c r="AP51" i="17"/>
  <c r="AL51" i="17"/>
  <c r="AV51" i="17"/>
  <c r="L65" i="4" l="1" a="1"/>
  <c r="L65" i="4" s="1"/>
  <c r="A64" i="17" l="1"/>
  <c r="A65" i="17"/>
  <c r="A66" i="17"/>
  <c r="A67" i="17"/>
  <c r="A68" i="17"/>
  <c r="C66" i="17"/>
  <c r="C64" i="17"/>
  <c r="C65" i="17"/>
  <c r="B64" i="17"/>
  <c r="B65" i="17"/>
  <c r="C67" i="17"/>
  <c r="C68" i="17"/>
  <c r="F63" i="4"/>
  <c r="D13" i="16" l="1"/>
  <c r="C13" i="16"/>
  <c r="B13" i="16"/>
  <c r="E14" i="16" l="1"/>
  <c r="D14" i="16"/>
  <c r="B15" i="16"/>
  <c r="C14" i="16"/>
  <c r="Q4" i="6" l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D19" i="7" s="1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D38" i="7" s="1"/>
  <c r="F47" i="4"/>
  <c r="D48" i="7" s="1"/>
  <c r="F48" i="4"/>
  <c r="D49" i="7" s="1"/>
  <c r="F3" i="3" l="1"/>
  <c r="F2" i="3"/>
  <c r="K4" i="17" l="1"/>
  <c r="K5" i="17"/>
  <c r="L5" i="17" s="1"/>
  <c r="M5" i="17" s="1"/>
  <c r="K6" i="17"/>
  <c r="L6" i="17" s="1"/>
  <c r="M6" i="17" s="1"/>
  <c r="K7" i="17"/>
  <c r="K8" i="17"/>
  <c r="L8" i="17" s="1"/>
  <c r="M8" i="17" s="1"/>
  <c r="P8" i="17" s="1"/>
  <c r="K9" i="17"/>
  <c r="L9" i="17" s="1"/>
  <c r="M9" i="17" s="1"/>
  <c r="K10" i="17"/>
  <c r="L10" i="17" s="1"/>
  <c r="M10" i="17" s="1"/>
  <c r="K11" i="17"/>
  <c r="L11" i="17" s="1"/>
  <c r="M11" i="17" s="1"/>
  <c r="K12" i="17"/>
  <c r="K13" i="17"/>
  <c r="K14" i="17"/>
  <c r="L14" i="17" s="1"/>
  <c r="M14" i="17" s="1"/>
  <c r="K15" i="17"/>
  <c r="L15" i="17" s="1"/>
  <c r="M15" i="17" s="1"/>
  <c r="K16" i="17"/>
  <c r="L16" i="17" s="1"/>
  <c r="M16" i="17" s="1"/>
  <c r="K17" i="17"/>
  <c r="L17" i="17" s="1"/>
  <c r="M17" i="17" s="1"/>
  <c r="K18" i="17"/>
  <c r="L18" i="17" s="1"/>
  <c r="M18" i="17" s="1"/>
  <c r="K19" i="17"/>
  <c r="L19" i="17" s="1"/>
  <c r="M19" i="17" s="1"/>
  <c r="K20" i="17"/>
  <c r="K21" i="17"/>
  <c r="L21" i="17" s="1"/>
  <c r="M21" i="17" s="1"/>
  <c r="K22" i="17"/>
  <c r="L22" i="17" s="1"/>
  <c r="M22" i="17" s="1"/>
  <c r="K23" i="17"/>
  <c r="K24" i="17"/>
  <c r="L24" i="17" s="1"/>
  <c r="M24" i="17" s="1"/>
  <c r="K25" i="17"/>
  <c r="L25" i="17" s="1"/>
  <c r="M25" i="17" s="1"/>
  <c r="K26" i="17"/>
  <c r="L26" i="17" s="1"/>
  <c r="M26" i="17" s="1"/>
  <c r="K27" i="17"/>
  <c r="L27" i="17" s="1"/>
  <c r="M27" i="17" s="1"/>
  <c r="K28" i="17"/>
  <c r="L28" i="17" s="1"/>
  <c r="M28" i="17" s="1"/>
  <c r="K29" i="17"/>
  <c r="L29" i="17" s="1"/>
  <c r="M29" i="17" s="1"/>
  <c r="K30" i="17"/>
  <c r="L30" i="17" s="1"/>
  <c r="M30" i="17" s="1"/>
  <c r="K31" i="17"/>
  <c r="L31" i="17" s="1"/>
  <c r="M31" i="17" s="1"/>
  <c r="K32" i="17"/>
  <c r="L32" i="17" s="1"/>
  <c r="M32" i="17" s="1"/>
  <c r="K33" i="17"/>
  <c r="L33" i="17" s="1"/>
  <c r="M33" i="17" s="1"/>
  <c r="K34" i="17"/>
  <c r="L34" i="17" s="1"/>
  <c r="M34" i="17" s="1"/>
  <c r="K35" i="17"/>
  <c r="L35" i="17" s="1"/>
  <c r="M35" i="17" s="1"/>
  <c r="K36" i="17"/>
  <c r="L36" i="17" s="1"/>
  <c r="M36" i="17" s="1"/>
  <c r="K37" i="17"/>
  <c r="L37" i="17" s="1"/>
  <c r="M37" i="17" s="1"/>
  <c r="K38" i="17"/>
  <c r="K39" i="17"/>
  <c r="L39" i="17" s="1"/>
  <c r="M39" i="17" s="1"/>
  <c r="K40" i="17"/>
  <c r="L40" i="17" s="1"/>
  <c r="M40" i="17" s="1"/>
  <c r="K41" i="17"/>
  <c r="L41" i="17" s="1"/>
  <c r="M41" i="17" s="1"/>
  <c r="K42" i="17"/>
  <c r="L42" i="17" s="1"/>
  <c r="M42" i="17" s="1"/>
  <c r="K43" i="17"/>
  <c r="L43" i="17" s="1"/>
  <c r="M43" i="17" s="1"/>
  <c r="K44" i="17"/>
  <c r="L44" i="17" s="1"/>
  <c r="M44" i="17" s="1"/>
  <c r="K45" i="17"/>
  <c r="L45" i="17" s="1"/>
  <c r="M45" i="17" s="1"/>
  <c r="K46" i="17"/>
  <c r="L46" i="17" s="1"/>
  <c r="M46" i="17" s="1"/>
  <c r="K47" i="17"/>
  <c r="L47" i="17" s="1"/>
  <c r="M47" i="17" s="1"/>
  <c r="K48" i="17"/>
  <c r="L48" i="17" s="1"/>
  <c r="M48" i="17" s="1"/>
  <c r="K49" i="17"/>
  <c r="L49" i="17" s="1"/>
  <c r="M49" i="17" s="1"/>
  <c r="K50" i="17"/>
  <c r="L50" i="17" s="1"/>
  <c r="M50" i="17" s="1"/>
  <c r="P50" i="17" s="1"/>
  <c r="K52" i="17"/>
  <c r="L52" i="17" s="1"/>
  <c r="M52" i="17" s="1"/>
  <c r="K53" i="17"/>
  <c r="L53" i="17" s="1"/>
  <c r="M53" i="17" s="1"/>
  <c r="K54" i="17"/>
  <c r="L54" i="17" s="1"/>
  <c r="M54" i="17" s="1"/>
  <c r="K55" i="17"/>
  <c r="L55" i="17" s="1"/>
  <c r="M55" i="17" s="1"/>
  <c r="K56" i="17"/>
  <c r="L56" i="17" s="1"/>
  <c r="M56" i="17" s="1"/>
  <c r="K57" i="17"/>
  <c r="L57" i="17" s="1"/>
  <c r="M57" i="17" s="1"/>
  <c r="K58" i="17"/>
  <c r="L58" i="17" s="1"/>
  <c r="M58" i="17" s="1"/>
  <c r="K59" i="17"/>
  <c r="L59" i="17" s="1"/>
  <c r="M59" i="17" s="1"/>
  <c r="K60" i="17"/>
  <c r="L60" i="17" s="1"/>
  <c r="M60" i="17" s="1"/>
  <c r="K61" i="17"/>
  <c r="L61" i="17" s="1"/>
  <c r="M61" i="17" s="1"/>
  <c r="K62" i="17"/>
  <c r="L62" i="17" s="1"/>
  <c r="M62" i="17" s="1"/>
  <c r="K63" i="17"/>
  <c r="L63" i="17" s="1"/>
  <c r="M63" i="17" s="1"/>
  <c r="R63" i="17" s="1"/>
  <c r="K64" i="17"/>
  <c r="L64" i="17" s="1"/>
  <c r="M64" i="17" s="1"/>
  <c r="K65" i="17"/>
  <c r="L65" i="17" s="1"/>
  <c r="M65" i="17" s="1"/>
  <c r="P65" i="17" s="1"/>
  <c r="K66" i="17"/>
  <c r="L66" i="17" s="1"/>
  <c r="M66" i="17" s="1"/>
  <c r="K67" i="17"/>
  <c r="L67" i="17" s="1"/>
  <c r="M67" i="17" s="1"/>
  <c r="K68" i="17"/>
  <c r="L68" i="17" s="1"/>
  <c r="M68" i="17" s="1"/>
  <c r="K69" i="17"/>
  <c r="L69" i="17" s="1"/>
  <c r="M69" i="17" s="1"/>
  <c r="K70" i="17"/>
  <c r="L70" i="17" s="1"/>
  <c r="M70" i="17" s="1"/>
  <c r="K71" i="17"/>
  <c r="L71" i="17" s="1"/>
  <c r="M71" i="17" s="1"/>
  <c r="K72" i="17"/>
  <c r="L72" i="17" s="1"/>
  <c r="M72" i="17" s="1"/>
  <c r="K73" i="17"/>
  <c r="L73" i="17" s="1"/>
  <c r="M73" i="17" s="1"/>
  <c r="K74" i="17"/>
  <c r="L74" i="17" s="1"/>
  <c r="M74" i="17" s="1"/>
  <c r="K75" i="17"/>
  <c r="L75" i="17" s="1"/>
  <c r="M75" i="17" s="1"/>
  <c r="K76" i="17"/>
  <c r="L76" i="17" s="1"/>
  <c r="M76" i="17" s="1"/>
  <c r="K77" i="17"/>
  <c r="K78" i="17"/>
  <c r="L78" i="17" s="1"/>
  <c r="M78" i="17" s="1"/>
  <c r="K79" i="17"/>
  <c r="L79" i="17" s="1"/>
  <c r="M79" i="17" s="1"/>
  <c r="K80" i="17"/>
  <c r="L80" i="17" s="1"/>
  <c r="M80" i="17" s="1"/>
  <c r="K81" i="17"/>
  <c r="L81" i="17" s="1"/>
  <c r="M81" i="17" s="1"/>
  <c r="K82" i="17"/>
  <c r="L82" i="17" s="1"/>
  <c r="M82" i="17" s="1"/>
  <c r="K3" i="17"/>
  <c r="L3" i="17" s="1"/>
  <c r="M3" i="17" s="1"/>
  <c r="C4" i="17"/>
  <c r="C3" i="17"/>
  <c r="AE3" i="17"/>
  <c r="AD3" i="17"/>
  <c r="AC3" i="17"/>
  <c r="AB3" i="17"/>
  <c r="AA3" i="17"/>
  <c r="Z3" i="17"/>
  <c r="Y3" i="17"/>
  <c r="X3" i="17"/>
  <c r="W3" i="17"/>
  <c r="AE82" i="17"/>
  <c r="AD82" i="17"/>
  <c r="AC82" i="17"/>
  <c r="AB82" i="17"/>
  <c r="AA82" i="17"/>
  <c r="Z82" i="17"/>
  <c r="Y82" i="17"/>
  <c r="X82" i="17"/>
  <c r="W82" i="17"/>
  <c r="AE81" i="17"/>
  <c r="AD81" i="17"/>
  <c r="AC81" i="17"/>
  <c r="AB81" i="17"/>
  <c r="AA81" i="17"/>
  <c r="Z81" i="17"/>
  <c r="Y81" i="17"/>
  <c r="X81" i="17"/>
  <c r="W81" i="17"/>
  <c r="AE80" i="17"/>
  <c r="AD80" i="17"/>
  <c r="AC80" i="17"/>
  <c r="AB80" i="17"/>
  <c r="AA80" i="17"/>
  <c r="Z80" i="17"/>
  <c r="Y80" i="17"/>
  <c r="X80" i="17"/>
  <c r="W80" i="17"/>
  <c r="AE79" i="17"/>
  <c r="AD79" i="17"/>
  <c r="AC79" i="17"/>
  <c r="AB79" i="17"/>
  <c r="AA79" i="17"/>
  <c r="Z79" i="17"/>
  <c r="Y79" i="17"/>
  <c r="X79" i="17"/>
  <c r="W79" i="17"/>
  <c r="AE78" i="17"/>
  <c r="AD78" i="17"/>
  <c r="AC78" i="17"/>
  <c r="AB78" i="17"/>
  <c r="AA78" i="17"/>
  <c r="Z78" i="17"/>
  <c r="Y78" i="17"/>
  <c r="X78" i="17"/>
  <c r="W78" i="17"/>
  <c r="BA78" i="17" s="1"/>
  <c r="AE77" i="17"/>
  <c r="AD77" i="17"/>
  <c r="AC77" i="17"/>
  <c r="AB77" i="17"/>
  <c r="AA77" i="17"/>
  <c r="Z77" i="17"/>
  <c r="Y77" i="17"/>
  <c r="X77" i="17"/>
  <c r="W77" i="17"/>
  <c r="L77" i="17"/>
  <c r="M77" i="17" s="1"/>
  <c r="AE76" i="17"/>
  <c r="AD76" i="17"/>
  <c r="AC76" i="17"/>
  <c r="AB76" i="17"/>
  <c r="AA76" i="17"/>
  <c r="Z76" i="17"/>
  <c r="Y76" i="17"/>
  <c r="X76" i="17"/>
  <c r="W76" i="17"/>
  <c r="AE75" i="17"/>
  <c r="AD75" i="17"/>
  <c r="AC75" i="17"/>
  <c r="AB75" i="17"/>
  <c r="AA75" i="17"/>
  <c r="Z75" i="17"/>
  <c r="Y75" i="17"/>
  <c r="X75" i="17"/>
  <c r="W75" i="17"/>
  <c r="AE74" i="17"/>
  <c r="AD74" i="17"/>
  <c r="AC74" i="17"/>
  <c r="AB74" i="17"/>
  <c r="AA74" i="17"/>
  <c r="Z74" i="17"/>
  <c r="Y74" i="17"/>
  <c r="X74" i="17"/>
  <c r="W74" i="17"/>
  <c r="AE73" i="17"/>
  <c r="AD73" i="17"/>
  <c r="AC73" i="17"/>
  <c r="AB73" i="17"/>
  <c r="AA73" i="17"/>
  <c r="Z73" i="17"/>
  <c r="Y73" i="17"/>
  <c r="X73" i="17"/>
  <c r="W73" i="17"/>
  <c r="AE72" i="17"/>
  <c r="AD72" i="17"/>
  <c r="AC72" i="17"/>
  <c r="AB72" i="17"/>
  <c r="AA72" i="17"/>
  <c r="Z72" i="17"/>
  <c r="Y72" i="17"/>
  <c r="X72" i="17"/>
  <c r="W72" i="17"/>
  <c r="AE71" i="17"/>
  <c r="AD71" i="17"/>
  <c r="AC71" i="17"/>
  <c r="AB71" i="17"/>
  <c r="AA71" i="17"/>
  <c r="Z71" i="17"/>
  <c r="Y71" i="17"/>
  <c r="X71" i="17"/>
  <c r="W71" i="17"/>
  <c r="BA71" i="17" s="1"/>
  <c r="AE70" i="17"/>
  <c r="AD70" i="17"/>
  <c r="AC70" i="17"/>
  <c r="AB70" i="17"/>
  <c r="AA70" i="17"/>
  <c r="Z70" i="17"/>
  <c r="Y70" i="17"/>
  <c r="X70" i="17"/>
  <c r="W70" i="17"/>
  <c r="AE69" i="17"/>
  <c r="AD69" i="17"/>
  <c r="AC69" i="17"/>
  <c r="AB69" i="17"/>
  <c r="AA69" i="17"/>
  <c r="Z69" i="17"/>
  <c r="Y69" i="17"/>
  <c r="X69" i="17"/>
  <c r="W69" i="17"/>
  <c r="AE68" i="17"/>
  <c r="AD68" i="17"/>
  <c r="AC68" i="17"/>
  <c r="AB68" i="17"/>
  <c r="AA68" i="17"/>
  <c r="Z68" i="17"/>
  <c r="Y68" i="17"/>
  <c r="X68" i="17"/>
  <c r="W68" i="17"/>
  <c r="AE67" i="17"/>
  <c r="AD67" i="17"/>
  <c r="AC67" i="17"/>
  <c r="AB67" i="17"/>
  <c r="AA67" i="17"/>
  <c r="Z67" i="17"/>
  <c r="Y67" i="17"/>
  <c r="X67" i="17"/>
  <c r="W67" i="17"/>
  <c r="AE65" i="17"/>
  <c r="AD65" i="17"/>
  <c r="AC65" i="17"/>
  <c r="AB65" i="17"/>
  <c r="AA65" i="17"/>
  <c r="Z65" i="17"/>
  <c r="Y65" i="17"/>
  <c r="X65" i="17"/>
  <c r="W65" i="17"/>
  <c r="AE64" i="17"/>
  <c r="AD64" i="17"/>
  <c r="AC64" i="17"/>
  <c r="AB64" i="17"/>
  <c r="AA64" i="17"/>
  <c r="Z64" i="17"/>
  <c r="Y64" i="17"/>
  <c r="X64" i="17"/>
  <c r="W64" i="17"/>
  <c r="AE63" i="17"/>
  <c r="AD63" i="17"/>
  <c r="AC63" i="17"/>
  <c r="AB63" i="17"/>
  <c r="AA63" i="17"/>
  <c r="Z63" i="17"/>
  <c r="Y63" i="17"/>
  <c r="X63" i="17"/>
  <c r="W63" i="17"/>
  <c r="AE62" i="17"/>
  <c r="AD62" i="17"/>
  <c r="AC62" i="17"/>
  <c r="AB62" i="17"/>
  <c r="AA62" i="17"/>
  <c r="Z62" i="17"/>
  <c r="Y62" i="17"/>
  <c r="X62" i="17"/>
  <c r="W62" i="17"/>
  <c r="AE61" i="17"/>
  <c r="AD61" i="17"/>
  <c r="AC61" i="17"/>
  <c r="AB61" i="17"/>
  <c r="AA61" i="17"/>
  <c r="Z61" i="17"/>
  <c r="Y61" i="17"/>
  <c r="X61" i="17"/>
  <c r="W61" i="17"/>
  <c r="AE60" i="17"/>
  <c r="AD60" i="17"/>
  <c r="AC60" i="17"/>
  <c r="AB60" i="17"/>
  <c r="AA60" i="17"/>
  <c r="Z60" i="17"/>
  <c r="Y60" i="17"/>
  <c r="X60" i="17"/>
  <c r="W60" i="17"/>
  <c r="AE66" i="17"/>
  <c r="AD66" i="17"/>
  <c r="AC66" i="17"/>
  <c r="AB66" i="17"/>
  <c r="AA66" i="17"/>
  <c r="Z66" i="17"/>
  <c r="Y66" i="17"/>
  <c r="X66" i="17"/>
  <c r="W66" i="17"/>
  <c r="AE59" i="17"/>
  <c r="AD59" i="17"/>
  <c r="AC59" i="17"/>
  <c r="AB59" i="17"/>
  <c r="AA59" i="17"/>
  <c r="Z59" i="17"/>
  <c r="Y59" i="17"/>
  <c r="X59" i="17"/>
  <c r="W59" i="17"/>
  <c r="AE58" i="17"/>
  <c r="AD58" i="17"/>
  <c r="AC58" i="17"/>
  <c r="AB58" i="17"/>
  <c r="AA58" i="17"/>
  <c r="Z58" i="17"/>
  <c r="Y58" i="17"/>
  <c r="X58" i="17"/>
  <c r="W58" i="17"/>
  <c r="AE57" i="17"/>
  <c r="AD57" i="17"/>
  <c r="AC57" i="17"/>
  <c r="AB57" i="17"/>
  <c r="AA57" i="17"/>
  <c r="Z57" i="17"/>
  <c r="Y57" i="17"/>
  <c r="X57" i="17"/>
  <c r="W57" i="17"/>
  <c r="AE56" i="17"/>
  <c r="AD56" i="17"/>
  <c r="AC56" i="17"/>
  <c r="AB56" i="17"/>
  <c r="AA56" i="17"/>
  <c r="Z56" i="17"/>
  <c r="Y56" i="17"/>
  <c r="X56" i="17"/>
  <c r="W56" i="17"/>
  <c r="AE55" i="17"/>
  <c r="AD55" i="17"/>
  <c r="AC55" i="17"/>
  <c r="AB55" i="17"/>
  <c r="AA55" i="17"/>
  <c r="Z55" i="17"/>
  <c r="Y55" i="17"/>
  <c r="X55" i="17"/>
  <c r="W55" i="17"/>
  <c r="AE54" i="17"/>
  <c r="AD54" i="17"/>
  <c r="AC54" i="17"/>
  <c r="AB54" i="17"/>
  <c r="AA54" i="17"/>
  <c r="Z54" i="17"/>
  <c r="Y54" i="17"/>
  <c r="X54" i="17"/>
  <c r="W54" i="17"/>
  <c r="AE53" i="17"/>
  <c r="AD53" i="17"/>
  <c r="AC53" i="17"/>
  <c r="AB53" i="17"/>
  <c r="AA53" i="17"/>
  <c r="Z53" i="17"/>
  <c r="Y53" i="17"/>
  <c r="X53" i="17"/>
  <c r="W53" i="17"/>
  <c r="AE52" i="17"/>
  <c r="AD52" i="17"/>
  <c r="AC52" i="17"/>
  <c r="AB52" i="17"/>
  <c r="AA52" i="17"/>
  <c r="Z52" i="17"/>
  <c r="Y52" i="17"/>
  <c r="X52" i="17"/>
  <c r="W52" i="17"/>
  <c r="AE50" i="17"/>
  <c r="AD50" i="17"/>
  <c r="AC50" i="17"/>
  <c r="AB50" i="17"/>
  <c r="AA50" i="17"/>
  <c r="Z50" i="17"/>
  <c r="Y50" i="17"/>
  <c r="X50" i="17"/>
  <c r="W50" i="17"/>
  <c r="AE49" i="17"/>
  <c r="AD49" i="17"/>
  <c r="AC49" i="17"/>
  <c r="AB49" i="17"/>
  <c r="AA49" i="17"/>
  <c r="Z49" i="17"/>
  <c r="Y49" i="17"/>
  <c r="X49" i="17"/>
  <c r="W49" i="17"/>
  <c r="AE48" i="17"/>
  <c r="AD48" i="17"/>
  <c r="AC48" i="17"/>
  <c r="AB48" i="17"/>
  <c r="AA48" i="17"/>
  <c r="Z48" i="17"/>
  <c r="Y48" i="17"/>
  <c r="X48" i="17"/>
  <c r="W48" i="17"/>
  <c r="AE47" i="17"/>
  <c r="AD47" i="17"/>
  <c r="AC47" i="17"/>
  <c r="AB47" i="17"/>
  <c r="AA47" i="17"/>
  <c r="Z47" i="17"/>
  <c r="Y47" i="17"/>
  <c r="X47" i="17"/>
  <c r="W47" i="17"/>
  <c r="AE46" i="17"/>
  <c r="AD46" i="17"/>
  <c r="AC46" i="17"/>
  <c r="AB46" i="17"/>
  <c r="AA46" i="17"/>
  <c r="Z46" i="17"/>
  <c r="Y46" i="17"/>
  <c r="X46" i="17"/>
  <c r="W46" i="17"/>
  <c r="AE45" i="17"/>
  <c r="AD45" i="17"/>
  <c r="AC45" i="17"/>
  <c r="AB45" i="17"/>
  <c r="AA45" i="17"/>
  <c r="Z45" i="17"/>
  <c r="Y45" i="17"/>
  <c r="X45" i="17"/>
  <c r="W45" i="17"/>
  <c r="AE44" i="17"/>
  <c r="AD44" i="17"/>
  <c r="AC44" i="17"/>
  <c r="AB44" i="17"/>
  <c r="AA44" i="17"/>
  <c r="Z44" i="17"/>
  <c r="Y44" i="17"/>
  <c r="X44" i="17"/>
  <c r="W44" i="17"/>
  <c r="AE43" i="17"/>
  <c r="AD43" i="17"/>
  <c r="AC43" i="17"/>
  <c r="AB43" i="17"/>
  <c r="AA43" i="17"/>
  <c r="Z43" i="17"/>
  <c r="Y43" i="17"/>
  <c r="X43" i="17"/>
  <c r="W43" i="17"/>
  <c r="AE42" i="17"/>
  <c r="AD42" i="17"/>
  <c r="AC42" i="17"/>
  <c r="AB42" i="17"/>
  <c r="AA42" i="17"/>
  <c r="Z42" i="17"/>
  <c r="Y42" i="17"/>
  <c r="X42" i="17"/>
  <c r="W42" i="17"/>
  <c r="AE41" i="17"/>
  <c r="AD41" i="17"/>
  <c r="AC41" i="17"/>
  <c r="AB41" i="17"/>
  <c r="AA41" i="17"/>
  <c r="Z41" i="17"/>
  <c r="Y41" i="17"/>
  <c r="X41" i="17"/>
  <c r="W41" i="17"/>
  <c r="AE40" i="17"/>
  <c r="AD40" i="17"/>
  <c r="AC40" i="17"/>
  <c r="AB40" i="17"/>
  <c r="AA40" i="17"/>
  <c r="Z40" i="17"/>
  <c r="Y40" i="17"/>
  <c r="X40" i="17"/>
  <c r="W40" i="17"/>
  <c r="AE39" i="17"/>
  <c r="AD39" i="17"/>
  <c r="AC39" i="17"/>
  <c r="AB39" i="17"/>
  <c r="AA39" i="17"/>
  <c r="Z39" i="17"/>
  <c r="Y39" i="17"/>
  <c r="X39" i="17"/>
  <c r="W39" i="17"/>
  <c r="AE38" i="17"/>
  <c r="AD38" i="17"/>
  <c r="AC38" i="17"/>
  <c r="AB38" i="17"/>
  <c r="AA38" i="17"/>
  <c r="Z38" i="17"/>
  <c r="Y38" i="17"/>
  <c r="X38" i="17"/>
  <c r="W38" i="17"/>
  <c r="L38" i="17"/>
  <c r="M38" i="17" s="1"/>
  <c r="AE37" i="17"/>
  <c r="AD37" i="17"/>
  <c r="AC37" i="17"/>
  <c r="AB37" i="17"/>
  <c r="AA37" i="17"/>
  <c r="Z37" i="17"/>
  <c r="Y37" i="17"/>
  <c r="X37" i="17"/>
  <c r="W37" i="17"/>
  <c r="AE36" i="17"/>
  <c r="AD36" i="17"/>
  <c r="AC36" i="17"/>
  <c r="AB36" i="17"/>
  <c r="AA36" i="17"/>
  <c r="Z36" i="17"/>
  <c r="Y36" i="17"/>
  <c r="X36" i="17"/>
  <c r="W36" i="17"/>
  <c r="AE35" i="17"/>
  <c r="AD35" i="17"/>
  <c r="AC35" i="17"/>
  <c r="AB35" i="17"/>
  <c r="AA35" i="17"/>
  <c r="Z35" i="17"/>
  <c r="Y35" i="17"/>
  <c r="X35" i="17"/>
  <c r="W35" i="17"/>
  <c r="AE34" i="17"/>
  <c r="AD34" i="17"/>
  <c r="AC34" i="17"/>
  <c r="AB34" i="17"/>
  <c r="AA34" i="17"/>
  <c r="Z34" i="17"/>
  <c r="Y34" i="17"/>
  <c r="X34" i="17"/>
  <c r="W34" i="17"/>
  <c r="AE33" i="17"/>
  <c r="AD33" i="17"/>
  <c r="AC33" i="17"/>
  <c r="AB33" i="17"/>
  <c r="AA33" i="17"/>
  <c r="Z33" i="17"/>
  <c r="Y33" i="17"/>
  <c r="X33" i="17"/>
  <c r="W33" i="17"/>
  <c r="AE32" i="17"/>
  <c r="AD32" i="17"/>
  <c r="AC32" i="17"/>
  <c r="AB32" i="17"/>
  <c r="AA32" i="17"/>
  <c r="Z32" i="17"/>
  <c r="Y32" i="17"/>
  <c r="X32" i="17"/>
  <c r="W32" i="17"/>
  <c r="AE31" i="17"/>
  <c r="AD31" i="17"/>
  <c r="AC31" i="17"/>
  <c r="AB31" i="17"/>
  <c r="AA31" i="17"/>
  <c r="Z31" i="17"/>
  <c r="Y31" i="17"/>
  <c r="X31" i="17"/>
  <c r="W31" i="17"/>
  <c r="AE30" i="17"/>
  <c r="AD30" i="17"/>
  <c r="AC30" i="17"/>
  <c r="AB30" i="17"/>
  <c r="AA30" i="17"/>
  <c r="Z30" i="17"/>
  <c r="Y30" i="17"/>
  <c r="X30" i="17"/>
  <c r="W30" i="17"/>
  <c r="AE29" i="17"/>
  <c r="AD29" i="17"/>
  <c r="AC29" i="17"/>
  <c r="AB29" i="17"/>
  <c r="AA29" i="17"/>
  <c r="Z29" i="17"/>
  <c r="Y29" i="17"/>
  <c r="X29" i="17"/>
  <c r="W29" i="17"/>
  <c r="AE28" i="17"/>
  <c r="AD28" i="17"/>
  <c r="AC28" i="17"/>
  <c r="AB28" i="17"/>
  <c r="AA28" i="17"/>
  <c r="Z28" i="17"/>
  <c r="Y28" i="17"/>
  <c r="X28" i="17"/>
  <c r="W28" i="17"/>
  <c r="AE27" i="17"/>
  <c r="AD27" i="17"/>
  <c r="AC27" i="17"/>
  <c r="AB27" i="17"/>
  <c r="AA27" i="17"/>
  <c r="Z27" i="17"/>
  <c r="Y27" i="17"/>
  <c r="X27" i="17"/>
  <c r="W27" i="17"/>
  <c r="AE26" i="17"/>
  <c r="AD26" i="17"/>
  <c r="AC26" i="17"/>
  <c r="AB26" i="17"/>
  <c r="AA26" i="17"/>
  <c r="Z26" i="17"/>
  <c r="Y26" i="17"/>
  <c r="X26" i="17"/>
  <c r="W26" i="17"/>
  <c r="AE25" i="17"/>
  <c r="AD25" i="17"/>
  <c r="AC25" i="17"/>
  <c r="AB25" i="17"/>
  <c r="AA25" i="17"/>
  <c r="Z25" i="17"/>
  <c r="Y25" i="17"/>
  <c r="X25" i="17"/>
  <c r="W25" i="17"/>
  <c r="AE24" i="17"/>
  <c r="AD24" i="17"/>
  <c r="AC24" i="17"/>
  <c r="AB24" i="17"/>
  <c r="AA24" i="17"/>
  <c r="Z24" i="17"/>
  <c r="Y24" i="17"/>
  <c r="X24" i="17"/>
  <c r="W24" i="17"/>
  <c r="AE23" i="17"/>
  <c r="AD23" i="17"/>
  <c r="AC23" i="17"/>
  <c r="AB23" i="17"/>
  <c r="AA23" i="17"/>
  <c r="Z23" i="17"/>
  <c r="Y23" i="17"/>
  <c r="X23" i="17"/>
  <c r="W23" i="17"/>
  <c r="L23" i="17"/>
  <c r="M23" i="17" s="1"/>
  <c r="AE22" i="17"/>
  <c r="AD22" i="17"/>
  <c r="AC22" i="17"/>
  <c r="AB22" i="17"/>
  <c r="AA22" i="17"/>
  <c r="Z22" i="17"/>
  <c r="Y22" i="17"/>
  <c r="X22" i="17"/>
  <c r="W22" i="17"/>
  <c r="AE21" i="17"/>
  <c r="AD21" i="17"/>
  <c r="AC21" i="17"/>
  <c r="AB21" i="17"/>
  <c r="AA21" i="17"/>
  <c r="Z21" i="17"/>
  <c r="Y21" i="17"/>
  <c r="X21" i="17"/>
  <c r="W21" i="17"/>
  <c r="AE20" i="17"/>
  <c r="AD20" i="17"/>
  <c r="AC20" i="17"/>
  <c r="AB20" i="17"/>
  <c r="AA20" i="17"/>
  <c r="Z20" i="17"/>
  <c r="Y20" i="17"/>
  <c r="X20" i="17"/>
  <c r="W20" i="17"/>
  <c r="L20" i="17"/>
  <c r="M20" i="17" s="1"/>
  <c r="AE19" i="17"/>
  <c r="AD19" i="17"/>
  <c r="AC19" i="17"/>
  <c r="AB19" i="17"/>
  <c r="AA19" i="17"/>
  <c r="Z19" i="17"/>
  <c r="Y19" i="17"/>
  <c r="X19" i="17"/>
  <c r="W19" i="17"/>
  <c r="AE18" i="17"/>
  <c r="AD18" i="17"/>
  <c r="AC18" i="17"/>
  <c r="AB18" i="17"/>
  <c r="AA18" i="17"/>
  <c r="Z18" i="17"/>
  <c r="Y18" i="17"/>
  <c r="X18" i="17"/>
  <c r="W18" i="17"/>
  <c r="AE17" i="17"/>
  <c r="AD17" i="17"/>
  <c r="AC17" i="17"/>
  <c r="AB17" i="17"/>
  <c r="AA17" i="17"/>
  <c r="Z17" i="17"/>
  <c r="Y17" i="17"/>
  <c r="X17" i="17"/>
  <c r="W17" i="17"/>
  <c r="AE16" i="17"/>
  <c r="AD16" i="17"/>
  <c r="AC16" i="17"/>
  <c r="AB16" i="17"/>
  <c r="AA16" i="17"/>
  <c r="Z16" i="17"/>
  <c r="Y16" i="17"/>
  <c r="X16" i="17"/>
  <c r="W16" i="17"/>
  <c r="AE15" i="17"/>
  <c r="AD15" i="17"/>
  <c r="AC15" i="17"/>
  <c r="AB15" i="17"/>
  <c r="AA15" i="17"/>
  <c r="Z15" i="17"/>
  <c r="Y15" i="17"/>
  <c r="X15" i="17"/>
  <c r="W15" i="17"/>
  <c r="AE14" i="17"/>
  <c r="AD14" i="17"/>
  <c r="AC14" i="17"/>
  <c r="AB14" i="17"/>
  <c r="AA14" i="17"/>
  <c r="Z14" i="17"/>
  <c r="Y14" i="17"/>
  <c r="X14" i="17"/>
  <c r="W14" i="17"/>
  <c r="AE13" i="17"/>
  <c r="AD13" i="17"/>
  <c r="AC13" i="17"/>
  <c r="AB13" i="17"/>
  <c r="AA13" i="17"/>
  <c r="Z13" i="17"/>
  <c r="Y13" i="17"/>
  <c r="X13" i="17"/>
  <c r="W13" i="17"/>
  <c r="L13" i="17"/>
  <c r="M13" i="17" s="1"/>
  <c r="AE12" i="17"/>
  <c r="AD12" i="17"/>
  <c r="AC12" i="17"/>
  <c r="AB12" i="17"/>
  <c r="AA12" i="17"/>
  <c r="Z12" i="17"/>
  <c r="Y12" i="17"/>
  <c r="X12" i="17"/>
  <c r="W12" i="17"/>
  <c r="L12" i="17"/>
  <c r="M12" i="17" s="1"/>
  <c r="AE11" i="17"/>
  <c r="AD11" i="17"/>
  <c r="AC11" i="17"/>
  <c r="AB11" i="17"/>
  <c r="AA11" i="17"/>
  <c r="Z11" i="17"/>
  <c r="Y11" i="17"/>
  <c r="X11" i="17"/>
  <c r="W11" i="17"/>
  <c r="AE10" i="17"/>
  <c r="AD10" i="17"/>
  <c r="AC10" i="17"/>
  <c r="AB10" i="17"/>
  <c r="AA10" i="17"/>
  <c r="Z10" i="17"/>
  <c r="Y10" i="17"/>
  <c r="X10" i="17"/>
  <c r="W10" i="17"/>
  <c r="AE9" i="17"/>
  <c r="AD9" i="17"/>
  <c r="AC9" i="17"/>
  <c r="AB9" i="17"/>
  <c r="AA9" i="17"/>
  <c r="Z9" i="17"/>
  <c r="Y9" i="17"/>
  <c r="X9" i="17"/>
  <c r="W9" i="17"/>
  <c r="AE8" i="17"/>
  <c r="AD8" i="17"/>
  <c r="AC8" i="17"/>
  <c r="AB8" i="17"/>
  <c r="AA8" i="17"/>
  <c r="Z8" i="17"/>
  <c r="Y8" i="17"/>
  <c r="X8" i="17"/>
  <c r="W8" i="17"/>
  <c r="AE7" i="17"/>
  <c r="AD7" i="17"/>
  <c r="AC7" i="17"/>
  <c r="AB7" i="17"/>
  <c r="AA7" i="17"/>
  <c r="Z7" i="17"/>
  <c r="Y7" i="17"/>
  <c r="X7" i="17"/>
  <c r="W7" i="17"/>
  <c r="L7" i="17"/>
  <c r="M7" i="17" s="1"/>
  <c r="AE6" i="17"/>
  <c r="AD6" i="17"/>
  <c r="AC6" i="17"/>
  <c r="AB6" i="17"/>
  <c r="AA6" i="17"/>
  <c r="Z6" i="17"/>
  <c r="Y6" i="17"/>
  <c r="X6" i="17"/>
  <c r="W6" i="17"/>
  <c r="AE5" i="17"/>
  <c r="AD5" i="17"/>
  <c r="AC5" i="17"/>
  <c r="AB5" i="17"/>
  <c r="AA5" i="17"/>
  <c r="Z5" i="17"/>
  <c r="Y5" i="17"/>
  <c r="X5" i="17"/>
  <c r="W5" i="17"/>
  <c r="B4" i="17"/>
  <c r="B3" i="17"/>
  <c r="BA56" i="17" l="1"/>
  <c r="BA41" i="17"/>
  <c r="BA26" i="17"/>
  <c r="BA34" i="17"/>
  <c r="BA48" i="17"/>
  <c r="BA66" i="17"/>
  <c r="BA11" i="17"/>
  <c r="BA6" i="17"/>
  <c r="BA12" i="17"/>
  <c r="BA19" i="17"/>
  <c r="BA25" i="17"/>
  <c r="BA33" i="17"/>
  <c r="BA40" i="17"/>
  <c r="BA47" i="17"/>
  <c r="BA55" i="17"/>
  <c r="BA62" i="17"/>
  <c r="BA77" i="17"/>
  <c r="BA63" i="17"/>
  <c r="BA7" i="17"/>
  <c r="BA13" i="17"/>
  <c r="BA27" i="17"/>
  <c r="BA35" i="17"/>
  <c r="BA42" i="17"/>
  <c r="BA49" i="17"/>
  <c r="BA57" i="17"/>
  <c r="BA64" i="17"/>
  <c r="BA72" i="17"/>
  <c r="BA79" i="17"/>
  <c r="BA20" i="17"/>
  <c r="BA8" i="17"/>
  <c r="BA14" i="17"/>
  <c r="BA21" i="17"/>
  <c r="BA28" i="17"/>
  <c r="BA36" i="17"/>
  <c r="BA43" i="17"/>
  <c r="BA50" i="17"/>
  <c r="BA58" i="17"/>
  <c r="BA65" i="17"/>
  <c r="BA73" i="17"/>
  <c r="BA80" i="17"/>
  <c r="BA9" i="17"/>
  <c r="BA15" i="17"/>
  <c r="BA22" i="17"/>
  <c r="BA29" i="17"/>
  <c r="BA37" i="17"/>
  <c r="BA44" i="17"/>
  <c r="BA52" i="17"/>
  <c r="BA59" i="17"/>
  <c r="BA67" i="17"/>
  <c r="BA74" i="17"/>
  <c r="BA81" i="17"/>
  <c r="BA53" i="17"/>
  <c r="BA68" i="17"/>
  <c r="BA75" i="17"/>
  <c r="BA82" i="17"/>
  <c r="BA10" i="17"/>
  <c r="BA30" i="17"/>
  <c r="BA23" i="17"/>
  <c r="BA38" i="17"/>
  <c r="BA54" i="17"/>
  <c r="BA60" i="17"/>
  <c r="BA69" i="17"/>
  <c r="BA76" i="17"/>
  <c r="BA3" i="17"/>
  <c r="BA16" i="17"/>
  <c r="BA45" i="17"/>
  <c r="BA17" i="17"/>
  <c r="BA31" i="17"/>
  <c r="BA5" i="17"/>
  <c r="BA18" i="17"/>
  <c r="BA24" i="17"/>
  <c r="BA32" i="17"/>
  <c r="BA39" i="17"/>
  <c r="BA46" i="17"/>
  <c r="BA61" i="17"/>
  <c r="BA70" i="17"/>
  <c r="AG3" i="17"/>
  <c r="P3" i="17"/>
  <c r="O3" i="17"/>
  <c r="N3" i="17"/>
  <c r="R3" i="17"/>
  <c r="AG72" i="17"/>
  <c r="AG79" i="17"/>
  <c r="AG64" i="17"/>
  <c r="AG68" i="17"/>
  <c r="AG76" i="17"/>
  <c r="AG80" i="17"/>
  <c r="AG66" i="17"/>
  <c r="AG56" i="17"/>
  <c r="AG53" i="17"/>
  <c r="AG13" i="17"/>
  <c r="AG17" i="17"/>
  <c r="AG21" i="17"/>
  <c r="AG57" i="17"/>
  <c r="AG6" i="17"/>
  <c r="AG24" i="17"/>
  <c r="AG28" i="17"/>
  <c r="AG32" i="17"/>
  <c r="AG36" i="17"/>
  <c r="AG40" i="17"/>
  <c r="AG44" i="17"/>
  <c r="AG48" i="17"/>
  <c r="AG10" i="17"/>
  <c r="AG14" i="17"/>
  <c r="AG18" i="17"/>
  <c r="AG60" i="17"/>
  <c r="AG69" i="17"/>
  <c r="AG7" i="17"/>
  <c r="AG11" i="17"/>
  <c r="AG19" i="17"/>
  <c r="AG22" i="17"/>
  <c r="AG25" i="17"/>
  <c r="AG29" i="17"/>
  <c r="AG33" i="17"/>
  <c r="AG37" i="17"/>
  <c r="AG41" i="17"/>
  <c r="AG45" i="17"/>
  <c r="AG49" i="17"/>
  <c r="AG62" i="17"/>
  <c r="AG70" i="17"/>
  <c r="AG73" i="17"/>
  <c r="AG15" i="17"/>
  <c r="AG16" i="17"/>
  <c r="AG26" i="17"/>
  <c r="AG30" i="17"/>
  <c r="AG34" i="17"/>
  <c r="AG46" i="17"/>
  <c r="AG50" i="17"/>
  <c r="AG54" i="17"/>
  <c r="AG65" i="17"/>
  <c r="AG74" i="17"/>
  <c r="AG77" i="17"/>
  <c r="AG8" i="17"/>
  <c r="AG23" i="17"/>
  <c r="AG38" i="17"/>
  <c r="AG42" i="17"/>
  <c r="AG58" i="17"/>
  <c r="AG78" i="17"/>
  <c r="AG81" i="17"/>
  <c r="AG12" i="17"/>
  <c r="AG20" i="17"/>
  <c r="AG55" i="17"/>
  <c r="AG59" i="17"/>
  <c r="AG67" i="17"/>
  <c r="AG71" i="17"/>
  <c r="AG82" i="17"/>
  <c r="AG5" i="17"/>
  <c r="AG9" i="17"/>
  <c r="AG27" i="17"/>
  <c r="AG31" i="17"/>
  <c r="AG35" i="17"/>
  <c r="AG39" i="17"/>
  <c r="AG43" i="17"/>
  <c r="AG47" i="17"/>
  <c r="AG52" i="17"/>
  <c r="AG61" i="17"/>
  <c r="AG63" i="17"/>
  <c r="AG75" i="17"/>
  <c r="P46" i="17"/>
  <c r="R46" i="17"/>
  <c r="R78" i="17"/>
  <c r="P78" i="17"/>
  <c r="P30" i="17"/>
  <c r="R30" i="17"/>
  <c r="P82" i="17"/>
  <c r="R82" i="17"/>
  <c r="R50" i="17"/>
  <c r="N63" i="17"/>
  <c r="N65" i="17"/>
  <c r="O63" i="17"/>
  <c r="O65" i="17"/>
  <c r="S65" i="17" s="1"/>
  <c r="R65" i="17"/>
  <c r="R75" i="17"/>
  <c r="P75" i="17"/>
  <c r="O75" i="17"/>
  <c r="N75" i="17"/>
  <c r="O81" i="17"/>
  <c r="P81" i="17"/>
  <c r="N81" i="17"/>
  <c r="R81" i="17"/>
  <c r="R76" i="17"/>
  <c r="N76" i="17"/>
  <c r="P76" i="17"/>
  <c r="O76" i="17"/>
  <c r="R79" i="17"/>
  <c r="P79" i="17"/>
  <c r="O79" i="17"/>
  <c r="N79" i="17"/>
  <c r="O77" i="17"/>
  <c r="P77" i="17"/>
  <c r="N77" i="17"/>
  <c r="R77" i="17"/>
  <c r="N80" i="17"/>
  <c r="R80" i="17"/>
  <c r="P80" i="17"/>
  <c r="O80" i="17"/>
  <c r="N78" i="17"/>
  <c r="N82" i="17"/>
  <c r="O78" i="17"/>
  <c r="O82" i="17"/>
  <c r="N68" i="17"/>
  <c r="R68" i="17"/>
  <c r="P68" i="17"/>
  <c r="O68" i="17"/>
  <c r="N72" i="17"/>
  <c r="R72" i="17"/>
  <c r="P72" i="17"/>
  <c r="O72" i="17"/>
  <c r="O69" i="17"/>
  <c r="N69" i="17"/>
  <c r="P69" i="17"/>
  <c r="R69" i="17"/>
  <c r="O73" i="17"/>
  <c r="P73" i="17"/>
  <c r="N73" i="17"/>
  <c r="R73" i="17"/>
  <c r="P70" i="17"/>
  <c r="O70" i="17"/>
  <c r="N70" i="17"/>
  <c r="R70" i="17"/>
  <c r="P74" i="17"/>
  <c r="O74" i="17"/>
  <c r="N74" i="17"/>
  <c r="R74" i="17"/>
  <c r="R67" i="17"/>
  <c r="P67" i="17"/>
  <c r="O67" i="17"/>
  <c r="N67" i="17"/>
  <c r="R71" i="17"/>
  <c r="P71" i="17"/>
  <c r="O71" i="17"/>
  <c r="N71" i="17"/>
  <c r="O61" i="17"/>
  <c r="N61" i="17"/>
  <c r="P61" i="17"/>
  <c r="R61" i="17"/>
  <c r="R62" i="17"/>
  <c r="P62" i="17"/>
  <c r="O62" i="17"/>
  <c r="N62" i="17"/>
  <c r="O64" i="17"/>
  <c r="P64" i="17"/>
  <c r="N64" i="17"/>
  <c r="R64" i="17"/>
  <c r="R60" i="17"/>
  <c r="P60" i="17"/>
  <c r="O60" i="17"/>
  <c r="N60" i="17"/>
  <c r="P63" i="17"/>
  <c r="P66" i="17"/>
  <c r="O66" i="17"/>
  <c r="N66" i="17"/>
  <c r="R66" i="17"/>
  <c r="R57" i="17"/>
  <c r="N57" i="17"/>
  <c r="P57" i="17"/>
  <c r="O57" i="17"/>
  <c r="R53" i="17"/>
  <c r="N53" i="17"/>
  <c r="P53" i="17"/>
  <c r="O53" i="17"/>
  <c r="O54" i="17"/>
  <c r="N54" i="17"/>
  <c r="P54" i="17"/>
  <c r="R54" i="17"/>
  <c r="O58" i="17"/>
  <c r="N58" i="17"/>
  <c r="P58" i="17"/>
  <c r="R58" i="17"/>
  <c r="P55" i="17"/>
  <c r="O55" i="17"/>
  <c r="N55" i="17"/>
  <c r="R55" i="17"/>
  <c r="R52" i="17"/>
  <c r="P52" i="17"/>
  <c r="O52" i="17"/>
  <c r="N52" i="17"/>
  <c r="P59" i="17"/>
  <c r="O59" i="17"/>
  <c r="N59" i="17"/>
  <c r="R59" i="17"/>
  <c r="R56" i="17"/>
  <c r="P56" i="17"/>
  <c r="O56" i="17"/>
  <c r="N56" i="17"/>
  <c r="O45" i="17"/>
  <c r="N45" i="17"/>
  <c r="P45" i="17"/>
  <c r="R45" i="17"/>
  <c r="N48" i="17"/>
  <c r="R48" i="17"/>
  <c r="P48" i="17"/>
  <c r="O48" i="17"/>
  <c r="O49" i="17"/>
  <c r="P49" i="17"/>
  <c r="N49" i="17"/>
  <c r="R49" i="17"/>
  <c r="R43" i="17"/>
  <c r="P43" i="17"/>
  <c r="O43" i="17"/>
  <c r="N43" i="17"/>
  <c r="R44" i="17"/>
  <c r="P44" i="17"/>
  <c r="O44" i="17"/>
  <c r="N44" i="17"/>
  <c r="R47" i="17"/>
  <c r="P47" i="17"/>
  <c r="O47" i="17"/>
  <c r="N47" i="17"/>
  <c r="N46" i="17"/>
  <c r="N50" i="17"/>
  <c r="O46" i="17"/>
  <c r="O50" i="17"/>
  <c r="Q50" i="17" s="1"/>
  <c r="R35" i="17"/>
  <c r="P35" i="17"/>
  <c r="O35" i="17"/>
  <c r="N35" i="17"/>
  <c r="R39" i="17"/>
  <c r="P39" i="17"/>
  <c r="O39" i="17"/>
  <c r="N39" i="17"/>
  <c r="R36" i="17"/>
  <c r="P36" i="17"/>
  <c r="O36" i="17"/>
  <c r="N36" i="17"/>
  <c r="R40" i="17"/>
  <c r="P40" i="17"/>
  <c r="O40" i="17"/>
  <c r="N40" i="17"/>
  <c r="O37" i="17"/>
  <c r="N37" i="17"/>
  <c r="R37" i="17"/>
  <c r="P37" i="17"/>
  <c r="O41" i="17"/>
  <c r="N41" i="17"/>
  <c r="R41" i="17"/>
  <c r="P41" i="17"/>
  <c r="P42" i="17"/>
  <c r="O42" i="17"/>
  <c r="N42" i="17"/>
  <c r="R42" i="17"/>
  <c r="P38" i="17"/>
  <c r="O38" i="17"/>
  <c r="N38" i="17"/>
  <c r="R38" i="17"/>
  <c r="N28" i="17"/>
  <c r="R28" i="17"/>
  <c r="P28" i="17"/>
  <c r="O28" i="17"/>
  <c r="R31" i="17"/>
  <c r="P31" i="17"/>
  <c r="O31" i="17"/>
  <c r="N31" i="17"/>
  <c r="O29" i="17"/>
  <c r="N29" i="17"/>
  <c r="P29" i="17"/>
  <c r="R29" i="17"/>
  <c r="R32" i="17"/>
  <c r="P32" i="17"/>
  <c r="O32" i="17"/>
  <c r="N32" i="17"/>
  <c r="O33" i="17"/>
  <c r="N33" i="17"/>
  <c r="P33" i="17"/>
  <c r="R33" i="17"/>
  <c r="R27" i="17"/>
  <c r="P27" i="17"/>
  <c r="O27" i="17"/>
  <c r="N27" i="17"/>
  <c r="R34" i="17"/>
  <c r="P34" i="17"/>
  <c r="O34" i="17"/>
  <c r="N34" i="17"/>
  <c r="N30" i="17"/>
  <c r="O30" i="17"/>
  <c r="N21" i="17"/>
  <c r="R21" i="17"/>
  <c r="P21" i="17"/>
  <c r="O21" i="17"/>
  <c r="R24" i="17"/>
  <c r="P24" i="17"/>
  <c r="O24" i="17"/>
  <c r="N24" i="17"/>
  <c r="O22" i="17"/>
  <c r="N22" i="17"/>
  <c r="P22" i="17"/>
  <c r="R22" i="17"/>
  <c r="O25" i="17"/>
  <c r="N25" i="17"/>
  <c r="P25" i="17"/>
  <c r="R25" i="17"/>
  <c r="P23" i="17"/>
  <c r="O23" i="17"/>
  <c r="N23" i="17"/>
  <c r="R23" i="17"/>
  <c r="P26" i="17"/>
  <c r="O26" i="17"/>
  <c r="N26" i="17"/>
  <c r="R26" i="17"/>
  <c r="R20" i="17"/>
  <c r="P20" i="17"/>
  <c r="O20" i="17"/>
  <c r="N20" i="17"/>
  <c r="R12" i="17"/>
  <c r="P12" i="17"/>
  <c r="N12" i="17"/>
  <c r="O12" i="17"/>
  <c r="R16" i="17"/>
  <c r="P16" i="17"/>
  <c r="O16" i="17"/>
  <c r="N16" i="17"/>
  <c r="R13" i="17"/>
  <c r="P13" i="17"/>
  <c r="O13" i="17"/>
  <c r="N13" i="17"/>
  <c r="R17" i="17"/>
  <c r="P17" i="17"/>
  <c r="O17" i="17"/>
  <c r="N17" i="17"/>
  <c r="O14" i="17"/>
  <c r="N14" i="17"/>
  <c r="R14" i="17"/>
  <c r="P14" i="17"/>
  <c r="O18" i="17"/>
  <c r="N18" i="17"/>
  <c r="R18" i="17"/>
  <c r="P18" i="17"/>
  <c r="P15" i="17"/>
  <c r="O15" i="17"/>
  <c r="N15" i="17"/>
  <c r="R15" i="17"/>
  <c r="P19" i="17"/>
  <c r="O19" i="17"/>
  <c r="N19" i="17"/>
  <c r="R19" i="17"/>
  <c r="O10" i="17"/>
  <c r="P10" i="17"/>
  <c r="N10" i="17"/>
  <c r="R10" i="17"/>
  <c r="P11" i="17"/>
  <c r="O11" i="17"/>
  <c r="N11" i="17"/>
  <c r="R11" i="17"/>
  <c r="P9" i="17"/>
  <c r="O9" i="17"/>
  <c r="N9" i="17"/>
  <c r="R9" i="17"/>
  <c r="R8" i="17"/>
  <c r="N8" i="17"/>
  <c r="O8" i="17"/>
  <c r="Q8" i="17" s="1"/>
  <c r="P7" i="17"/>
  <c r="O7" i="17"/>
  <c r="N7" i="17"/>
  <c r="R7" i="17"/>
  <c r="O6" i="17"/>
  <c r="N6" i="17"/>
  <c r="P6" i="17"/>
  <c r="R6" i="17"/>
  <c r="N5" i="17"/>
  <c r="P5" i="17"/>
  <c r="O5" i="17"/>
  <c r="R5" i="17"/>
  <c r="Q30" i="17" l="1"/>
  <c r="S66" i="17"/>
  <c r="Q80" i="17"/>
  <c r="S76" i="17"/>
  <c r="Q13" i="17"/>
  <c r="Q37" i="17"/>
  <c r="S17" i="17"/>
  <c r="Q16" i="17"/>
  <c r="S3" i="17"/>
  <c r="Q3" i="17"/>
  <c r="S35" i="17"/>
  <c r="Q7" i="17"/>
  <c r="Q82" i="17"/>
  <c r="Q23" i="17"/>
  <c r="S71" i="17"/>
  <c r="S18" i="17"/>
  <c r="S15" i="17"/>
  <c r="S26" i="17"/>
  <c r="Q38" i="17"/>
  <c r="S39" i="17"/>
  <c r="S59" i="17"/>
  <c r="S80" i="17"/>
  <c r="S46" i="17"/>
  <c r="Q22" i="17"/>
  <c r="Q74" i="17"/>
  <c r="Q75" i="17"/>
  <c r="Q25" i="17"/>
  <c r="S6" i="17"/>
  <c r="Q11" i="17"/>
  <c r="S19" i="17"/>
  <c r="Q46" i="17"/>
  <c r="Q63" i="17"/>
  <c r="S73" i="17"/>
  <c r="S77" i="17"/>
  <c r="S22" i="17"/>
  <c r="S41" i="17"/>
  <c r="Q65" i="17"/>
  <c r="S69" i="17"/>
  <c r="S5" i="17"/>
  <c r="S42" i="17"/>
  <c r="Q49" i="17"/>
  <c r="Q45" i="17"/>
  <c r="S54" i="17"/>
  <c r="Q60" i="17"/>
  <c r="Q61" i="17"/>
  <c r="Q70" i="17"/>
  <c r="Q79" i="17"/>
  <c r="S34" i="17"/>
  <c r="S52" i="17"/>
  <c r="S72" i="17"/>
  <c r="S48" i="17"/>
  <c r="Q10" i="17"/>
  <c r="S24" i="17"/>
  <c r="S31" i="17"/>
  <c r="Q14" i="17"/>
  <c r="S12" i="17"/>
  <c r="Q21" i="17"/>
  <c r="Q28" i="17"/>
  <c r="S47" i="17"/>
  <c r="S58" i="17"/>
  <c r="S53" i="17"/>
  <c r="Q67" i="17"/>
  <c r="Q68" i="17"/>
  <c r="S81" i="17"/>
  <c r="S21" i="17"/>
  <c r="Q33" i="17"/>
  <c r="Q29" i="17"/>
  <c r="S28" i="17"/>
  <c r="Q44" i="17"/>
  <c r="Q57" i="17"/>
  <c r="S62" i="17"/>
  <c r="Q71" i="17"/>
  <c r="S68" i="17"/>
  <c r="S82" i="17"/>
  <c r="Q41" i="17"/>
  <c r="Q18" i="17"/>
  <c r="Q36" i="17"/>
  <c r="Q35" i="17"/>
  <c r="S50" i="17"/>
  <c r="V50" i="17" s="1"/>
  <c r="S9" i="17"/>
  <c r="S27" i="17"/>
  <c r="S55" i="17"/>
  <c r="Q78" i="17"/>
  <c r="S78" i="17"/>
  <c r="S79" i="17"/>
  <c r="Q77" i="17"/>
  <c r="Q76" i="17"/>
  <c r="Q81" i="17"/>
  <c r="V81" i="17" s="1"/>
  <c r="S75" i="17"/>
  <c r="S70" i="17"/>
  <c r="Q69" i="17"/>
  <c r="S67" i="17"/>
  <c r="S74" i="17"/>
  <c r="Q73" i="17"/>
  <c r="Q72" i="17"/>
  <c r="S63" i="17"/>
  <c r="Q64" i="17"/>
  <c r="S60" i="17"/>
  <c r="Q62" i="17"/>
  <c r="S61" i="17"/>
  <c r="S64" i="17"/>
  <c r="Q66" i="17"/>
  <c r="S57" i="17"/>
  <c r="Q56" i="17"/>
  <c r="Q59" i="17"/>
  <c r="Q54" i="17"/>
  <c r="Q58" i="17"/>
  <c r="Q53" i="17"/>
  <c r="S56" i="17"/>
  <c r="Q52" i="17"/>
  <c r="Q55" i="17"/>
  <c r="Q43" i="17"/>
  <c r="V43" i="17" s="1"/>
  <c r="Q48" i="17"/>
  <c r="V48" i="17" s="1"/>
  <c r="S45" i="17"/>
  <c r="Q47" i="17"/>
  <c r="V47" i="17" s="1"/>
  <c r="S43" i="17"/>
  <c r="S44" i="17"/>
  <c r="S49" i="17"/>
  <c r="S38" i="17"/>
  <c r="Q42" i="17"/>
  <c r="V42" i="17" s="1"/>
  <c r="Q40" i="17"/>
  <c r="S36" i="17"/>
  <c r="S37" i="17"/>
  <c r="S40" i="17"/>
  <c r="Q39" i="17"/>
  <c r="S29" i="17"/>
  <c r="Q34" i="17"/>
  <c r="Q32" i="17"/>
  <c r="V32" i="17" s="1"/>
  <c r="S33" i="17"/>
  <c r="S30" i="17"/>
  <c r="Q27" i="17"/>
  <c r="S32" i="17"/>
  <c r="Q31" i="17"/>
  <c r="Q20" i="17"/>
  <c r="Q26" i="17"/>
  <c r="S25" i="17"/>
  <c r="S20" i="17"/>
  <c r="S23" i="17"/>
  <c r="Q24" i="17"/>
  <c r="Q15" i="17"/>
  <c r="Q17" i="17"/>
  <c r="S16" i="17"/>
  <c r="Q12" i="17"/>
  <c r="Q19" i="17"/>
  <c r="S13" i="17"/>
  <c r="S14" i="17"/>
  <c r="S10" i="17"/>
  <c r="S11" i="17"/>
  <c r="S8" i="17"/>
  <c r="Q9" i="17"/>
  <c r="Q6" i="17"/>
  <c r="V6" i="17" s="1"/>
  <c r="S7" i="17"/>
  <c r="Q5" i="17"/>
  <c r="V22" i="17" l="1"/>
  <c r="V73" i="17"/>
  <c r="V54" i="17"/>
  <c r="V3" i="17"/>
  <c r="V19" i="17"/>
  <c r="AH19" i="17" s="1"/>
  <c r="AR19" i="17" s="1"/>
  <c r="V56" i="17"/>
  <c r="AH56" i="17" s="1"/>
  <c r="AZ56" i="17" s="1"/>
  <c r="V55" i="17"/>
  <c r="V70" i="17"/>
  <c r="V66" i="17"/>
  <c r="AH66" i="17" s="1"/>
  <c r="AY66" i="17" s="1"/>
  <c r="V77" i="17"/>
  <c r="AH77" i="17" s="1"/>
  <c r="AZ77" i="17" s="1"/>
  <c r="V74" i="17"/>
  <c r="V15" i="17"/>
  <c r="V17" i="17"/>
  <c r="V71" i="17"/>
  <c r="AH71" i="17" s="1"/>
  <c r="AN71" i="17" s="1"/>
  <c r="V53" i="17"/>
  <c r="V67" i="17"/>
  <c r="V34" i="17"/>
  <c r="AH34" i="17" s="1"/>
  <c r="AJ34" i="17" s="1"/>
  <c r="V76" i="17"/>
  <c r="AH76" i="17" s="1"/>
  <c r="V14" i="17"/>
  <c r="V31" i="17"/>
  <c r="V39" i="17"/>
  <c r="AH39" i="17" s="1"/>
  <c r="AN39" i="17" s="1"/>
  <c r="V69" i="17"/>
  <c r="AH69" i="17" s="1"/>
  <c r="AJ69" i="17" s="1"/>
  <c r="V41" i="17"/>
  <c r="AH41" i="17" s="1"/>
  <c r="AN41" i="17" s="1"/>
  <c r="V16" i="17"/>
  <c r="AH16" i="17" s="1"/>
  <c r="AN16" i="17" s="1"/>
  <c r="V18" i="17"/>
  <c r="AH18" i="17" s="1"/>
  <c r="AJ18" i="17" s="1"/>
  <c r="V58" i="17"/>
  <c r="AH58" i="17" s="1"/>
  <c r="AZ58" i="17" s="1"/>
  <c r="I58" i="4" s="1"/>
  <c r="V59" i="17"/>
  <c r="AH59" i="17" s="1"/>
  <c r="AR59" i="17" s="1"/>
  <c r="V63" i="17"/>
  <c r="V57" i="17"/>
  <c r="AH57" i="17" s="1"/>
  <c r="AZ57" i="17" s="1"/>
  <c r="V79" i="17"/>
  <c r="AH79" i="17" s="1"/>
  <c r="AN79" i="17" s="1"/>
  <c r="V36" i="17"/>
  <c r="V82" i="17"/>
  <c r="V10" i="17"/>
  <c r="V60" i="17"/>
  <c r="AH60" i="17" s="1"/>
  <c r="AZ60" i="17" s="1"/>
  <c r="V25" i="17"/>
  <c r="V38" i="17"/>
  <c r="AH38" i="17" s="1"/>
  <c r="V80" i="17"/>
  <c r="AH80" i="17" s="1"/>
  <c r="V72" i="17"/>
  <c r="AH72" i="17" s="1"/>
  <c r="AJ72" i="17" s="1"/>
  <c r="V45" i="17"/>
  <c r="AH45" i="17" s="1"/>
  <c r="AR45" i="17" s="1"/>
  <c r="V5" i="17"/>
  <c r="V20" i="17"/>
  <c r="AH20" i="17" s="1"/>
  <c r="AJ20" i="17" s="1"/>
  <c r="V40" i="17"/>
  <c r="AH40" i="17" s="1"/>
  <c r="AR40" i="17" s="1"/>
  <c r="V64" i="17"/>
  <c r="V21" i="17"/>
  <c r="V49" i="17"/>
  <c r="AH49" i="17" s="1"/>
  <c r="AY49" i="17" s="1"/>
  <c r="V68" i="17"/>
  <c r="AH68" i="17" s="1"/>
  <c r="AZ68" i="17" s="1"/>
  <c r="V75" i="17"/>
  <c r="AH75" i="17" s="1"/>
  <c r="AZ75" i="17" s="1"/>
  <c r="V12" i="17"/>
  <c r="V52" i="17"/>
  <c r="AH52" i="17" s="1"/>
  <c r="AZ52" i="17" s="1"/>
  <c r="V35" i="17"/>
  <c r="AH35" i="17" s="1"/>
  <c r="AZ35" i="17" s="1"/>
  <c r="I35" i="4" s="1"/>
  <c r="V44" i="17"/>
  <c r="AH44" i="17" s="1"/>
  <c r="AN44" i="17" s="1"/>
  <c r="V61" i="17"/>
  <c r="AH61" i="17" s="1"/>
  <c r="AJ61" i="17" s="1"/>
  <c r="V23" i="17"/>
  <c r="AH23" i="17" s="1"/>
  <c r="AJ23" i="17" s="1"/>
  <c r="V37" i="17"/>
  <c r="AH37" i="17" s="1"/>
  <c r="AN37" i="17" s="1"/>
  <c r="V26" i="17"/>
  <c r="AH26" i="17" s="1"/>
  <c r="AJ26" i="17" s="1"/>
  <c r="V24" i="17"/>
  <c r="AH24" i="17" s="1"/>
  <c r="AZ24" i="17" s="1"/>
  <c r="I24" i="4" s="1"/>
  <c r="V62" i="17"/>
  <c r="V78" i="17"/>
  <c r="AH78" i="17" s="1"/>
  <c r="AZ78" i="17" s="1"/>
  <c r="V29" i="17"/>
  <c r="AH29" i="17" s="1"/>
  <c r="AY29" i="17" s="1"/>
  <c r="V11" i="17"/>
  <c r="AH11" i="17" s="1"/>
  <c r="AY11" i="17" s="1"/>
  <c r="V13" i="17"/>
  <c r="AH13" i="17" s="1"/>
  <c r="V9" i="17"/>
  <c r="AH9" i="17" s="1"/>
  <c r="AR9" i="17" s="1"/>
  <c r="V27" i="17"/>
  <c r="AH27" i="17" s="1"/>
  <c r="AN27" i="17" s="1"/>
  <c r="V30" i="17"/>
  <c r="AH30" i="17" s="1"/>
  <c r="AR30" i="17" s="1"/>
  <c r="V33" i="17"/>
  <c r="AH33" i="17" s="1"/>
  <c r="AR33" i="17" s="1"/>
  <c r="V28" i="17"/>
  <c r="AH28" i="17" s="1"/>
  <c r="AN28" i="17" s="1"/>
  <c r="V7" i="17"/>
  <c r="AH7" i="17" s="1"/>
  <c r="AN7" i="17" s="1"/>
  <c r="V8" i="17"/>
  <c r="AH8" i="17" s="1"/>
  <c r="AZ8" i="17" s="1"/>
  <c r="I8" i="4" s="1"/>
  <c r="V46" i="17"/>
  <c r="AH46" i="17" s="1"/>
  <c r="AH50" i="17"/>
  <c r="AZ50" i="17" s="1"/>
  <c r="V65" i="17"/>
  <c r="AH65" i="17" s="1"/>
  <c r="AH5" i="17"/>
  <c r="AJ5" i="17" s="1"/>
  <c r="AH3" i="17"/>
  <c r="AR3" i="17" s="1"/>
  <c r="AH17" i="17"/>
  <c r="AZ17" i="17" s="1"/>
  <c r="I17" i="4" s="1"/>
  <c r="AH15" i="17"/>
  <c r="AJ15" i="17" s="1"/>
  <c r="AH55" i="17"/>
  <c r="AJ55" i="17" s="1"/>
  <c r="AH73" i="17"/>
  <c r="AR73" i="17" s="1"/>
  <c r="AH10" i="17"/>
  <c r="AY10" i="17" s="1"/>
  <c r="AH82" i="17"/>
  <c r="AY82" i="17" s="1"/>
  <c r="AH53" i="17"/>
  <c r="AZ53" i="17" s="1"/>
  <c r="AH21" i="17"/>
  <c r="AN21" i="17" s="1"/>
  <c r="AH62" i="17"/>
  <c r="AR62" i="17" s="1"/>
  <c r="AH42" i="17"/>
  <c r="AR42" i="17" s="1"/>
  <c r="AH74" i="17"/>
  <c r="AJ74" i="17" s="1"/>
  <c r="AH63" i="17"/>
  <c r="AR63" i="17" s="1"/>
  <c r="AH22" i="17"/>
  <c r="AR22" i="17" s="1"/>
  <c r="AH70" i="17"/>
  <c r="AJ70" i="17" s="1"/>
  <c r="AH36" i="17"/>
  <c r="AY36" i="17" s="1"/>
  <c r="AH43" i="17"/>
  <c r="AN43" i="17" s="1"/>
  <c r="AH54" i="17"/>
  <c r="AY54" i="17" s="1"/>
  <c r="AH67" i="17"/>
  <c r="AR67" i="17" s="1"/>
  <c r="AH6" i="17"/>
  <c r="AJ6" i="17" s="1"/>
  <c r="AH25" i="17"/>
  <c r="AR25" i="17" s="1"/>
  <c r="AH47" i="17"/>
  <c r="AZ47" i="17" s="1"/>
  <c r="AH31" i="17"/>
  <c r="AR31" i="17" s="1"/>
  <c r="AH48" i="17"/>
  <c r="AN48" i="17" s="1"/>
  <c r="AH64" i="17"/>
  <c r="AR64" i="17" s="1"/>
  <c r="AH12" i="17"/>
  <c r="AZ12" i="17" s="1"/>
  <c r="I12" i="4" s="1"/>
  <c r="AH14" i="17"/>
  <c r="AY14" i="17" s="1"/>
  <c r="AH32" i="17"/>
  <c r="AN32" i="17" s="1"/>
  <c r="AH81" i="17"/>
  <c r="AR81" i="17" s="1"/>
  <c r="AZ45" i="17" l="1"/>
  <c r="AY76" i="17"/>
  <c r="AR76" i="17"/>
  <c r="AR38" i="17"/>
  <c r="AZ38" i="17"/>
  <c r="AY38" i="17"/>
  <c r="AJ45" i="17"/>
  <c r="AZ80" i="17"/>
  <c r="AN80" i="17"/>
  <c r="AR41" i="17"/>
  <c r="AY41" i="17"/>
  <c r="AZ41" i="17"/>
  <c r="AR13" i="17"/>
  <c r="AN13" i="17"/>
  <c r="AZ13" i="17"/>
  <c r="I13" i="4" s="1"/>
  <c r="AY13" i="17"/>
  <c r="AJ13" i="17"/>
  <c r="AR16" i="17"/>
  <c r="AR80" i="17"/>
  <c r="AN8" i="17"/>
  <c r="AY16" i="17"/>
  <c r="AZ16" i="17"/>
  <c r="AJ16" i="17"/>
  <c r="AJ80" i="17"/>
  <c r="AY80" i="17"/>
  <c r="AJ41" i="17"/>
  <c r="AN46" i="17"/>
  <c r="AR46" i="17"/>
  <c r="AZ46" i="17"/>
  <c r="AY46" i="17"/>
  <c r="AJ46" i="17"/>
  <c r="AR65" i="17"/>
  <c r="AN65" i="17"/>
  <c r="AZ65" i="17"/>
  <c r="AJ65" i="17"/>
  <c r="AY65" i="17"/>
  <c r="AN45" i="17"/>
  <c r="AJ8" i="17"/>
  <c r="AY45" i="17"/>
  <c r="AR8" i="17"/>
  <c r="AY8" i="17"/>
  <c r="AJ50" i="17"/>
  <c r="AN52" i="17"/>
  <c r="AN38" i="17"/>
  <c r="AY50" i="17"/>
  <c r="AV50" i="17" s="1"/>
  <c r="AN50" i="17"/>
  <c r="AR50" i="17"/>
  <c r="AJ38" i="17"/>
  <c r="AN75" i="17"/>
  <c r="AJ66" i="17"/>
  <c r="AY37" i="17"/>
  <c r="AZ49" i="17"/>
  <c r="AT49" i="17" s="1"/>
  <c r="AR57" i="17"/>
  <c r="AR36" i="17"/>
  <c r="AY42" i="17"/>
  <c r="AN30" i="17"/>
  <c r="AJ30" i="17"/>
  <c r="AY30" i="17"/>
  <c r="AZ30" i="17"/>
  <c r="AR23" i="17"/>
  <c r="AZ18" i="17"/>
  <c r="I18" i="4" s="1"/>
  <c r="AY17" i="17"/>
  <c r="AN11" i="17"/>
  <c r="AZ11" i="17"/>
  <c r="AZ5" i="17"/>
  <c r="I5" i="4" s="1"/>
  <c r="AN5" i="17"/>
  <c r="AR5" i="17"/>
  <c r="AY5" i="17"/>
  <c r="AY75" i="17"/>
  <c r="AJ76" i="17"/>
  <c r="AZ76" i="17"/>
  <c r="AL76" i="17" s="1"/>
  <c r="AN76" i="17"/>
  <c r="AN19" i="17"/>
  <c r="AN57" i="17"/>
  <c r="AJ75" i="17"/>
  <c r="AJ10" i="17"/>
  <c r="AN42" i="17"/>
  <c r="AZ48" i="17"/>
  <c r="AL48" i="17" s="1"/>
  <c r="AR48" i="17"/>
  <c r="AR35" i="17"/>
  <c r="AR14" i="17"/>
  <c r="AZ39" i="17"/>
  <c r="AZ66" i="17"/>
  <c r="AJ73" i="17"/>
  <c r="AJ27" i="17"/>
  <c r="AR53" i="17"/>
  <c r="AY62" i="17"/>
  <c r="AN10" i="17"/>
  <c r="AN14" i="17"/>
  <c r="AN53" i="17"/>
  <c r="AZ63" i="17"/>
  <c r="AN35" i="17"/>
  <c r="AZ42" i="17"/>
  <c r="AP42" i="17" s="1"/>
  <c r="AJ52" i="17"/>
  <c r="AN60" i="17"/>
  <c r="AR17" i="17"/>
  <c r="AY28" i="17"/>
  <c r="AJ49" i="17"/>
  <c r="AR52" i="17"/>
  <c r="AV29" i="17"/>
  <c r="AV10" i="17"/>
  <c r="AV41" i="17"/>
  <c r="AV38" i="17"/>
  <c r="AY70" i="17"/>
  <c r="AV14" i="17"/>
  <c r="AV82" i="17"/>
  <c r="AV66" i="17"/>
  <c r="AJ19" i="17"/>
  <c r="AV49" i="17"/>
  <c r="AZ19" i="17"/>
  <c r="I19" i="4" s="1"/>
  <c r="AJ17" i="17"/>
  <c r="AY25" i="17"/>
  <c r="AV76" i="17"/>
  <c r="AV36" i="17"/>
  <c r="AV11" i="17"/>
  <c r="AV54" i="17"/>
  <c r="AV16" i="17"/>
  <c r="AN17" i="17"/>
  <c r="AJ37" i="17"/>
  <c r="AR60" i="17"/>
  <c r="AY15" i="17"/>
  <c r="AZ15" i="17"/>
  <c r="I15" i="4" s="1"/>
  <c r="AN24" i="17"/>
  <c r="AN59" i="17"/>
  <c r="AY64" i="17"/>
  <c r="AN25" i="17"/>
  <c r="AR37" i="17"/>
  <c r="AJ42" i="17"/>
  <c r="AZ59" i="17"/>
  <c r="AJ60" i="17"/>
  <c r="AZ73" i="17"/>
  <c r="AJ35" i="17"/>
  <c r="AJ39" i="17"/>
  <c r="AN66" i="17"/>
  <c r="AY72" i="17"/>
  <c r="AZ82" i="17"/>
  <c r="AR11" i="17"/>
  <c r="AY19" i="17"/>
  <c r="AY35" i="17"/>
  <c r="AY39" i="17"/>
  <c r="AY52" i="17"/>
  <c r="AR66" i="17"/>
  <c r="AJ62" i="17"/>
  <c r="AR75" i="17"/>
  <c r="AN3" i="17"/>
  <c r="AJ3" i="17"/>
  <c r="AZ3" i="17"/>
  <c r="AY3" i="17"/>
  <c r="AZ28" i="17"/>
  <c r="I28" i="4" s="1"/>
  <c r="AJ14" i="17"/>
  <c r="AZ32" i="17"/>
  <c r="I32" i="4" s="1"/>
  <c r="AZ14" i="17"/>
  <c r="I14" i="4" s="1"/>
  <c r="AR28" i="17"/>
  <c r="AR39" i="17"/>
  <c r="AY53" i="17"/>
  <c r="AY60" i="17"/>
  <c r="AN63" i="17"/>
  <c r="AZ72" i="17"/>
  <c r="AY22" i="17"/>
  <c r="AR24" i="17"/>
  <c r="AR55" i="17"/>
  <c r="AN15" i="17"/>
  <c r="AZ20" i="17"/>
  <c r="I20" i="4" s="1"/>
  <c r="AJ56" i="17"/>
  <c r="AY55" i="17"/>
  <c r="AN73" i="17"/>
  <c r="AY9" i="17"/>
  <c r="AY18" i="17"/>
  <c r="AR15" i="17"/>
  <c r="AZ25" i="17"/>
  <c r="I25" i="4" s="1"/>
  <c r="AJ28" i="17"/>
  <c r="AY56" i="17"/>
  <c r="AZ55" i="17"/>
  <c r="AY73" i="17"/>
  <c r="AN82" i="17"/>
  <c r="AN26" i="17"/>
  <c r="AN22" i="17"/>
  <c r="AY20" i="17"/>
  <c r="AZ36" i="17"/>
  <c r="I36" i="4" s="1"/>
  <c r="AJ48" i="17"/>
  <c r="AZ70" i="17"/>
  <c r="AZ22" i="17"/>
  <c r="I22" i="4" s="1"/>
  <c r="AZ6" i="17"/>
  <c r="I6" i="4" s="1"/>
  <c r="AY48" i="17"/>
  <c r="AJ71" i="17"/>
  <c r="AN6" i="17"/>
  <c r="AY71" i="17"/>
  <c r="AR47" i="17"/>
  <c r="AY44" i="17"/>
  <c r="AY47" i="17"/>
  <c r="AJ63" i="17"/>
  <c r="AJ77" i="17"/>
  <c r="AR82" i="17"/>
  <c r="AY63" i="17"/>
  <c r="AJ44" i="17"/>
  <c r="AY27" i="17"/>
  <c r="AJ11" i="17"/>
  <c r="AN18" i="17"/>
  <c r="AY26" i="17"/>
  <c r="AJ25" i="17"/>
  <c r="AZ34" i="17"/>
  <c r="I34" i="4" s="1"/>
  <c r="AR27" i="17"/>
  <c r="AR49" i="17"/>
  <c r="AZ61" i="17"/>
  <c r="AY67" i="17"/>
  <c r="AJ9" i="17"/>
  <c r="AR18" i="17"/>
  <c r="AZ26" i="17"/>
  <c r="I26" i="4" s="1"/>
  <c r="AR29" i="17"/>
  <c r="AR56" i="17"/>
  <c r="AJ59" i="17"/>
  <c r="AZ62" i="17"/>
  <c r="AR61" i="17"/>
  <c r="AR71" i="17"/>
  <c r="AN74" i="17"/>
  <c r="AY21" i="17"/>
  <c r="AJ57" i="17"/>
  <c r="AZ37" i="17"/>
  <c r="AN56" i="17"/>
  <c r="AN55" i="17"/>
  <c r="AY57" i="17"/>
  <c r="AZ71" i="17"/>
  <c r="AR10" i="17"/>
  <c r="AN36" i="17"/>
  <c r="AN47" i="17"/>
  <c r="AJ53" i="17"/>
  <c r="AN58" i="17"/>
  <c r="AY6" i="17"/>
  <c r="AN68" i="17"/>
  <c r="AN72" i="17"/>
  <c r="AN49" i="17"/>
  <c r="AR44" i="17"/>
  <c r="AY59" i="17"/>
  <c r="AR21" i="17"/>
  <c r="AN70" i="17"/>
  <c r="AY74" i="17"/>
  <c r="AN23" i="17"/>
  <c r="AN34" i="17"/>
  <c r="AN33" i="17"/>
  <c r="AJ36" i="17"/>
  <c r="AY58" i="17"/>
  <c r="AJ54" i="17"/>
  <c r="AZ69" i="17"/>
  <c r="AR70" i="17"/>
  <c r="AZ74" i="17"/>
  <c r="AZ81" i="17"/>
  <c r="AJ82" i="17"/>
  <c r="AZ21" i="17"/>
  <c r="I21" i="4" s="1"/>
  <c r="AN54" i="17"/>
  <c r="AR7" i="17"/>
  <c r="AJ7" i="17"/>
  <c r="AZ23" i="17"/>
  <c r="I23" i="4" s="1"/>
  <c r="AJ24" i="17"/>
  <c r="AY34" i="17"/>
  <c r="AY33" i="17"/>
  <c r="AN69" i="17"/>
  <c r="AY7" i="17"/>
  <c r="AZ9" i="17"/>
  <c r="I9" i="4" s="1"/>
  <c r="AY24" i="17"/>
  <c r="AN20" i="17"/>
  <c r="AJ29" i="17"/>
  <c r="AZ44" i="17"/>
  <c r="AR58" i="17"/>
  <c r="AN61" i="17"/>
  <c r="AR69" i="17"/>
  <c r="AR74" i="17"/>
  <c r="AZ7" i="17"/>
  <c r="I7" i="4" s="1"/>
  <c r="AZ10" i="17"/>
  <c r="I10" i="4" s="1"/>
  <c r="AY23" i="17"/>
  <c r="AJ33" i="17"/>
  <c r="AJ58" i="17"/>
  <c r="AZ54" i="17"/>
  <c r="I54" i="4" s="1"/>
  <c r="AN62" i="17"/>
  <c r="AY61" i="17"/>
  <c r="AY69" i="17"/>
  <c r="AN77" i="17"/>
  <c r="AJ21" i="17"/>
  <c r="AR77" i="17"/>
  <c r="AJ81" i="17"/>
  <c r="AN9" i="17"/>
  <c r="AR20" i="17"/>
  <c r="AZ27" i="17"/>
  <c r="I27" i="4" s="1"/>
  <c r="AR6" i="17"/>
  <c r="AR26" i="17"/>
  <c r="AR34" i="17"/>
  <c r="AR54" i="17"/>
  <c r="AY77" i="17"/>
  <c r="AY78" i="17"/>
  <c r="AZ33" i="17"/>
  <c r="I33" i="4" s="1"/>
  <c r="AR72" i="17"/>
  <c r="AJ22" i="17"/>
  <c r="AR12" i="17"/>
  <c r="AR68" i="17"/>
  <c r="AJ43" i="17"/>
  <c r="AY43" i="17"/>
  <c r="AJ67" i="17"/>
  <c r="AR43" i="17"/>
  <c r="AJ68" i="17"/>
  <c r="AZ43" i="17"/>
  <c r="AY68" i="17"/>
  <c r="AN67" i="17"/>
  <c r="AL5" i="17"/>
  <c r="AJ32" i="17"/>
  <c r="AP5" i="17"/>
  <c r="AJ31" i="17"/>
  <c r="AN64" i="17"/>
  <c r="AZ67" i="17"/>
  <c r="AR78" i="17"/>
  <c r="AR32" i="17"/>
  <c r="AZ29" i="17"/>
  <c r="I29" i="4" s="1"/>
  <c r="AY31" i="17"/>
  <c r="AZ40" i="17"/>
  <c r="AN78" i="17"/>
  <c r="AN12" i="17"/>
  <c r="AN29" i="17"/>
  <c r="AZ31" i="17"/>
  <c r="I31" i="4" s="1"/>
  <c r="AN40" i="17"/>
  <c r="AJ47" i="17"/>
  <c r="AZ64" i="17"/>
  <c r="AJ78" i="17"/>
  <c r="AR79" i="17"/>
  <c r="AJ79" i="17"/>
  <c r="AY32" i="17"/>
  <c r="AY79" i="17"/>
  <c r="AZ79" i="17"/>
  <c r="AJ40" i="17"/>
  <c r="AN31" i="17"/>
  <c r="AY40" i="17"/>
  <c r="AY12" i="17"/>
  <c r="AJ64" i="17"/>
  <c r="AY81" i="17"/>
  <c r="AJ12" i="17"/>
  <c r="AN81" i="17"/>
  <c r="AL78" i="17"/>
  <c r="AX78" i="17"/>
  <c r="AT78" i="17"/>
  <c r="AP78" i="17"/>
  <c r="AP75" i="17"/>
  <c r="AL75" i="17"/>
  <c r="AX75" i="17"/>
  <c r="AT75" i="17"/>
  <c r="AT80" i="17"/>
  <c r="AP80" i="17"/>
  <c r="AL80" i="17"/>
  <c r="AX80" i="17"/>
  <c r="AX77" i="17"/>
  <c r="AT77" i="17"/>
  <c r="AP77" i="17"/>
  <c r="AL77" i="17"/>
  <c r="AT76" i="17"/>
  <c r="AP76" i="17"/>
  <c r="AT68" i="17"/>
  <c r="AP68" i="17"/>
  <c r="AL68" i="17"/>
  <c r="AX68" i="17"/>
  <c r="AP60" i="17"/>
  <c r="AL60" i="17"/>
  <c r="AX60" i="17"/>
  <c r="AT60" i="17"/>
  <c r="AP56" i="17"/>
  <c r="AL56" i="17"/>
  <c r="AX56" i="17"/>
  <c r="AT56" i="17"/>
  <c r="AX58" i="17"/>
  <c r="AT58" i="17"/>
  <c r="AP58" i="17"/>
  <c r="AL58" i="17"/>
  <c r="AT53" i="17"/>
  <c r="AP53" i="17"/>
  <c r="AL53" i="17"/>
  <c r="AX53" i="17"/>
  <c r="AP52" i="17"/>
  <c r="AL52" i="17"/>
  <c r="AX52" i="17"/>
  <c r="AT52" i="17"/>
  <c r="AT57" i="17"/>
  <c r="AP57" i="17"/>
  <c r="AL57" i="17"/>
  <c r="AX57" i="17"/>
  <c r="AX49" i="17"/>
  <c r="AX46" i="17"/>
  <c r="AT46" i="17"/>
  <c r="AP46" i="17"/>
  <c r="AP47" i="17"/>
  <c r="AL47" i="17"/>
  <c r="AX47" i="17"/>
  <c r="AT47" i="17"/>
  <c r="AL50" i="17"/>
  <c r="AX50" i="17"/>
  <c r="AT50" i="17"/>
  <c r="AP50" i="17"/>
  <c r="AX45" i="17"/>
  <c r="AT45" i="17"/>
  <c r="AP45" i="17"/>
  <c r="AL45" i="17"/>
  <c r="AP35" i="17"/>
  <c r="AL35" i="17"/>
  <c r="AX35" i="17"/>
  <c r="AT35" i="17"/>
  <c r="AX41" i="17"/>
  <c r="AT41" i="17"/>
  <c r="AP41" i="17"/>
  <c r="AL41" i="17"/>
  <c r="AL38" i="17"/>
  <c r="AX38" i="17"/>
  <c r="AT38" i="17"/>
  <c r="AP38" i="17"/>
  <c r="AT24" i="17"/>
  <c r="AP24" i="17"/>
  <c r="AL24" i="17"/>
  <c r="AX24" i="17"/>
  <c r="AL13" i="17"/>
  <c r="AX13" i="17"/>
  <c r="AP12" i="17"/>
  <c r="AL12" i="17"/>
  <c r="AX12" i="17"/>
  <c r="AT12" i="17"/>
  <c r="AT17" i="17"/>
  <c r="AP17" i="17"/>
  <c r="AL17" i="17"/>
  <c r="AX17" i="17"/>
  <c r="AL16" i="17"/>
  <c r="AX8" i="17"/>
  <c r="AT8" i="17"/>
  <c r="AP8" i="17"/>
  <c r="AL8" i="17"/>
  <c r="AV80" i="17" l="1"/>
  <c r="AX5" i="17"/>
  <c r="AX16" i="17"/>
  <c r="AT5" i="17"/>
  <c r="AP65" i="17"/>
  <c r="AV13" i="17"/>
  <c r="AP13" i="17"/>
  <c r="AT13" i="17"/>
  <c r="AL46" i="17"/>
  <c r="AL11" i="17"/>
  <c r="I11" i="4"/>
  <c r="AL59" i="17"/>
  <c r="I59" i="4"/>
  <c r="AL30" i="17"/>
  <c r="I30" i="4"/>
  <c r="AT16" i="17"/>
  <c r="I16" i="4"/>
  <c r="AV65" i="17"/>
  <c r="AP16" i="17"/>
  <c r="AT42" i="17"/>
  <c r="AV46" i="17"/>
  <c r="AP11" i="17"/>
  <c r="AT11" i="17"/>
  <c r="AX11" i="17"/>
  <c r="AV75" i="17"/>
  <c r="AL49" i="17"/>
  <c r="AT65" i="17"/>
  <c r="AP49" i="17"/>
  <c r="AL65" i="17"/>
  <c r="AX65" i="17"/>
  <c r="AV8" i="17"/>
  <c r="AV45" i="17"/>
  <c r="AV17" i="17"/>
  <c r="AL69" i="17"/>
  <c r="AP30" i="17"/>
  <c r="AP79" i="17"/>
  <c r="AT30" i="17"/>
  <c r="AV5" i="17"/>
  <c r="AX42" i="17"/>
  <c r="AP69" i="17"/>
  <c r="AL42" i="17"/>
  <c r="AX76" i="17"/>
  <c r="AP70" i="17"/>
  <c r="AV37" i="17"/>
  <c r="AX48" i="17"/>
  <c r="AT73" i="17"/>
  <c r="AT72" i="17"/>
  <c r="AX62" i="17"/>
  <c r="AT61" i="17"/>
  <c r="AL54" i="17"/>
  <c r="AV42" i="17"/>
  <c r="AX30" i="17"/>
  <c r="AV30" i="17"/>
  <c r="AP26" i="17"/>
  <c r="AT22" i="17"/>
  <c r="AP19" i="17"/>
  <c r="AL18" i="17"/>
  <c r="AT18" i="17"/>
  <c r="AP18" i="17"/>
  <c r="AX18" i="17"/>
  <c r="AP15" i="17"/>
  <c r="AL10" i="17"/>
  <c r="AP7" i="17"/>
  <c r="AP3" i="17"/>
  <c r="AX27" i="17"/>
  <c r="AT48" i="17"/>
  <c r="AL19" i="17"/>
  <c r="AP48" i="17"/>
  <c r="AL20" i="17"/>
  <c r="AX39" i="17"/>
  <c r="AX20" i="17"/>
  <c r="AP20" i="17"/>
  <c r="AL39" i="17"/>
  <c r="AP66" i="17"/>
  <c r="AP39" i="17"/>
  <c r="AX70" i="17"/>
  <c r="AX26" i="17"/>
  <c r="AX66" i="17"/>
  <c r="AV62" i="17"/>
  <c r="AT39" i="17"/>
  <c r="AL25" i="17"/>
  <c r="AP25" i="17"/>
  <c r="AT66" i="17"/>
  <c r="AX14" i="17"/>
  <c r="AL66" i="17"/>
  <c r="AL63" i="17"/>
  <c r="AT15" i="17"/>
  <c r="AX63" i="17"/>
  <c r="AP63" i="17"/>
  <c r="AT19" i="17"/>
  <c r="AT63" i="17"/>
  <c r="AX19" i="17"/>
  <c r="AT27" i="17"/>
  <c r="AV77" i="17"/>
  <c r="AP9" i="17"/>
  <c r="AV27" i="17"/>
  <c r="AL61" i="17"/>
  <c r="AV12" i="17"/>
  <c r="AV68" i="17"/>
  <c r="AP54" i="17"/>
  <c r="AV7" i="17"/>
  <c r="AV58" i="17"/>
  <c r="AV59" i="17"/>
  <c r="AV71" i="17"/>
  <c r="AX36" i="17"/>
  <c r="AX55" i="17"/>
  <c r="AV22" i="17"/>
  <c r="AX32" i="17"/>
  <c r="AP82" i="17"/>
  <c r="AP73" i="17"/>
  <c r="AP61" i="17"/>
  <c r="AV20" i="17"/>
  <c r="AV33" i="17"/>
  <c r="AP34" i="17"/>
  <c r="AP28" i="17"/>
  <c r="AV52" i="17"/>
  <c r="AP59" i="17"/>
  <c r="AV15" i="17"/>
  <c r="AV25" i="17"/>
  <c r="AL43" i="17"/>
  <c r="AX37" i="17"/>
  <c r="AX72" i="17"/>
  <c r="AL15" i="17"/>
  <c r="AX44" i="17"/>
  <c r="AX81" i="17"/>
  <c r="AV21" i="17"/>
  <c r="AV32" i="17"/>
  <c r="AP62" i="17"/>
  <c r="AV56" i="17"/>
  <c r="AV72" i="17"/>
  <c r="AV23" i="17"/>
  <c r="AV34" i="17"/>
  <c r="AL26" i="17"/>
  <c r="AV48" i="17"/>
  <c r="AV60" i="17"/>
  <c r="AV39" i="17"/>
  <c r="AL14" i="17"/>
  <c r="AT25" i="17"/>
  <c r="AT28" i="17"/>
  <c r="AL55" i="17"/>
  <c r="AT79" i="17"/>
  <c r="AV31" i="17"/>
  <c r="AV69" i="17"/>
  <c r="AP10" i="17"/>
  <c r="AX74" i="17"/>
  <c r="AV26" i="17"/>
  <c r="AL6" i="17"/>
  <c r="AV53" i="17"/>
  <c r="AV35" i="17"/>
  <c r="AV79" i="17"/>
  <c r="AL29" i="17"/>
  <c r="AL33" i="17"/>
  <c r="AV61" i="17"/>
  <c r="AT7" i="17"/>
  <c r="AL23" i="17"/>
  <c r="AV74" i="17"/>
  <c r="AP71" i="17"/>
  <c r="AV47" i="17"/>
  <c r="AP22" i="17"/>
  <c r="AV18" i="17"/>
  <c r="AV28" i="17"/>
  <c r="AV43" i="17"/>
  <c r="AX61" i="17"/>
  <c r="AV40" i="17"/>
  <c r="AV63" i="17"/>
  <c r="AV55" i="17"/>
  <c r="AP14" i="17"/>
  <c r="AX25" i="17"/>
  <c r="AT59" i="17"/>
  <c r="AT9" i="17"/>
  <c r="AT14" i="17"/>
  <c r="AT20" i="17"/>
  <c r="AX59" i="17"/>
  <c r="AT62" i="17"/>
  <c r="AP72" i="17"/>
  <c r="AL81" i="17"/>
  <c r="AV81" i="17"/>
  <c r="AV78" i="17"/>
  <c r="AV24" i="17"/>
  <c r="AX69" i="17"/>
  <c r="AV6" i="17"/>
  <c r="AV57" i="17"/>
  <c r="AV67" i="17"/>
  <c r="AV44" i="17"/>
  <c r="AT70" i="17"/>
  <c r="AV73" i="17"/>
  <c r="AV9" i="17"/>
  <c r="AV19" i="17"/>
  <c r="AV64" i="17"/>
  <c r="AV70" i="17"/>
  <c r="AL36" i="17"/>
  <c r="AX73" i="17"/>
  <c r="AP29" i="17"/>
  <c r="AT55" i="17"/>
  <c r="AT71" i="17"/>
  <c r="AL72" i="17"/>
  <c r="AL82" i="17"/>
  <c r="AV3" i="17"/>
  <c r="I3" i="4"/>
  <c r="AT81" i="17"/>
  <c r="AT82" i="17"/>
  <c r="AT3" i="17"/>
  <c r="AX22" i="17"/>
  <c r="AX3" i="17"/>
  <c r="AL32" i="17"/>
  <c r="AX82" i="17"/>
  <c r="AX15" i="17"/>
  <c r="AT32" i="17"/>
  <c r="AL73" i="17"/>
  <c r="AL28" i="17"/>
  <c r="AL3" i="17"/>
  <c r="AX7" i="17"/>
  <c r="AT36" i="17"/>
  <c r="AL22" i="17"/>
  <c r="AP32" i="17"/>
  <c r="AP36" i="17"/>
  <c r="AL70" i="17"/>
  <c r="AP81" i="17"/>
  <c r="AX28" i="17"/>
  <c r="AP55" i="17"/>
  <c r="AP6" i="17"/>
  <c r="AP23" i="17"/>
  <c r="AT6" i="17"/>
  <c r="AX29" i="17"/>
  <c r="AX6" i="17"/>
  <c r="AT23" i="17"/>
  <c r="AT34" i="17"/>
  <c r="AT37" i="17"/>
  <c r="AT26" i="17"/>
  <c r="AX34" i="17"/>
  <c r="AL62" i="17"/>
  <c r="AT69" i="17"/>
  <c r="AX43" i="17"/>
  <c r="AP74" i="17"/>
  <c r="AT74" i="17"/>
  <c r="AL34" i="17"/>
  <c r="AL37" i="17"/>
  <c r="AP37" i="17"/>
  <c r="AT43" i="17"/>
  <c r="AL74" i="17"/>
  <c r="AX71" i="17"/>
  <c r="AX23" i="17"/>
  <c r="AL71" i="17"/>
  <c r="AX64" i="17"/>
  <c r="AT21" i="17"/>
  <c r="AX21" i="17"/>
  <c r="AL21" i="17"/>
  <c r="AP21" i="17"/>
  <c r="AT67" i="17"/>
  <c r="AX9" i="17"/>
  <c r="AT10" i="17"/>
  <c r="AL27" i="17"/>
  <c r="AX67" i="17"/>
  <c r="AL9" i="17"/>
  <c r="AX10" i="17"/>
  <c r="AP31" i="17"/>
  <c r="AP27" i="17"/>
  <c r="AP67" i="17"/>
  <c r="AP33" i="17"/>
  <c r="AL44" i="17"/>
  <c r="AT33" i="17"/>
  <c r="AP44" i="17"/>
  <c r="AT54" i="17"/>
  <c r="AL7" i="17"/>
  <c r="AX33" i="17"/>
  <c r="AT44" i="17"/>
  <c r="AP43" i="17"/>
  <c r="AX54" i="17"/>
  <c r="AT40" i="17"/>
  <c r="AP64" i="17"/>
  <c r="AT64" i="17"/>
  <c r="AL64" i="17"/>
  <c r="AT31" i="17"/>
  <c r="AX40" i="17"/>
  <c r="AX31" i="17"/>
  <c r="AL40" i="17"/>
  <c r="AX79" i="17"/>
  <c r="AT29" i="17"/>
  <c r="AL31" i="17"/>
  <c r="AP40" i="17"/>
  <c r="AL67" i="17"/>
  <c r="AL79" i="17"/>
  <c r="F49" i="4" l="1"/>
  <c r="D50" i="7" s="1"/>
  <c r="F50" i="4"/>
  <c r="D51" i="7" s="1"/>
  <c r="F51" i="4"/>
  <c r="D52" i="7" s="1"/>
  <c r="F52" i="4"/>
  <c r="F53" i="4"/>
  <c r="F54" i="4"/>
  <c r="F55" i="4"/>
  <c r="F56" i="4"/>
  <c r="F57" i="4"/>
  <c r="F58" i="4"/>
  <c r="F59" i="4"/>
  <c r="F60" i="4"/>
  <c r="F61" i="4"/>
  <c r="F62" i="4"/>
  <c r="L4" i="17" l="1"/>
  <c r="AE4" i="17" l="1"/>
  <c r="AD4" i="17"/>
  <c r="AC4" i="17"/>
  <c r="AB4" i="17"/>
  <c r="AA4" i="17"/>
  <c r="Z4" i="17"/>
  <c r="Y4" i="17"/>
  <c r="X4" i="17"/>
  <c r="W4" i="17"/>
  <c r="M4" i="17"/>
  <c r="BA4" i="17" l="1"/>
  <c r="AG4" i="17"/>
  <c r="N4" i="17"/>
  <c r="R4" i="17"/>
  <c r="P4" i="17"/>
  <c r="O4" i="17"/>
  <c r="S4" i="17" l="1"/>
  <c r="Q4" i="17"/>
  <c r="V4" i="17" s="1"/>
  <c r="AH4" i="17" l="1"/>
  <c r="AY4" i="17" s="1"/>
  <c r="AV4" i="17" l="1"/>
  <c r="AN4" i="17"/>
  <c r="AZ4" i="17"/>
  <c r="AR4" i="17"/>
  <c r="AJ4" i="17"/>
  <c r="AX4" i="17" l="1"/>
  <c r="AL4" i="17"/>
  <c r="AP4" i="17"/>
  <c r="AT4" i="17"/>
  <c r="I4" i="4" l="1"/>
  <c r="H64" i="4" s="1"/>
  <c r="I64" i="4" l="1"/>
  <c r="F4" i="7"/>
  <c r="AE79" i="4" l="1"/>
  <c r="AD79" i="4"/>
  <c r="AC79" i="4"/>
  <c r="AB79" i="4"/>
  <c r="AA79" i="4"/>
  <c r="Z79" i="4"/>
  <c r="Y79" i="4"/>
  <c r="X79" i="4"/>
  <c r="W79" i="4"/>
  <c r="V79" i="4"/>
  <c r="U79" i="4"/>
  <c r="L64" i="4"/>
  <c r="AA71" i="4"/>
  <c r="AE70" i="4"/>
  <c r="D101" i="3"/>
  <c r="C99" i="3"/>
  <c r="C100" i="3" s="1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G3" i="3"/>
  <c r="E97" i="3" s="1"/>
  <c r="D97" i="3"/>
  <c r="E3" i="3"/>
  <c r="C97" i="3" s="1"/>
  <c r="C98" i="3" s="1"/>
  <c r="G2" i="3"/>
  <c r="E95" i="3" s="1"/>
  <c r="D95" i="3"/>
  <c r="E2" i="3"/>
  <c r="C95" i="3" s="1"/>
  <c r="D2" i="3"/>
  <c r="C101" i="3" s="1"/>
  <c r="E101" i="3" s="1"/>
  <c r="C2" i="3"/>
  <c r="Q8" i="6" l="1"/>
  <c r="Q3" i="6" s="1"/>
  <c r="Q5" i="6" s="1"/>
  <c r="D99" i="3"/>
  <c r="D100" i="3" s="1"/>
  <c r="X68" i="4"/>
  <c r="AA69" i="4"/>
  <c r="X70" i="4"/>
  <c r="AA80" i="4"/>
  <c r="AE77" i="4"/>
  <c r="AB71" i="4"/>
  <c r="T79" i="4"/>
  <c r="AC69" i="4"/>
  <c r="X77" i="4"/>
  <c r="X72" i="4"/>
  <c r="Y77" i="4"/>
  <c r="U80" i="4"/>
  <c r="AE72" i="4"/>
  <c r="AB80" i="4"/>
  <c r="AE68" i="4"/>
  <c r="D4" i="7"/>
  <c r="AA78" i="4"/>
  <c r="AB69" i="4"/>
  <c r="Y68" i="4"/>
  <c r="U71" i="4"/>
  <c r="Z68" i="4"/>
  <c r="V69" i="4"/>
  <c r="AD69" i="4"/>
  <c r="Z70" i="4"/>
  <c r="V71" i="4"/>
  <c r="AD71" i="4"/>
  <c r="Z72" i="4"/>
  <c r="Z77" i="4"/>
  <c r="V78" i="4"/>
  <c r="AD78" i="4"/>
  <c r="V80" i="4"/>
  <c r="AD80" i="4"/>
  <c r="Y70" i="4"/>
  <c r="AC80" i="4"/>
  <c r="AA68" i="4"/>
  <c r="W69" i="4"/>
  <c r="AE69" i="4"/>
  <c r="AA70" i="4"/>
  <c r="W71" i="4"/>
  <c r="AE71" i="4"/>
  <c r="AA72" i="4"/>
  <c r="AA77" i="4"/>
  <c r="W78" i="4"/>
  <c r="AE78" i="4"/>
  <c r="W80" i="4"/>
  <c r="AE80" i="4"/>
  <c r="U69" i="4"/>
  <c r="AB68" i="4"/>
  <c r="X69" i="4"/>
  <c r="AB70" i="4"/>
  <c r="X71" i="4"/>
  <c r="AB72" i="4"/>
  <c r="AB77" i="4"/>
  <c r="X78" i="4"/>
  <c r="X80" i="4"/>
  <c r="AB78" i="4"/>
  <c r="U78" i="4"/>
  <c r="U68" i="4"/>
  <c r="AC68" i="4"/>
  <c r="Y69" i="4"/>
  <c r="U70" i="4"/>
  <c r="AC70" i="4"/>
  <c r="Y71" i="4"/>
  <c r="U72" i="4"/>
  <c r="AC72" i="4"/>
  <c r="U77" i="4"/>
  <c r="AC77" i="4"/>
  <c r="Y78" i="4"/>
  <c r="Y80" i="4"/>
  <c r="Y72" i="4"/>
  <c r="V68" i="4"/>
  <c r="AD68" i="4"/>
  <c r="Z69" i="4"/>
  <c r="V70" i="4"/>
  <c r="AD70" i="4"/>
  <c r="Z71" i="4"/>
  <c r="V72" i="4"/>
  <c r="AD72" i="4"/>
  <c r="V77" i="4"/>
  <c r="AD77" i="4"/>
  <c r="Z78" i="4"/>
  <c r="Z80" i="4"/>
  <c r="AC71" i="4"/>
  <c r="AC78" i="4"/>
  <c r="W68" i="4"/>
  <c r="W70" i="4"/>
  <c r="W72" i="4"/>
  <c r="W77" i="4"/>
  <c r="E98" i="3"/>
  <c r="D98" i="3"/>
  <c r="C106" i="3"/>
  <c r="C96" i="3"/>
  <c r="C104" i="3"/>
  <c r="D96" i="3"/>
  <c r="E96" i="3"/>
  <c r="E99" i="3" l="1"/>
  <c r="E100" i="3" s="1"/>
  <c r="V81" i="4"/>
  <c r="W81" i="4"/>
  <c r="AD81" i="4"/>
  <c r="AD73" i="4"/>
  <c r="X81" i="4"/>
  <c r="Y81" i="4"/>
  <c r="AE81" i="4"/>
  <c r="X73" i="4"/>
  <c r="T72" i="4"/>
  <c r="AE73" i="4"/>
  <c r="T80" i="4"/>
  <c r="AA73" i="4"/>
  <c r="AA81" i="4"/>
  <c r="AC81" i="4"/>
  <c r="AC73" i="4"/>
  <c r="Y73" i="4"/>
  <c r="T68" i="4"/>
  <c r="D103" i="3" s="1"/>
  <c r="U73" i="4"/>
  <c r="U81" i="4"/>
  <c r="T77" i="4"/>
  <c r="T78" i="4"/>
  <c r="AB73" i="4"/>
  <c r="V73" i="4"/>
  <c r="T69" i="4"/>
  <c r="D105" i="3" s="1"/>
  <c r="W73" i="4"/>
  <c r="T70" i="4"/>
  <c r="AB81" i="4"/>
  <c r="Z73" i="4"/>
  <c r="Z81" i="4"/>
  <c r="T71" i="4"/>
  <c r="E103" i="3" l="1"/>
  <c r="D104" i="3"/>
  <c r="E105" i="3"/>
  <c r="D106" i="3"/>
  <c r="T81" i="4"/>
  <c r="T73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<sst xmlns="http://schemas.openxmlformats.org/spreadsheetml/2006/main" count="1389" uniqueCount="613">
  <si>
    <t>WINDCRAFT ENGENHARIA</t>
  </si>
  <si>
    <t>RELATÓRIO GERENCIAL</t>
  </si>
  <si>
    <t>Setor de Operação e Manutenção - Solar</t>
  </si>
  <si>
    <t xml:space="preserve">Cliente: </t>
  </si>
  <si>
    <t xml:space="preserve">Responsável: </t>
  </si>
  <si>
    <t>Igor Medeiros</t>
  </si>
  <si>
    <t>CIDADES</t>
  </si>
  <si>
    <t>USINA
TOTAIS</t>
  </si>
  <si>
    <t>UF
TOTAL</t>
  </si>
  <si>
    <t>POTÊNCIA 
PICO (MWp)
TOTAL</t>
  </si>
  <si>
    <t>POTÊNCIA 
PICO (MWp)
ATIVAS</t>
  </si>
  <si>
    <t>POTÊNCIA 
PICO (MWp)
OFF</t>
  </si>
  <si>
    <t xml:space="preserve">Aux. </t>
  </si>
  <si>
    <t>Manacapuru</t>
  </si>
  <si>
    <t>AM</t>
  </si>
  <si>
    <t>Iranduba</t>
  </si>
  <si>
    <t>Presidente Figueiredo</t>
  </si>
  <si>
    <t>.</t>
  </si>
  <si>
    <t>Coração de Maria</t>
  </si>
  <si>
    <t>BA</t>
  </si>
  <si>
    <t>Tucano</t>
  </si>
  <si>
    <t>Beberibe</t>
  </si>
  <si>
    <t>Cascavel</t>
  </si>
  <si>
    <t>CE</t>
  </si>
  <si>
    <t>Nova Russas</t>
  </si>
  <si>
    <t>Monsenhor Tabosa</t>
  </si>
  <si>
    <t>Varjota</t>
  </si>
  <si>
    <t>Jaguaruana</t>
  </si>
  <si>
    <t>Santa Quitéria</t>
  </si>
  <si>
    <t>Marco</t>
  </si>
  <si>
    <t>Carnaubal</t>
  </si>
  <si>
    <t>Bela Vista de Goiás</t>
  </si>
  <si>
    <t>Guapó</t>
  </si>
  <si>
    <t>Cezarina</t>
  </si>
  <si>
    <t>Rio Verde</t>
  </si>
  <si>
    <t>Ouro</t>
  </si>
  <si>
    <t>Paranaíba</t>
  </si>
  <si>
    <t>GO</t>
  </si>
  <si>
    <t>Cassilândia</t>
  </si>
  <si>
    <t>Paraíso das Águas</t>
  </si>
  <si>
    <t>Vertentes</t>
  </si>
  <si>
    <t>Afrânio</t>
  </si>
  <si>
    <t>Alto Paraná</t>
  </si>
  <si>
    <t>Amaporã</t>
  </si>
  <si>
    <t>MS</t>
  </si>
  <si>
    <t>Cidade Gaúcha</t>
  </si>
  <si>
    <t>Colorado</t>
  </si>
  <si>
    <t>Paranavaí</t>
  </si>
  <si>
    <t>Iguaraçu</t>
  </si>
  <si>
    <t>Loanda</t>
  </si>
  <si>
    <t>Munhoz de Melo</t>
  </si>
  <si>
    <t>Nova Esperança</t>
  </si>
  <si>
    <t>PE</t>
  </si>
  <si>
    <t>Apucarana</t>
  </si>
  <si>
    <t>Rolândia</t>
  </si>
  <si>
    <t>Governador Dix-Sept Rosado</t>
  </si>
  <si>
    <t>PR</t>
  </si>
  <si>
    <t>Touros</t>
  </si>
  <si>
    <t>Riacho da Cruz</t>
  </si>
  <si>
    <t>Rolim de Moura</t>
  </si>
  <si>
    <t>Tapes</t>
  </si>
  <si>
    <t>Charqueadas</t>
  </si>
  <si>
    <t>São Jerônimo</t>
  </si>
  <si>
    <t>Euclides da Cunha Paulista</t>
  </si>
  <si>
    <t>Presidente Alves</t>
  </si>
  <si>
    <t>Guararapes</t>
  </si>
  <si>
    <t>Santo Antônio do Aracanguá</t>
  </si>
  <si>
    <t>Barretos</t>
  </si>
  <si>
    <t>Presidente Venceslau</t>
  </si>
  <si>
    <t>Lorena</t>
  </si>
  <si>
    <t>RN</t>
  </si>
  <si>
    <t>Cruzeiro</t>
  </si>
  <si>
    <t>Caçapava</t>
  </si>
  <si>
    <t>Taquarituba</t>
  </si>
  <si>
    <t>Cotia</t>
  </si>
  <si>
    <t>Itapevi</t>
  </si>
  <si>
    <t>Embu-Guaçu</t>
  </si>
  <si>
    <t>RO</t>
  </si>
  <si>
    <t>RS</t>
  </si>
  <si>
    <t>SP</t>
  </si>
  <si>
    <t>TOTAL</t>
  </si>
  <si>
    <t>ATIVAS</t>
  </si>
  <si>
    <t>NÃO ATIVAS</t>
  </si>
  <si>
    <t>POTÊNCIA PICO (MWp)</t>
  </si>
  <si>
    <t>USINAS</t>
  </si>
  <si>
    <t>ESTADOS</t>
  </si>
  <si>
    <t>AM, BA, CE, GO, MS, PE, PR, RN, RO, RS, SP</t>
  </si>
  <si>
    <t xml:space="preserve"> CE, GO, MS, PR, 
RN, RO, RS, SP</t>
  </si>
  <si>
    <t>AM, BA, PE</t>
  </si>
  <si>
    <t>TÉCNICOS (Campo)</t>
  </si>
  <si>
    <t>MWp/Técnico</t>
  </si>
  <si>
    <t>-</t>
  </si>
  <si>
    <t>MANTENEDOR (Campo)</t>
  </si>
  <si>
    <t>MWp/Mantenedor</t>
  </si>
  <si>
    <t>Controle de Mobilização</t>
  </si>
  <si>
    <t>FUNCIONÁRIO</t>
  </si>
  <si>
    <t>Função</t>
  </si>
  <si>
    <t>CIDADE BASE</t>
  </si>
  <si>
    <t>UF</t>
  </si>
  <si>
    <t>MODALIDADE</t>
  </si>
  <si>
    <t>CUSTO COM
REMUNERAÇÃO</t>
  </si>
  <si>
    <t>VEÍCULO</t>
  </si>
  <si>
    <t>LOCADORA</t>
  </si>
  <si>
    <t>VALOR
MENSAL</t>
  </si>
  <si>
    <t>Técnico de O&amp;M</t>
  </si>
  <si>
    <t>Mossoró/RN</t>
  </si>
  <si>
    <t>CLT</t>
  </si>
  <si>
    <t>Mantenedor</t>
  </si>
  <si>
    <t>Beberibe/CE</t>
  </si>
  <si>
    <t>4x4#</t>
  </si>
  <si>
    <t>Euclides da Cunha Paulista/SP</t>
  </si>
  <si>
    <t>Paranaiba/MS</t>
  </si>
  <si>
    <t>Lorena/SP</t>
  </si>
  <si>
    <t>Guararapes/SP</t>
  </si>
  <si>
    <t>Cassilândia/MS</t>
  </si>
  <si>
    <t>Rolim de Moura/RO</t>
  </si>
  <si>
    <t>4x2</t>
  </si>
  <si>
    <t>Munhoz de Melo/PR</t>
  </si>
  <si>
    <t>4x4</t>
  </si>
  <si>
    <t>Cidade Gaúcha/PR</t>
  </si>
  <si>
    <t>Cezarina/GO</t>
  </si>
  <si>
    <t>Paranavaí/PR</t>
  </si>
  <si>
    <t>Charqueadas/RS</t>
  </si>
  <si>
    <t>Paranaíba/MS</t>
  </si>
  <si>
    <t>Carnaubal/CE</t>
  </si>
  <si>
    <t>Técnico - CO</t>
  </si>
  <si>
    <t>Coordenador de O&amp;M</t>
  </si>
  <si>
    <t>PJ</t>
  </si>
  <si>
    <t>Andreas Fenner</t>
  </si>
  <si>
    <t>Estagiário</t>
  </si>
  <si>
    <t>Estágio</t>
  </si>
  <si>
    <t>Custo com Locação Veículos</t>
  </si>
  <si>
    <t>Faturamento Mensal</t>
  </si>
  <si>
    <t>Faturamento com Veículo</t>
  </si>
  <si>
    <t>CONTADOR TOTAL - Colaboradores</t>
  </si>
  <si>
    <t xml:space="preserve">Notas e Instruções das Fórmulas: </t>
  </si>
  <si>
    <t>FUNÇÃO</t>
  </si>
  <si>
    <t>QTD</t>
  </si>
  <si>
    <t>CAMPO</t>
  </si>
  <si>
    <t>CONTADOR TOTAL - Veículos</t>
  </si>
  <si>
    <t>Faturamento Mensal &amp; Veículo</t>
  </si>
  <si>
    <t>Esse faturamento é um valor calculado com Base no BM</t>
  </si>
  <si>
    <t>CENTRO DE OPERAÇÕES</t>
  </si>
  <si>
    <t xml:space="preserve">Calculo Porcentagem </t>
  </si>
  <si>
    <t>Custo de Mão-de-obra em relação ao faturamento</t>
  </si>
  <si>
    <t>O valor resultante tem que ser a porcentagem em relação ao total pelo custo de mão de obra</t>
  </si>
  <si>
    <t xml:space="preserve">Como Achar o BM pra colocar aqui? </t>
  </si>
  <si>
    <t>Insere o BM como copiar\colar</t>
  </si>
  <si>
    <t xml:space="preserve">Como calcular o salário? </t>
  </si>
  <si>
    <t xml:space="preserve">É necessário entrar no contracheque do pessoal e olhar o "salário mensalista"  desscrito em um dos tópicos, não o salário liquido nem bruto! </t>
  </si>
  <si>
    <t xml:space="preserve">Categorização dos gastos reais: </t>
  </si>
  <si>
    <t>● Terceirizados – Gastos retirando às categorias:
VLC, VCB, VMN, VIA</t>
  </si>
  <si>
    <t>● Remuneração – Somente as categorias abaixo:
REM e REE</t>
  </si>
  <si>
    <t>LOCAÇÃO</t>
  </si>
  <si>
    <t>● Veículos – Pode pegar no Relatório Gerencial</t>
  </si>
  <si>
    <t xml:space="preserve">● Hospedagem e viagens não pode criar devido a soma e subitração necessária na clara e no extrato da inter e por ser um valor já  colocado em outra parte do relatório gerencial então não é necessário. </t>
  </si>
  <si>
    <t>FROTA PRÓPRIA</t>
  </si>
  <si>
    <t>4x2#</t>
  </si>
  <si>
    <t xml:space="preserve">Consultar Dados:  </t>
  </si>
  <si>
    <t xml:space="preserve">Rh -por email- com o controle de pessoal; Logística presencialmente para os carros; Igor presencialmente para Potência  (MWP) e cidades; Financeiro para BM, abastecimentos, CDG e extrato; </t>
  </si>
  <si>
    <t>Nome</t>
  </si>
  <si>
    <t>Cidade</t>
  </si>
  <si>
    <t>Estado</t>
  </si>
  <si>
    <t>País</t>
  </si>
  <si>
    <t>Carros</t>
  </si>
  <si>
    <t>BR</t>
  </si>
  <si>
    <t>Fluxo Financeiro Real</t>
  </si>
  <si>
    <t>Faturamento</t>
  </si>
  <si>
    <t>Impostos</t>
  </si>
  <si>
    <t>Lucro</t>
  </si>
  <si>
    <t>Custo Real</t>
  </si>
  <si>
    <t>Automático</t>
  </si>
  <si>
    <t xml:space="preserve">Aluguel Carros </t>
  </si>
  <si>
    <t>Remuneração</t>
  </si>
  <si>
    <t>Terceiros</t>
  </si>
  <si>
    <t>Informações Básicas</t>
  </si>
  <si>
    <t>ANOTAÇÕES DE RESPONSABILIDADE TÉCNICA - CREA</t>
  </si>
  <si>
    <t>#</t>
  </si>
  <si>
    <t>UFV</t>
  </si>
  <si>
    <t>CIDADE</t>
  </si>
  <si>
    <t>CLIENTE</t>
  </si>
  <si>
    <t>CONTRATO</t>
  </si>
  <si>
    <t>RESPONSÁVEL TÉCNICO</t>
  </si>
  <si>
    <t>ART OBRA/SERVIÇO</t>
  </si>
  <si>
    <t>STATUS</t>
  </si>
  <si>
    <t>INICIO</t>
  </si>
  <si>
    <t>TÉRMINO</t>
  </si>
  <si>
    <t>ASSINATURAS</t>
  </si>
  <si>
    <t>HELEXIA</t>
  </si>
  <si>
    <t>Igor José Nunes Medeiros</t>
  </si>
  <si>
    <t>Engenheiro Civil / Engenheiro Eletricista</t>
  </si>
  <si>
    <t>EMITIDO</t>
  </si>
  <si>
    <t>OK</t>
  </si>
  <si>
    <t>PROJETO</t>
  </si>
  <si>
    <t>SEGMENTO</t>
  </si>
  <si>
    <t>INÍCIO</t>
  </si>
  <si>
    <t>NÃO EMITIDA</t>
  </si>
  <si>
    <t>PENDENTE</t>
  </si>
  <si>
    <t>CONTRATO DE PRESTAÇÃO DE SERVIÇOS DE ADMINISTRAÇÃO, OPERAÇÃO E MANUTENÇÃO
DE USINAS FOTOVOLTAICAS - HELEXIA</t>
  </si>
  <si>
    <t>SOLAR</t>
  </si>
  <si>
    <t>Sem contrato</t>
  </si>
  <si>
    <t>REFERENCIA BM-24- Outubro/2025</t>
  </si>
  <si>
    <t>Escopo Atual - Veículos</t>
  </si>
  <si>
    <t>Cezrina</t>
  </si>
  <si>
    <t>Eng. Civil / Eng. Eletricista</t>
  </si>
  <si>
    <t>CONTROLE DE HSE - PGR E PCMSO</t>
  </si>
  <si>
    <t>ESTADO</t>
  </si>
  <si>
    <t>DOCUMENTO</t>
  </si>
  <si>
    <t>RESPONSÁVEL 
TÉCNICO</t>
  </si>
  <si>
    <t xml:space="preserve">REV. </t>
  </si>
  <si>
    <t>EMISSÃO</t>
  </si>
  <si>
    <t>VALIDADE</t>
  </si>
  <si>
    <t>CONTRATO DE PRESTAÇÃO DE SERVIÇOS DE ADMINISTRAÇÃO, OPERAÇÃO E MANUTENÇÃO</t>
  </si>
  <si>
    <t>ART - PGR LTCAT</t>
  </si>
  <si>
    <t>Eng.Segurança</t>
  </si>
  <si>
    <t>RV00</t>
  </si>
  <si>
    <t>PGR</t>
  </si>
  <si>
    <t>RV01</t>
  </si>
  <si>
    <t>LTCAT</t>
  </si>
  <si>
    <t>PCMSO</t>
  </si>
  <si>
    <t>Médico do Trabalho</t>
  </si>
  <si>
    <t>FATURAMENTO BRUTO</t>
  </si>
  <si>
    <t>UFVS CONTRATO</t>
  </si>
  <si>
    <t>VEÍCULOS</t>
  </si>
  <si>
    <t>HORAS EXTRAS</t>
  </si>
  <si>
    <t>CRESCIMENTO MENSAL</t>
  </si>
  <si>
    <t>Contrato</t>
  </si>
  <si>
    <t>Operacional</t>
  </si>
  <si>
    <t>Administrativo</t>
  </si>
  <si>
    <t>BOM – Estamos atendendo de forma satisfatória</t>
  </si>
  <si>
    <t>REGULAR – Item merece atenção</t>
  </si>
  <si>
    <t>RUIM – Precisamos trabalhar para melhorar</t>
  </si>
  <si>
    <t>ACIONAMENTO EQUIPE DE CAMPO – O Centro de Operações tem se dedicado intensamente ao acionamento das equipes diariamente.
SUPRIMENTOS - Estamos realizando aquisições e enviando equipamentos para garantia de maneira satisfatória. Essa atividade demanda um tempo considerável dos técnicos. Estamos avaliando a possibilidade de transferir essa responsabilidade para a LOGÍSTICA do escritório.</t>
  </si>
  <si>
    <t>PARADAS ANUAIS – Iniciamos as primeiras paradas anuais e estamos aguardando os relatórios de fechamento para dar início às demais paradas. Já temos usinas com atrasos, e estamos planejando retomar as atividades em abril de 2025.
RELATÓRIOS DE ENGENHARIA – Estamos enfrentando atrasos na elaboração dos relatórios de engenharia, uma atividade que era predominantemente realizada pelos estagiários que solicitaram demissão. Para resolver essa situação, iremos mobilizar novos estagiários e designar um dos técnicos para supervisionar esse processo.
ESTUDOS DE EFICIÊNCIA – Devido à alta demanda operacional, o Coordenador de Engenharia não tem conseguido realizar os estudos de eficiência para os clientes. Este item é um diferencial importante, mas requer mão de obra mais técnica e especializada.</t>
  </si>
  <si>
    <t>PREVENTIVAS – Realizamos aproximadamente 263 atividades preventivas por semana, totalizando cerca de 1052 atividades por mês. Além disso, lidamos com outras ordens de serviço para atividades corretivas. Um desafio adicional é a dificuldade técnica da mão de obra, que muitas vezes resulta na necessidade de revisar os relatórios. Estamos em processo de mudança de software, mas essa situação também reflete a escassez de mão de obra para o acompanhamento de várias usinas.
CFTV – O sistema de supervisão atual é ineficiente. Recentemente, enfrentamos alguns roubos em algumas usinas durante a noite. Embora tenhamos iniciado o monitoramento noturno em um regime de 12/36, é impossível assumir toda a responsabilidade patrimonial relacionada a esse item.</t>
  </si>
  <si>
    <t xml:space="preserve">HSE – A quantidade de documentação exigida por nossa contratante é alta, porém estabilizou-se após a divisão com 3 TST´s dando apoio a área. 
Logística – Veiculos: Permanece faltando rastreadores, porém está com o controle muito melhor. </t>
  </si>
  <si>
    <t>RH – FOLHAS DE PONTO – Mensalmente, precisamos verificar todas as horas extras dos funcionários, validar e reunir as horas e sobreavisos para inclusão na medição. Esse processo tem atrasado constantemente nossa medição. A partir de abril de 2025, será solicitado que o RH se reúna com o coordenador e apresente as horas extras e sobreaviso no formato adequado para os Boletins de Medição.
RH – RECRUTAMENTO – Após o estudo sobre o In-Hire, descobriu-se que para os mantenedores de campo ainda se necessita sempre os contatar pois poucos realmente param para usar o Linkedin ou alguma plataforma de recrutamento, portanto, ainda permanece regular. 
JURIDICO – Estamos firmando diversos contratos de serviços com PJ’s independentes, porém na área de ART´s ainda falta a automatização do processo. 
FINANCEIRO – Necessita melhorar cada vez mais a precisão dos gastos e diminuir da entrega de custos.</t>
  </si>
  <si>
    <t>Salário Base</t>
  </si>
  <si>
    <t>Periculosidade</t>
  </si>
  <si>
    <t>Salário Bruto</t>
  </si>
  <si>
    <t>Inss + FGTS</t>
  </si>
  <si>
    <t>Provisão de Férias</t>
  </si>
  <si>
    <t xml:space="preserve">Provisão de 13º </t>
  </si>
  <si>
    <t>Provisão Imposto sobre 13º+Férias</t>
  </si>
  <si>
    <t>Provisão Aviso Rescisão</t>
  </si>
  <si>
    <t>Provisão FGTS Rescisão</t>
  </si>
  <si>
    <t xml:space="preserve">Contra-cheque Diária-Alimentação </t>
  </si>
  <si>
    <t>Encargos</t>
  </si>
  <si>
    <t>Aso ADM</t>
  </si>
  <si>
    <t>Aso PER</t>
  </si>
  <si>
    <t>Aso DEM</t>
  </si>
  <si>
    <t>PPRA/PCMSO</t>
  </si>
  <si>
    <t>NR´s (2025)</t>
  </si>
  <si>
    <t>E.P.I´s (2025)</t>
  </si>
  <si>
    <t xml:space="preserve">Notebook </t>
  </si>
  <si>
    <t>Celulares</t>
  </si>
  <si>
    <t>Seguro de Vida</t>
  </si>
  <si>
    <t xml:space="preserve">Plano de Saúde </t>
  </si>
  <si>
    <t>COMPLEMENTARES</t>
  </si>
  <si>
    <t>Custo Básico</t>
  </si>
  <si>
    <r>
      <t xml:space="preserve">Lucro
</t>
    </r>
    <r>
      <rPr>
        <i/>
        <sz val="10"/>
        <color theme="1"/>
        <rFont val="Calibri"/>
        <family val="2"/>
        <scheme val="minor"/>
      </rPr>
      <t/>
    </r>
  </si>
  <si>
    <t>Salario Base</t>
  </si>
  <si>
    <t>Salário Final</t>
  </si>
  <si>
    <r>
      <t xml:space="preserve">O cálculo para contagem agora é automático então você tem que escrever </t>
    </r>
    <r>
      <rPr>
        <u/>
        <sz val="12"/>
        <color rgb="FF002060"/>
        <rFont val="Times New Roman"/>
        <family val="1"/>
      </rPr>
      <t>exatamente</t>
    </r>
    <r>
      <rPr>
        <sz val="12"/>
        <color rgb="FF002060"/>
        <rFont val="Times New Roman"/>
        <family val="1"/>
      </rPr>
      <t xml:space="preserve"> o nome do tópico caso haja edição (Tipo "Estagiário"). </t>
    </r>
  </si>
  <si>
    <t>Windcraft - Controle de Estoque</t>
  </si>
  <si>
    <t>Funcionário</t>
  </si>
  <si>
    <t>Número de Patrimônio</t>
  </si>
  <si>
    <t>Processador</t>
  </si>
  <si>
    <t>RAM</t>
  </si>
  <si>
    <t>Espaço no SSD</t>
  </si>
  <si>
    <t>Observações</t>
  </si>
  <si>
    <t>Asus 245</t>
  </si>
  <si>
    <t xml:space="preserve">Intel(R) Celeron(R) N4000 CPU @ 1.10GHz, 2 Cores, 4 Threads </t>
  </si>
  <si>
    <t>4Gb</t>
  </si>
  <si>
    <t>240Gb</t>
  </si>
  <si>
    <t>Dell 3</t>
  </si>
  <si>
    <t xml:space="preserve">i3 4th Gen CPU @ 3.4 GHz, 2 Cores, 4 Threads </t>
  </si>
  <si>
    <t xml:space="preserve">Intel Celeron N3350 CPU @ 1.10GHz, 2 Cores, 4 Threads </t>
  </si>
  <si>
    <t>Dell 303</t>
  </si>
  <si>
    <t xml:space="preserve">i5 8350U CPU @ 1.70Ghz, 4 Cores, 8 Threads </t>
  </si>
  <si>
    <t>8Gb</t>
  </si>
  <si>
    <t>256Gb</t>
  </si>
  <si>
    <t>Moto G05 277</t>
  </si>
  <si>
    <t>Lenovo 47</t>
  </si>
  <si>
    <t xml:space="preserve">Intel Celeron(R) N4000 CPU @ 1.10GHz, 2 Cores, 4 Threads </t>
  </si>
  <si>
    <t>Lenovo S145-15IWL</t>
  </si>
  <si>
    <t xml:space="preserve">Core i5 CPU @ 1.80GHz, 4 Cores, 8 Threads </t>
  </si>
  <si>
    <t xml:space="preserve">i5 8265U CPU @ 1.60GHz, 4 Cores, 8 Threads </t>
  </si>
  <si>
    <t>Lenovo 305</t>
  </si>
  <si>
    <t xml:space="preserve">IdeaPad S145 Intel® Celeron N4000 CPU @ 1.10GHz, 2 Cores, 4 Threads </t>
  </si>
  <si>
    <t>500Gb</t>
  </si>
  <si>
    <t>Lenovo 301</t>
  </si>
  <si>
    <t xml:space="preserve">i5 7200U CPU @ 2.5GHz, 2 Cores, 4 Threads </t>
  </si>
  <si>
    <t>A13 Preto</t>
  </si>
  <si>
    <t>Lenovo 48</t>
  </si>
  <si>
    <t xml:space="preserve">Intel® Celeron N4000 CPU @ 1.10GHz, 2 Cores, 4 Threads </t>
  </si>
  <si>
    <t>450Gb</t>
  </si>
  <si>
    <t>A32 Preto 471</t>
  </si>
  <si>
    <t>Acer 119</t>
  </si>
  <si>
    <t xml:space="preserve">i3 1005G1 CPU @ 3.0GHz, 2 Cores, 4 Threads </t>
  </si>
  <si>
    <t>Lenovo 475</t>
  </si>
  <si>
    <t>A14 Preto 461</t>
  </si>
  <si>
    <t>i5 8th Gen</t>
  </si>
  <si>
    <t>A32 Preto 459</t>
  </si>
  <si>
    <t>Lenovo 250</t>
  </si>
  <si>
    <t xml:space="preserve">Intel® Celeron N4020 CPU @2.6GHZ, 2 Cores, 4 Threads </t>
  </si>
  <si>
    <t>128Gb</t>
  </si>
  <si>
    <t>Dupla do Allison Raasch</t>
  </si>
  <si>
    <t>A32 Preto 474</t>
  </si>
  <si>
    <t>Dell 311</t>
  </si>
  <si>
    <t xml:space="preserve">i3 6006U CPU @ 2.0GHz, 2 Cores, 4 Threads </t>
  </si>
  <si>
    <t>Asus 217</t>
  </si>
  <si>
    <t xml:space="preserve">i3 7020U CPU @ 2.3GHz, 2 Cores, 4 Threads </t>
  </si>
  <si>
    <t xml:space="preserve">i5 7300U CPU @ 2.6GHz, 2 Cores, 4 Threads </t>
  </si>
  <si>
    <t>Jediel Feitosa em posse: A32 Lilas 473</t>
  </si>
  <si>
    <t>Asus 231</t>
  </si>
  <si>
    <t xml:space="preserve">i3 7020 CPU @ 2,3 GHz, 2 Cores, 4 Threads </t>
  </si>
  <si>
    <t>128 Gb</t>
  </si>
  <si>
    <t xml:space="preserve">i5 8350U CPU @1.7GHz, 4Cores, 8 threads </t>
  </si>
  <si>
    <t>8gb</t>
  </si>
  <si>
    <t>240gb</t>
  </si>
  <si>
    <t>Desmobilizado</t>
  </si>
  <si>
    <t>HP 467</t>
  </si>
  <si>
    <t xml:space="preserve">i5 4300U CPU @ 1.9 GHZ, 2 cores, 4 threads </t>
  </si>
  <si>
    <t>Redmi 14C</t>
  </si>
  <si>
    <t>Intel Celeron</t>
  </si>
  <si>
    <t>120 Gb</t>
  </si>
  <si>
    <t>A14 Preto 462</t>
  </si>
  <si>
    <t>Dell 495</t>
  </si>
  <si>
    <t>Intel(R) Celeron(R) N4020</t>
  </si>
  <si>
    <t>4 GB</t>
  </si>
  <si>
    <t>128 GB</t>
  </si>
  <si>
    <t>Lenovo 264</t>
  </si>
  <si>
    <t>i5 7200U CPU @ 2.5 GHz</t>
  </si>
  <si>
    <t>i5-12450H</t>
  </si>
  <si>
    <t>ThinkPad 389</t>
  </si>
  <si>
    <t>i5 8350U</t>
  </si>
  <si>
    <t>16Gb</t>
  </si>
  <si>
    <t>Lenovo 015</t>
  </si>
  <si>
    <t>Core i5 8th Gen</t>
  </si>
  <si>
    <t>256 Gb</t>
  </si>
  <si>
    <t>Asus 225</t>
  </si>
  <si>
    <t>240 Gb</t>
  </si>
  <si>
    <t>Dell 436</t>
  </si>
  <si>
    <t>i5-8365U</t>
  </si>
  <si>
    <t>HP 448</t>
  </si>
  <si>
    <t>i5 8365U</t>
  </si>
  <si>
    <t>N/A</t>
  </si>
  <si>
    <t>Thinkpad 476</t>
  </si>
  <si>
    <t>Rio Verde-GO</t>
  </si>
  <si>
    <t>Goiânia – GO</t>
  </si>
  <si>
    <t>São Jerônimo - RS</t>
  </si>
  <si>
    <t>Cassilândia – MS</t>
  </si>
  <si>
    <t>Paranavaí – PR</t>
  </si>
  <si>
    <t>Caçapava – SP</t>
  </si>
  <si>
    <t>Iranduba – AM</t>
  </si>
  <si>
    <t xml:space="preserve">Hospedagem </t>
  </si>
  <si>
    <t>Modalidade</t>
  </si>
  <si>
    <r>
      <t xml:space="preserve">Taxa Administrativa 
</t>
    </r>
    <r>
      <rPr>
        <i/>
        <sz val="10"/>
        <color theme="1"/>
        <rFont val="Times New Roman"/>
        <family val="1"/>
      </rPr>
      <t xml:space="preserve">(Escritorio e estrutura de suporte, adm e TI)
</t>
    </r>
  </si>
  <si>
    <r>
      <t xml:space="preserve">Taxa de Risco
</t>
    </r>
    <r>
      <rPr>
        <sz val="10"/>
        <color theme="1"/>
        <rFont val="Times New Roman"/>
        <family val="1"/>
      </rPr>
      <t xml:space="preserve">Insegurança no orçamento por falta de especificações
</t>
    </r>
  </si>
  <si>
    <r>
      <t xml:space="preserve">Imposto Nota
</t>
    </r>
    <r>
      <rPr>
        <i/>
        <sz val="10"/>
        <color rgb="FF00B050"/>
        <rFont val="Times New Roman"/>
        <family val="1"/>
      </rPr>
      <t xml:space="preserve">12,68%=
16,33-3,65
</t>
    </r>
    <r>
      <rPr>
        <b/>
        <i/>
        <sz val="10"/>
        <color rgb="FF00B050"/>
        <rFont val="Times New Roman"/>
        <family val="1"/>
      </rPr>
      <t>COM REIDE</t>
    </r>
  </si>
  <si>
    <r>
      <t xml:space="preserve">Imposto Nota
</t>
    </r>
    <r>
      <rPr>
        <i/>
        <sz val="10"/>
        <color theme="1"/>
        <rFont val="Times New Roman"/>
        <family val="1"/>
      </rPr>
      <t xml:space="preserve">16,33
</t>
    </r>
  </si>
  <si>
    <r>
      <t xml:space="preserve">VALOR FINAL </t>
    </r>
    <r>
      <rPr>
        <b/>
        <i/>
        <sz val="10"/>
        <rFont val="Times New Roman"/>
        <family val="1"/>
      </rPr>
      <t>(Mês)  COM REIDE</t>
    </r>
  </si>
  <si>
    <r>
      <t xml:space="preserve">VALOR FINAL </t>
    </r>
    <r>
      <rPr>
        <i/>
        <sz val="10"/>
        <rFont val="Times New Roman"/>
        <family val="1"/>
      </rPr>
      <t>(Mês)  SEM REIDE</t>
    </r>
  </si>
  <si>
    <t>Nomes</t>
  </si>
  <si>
    <t>Auxiliar para Bater Dados</t>
  </si>
  <si>
    <t>Andradina/SP</t>
  </si>
  <si>
    <t>Frota Própria</t>
  </si>
  <si>
    <t>Localiza</t>
  </si>
  <si>
    <t>Vencida</t>
  </si>
  <si>
    <t>TOTAL GERAL</t>
  </si>
  <si>
    <t>Manual (SEM VLC, VCB, VMN, REE, REM)</t>
  </si>
  <si>
    <t>Automático se Faturamento Completo</t>
  </si>
  <si>
    <t>Notas</t>
  </si>
  <si>
    <t>Manual (REE &amp; REM) (Valor Líquido)</t>
  </si>
  <si>
    <t>Mão de Obra/Faturamento (Bruto)</t>
  </si>
  <si>
    <t>Técnico em O&amp;M</t>
  </si>
  <si>
    <t xml:space="preserve">Ficou com Carro Reserva por um período no nome de José Roberto. </t>
  </si>
  <si>
    <t>Rodando o BR</t>
  </si>
  <si>
    <t>Natal/RN</t>
  </si>
  <si>
    <t>Valida</t>
  </si>
  <si>
    <t>Devolveu o carro</t>
  </si>
  <si>
    <t>Carro Localiza devolvido dia 19-12-2025</t>
  </si>
  <si>
    <t xml:space="preserve">Retirou um Localiza em Janeiro </t>
  </si>
  <si>
    <t>Cotia-SP</t>
  </si>
  <si>
    <t xml:space="preserve">Rastreador
</t>
  </si>
  <si>
    <t xml:space="preserve">SIM </t>
  </si>
  <si>
    <t>NÃO</t>
  </si>
  <si>
    <t>Sem informações dadas mês 12</t>
  </si>
  <si>
    <t>Kilometragem Extra Exessiva</t>
  </si>
  <si>
    <t xml:space="preserve">Manualmente </t>
  </si>
  <si>
    <t>REEMBOLSO MATERIAIS/SERVIÇOS</t>
  </si>
  <si>
    <t>Multilaser 222</t>
  </si>
  <si>
    <t>Dell 437</t>
  </si>
  <si>
    <t>HP 496</t>
  </si>
  <si>
    <t>Lenovo 275</t>
  </si>
  <si>
    <t>ThinkPad 476</t>
  </si>
  <si>
    <t>Asus 229</t>
  </si>
  <si>
    <t>Acer 233</t>
  </si>
  <si>
    <t>Mês Seguinte ficou com carro reserva sem rastreador</t>
  </si>
  <si>
    <t/>
  </si>
  <si>
    <t>Elaboração:</t>
  </si>
  <si>
    <t>Leandro Farias</t>
  </si>
  <si>
    <t>Mônica Teles</t>
  </si>
  <si>
    <t>Rogério Bastos</t>
  </si>
  <si>
    <t>Elaine Pimentel</t>
  </si>
  <si>
    <t>Fábio Cunha</t>
  </si>
  <si>
    <t>Patrícia Andrade Lopes</t>
  </si>
  <si>
    <t>Vinícius Moraes Rangel</t>
  </si>
  <si>
    <t>Cláudia Peixoto Nobre</t>
  </si>
  <si>
    <t>Renato Guedes Paiva</t>
  </si>
  <si>
    <t>Silvia Matos Barreto</t>
  </si>
  <si>
    <t>Daniel Afonso Queiroz Lima</t>
  </si>
  <si>
    <t>Juliane Costa Figueiredo</t>
  </si>
  <si>
    <t>Mauro Silveira Prado</t>
  </si>
  <si>
    <t>Tatiana Borges Nascimento</t>
  </si>
  <si>
    <t>Alex Rocha Pacheco</t>
  </si>
  <si>
    <t>Eduardo Tavares Montenegro</t>
  </si>
  <si>
    <t>Bianca Lacerda Fontes</t>
  </si>
  <si>
    <t>Samuel Torres Maciel</t>
  </si>
  <si>
    <t>Priscila Azevedo Goulart</t>
  </si>
  <si>
    <t>Henrique Vidal Soares</t>
  </si>
  <si>
    <t>André Luiz Falcão Duarte</t>
  </si>
  <si>
    <t>Camila Noronha Brito</t>
  </si>
  <si>
    <t>João Victor Meireles</t>
  </si>
  <si>
    <t>Renata Salgado Motta</t>
  </si>
  <si>
    <t>Igor Valente Cruz</t>
  </si>
  <si>
    <t>Lucas Rafael Monte Verde Santos</t>
  </si>
  <si>
    <t>Ana Beatriz Rocha Diniz</t>
  </si>
  <si>
    <t>Marcelo Augusto Ferraz Pinho</t>
  </si>
  <si>
    <t>Carolina Venturini Paes</t>
  </si>
  <si>
    <t>Felipe Otávio Corrêa Leite</t>
  </si>
  <si>
    <t>Nathalia Freire Sampaio</t>
  </si>
  <si>
    <t>Roberto Caetano Nolasco</t>
  </si>
  <si>
    <t>Luiza Barcellos Antunes</t>
  </si>
  <si>
    <t>Pedro Henrique Alvarenga</t>
  </si>
  <si>
    <t>Sofia Mendes Albuquerque</t>
  </si>
  <si>
    <t>Carlos Eduardo de Almeida Pereira</t>
  </si>
  <si>
    <t>Marina Lopes da Costa Figueiredo</t>
  </si>
  <si>
    <t>Rafael Henrique do Nascimento Barros</t>
  </si>
  <si>
    <t>Ana Paula Ribeiro dos Santos Azevedo</t>
  </si>
  <si>
    <t>Felipe Augusto de Oliveira Cunha</t>
  </si>
  <si>
    <t>Luciana Martins da Rocha Pimentel</t>
  </si>
  <si>
    <t>Bruno César do Carmo Teixeira</t>
  </si>
  <si>
    <t>Patrícia Alves dos Anjos Guimarães</t>
  </si>
  <si>
    <t>Eduardo Vinícius de Azevedo Moreira</t>
  </si>
  <si>
    <t>Renata Cristina da Silva Monteiro</t>
  </si>
  <si>
    <t>Gauaratinguetá/SP</t>
  </si>
  <si>
    <t>Dupla do Samuel Torres Maciel</t>
  </si>
  <si>
    <t>Dupla do Renato Guedes Paiva</t>
  </si>
  <si>
    <t>Entec Technologies</t>
  </si>
  <si>
    <t>CAM 555.242</t>
  </si>
  <si>
    <t>CAM 555.243</t>
  </si>
  <si>
    <t>CAM 555.244</t>
  </si>
  <si>
    <t>CAM 555.245</t>
  </si>
  <si>
    <t>CAM 555.246</t>
  </si>
  <si>
    <t>CAM 555.247</t>
  </si>
  <si>
    <t>CAM 555.248</t>
  </si>
  <si>
    <t>CAM 555.249</t>
  </si>
  <si>
    <t>CAM 555.250</t>
  </si>
  <si>
    <t>CAM 555.251</t>
  </si>
  <si>
    <t>CAM 555.252</t>
  </si>
  <si>
    <t>CAM 555.253</t>
  </si>
  <si>
    <t>CAM 555.254</t>
  </si>
  <si>
    <t>Nº 3902805928201</t>
  </si>
  <si>
    <t>Obra 1</t>
  </si>
  <si>
    <t>Obra 2</t>
  </si>
  <si>
    <t>Obra 3</t>
  </si>
  <si>
    <t>Obra 4</t>
  </si>
  <si>
    <t>Obra 5</t>
  </si>
  <si>
    <t>Obra 6</t>
  </si>
  <si>
    <t>Obra 7</t>
  </si>
  <si>
    <t>Obra 8</t>
  </si>
  <si>
    <t>Obra 9</t>
  </si>
  <si>
    <t>Obra 10</t>
  </si>
  <si>
    <t>Obra 11</t>
  </si>
  <si>
    <t>Obra 12</t>
  </si>
  <si>
    <t>Obra 13</t>
  </si>
  <si>
    <t>Obra 14</t>
  </si>
  <si>
    <t>Obra 15</t>
  </si>
  <si>
    <t>Obra 16</t>
  </si>
  <si>
    <t>Obra 17</t>
  </si>
  <si>
    <t>Obra 18</t>
  </si>
  <si>
    <t>Obra 19</t>
  </si>
  <si>
    <t>Obra 20</t>
  </si>
  <si>
    <t>Obra 21</t>
  </si>
  <si>
    <t>Obra 22</t>
  </si>
  <si>
    <t>Obra 23</t>
  </si>
  <si>
    <t>Obra 24</t>
  </si>
  <si>
    <t>Obra 25</t>
  </si>
  <si>
    <t>Obra 26</t>
  </si>
  <si>
    <t>Obra 27</t>
  </si>
  <si>
    <t>Obra 28</t>
  </si>
  <si>
    <t>Obra 29</t>
  </si>
  <si>
    <t>Obra 30</t>
  </si>
  <si>
    <t>Obra 31</t>
  </si>
  <si>
    <t>Obra 32</t>
  </si>
  <si>
    <t>Obra 33</t>
  </si>
  <si>
    <t>Obra 34</t>
  </si>
  <si>
    <t>Obra 35</t>
  </si>
  <si>
    <t>Obra 36</t>
  </si>
  <si>
    <t>Obra 37</t>
  </si>
  <si>
    <t>Obra 38</t>
  </si>
  <si>
    <t>Dr. Fulano de Tal</t>
  </si>
  <si>
    <t>Adiantamento de Operação</t>
  </si>
  <si>
    <t>Boletim Mensal 1</t>
  </si>
  <si>
    <t>Boletim Mensal 2</t>
  </si>
  <si>
    <t>Boletim Mensal 3</t>
  </si>
  <si>
    <t>Boletim Mensal 4</t>
  </si>
  <si>
    <t>Boletim Mensal 5</t>
  </si>
  <si>
    <t>Boletim Mensal 6</t>
  </si>
  <si>
    <t>Boletim Mensal 7</t>
  </si>
  <si>
    <t>Boletim Mensal 8</t>
  </si>
  <si>
    <t>Boletim Mensal 9</t>
  </si>
  <si>
    <t>Boletim Mensal 10</t>
  </si>
  <si>
    <t>Boletim Mensal 11</t>
  </si>
  <si>
    <t>Boletim Mensal 12</t>
  </si>
  <si>
    <t>Boletim Mensal 13</t>
  </si>
  <si>
    <t>Boletim Mensal 14</t>
  </si>
  <si>
    <t>Boletim Mensal 15</t>
  </si>
  <si>
    <t>Boletim Mensal 16</t>
  </si>
  <si>
    <t>Boletim Mensal 17</t>
  </si>
  <si>
    <t>Boletim Mensal 18</t>
  </si>
  <si>
    <t>Boletim Mensal 19</t>
  </si>
  <si>
    <t>Boletim Mensal 20</t>
  </si>
  <si>
    <t>Boletim Mensal 21</t>
  </si>
  <si>
    <t>Boletim Mensal 22</t>
  </si>
  <si>
    <t>Boletim Mensal 23</t>
  </si>
  <si>
    <t>Boletim Mensal 24</t>
  </si>
  <si>
    <t>Boletim Mensal 25</t>
  </si>
  <si>
    <t>Boletim Mensal 26</t>
  </si>
  <si>
    <t>Automático;</t>
  </si>
  <si>
    <t xml:space="preserve">Cartões Funcionários </t>
  </si>
  <si>
    <t>Manualmente</t>
  </si>
  <si>
    <t>Custo Relatório de Despesas Entec</t>
  </si>
  <si>
    <t>Usina 1</t>
  </si>
  <si>
    <t>Usina 2</t>
  </si>
  <si>
    <t>Usina 3</t>
  </si>
  <si>
    <t>Usina 4</t>
  </si>
  <si>
    <t>Usina 5</t>
  </si>
  <si>
    <t>Usina 6</t>
  </si>
  <si>
    <t>Usina 7</t>
  </si>
  <si>
    <t>Usina 8</t>
  </si>
  <si>
    <t>Usina 9</t>
  </si>
  <si>
    <t>Usina 10</t>
  </si>
  <si>
    <t>Usina 11</t>
  </si>
  <si>
    <t>Usina 12</t>
  </si>
  <si>
    <t>Usina 13</t>
  </si>
  <si>
    <t>Usina 14</t>
  </si>
  <si>
    <t>Usina 15</t>
  </si>
  <si>
    <t>Usina 16</t>
  </si>
  <si>
    <t>Usina 17</t>
  </si>
  <si>
    <t>Usina 18</t>
  </si>
  <si>
    <t>Usina 20</t>
  </si>
  <si>
    <t>Usina 21</t>
  </si>
  <si>
    <t>Usina 22</t>
  </si>
  <si>
    <t>Usina 23</t>
  </si>
  <si>
    <t>Usina 24</t>
  </si>
  <si>
    <t>Usina 26</t>
  </si>
  <si>
    <t>Usina 27</t>
  </si>
  <si>
    <t>Usina 28</t>
  </si>
  <si>
    <t>Usina 29</t>
  </si>
  <si>
    <t>Usina 30</t>
  </si>
  <si>
    <t>Usina 31</t>
  </si>
  <si>
    <t>Usina 33</t>
  </si>
  <si>
    <t>Usina 34</t>
  </si>
  <si>
    <t>Usina 36</t>
  </si>
  <si>
    <t>Usina 37</t>
  </si>
  <si>
    <t>Usina 38</t>
  </si>
  <si>
    <t>Usina 39</t>
  </si>
  <si>
    <t>Usina 40</t>
  </si>
  <si>
    <t>Usina 41</t>
  </si>
  <si>
    <t>Usina 42</t>
  </si>
  <si>
    <t>Usina 43</t>
  </si>
  <si>
    <t>Usina 44</t>
  </si>
  <si>
    <t>Usina 45</t>
  </si>
  <si>
    <t>Usina 46</t>
  </si>
  <si>
    <t>Usina 47</t>
  </si>
  <si>
    <t>Usina 49</t>
  </si>
  <si>
    <t>Usina 50</t>
  </si>
  <si>
    <t>Usina 51</t>
  </si>
  <si>
    <t>Usina 52</t>
  </si>
  <si>
    <t>Usina 53</t>
  </si>
  <si>
    <t>Usina 55</t>
  </si>
  <si>
    <t>Usina 56</t>
  </si>
  <si>
    <t>Usina 58</t>
  </si>
  <si>
    <t>Usina 59</t>
  </si>
  <si>
    <t>Usina 60</t>
  </si>
  <si>
    <t>Usina 62</t>
  </si>
  <si>
    <t>Usina 63</t>
  </si>
  <si>
    <t>Usina 64</t>
  </si>
  <si>
    <t>Usina 65</t>
  </si>
  <si>
    <t>Usina 66</t>
  </si>
  <si>
    <t>Usina 67</t>
  </si>
  <si>
    <t>Usina 68</t>
  </si>
  <si>
    <t>Usina 69</t>
  </si>
  <si>
    <t>Usina 70</t>
  </si>
  <si>
    <t>Usina 71</t>
  </si>
  <si>
    <t>Usina 72</t>
  </si>
  <si>
    <t>Usina 73</t>
  </si>
  <si>
    <t>Usina 74</t>
  </si>
  <si>
    <t>Usina 75</t>
  </si>
  <si>
    <t>Usina 76</t>
  </si>
  <si>
    <t>Usina 77</t>
  </si>
  <si>
    <t>Usina 78</t>
  </si>
  <si>
    <t>Usina 79</t>
  </si>
  <si>
    <t>Usina 80</t>
  </si>
  <si>
    <t>Usina 81</t>
  </si>
  <si>
    <t>Usina 82</t>
  </si>
  <si>
    <t>Usina 83</t>
  </si>
  <si>
    <t>Usina 84</t>
  </si>
  <si>
    <t>Usina 85</t>
  </si>
  <si>
    <t>Valor Final PJ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</si>
</sst>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.000"/>
    <numFmt numFmtId="165" formatCode="0.00000"/>
    <numFmt numFmtId="166" formatCode="#,##0.00_ ;\-#,##0.00\ "/>
    <numFmt numFmtId="167" formatCode="&quot;R$&quot;\ #,##0.00"/>
    <numFmt numFmtId="168" formatCode="dd"/>
    <numFmt numFmtId="169" formatCode="dd/mm/yy;@"/>
    <numFmt numFmtId="170" formatCode="\R&quot;R$&quot;\ #,##0.00"/>
    <numFmt numFmtId="171" formatCode="_-&quot;R$&quot;* #,##0.00_-;\-&quot;R$&quot;* #,##0.00_-;_-&quot;R$&quot;* &quot;-&quot;??_-;_-@_-"/>
    <numFmt numFmtId="172" formatCode="[$-416]mmm;@"/>
    <numFmt numFmtId="173" formatCode="0.0"/>
  </numFmts>
  <fonts count="112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1"/>
      <color theme="1"/>
      <name val="Times New Roman"/>
      <family val="1"/>
    </font>
    <font>
      <sz val="22"/>
      <color theme="0"/>
      <name val="Times New Roman"/>
      <family val="1"/>
    </font>
    <font>
      <b/>
      <sz val="22"/>
      <color theme="0"/>
      <name val="Times New Roman"/>
      <family val="1"/>
    </font>
    <font>
      <b/>
      <sz val="14"/>
      <color theme="0"/>
      <name val="Times New Roman"/>
      <family val="1"/>
    </font>
    <font>
      <sz val="11"/>
      <color theme="0"/>
      <name val="Times New Roman"/>
      <family val="1"/>
    </font>
    <font>
      <b/>
      <sz val="11"/>
      <color theme="0"/>
      <name val="Times New Roman"/>
      <family val="1"/>
    </font>
    <font>
      <sz val="11"/>
      <color theme="1"/>
      <name val="Calibri"/>
      <family val="2"/>
      <scheme val="minor"/>
    </font>
    <font>
      <sz val="10"/>
      <color theme="0"/>
      <name val="Times New Roman"/>
      <family val="1"/>
    </font>
    <font>
      <b/>
      <sz val="10"/>
      <color rgb="FFFFFFFF"/>
      <name val="Segoe UI"/>
      <family val="2"/>
    </font>
    <font>
      <b/>
      <sz val="18"/>
      <color theme="0"/>
      <name val="Segoe UI"/>
      <family val="2"/>
    </font>
    <font>
      <b/>
      <sz val="14"/>
      <color rgb="FFFFFFFF"/>
      <name val="Segoe UI"/>
      <family val="2"/>
    </font>
    <font>
      <b/>
      <sz val="18"/>
      <name val="Segoe UI"/>
      <family val="2"/>
    </font>
    <font>
      <i/>
      <sz val="12"/>
      <color theme="2" tint="-9.9978637043366805E-2"/>
      <name val="Segoe UI"/>
      <family val="2"/>
    </font>
    <font>
      <sz val="10"/>
      <color rgb="FF000000"/>
      <name val="Segoe UI"/>
      <family val="2"/>
    </font>
    <font>
      <sz val="10"/>
      <color theme="1"/>
      <name val="Segoe UI"/>
      <family val="2"/>
    </font>
    <font>
      <sz val="10"/>
      <color rgb="FFFFFFFF"/>
      <name val="Segoe UI"/>
      <family val="2"/>
    </font>
    <font>
      <b/>
      <sz val="18"/>
      <color rgb="FFFFFFFF"/>
      <name val="Segoe UI"/>
      <family val="2"/>
    </font>
    <font>
      <b/>
      <sz val="10"/>
      <color theme="0"/>
      <name val="Segoe UI"/>
      <family val="2"/>
    </font>
    <font>
      <sz val="11"/>
      <name val="Calibri"/>
      <family val="2"/>
      <scheme val="minor"/>
    </font>
    <font>
      <b/>
      <sz val="16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b/>
      <i/>
      <sz val="10"/>
      <color theme="1" tint="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 tint="0.499984740745262"/>
      <name val="Calibri"/>
      <family val="2"/>
      <scheme val="minor"/>
    </font>
    <font>
      <b/>
      <sz val="12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i/>
      <sz val="10"/>
      <color theme="0" tint="-4.9989318521683403E-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i/>
      <sz val="26"/>
      <color theme="0"/>
      <name val="Times New Roman"/>
      <family val="1"/>
    </font>
    <font>
      <b/>
      <sz val="18"/>
      <color theme="0"/>
      <name val="Arial Black"/>
      <family val="2"/>
    </font>
    <font>
      <b/>
      <sz val="12"/>
      <color theme="0"/>
      <name val="Times New Roman"/>
      <family val="1"/>
    </font>
    <font>
      <sz val="9"/>
      <color theme="1"/>
      <name val="Calibri"/>
      <family val="2"/>
    </font>
    <font>
      <sz val="11"/>
      <color rgb="FF002060"/>
      <name val="Calibri"/>
      <family val="2"/>
      <scheme val="minor"/>
    </font>
    <font>
      <b/>
      <sz val="12"/>
      <color rgb="FF002060"/>
      <name val="Times New Roman"/>
      <family val="1"/>
    </font>
    <font>
      <b/>
      <sz val="11"/>
      <color rgb="FF002060"/>
      <name val="Times New Roman"/>
      <family val="1"/>
    </font>
    <font>
      <b/>
      <i/>
      <sz val="14"/>
      <color rgb="FF002060"/>
      <name val="Times New Roman"/>
      <family val="1"/>
    </font>
    <font>
      <b/>
      <sz val="18"/>
      <color theme="0"/>
      <name val="Times New Roman"/>
      <family val="1"/>
    </font>
    <font>
      <sz val="11"/>
      <color rgb="FF002060"/>
      <name val="Times New Roman"/>
      <family val="1"/>
    </font>
    <font>
      <b/>
      <sz val="12"/>
      <color rgb="FF00206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36"/>
      <color theme="0"/>
      <name val="Times New Roman"/>
      <family val="1"/>
    </font>
    <font>
      <b/>
      <sz val="24"/>
      <color theme="0"/>
      <name val="Times New Roman"/>
      <family val="1"/>
    </font>
    <font>
      <b/>
      <sz val="12"/>
      <name val="Times New Roman"/>
      <family val="1"/>
    </font>
    <font>
      <sz val="11"/>
      <name val="Times New Roman"/>
      <family val="1"/>
    </font>
    <font>
      <i/>
      <sz val="11"/>
      <color theme="2" tint="-0.499984740745262"/>
      <name val="Times New Roman"/>
      <family val="1"/>
    </font>
    <font>
      <b/>
      <i/>
      <sz val="11"/>
      <color theme="2" tint="-0.499984740745262"/>
      <name val="Times New Roman"/>
      <family val="1"/>
    </font>
    <font>
      <b/>
      <sz val="12"/>
      <color theme="1"/>
      <name val="Times New Roman"/>
      <family val="1"/>
    </font>
    <font>
      <b/>
      <sz val="11"/>
      <name val="Times New Roman"/>
      <family val="1"/>
    </font>
    <font>
      <b/>
      <sz val="14"/>
      <color theme="1"/>
      <name val="Times New Roman"/>
      <family val="1"/>
    </font>
    <font>
      <b/>
      <sz val="12"/>
      <name val="Calibri Light"/>
      <family val="2"/>
      <scheme val="major"/>
    </font>
    <font>
      <b/>
      <sz val="12"/>
      <color theme="1"/>
      <name val="Calibri Light"/>
      <family val="2"/>
      <scheme val="major"/>
    </font>
    <font>
      <b/>
      <sz val="14"/>
      <name val="Times New Roman"/>
      <family val="1"/>
    </font>
    <font>
      <sz val="8"/>
      <color theme="1"/>
      <name val="Calibri"/>
      <family val="2"/>
      <scheme val="minor"/>
    </font>
    <font>
      <sz val="8"/>
      <color theme="1"/>
      <name val="Times New Roman"/>
      <family val="1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9"/>
      <color theme="1"/>
      <name val="Microsoft JhengHei"/>
      <family val="2"/>
    </font>
    <font>
      <sz val="26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28"/>
      <color rgb="FF002060"/>
      <name val="Calibri"/>
      <family val="2"/>
      <scheme val="minor"/>
    </font>
    <font>
      <sz val="24"/>
      <color theme="0"/>
      <name val="Times New Roman"/>
      <family val="1"/>
    </font>
    <font>
      <sz val="10"/>
      <color theme="1"/>
      <name val="Times New Roman"/>
      <family val="1"/>
    </font>
    <font>
      <b/>
      <sz val="10"/>
      <color theme="0"/>
      <name val="Times New Roman"/>
      <family val="1"/>
    </font>
    <font>
      <i/>
      <sz val="10"/>
      <color theme="1"/>
      <name val="Calibri"/>
      <family val="2"/>
      <scheme val="minor"/>
    </font>
    <font>
      <sz val="12"/>
      <color rgb="FF002060"/>
      <name val="Times New Roman"/>
      <family val="1"/>
    </font>
    <font>
      <u/>
      <sz val="12"/>
      <color rgb="FF002060"/>
      <name val="Times New Roman"/>
      <family val="1"/>
    </font>
    <font>
      <sz val="10"/>
      <color rgb="FF000000"/>
      <name val="Calibri"/>
      <family val="2"/>
      <scheme val="minor"/>
    </font>
    <font>
      <b/>
      <sz val="10"/>
      <color theme="1"/>
      <name val="Times New Roman"/>
      <family val="1"/>
    </font>
    <font>
      <i/>
      <sz val="10"/>
      <color theme="1"/>
      <name val="Times New Roman"/>
      <family val="1"/>
    </font>
    <font>
      <b/>
      <sz val="10"/>
      <color rgb="FF00B050"/>
      <name val="Times New Roman"/>
      <family val="1"/>
    </font>
    <font>
      <i/>
      <sz val="10"/>
      <color rgb="FF00B050"/>
      <name val="Times New Roman"/>
      <family val="1"/>
    </font>
    <font>
      <b/>
      <i/>
      <sz val="10"/>
      <color rgb="FF00B050"/>
      <name val="Times New Roman"/>
      <family val="1"/>
    </font>
    <font>
      <b/>
      <sz val="10"/>
      <name val="Times New Roman"/>
      <family val="1"/>
    </font>
    <font>
      <b/>
      <i/>
      <sz val="10"/>
      <name val="Times New Roman"/>
      <family val="1"/>
    </font>
    <font>
      <i/>
      <sz val="10"/>
      <name val="Times New Roman"/>
      <family val="1"/>
    </font>
    <font>
      <b/>
      <sz val="10"/>
      <color theme="9"/>
      <name val="Times New Roman"/>
      <family val="1"/>
    </font>
    <font>
      <sz val="10"/>
      <name val="Times New Roman"/>
      <family val="1"/>
    </font>
    <font>
      <sz val="10"/>
      <color rgb="FFFF0000"/>
      <name val="Times New Roman"/>
      <family val="1"/>
    </font>
    <font>
      <sz val="8"/>
      <name val="Times New Roman"/>
      <family val="1"/>
    </font>
    <font>
      <sz val="8"/>
      <name val="Calibri"/>
      <family val="2"/>
      <scheme val="minor"/>
    </font>
    <font>
      <sz val="10"/>
      <name val="Arial"/>
      <family val="2"/>
    </font>
    <font>
      <b/>
      <sz val="10"/>
      <color rgb="FF00206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sz val="9"/>
      <color rgb="FFFFC000"/>
      <name val="Calibri"/>
      <family val="2"/>
      <scheme val="minor"/>
    </font>
    <font>
      <b/>
      <sz val="11"/>
      <color rgb="FFFFC000"/>
      <name val="Calibri"/>
      <family val="2"/>
      <scheme val="minor"/>
    </font>
    <font>
      <b/>
      <sz val="10"/>
      <color rgb="FFFFC000"/>
      <name val="Calibri"/>
      <family val="2"/>
      <scheme val="minor"/>
    </font>
    <font>
      <b/>
      <sz val="12"/>
      <color rgb="FF00B050"/>
      <name val="Times New Roman"/>
      <family val="1"/>
    </font>
    <font>
      <b/>
      <sz val="20"/>
      <color theme="0"/>
      <name val="Times New Roman"/>
      <family val="1"/>
    </font>
    <font>
      <b/>
      <sz val="11"/>
      <color rgb="FF00B050"/>
      <name val="Calibri"/>
      <family val="2"/>
      <scheme val="minor"/>
    </font>
    <font>
      <b/>
      <sz val="11"/>
      <color rgb="FFCC0000"/>
      <name val="Calibri"/>
      <family val="2"/>
      <scheme val="minor"/>
    </font>
    <font>
      <b/>
      <sz val="12"/>
      <color theme="9" tint="-0.249977111117893"/>
      <name val="Times New Roman"/>
      <family val="1"/>
    </font>
    <font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14"/>
      <name val="Times New Roman"/>
      <family val="1"/>
    </font>
    <font>
      <sz val="11"/>
      <name val="Sitka Banner Semibold"/>
    </font>
    <font>
      <b/>
      <sz val="11"/>
      <name val="Sitka Banner Semibold"/>
    </font>
    <font>
      <sz val="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2"/>
      <name val="Times New Roman"/>
      <family val="1"/>
    </font>
    <font>
      <b/>
      <sz val="10"/>
      <color theme="2"/>
      <name val="Times New Roman"/>
      <family val="1"/>
    </font>
    <font>
      <b/>
      <sz val="8"/>
      <color theme="2"/>
      <name val="Times New Roman"/>
      <family val="1"/>
    </font>
    <font>
      <b/>
      <sz val="1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CFEF4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4F4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0000"/>
        <bgColor indexed="64"/>
      </patternFill>
    </fill>
  </fills>
  <borders count="6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/>
      </right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/>
      <bottom style="medium">
        <color indexed="64"/>
      </bottom>
      <diagonal/>
    </border>
    <border>
      <left style="thin">
        <color theme="0"/>
      </left>
      <right style="medium">
        <color indexed="64"/>
      </right>
      <top/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medium">
        <color rgb="FF00B0F0"/>
      </left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/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medium">
        <color rgb="FF00B0F0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43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0" fontId="90" fillId="0" borderId="0"/>
    <xf numFmtId="171" fontId="8" fillId="0" borderId="0" applyFont="0" applyFill="0" applyBorder="0" applyAlignment="0" applyProtection="0"/>
    <xf numFmtId="0" fontId="24" fillId="16" borderId="20" applyNumberFormat="0" applyAlignment="0" applyProtection="0"/>
    <xf numFmtId="171" fontId="8" fillId="0" borderId="0" applyFont="0" applyFill="0" applyBorder="0" applyAlignment="0" applyProtection="0"/>
    <xf numFmtId="0" fontId="8" fillId="0" borderId="0"/>
  </cellStyleXfs>
  <cellXfs count="516">
    <xf numFmtId="0" fontId="0" fillId="0" borderId="0" xfId="0"/>
    <xf numFmtId="0" fontId="2" fillId="0" borderId="0" xfId="0" applyFont="1"/>
    <xf numFmtId="0" fontId="0" fillId="2" borderId="0" xfId="0" applyFill="1"/>
    <xf numFmtId="0" fontId="1" fillId="2" borderId="0" xfId="0" applyFont="1" applyFill="1"/>
    <xf numFmtId="0" fontId="0" fillId="3" borderId="0" xfId="0" applyFill="1"/>
    <xf numFmtId="0" fontId="3" fillId="3" borderId="0" xfId="0" applyFont="1" applyFill="1" applyAlignment="1">
      <alignment wrapText="1"/>
    </xf>
    <xf numFmtId="0" fontId="4" fillId="3" borderId="0" xfId="0" applyFont="1" applyFill="1" applyAlignment="1">
      <alignment wrapText="1"/>
    </xf>
    <xf numFmtId="0" fontId="0" fillId="3" borderId="0" xfId="0" applyFill="1" applyAlignment="1">
      <alignment vertical="top"/>
    </xf>
    <xf numFmtId="0" fontId="7" fillId="3" borderId="0" xfId="0" applyFont="1" applyFill="1" applyAlignment="1">
      <alignment vertical="top"/>
    </xf>
    <xf numFmtId="0" fontId="10" fillId="2" borderId="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 wrapText="1"/>
    </xf>
    <xf numFmtId="0" fontId="10" fillId="0" borderId="4" xfId="0" applyFont="1" applyBorder="1" applyAlignment="1">
      <alignment vertical="center" wrapText="1"/>
    </xf>
    <xf numFmtId="0" fontId="0" fillId="0" borderId="0" xfId="0" applyAlignment="1">
      <alignment horizontal="center" vertical="center"/>
    </xf>
    <xf numFmtId="0" fontId="15" fillId="8" borderId="4" xfId="0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7" borderId="4" xfId="0" applyFill="1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5" xfId="0" applyBorder="1"/>
    <xf numFmtId="0" fontId="15" fillId="8" borderId="6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16" fillId="8" borderId="7" xfId="0" applyFont="1" applyFill="1" applyBorder="1" applyAlignment="1">
      <alignment horizontal="center" vertical="center" wrapText="1"/>
    </xf>
    <xf numFmtId="165" fontId="0" fillId="8" borderId="7" xfId="0" applyNumberFormat="1" applyFill="1" applyBorder="1" applyAlignment="1">
      <alignment horizontal="center" vertical="center"/>
    </xf>
    <xf numFmtId="164" fontId="0" fillId="8" borderId="7" xfId="0" applyNumberFormat="1" applyFill="1" applyBorder="1" applyAlignment="1">
      <alignment horizontal="center" vertical="center"/>
    </xf>
    <xf numFmtId="164" fontId="0" fillId="6" borderId="7" xfId="0" applyNumberFormat="1" applyFill="1" applyBorder="1" applyAlignment="1">
      <alignment horizontal="center" vertical="center"/>
    </xf>
    <xf numFmtId="0" fontId="0" fillId="0" borderId="7" xfId="0" applyBorder="1"/>
    <xf numFmtId="0" fontId="0" fillId="0" borderId="8" xfId="0" applyBorder="1"/>
    <xf numFmtId="0" fontId="17" fillId="2" borderId="9" xfId="0" applyFont="1" applyFill="1" applyBorder="1" applyAlignment="1">
      <alignment horizontal="center" vertical="center" wrapText="1"/>
    </xf>
    <xf numFmtId="0" fontId="18" fillId="2" borderId="9" xfId="0" applyFont="1" applyFill="1" applyBorder="1" applyAlignment="1">
      <alignment horizontal="center" vertical="center" wrapText="1"/>
    </xf>
    <xf numFmtId="2" fontId="20" fillId="8" borderId="9" xfId="0" applyNumberFormat="1" applyFont="1" applyFill="1" applyBorder="1" applyAlignment="1">
      <alignment horizontal="center" vertical="center"/>
    </xf>
    <xf numFmtId="2" fontId="21" fillId="9" borderId="9" xfId="0" applyNumberFormat="1" applyFont="1" applyFill="1" applyBorder="1" applyAlignment="1">
      <alignment horizontal="center" vertical="center"/>
    </xf>
    <xf numFmtId="2" fontId="20" fillId="10" borderId="9" xfId="0" applyNumberFormat="1" applyFont="1" applyFill="1" applyBorder="1" applyAlignment="1">
      <alignment horizontal="center" vertical="center"/>
    </xf>
    <xf numFmtId="9" fontId="22" fillId="8" borderId="9" xfId="3" applyFont="1" applyFill="1" applyBorder="1" applyAlignment="1">
      <alignment horizontal="center"/>
    </xf>
    <xf numFmtId="9" fontId="23" fillId="9" borderId="9" xfId="3" applyFont="1" applyFill="1" applyBorder="1" applyAlignment="1">
      <alignment horizontal="center"/>
    </xf>
    <xf numFmtId="9" fontId="22" fillId="10" borderId="9" xfId="3" applyFont="1" applyFill="1" applyBorder="1" applyAlignment="1">
      <alignment horizontal="center"/>
    </xf>
    <xf numFmtId="1" fontId="20" fillId="8" borderId="9" xfId="0" applyNumberFormat="1" applyFont="1" applyFill="1" applyBorder="1" applyAlignment="1">
      <alignment horizontal="center" vertical="center"/>
    </xf>
    <xf numFmtId="1" fontId="21" fillId="9" borderId="9" xfId="0" applyNumberFormat="1" applyFont="1" applyFill="1" applyBorder="1" applyAlignment="1">
      <alignment horizontal="center" vertical="center"/>
    </xf>
    <xf numFmtId="1" fontId="20" fillId="10" borderId="9" xfId="0" applyNumberFormat="1" applyFont="1" applyFill="1" applyBorder="1" applyAlignment="1">
      <alignment horizontal="center" vertical="center"/>
    </xf>
    <xf numFmtId="9" fontId="25" fillId="8" borderId="9" xfId="3" applyFont="1" applyFill="1" applyBorder="1" applyAlignment="1">
      <alignment horizontal="center" wrapText="1"/>
    </xf>
    <xf numFmtId="9" fontId="26" fillId="9" borderId="9" xfId="3" applyFont="1" applyFill="1" applyBorder="1" applyAlignment="1">
      <alignment horizontal="center" vertical="center" wrapText="1"/>
    </xf>
    <xf numFmtId="9" fontId="27" fillId="10" borderId="9" xfId="3" applyFont="1" applyFill="1" applyBorder="1" applyAlignment="1">
      <alignment horizontal="center" vertical="center"/>
    </xf>
    <xf numFmtId="0" fontId="24" fillId="2" borderId="12" xfId="0" applyFont="1" applyFill="1" applyBorder="1" applyAlignment="1">
      <alignment horizontal="center" vertical="center" wrapText="1"/>
    </xf>
    <xf numFmtId="0" fontId="28" fillId="2" borderId="12" xfId="0" applyFont="1" applyFill="1" applyBorder="1" applyAlignment="1">
      <alignment horizontal="center" vertical="center"/>
    </xf>
    <xf numFmtId="166" fontId="27" fillId="8" borderId="9" xfId="1" applyNumberFormat="1" applyFont="1" applyFill="1" applyBorder="1" applyAlignment="1">
      <alignment horizontal="center" vertical="center"/>
    </xf>
    <xf numFmtId="166" fontId="29" fillId="9" borderId="9" xfId="1" applyNumberFormat="1" applyFont="1" applyFill="1" applyBorder="1" applyAlignment="1">
      <alignment horizontal="center" vertical="center"/>
    </xf>
    <xf numFmtId="166" fontId="27" fillId="10" borderId="9" xfId="1" applyNumberFormat="1" applyFont="1" applyFill="1" applyBorder="1" applyAlignment="1">
      <alignment horizontal="center" vertical="center"/>
    </xf>
    <xf numFmtId="0" fontId="0" fillId="0" borderId="13" xfId="0" applyBorder="1"/>
    <xf numFmtId="0" fontId="0" fillId="0" borderId="0" xfId="0" applyAlignment="1">
      <alignment horizontal="center"/>
    </xf>
    <xf numFmtId="0" fontId="32" fillId="2" borderId="9" xfId="0" applyFont="1" applyFill="1" applyBorder="1" applyAlignment="1">
      <alignment horizontal="center" vertical="center"/>
    </xf>
    <xf numFmtId="0" fontId="32" fillId="2" borderId="12" xfId="0" applyFont="1" applyFill="1" applyBorder="1" applyAlignment="1">
      <alignment horizontal="center" vertical="center"/>
    </xf>
    <xf numFmtId="0" fontId="32" fillId="2" borderId="9" xfId="0" applyFont="1" applyFill="1" applyBorder="1" applyAlignment="1">
      <alignment horizontal="left" vertical="center"/>
    </xf>
    <xf numFmtId="0" fontId="32" fillId="2" borderId="9" xfId="0" applyFont="1" applyFill="1" applyBorder="1" applyAlignment="1">
      <alignment horizontal="center" vertical="center" wrapText="1"/>
    </xf>
    <xf numFmtId="0" fontId="1" fillId="8" borderId="0" xfId="0" applyFont="1" applyFill="1" applyAlignment="1">
      <alignment horizontal="left" vertical="center" wrapText="1"/>
    </xf>
    <xf numFmtId="0" fontId="1" fillId="8" borderId="0" xfId="0" applyFont="1" applyFill="1" applyAlignment="1">
      <alignment horizontal="left" vertical="center"/>
    </xf>
    <xf numFmtId="0" fontId="1" fillId="8" borderId="0" xfId="2" applyNumberFormat="1" applyFont="1" applyFill="1" applyBorder="1" applyAlignment="1">
      <alignment horizontal="left" vertical="center" wrapText="1"/>
    </xf>
    <xf numFmtId="44" fontId="1" fillId="8" borderId="0" xfId="2" applyFont="1" applyFill="1" applyBorder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8" borderId="0" xfId="2" applyNumberFormat="1" applyFont="1" applyFill="1" applyBorder="1" applyAlignment="1">
      <alignment horizontal="center" vertical="center"/>
    </xf>
    <xf numFmtId="44" fontId="0" fillId="0" borderId="0" xfId="0" applyNumberFormat="1"/>
    <xf numFmtId="0" fontId="1" fillId="8" borderId="0" xfId="2" applyNumberFormat="1" applyFont="1" applyFill="1" applyBorder="1" applyAlignment="1">
      <alignment horizontal="left" vertical="center"/>
    </xf>
    <xf numFmtId="0" fontId="1" fillId="11" borderId="14" xfId="0" applyFont="1" applyFill="1" applyBorder="1" applyAlignment="1">
      <alignment horizontal="left" vertical="center"/>
    </xf>
    <xf numFmtId="0" fontId="1" fillId="11" borderId="14" xfId="0" applyFont="1" applyFill="1" applyBorder="1" applyAlignment="1">
      <alignment horizontal="left" vertical="center" wrapText="1"/>
    </xf>
    <xf numFmtId="0" fontId="1" fillId="11" borderId="14" xfId="0" applyFont="1" applyFill="1" applyBorder="1" applyAlignment="1">
      <alignment horizontal="center" vertical="center"/>
    </xf>
    <xf numFmtId="44" fontId="1" fillId="11" borderId="14" xfId="2" applyFont="1" applyFill="1" applyBorder="1" applyAlignment="1">
      <alignment horizontal="center" vertical="center"/>
    </xf>
    <xf numFmtId="44" fontId="1" fillId="11" borderId="14" xfId="0" applyNumberFormat="1" applyFont="1" applyFill="1" applyBorder="1" applyAlignment="1">
      <alignment horizontal="center" vertical="center"/>
    </xf>
    <xf numFmtId="44" fontId="0" fillId="0" borderId="0" xfId="2" applyFont="1"/>
    <xf numFmtId="0" fontId="1" fillId="11" borderId="0" xfId="0" applyFont="1" applyFill="1" applyAlignment="1">
      <alignment horizontal="left" vertical="center" wrapText="1"/>
    </xf>
    <xf numFmtId="44" fontId="1" fillId="11" borderId="0" xfId="2" applyFont="1" applyFill="1" applyBorder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44" fontId="1" fillId="11" borderId="0" xfId="0" applyNumberFormat="1" applyFont="1" applyFill="1" applyAlignment="1">
      <alignment horizontal="center" vertical="center"/>
    </xf>
    <xf numFmtId="0" fontId="33" fillId="0" borderId="0" xfId="0" applyFont="1" applyAlignment="1" applyProtection="1">
      <alignment horizontal="center" vertical="center"/>
      <protection locked="0"/>
    </xf>
    <xf numFmtId="44" fontId="34" fillId="0" borderId="0" xfId="2" applyFont="1" applyAlignment="1" applyProtection="1">
      <alignment horizontal="center"/>
      <protection locked="0"/>
    </xf>
    <xf numFmtId="0" fontId="1" fillId="11" borderId="0" xfId="2" applyNumberFormat="1" applyFont="1" applyFill="1" applyBorder="1" applyAlignment="1">
      <alignment horizontal="left" vertical="center"/>
    </xf>
    <xf numFmtId="0" fontId="1" fillId="11" borderId="15" xfId="0" applyFont="1" applyFill="1" applyBorder="1" applyAlignment="1">
      <alignment horizontal="left" vertical="center"/>
    </xf>
    <xf numFmtId="0" fontId="1" fillId="11" borderId="15" xfId="0" applyFont="1" applyFill="1" applyBorder="1" applyAlignment="1">
      <alignment horizontal="left" vertical="center" wrapText="1"/>
    </xf>
    <xf numFmtId="44" fontId="1" fillId="11" borderId="15" xfId="2" applyFont="1" applyFill="1" applyBorder="1" applyAlignment="1">
      <alignment horizontal="center" vertical="center"/>
    </xf>
    <xf numFmtId="44" fontId="1" fillId="11" borderId="15" xfId="0" applyNumberFormat="1" applyFont="1" applyFill="1" applyBorder="1" applyAlignment="1">
      <alignment horizontal="center" vertical="center"/>
    </xf>
    <xf numFmtId="0" fontId="1" fillId="11" borderId="15" xfId="0" applyFont="1" applyFill="1" applyBorder="1" applyAlignment="1">
      <alignment horizontal="center" vertical="center"/>
    </xf>
    <xf numFmtId="0" fontId="36" fillId="0" borderId="0" xfId="0" applyFont="1" applyAlignment="1">
      <alignment horizontal="center"/>
    </xf>
    <xf numFmtId="0" fontId="36" fillId="0" borderId="0" xfId="0" applyFont="1"/>
    <xf numFmtId="0" fontId="36" fillId="0" borderId="0" xfId="0" applyFont="1" applyAlignment="1">
      <alignment horizontal="left"/>
    </xf>
    <xf numFmtId="0" fontId="37" fillId="0" borderId="0" xfId="0" applyFont="1" applyAlignment="1">
      <alignment vertical="center"/>
    </xf>
    <xf numFmtId="0" fontId="38" fillId="2" borderId="1" xfId="0" applyFont="1" applyFill="1" applyBorder="1" applyAlignment="1">
      <alignment vertical="center"/>
    </xf>
    <xf numFmtId="0" fontId="38" fillId="2" borderId="2" xfId="0" applyFont="1" applyFill="1" applyBorder="1" applyAlignment="1">
      <alignment vertical="center"/>
    </xf>
    <xf numFmtId="0" fontId="38" fillId="2" borderId="2" xfId="0" applyFont="1" applyFill="1" applyBorder="1" applyAlignment="1">
      <alignment horizontal="left" vertical="center"/>
    </xf>
    <xf numFmtId="0" fontId="40" fillId="0" borderId="0" xfId="0" applyFont="1"/>
    <xf numFmtId="0" fontId="0" fillId="0" borderId="0" xfId="0" applyAlignment="1">
      <alignment horizontal="left"/>
    </xf>
    <xf numFmtId="0" fontId="0" fillId="8" borderId="0" xfId="0" applyFill="1"/>
    <xf numFmtId="0" fontId="44" fillId="2" borderId="0" xfId="0" applyFont="1" applyFill="1" applyAlignment="1">
      <alignment vertical="center"/>
    </xf>
    <xf numFmtId="0" fontId="6" fillId="2" borderId="0" xfId="0" applyFont="1" applyFill="1" applyAlignment="1">
      <alignment vertical="center"/>
    </xf>
    <xf numFmtId="0" fontId="6" fillId="2" borderId="0" xfId="0" applyFont="1" applyFill="1" applyAlignment="1">
      <alignment horizontal="left" vertical="top"/>
    </xf>
    <xf numFmtId="0" fontId="6" fillId="2" borderId="0" xfId="0" applyFont="1" applyFill="1" applyAlignment="1">
      <alignment vertical="top" wrapText="1"/>
    </xf>
    <xf numFmtId="0" fontId="6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left" vertical="top" wrapText="1"/>
    </xf>
    <xf numFmtId="0" fontId="0" fillId="8" borderId="0" xfId="0" applyFill="1" applyAlignment="1">
      <alignment horizontal="center" vertical="top"/>
    </xf>
    <xf numFmtId="0" fontId="0" fillId="8" borderId="0" xfId="0" applyFill="1" applyAlignment="1">
      <alignment horizontal="center" vertical="top" wrapText="1"/>
    </xf>
    <xf numFmtId="0" fontId="0" fillId="8" borderId="0" xfId="0" applyFill="1" applyAlignment="1">
      <alignment horizontal="right" vertical="top" wrapText="1"/>
    </xf>
    <xf numFmtId="0" fontId="0" fillId="8" borderId="0" xfId="0" applyFill="1" applyAlignment="1">
      <alignment horizontal="left"/>
    </xf>
    <xf numFmtId="0" fontId="0" fillId="8" borderId="0" xfId="0" applyFill="1" applyAlignment="1">
      <alignment horizontal="right"/>
    </xf>
    <xf numFmtId="0" fontId="0" fillId="8" borderId="0" xfId="0" applyFill="1" applyAlignment="1">
      <alignment vertical="top" wrapText="1"/>
    </xf>
    <xf numFmtId="0" fontId="0" fillId="8" borderId="0" xfId="0" applyFill="1" applyAlignment="1">
      <alignment vertical="top"/>
    </xf>
    <xf numFmtId="44" fontId="0" fillId="8" borderId="0" xfId="0" applyNumberFormat="1" applyFill="1" applyAlignment="1">
      <alignment horizontal="right" vertical="top" wrapText="1"/>
    </xf>
    <xf numFmtId="0" fontId="0" fillId="8" borderId="0" xfId="0" applyFill="1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/>
    </xf>
    <xf numFmtId="0" fontId="32" fillId="2" borderId="0" xfId="0" applyFont="1" applyFill="1" applyAlignment="1">
      <alignment horizontal="center" vertical="center"/>
    </xf>
    <xf numFmtId="0" fontId="47" fillId="12" borderId="0" xfId="0" applyFont="1" applyFill="1" applyAlignment="1">
      <alignment horizontal="center"/>
    </xf>
    <xf numFmtId="0" fontId="48" fillId="8" borderId="0" xfId="0" applyFont="1" applyFill="1" applyAlignment="1">
      <alignment horizontal="center" vertical="center"/>
    </xf>
    <xf numFmtId="0" fontId="49" fillId="8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/>
    </xf>
    <xf numFmtId="0" fontId="49" fillId="11" borderId="0" xfId="0" applyFont="1" applyFill="1" applyAlignment="1">
      <alignment horizontal="center" vertical="center"/>
    </xf>
    <xf numFmtId="0" fontId="48" fillId="11" borderId="0" xfId="0" applyFont="1" applyFill="1" applyAlignment="1">
      <alignment horizontal="center" vertical="center"/>
    </xf>
    <xf numFmtId="0" fontId="51" fillId="13" borderId="0" xfId="0" applyFont="1" applyFill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47" fillId="4" borderId="0" xfId="0" applyFont="1" applyFill="1" applyAlignment="1">
      <alignment horizontal="center"/>
    </xf>
    <xf numFmtId="0" fontId="51" fillId="15" borderId="0" xfId="0" applyFont="1" applyFill="1" applyAlignment="1">
      <alignment horizontal="center" vertical="center"/>
    </xf>
    <xf numFmtId="0" fontId="55" fillId="12" borderId="0" xfId="0" applyFont="1" applyFill="1" applyAlignment="1">
      <alignment horizontal="center" vertical="center"/>
    </xf>
    <xf numFmtId="0" fontId="52" fillId="4" borderId="0" xfId="0" applyFont="1" applyFill="1" applyAlignment="1">
      <alignment horizontal="center" vertical="center"/>
    </xf>
    <xf numFmtId="0" fontId="55" fillId="13" borderId="0" xfId="0" applyFont="1" applyFill="1" applyAlignment="1">
      <alignment horizontal="center" vertical="center"/>
    </xf>
    <xf numFmtId="44" fontId="56" fillId="8" borderId="0" xfId="2" applyFont="1" applyFill="1"/>
    <xf numFmtId="0" fontId="2" fillId="8" borderId="0" xfId="0" applyFont="1" applyFill="1"/>
    <xf numFmtId="44" fontId="57" fillId="8" borderId="0" xfId="2" applyFont="1" applyFill="1"/>
    <xf numFmtId="0" fontId="0" fillId="7" borderId="0" xfId="0" applyFill="1" applyBorder="1"/>
    <xf numFmtId="0" fontId="63" fillId="0" borderId="19" xfId="0" applyFont="1" applyBorder="1" applyAlignment="1">
      <alignment horizontal="center" vertical="center" wrapText="1"/>
    </xf>
    <xf numFmtId="0" fontId="63" fillId="0" borderId="19" xfId="0" applyFont="1" applyBorder="1" applyAlignment="1">
      <alignment horizontal="center" vertical="center"/>
    </xf>
    <xf numFmtId="0" fontId="58" fillId="0" borderId="19" xfId="0" applyFont="1" applyBorder="1" applyAlignment="1">
      <alignment horizontal="center" vertical="center"/>
    </xf>
    <xf numFmtId="0" fontId="24" fillId="21" borderId="19" xfId="0" applyFont="1" applyFill="1" applyBorder="1" applyAlignment="1">
      <alignment horizontal="center" vertical="center"/>
    </xf>
    <xf numFmtId="169" fontId="0" fillId="0" borderId="19" xfId="0" applyNumberFormat="1" applyBorder="1" applyAlignment="1">
      <alignment horizontal="center" vertical="center"/>
    </xf>
    <xf numFmtId="14" fontId="24" fillId="22" borderId="19" xfId="0" applyNumberFormat="1" applyFont="1" applyFill="1" applyBorder="1" applyAlignment="1">
      <alignment horizontal="center" vertical="center"/>
    </xf>
    <xf numFmtId="14" fontId="61" fillId="6" borderId="19" xfId="0" applyNumberFormat="1" applyFont="1" applyFill="1" applyBorder="1" applyAlignment="1">
      <alignment horizontal="center" vertical="center"/>
    </xf>
    <xf numFmtId="0" fontId="58" fillId="18" borderId="19" xfId="0" applyFont="1" applyFill="1" applyBorder="1" applyAlignment="1">
      <alignment horizontal="center" vertical="center" wrapText="1"/>
    </xf>
    <xf numFmtId="0" fontId="62" fillId="2" borderId="22" xfId="0" applyFont="1" applyFill="1" applyBorder="1" applyAlignment="1">
      <alignment horizontal="center" vertical="center"/>
    </xf>
    <xf numFmtId="0" fontId="0" fillId="0" borderId="29" xfId="0" applyBorder="1"/>
    <xf numFmtId="0" fontId="0" fillId="8" borderId="30" xfId="0" applyFill="1" applyBorder="1"/>
    <xf numFmtId="0" fontId="0" fillId="0" borderId="31" xfId="0" applyBorder="1"/>
    <xf numFmtId="0" fontId="0" fillId="0" borderId="32" xfId="0" applyBorder="1"/>
    <xf numFmtId="0" fontId="64" fillId="2" borderId="0" xfId="0" applyFont="1" applyFill="1" applyAlignment="1">
      <alignment horizontal="centerContinuous" vertical="center"/>
    </xf>
    <xf numFmtId="0" fontId="64" fillId="2" borderId="0" xfId="0" applyFont="1" applyFill="1" applyAlignment="1">
      <alignment vertical="center"/>
    </xf>
    <xf numFmtId="0" fontId="62" fillId="2" borderId="0" xfId="0" applyFont="1" applyFill="1" applyAlignment="1">
      <alignment horizontal="center" vertical="center"/>
    </xf>
    <xf numFmtId="17" fontId="62" fillId="2" borderId="0" xfId="0" applyNumberFormat="1" applyFont="1" applyFill="1" applyAlignment="1">
      <alignment horizontal="center" vertical="center"/>
    </xf>
    <xf numFmtId="0" fontId="59" fillId="8" borderId="33" xfId="0" applyFont="1" applyFill="1" applyBorder="1" applyAlignment="1">
      <alignment horizontal="left" vertical="center"/>
    </xf>
    <xf numFmtId="44" fontId="20" fillId="8" borderId="33" xfId="0" quotePrefix="1" applyNumberFormat="1" applyFont="1" applyFill="1" applyBorder="1" applyAlignment="1">
      <alignment horizontal="center" vertical="center"/>
    </xf>
    <xf numFmtId="0" fontId="65" fillId="13" borderId="34" xfId="0" applyFont="1" applyFill="1" applyBorder="1" applyAlignment="1">
      <alignment vertical="center"/>
    </xf>
    <xf numFmtId="44" fontId="66" fillId="12" borderId="33" xfId="0" applyNumberFormat="1" applyFont="1" applyFill="1" applyBorder="1" applyAlignment="1">
      <alignment horizontal="center" vertical="center"/>
    </xf>
    <xf numFmtId="0" fontId="65" fillId="13" borderId="36" xfId="0" applyFont="1" applyFill="1" applyBorder="1" applyAlignment="1">
      <alignment vertical="center"/>
    </xf>
    <xf numFmtId="10" fontId="66" fillId="12" borderId="33" xfId="0" applyNumberFormat="1" applyFont="1" applyFill="1" applyBorder="1" applyAlignment="1">
      <alignment horizontal="right" vertical="center"/>
    </xf>
    <xf numFmtId="10" fontId="66" fillId="12" borderId="37" xfId="0" applyNumberFormat="1" applyFont="1" applyFill="1" applyBorder="1" applyAlignment="1">
      <alignment horizontal="right" vertical="center"/>
    </xf>
    <xf numFmtId="0" fontId="0" fillId="7" borderId="0" xfId="0" applyFill="1"/>
    <xf numFmtId="0" fontId="68" fillId="2" borderId="23" xfId="0" applyFont="1" applyFill="1" applyBorder="1" applyAlignment="1">
      <alignment horizontal="center" vertical="center" wrapText="1"/>
    </xf>
    <xf numFmtId="0" fontId="68" fillId="2" borderId="23" xfId="0" applyFont="1" applyFill="1" applyBorder="1" applyAlignment="1">
      <alignment horizontal="center" vertical="center"/>
    </xf>
    <xf numFmtId="0" fontId="68" fillId="2" borderId="24" xfId="0" applyFont="1" applyFill="1" applyBorder="1" applyAlignment="1">
      <alignment horizontal="center" vertical="center"/>
    </xf>
    <xf numFmtId="0" fontId="62" fillId="7" borderId="0" xfId="0" applyFont="1" applyFill="1" applyBorder="1" applyAlignment="1">
      <alignment horizontal="center" vertical="center"/>
    </xf>
    <xf numFmtId="0" fontId="69" fillId="7" borderId="0" xfId="0" applyFont="1" applyFill="1" applyBorder="1" applyAlignment="1">
      <alignment horizontal="center" vertical="center"/>
    </xf>
    <xf numFmtId="0" fontId="0" fillId="7" borderId="1" xfId="0" applyFill="1" applyBorder="1"/>
    <xf numFmtId="0" fontId="0" fillId="7" borderId="2" xfId="0" applyFill="1" applyBorder="1"/>
    <xf numFmtId="0" fontId="0" fillId="7" borderId="3" xfId="0" applyFill="1" applyBorder="1"/>
    <xf numFmtId="0" fontId="0" fillId="7" borderId="4" xfId="0" applyFill="1" applyBorder="1"/>
    <xf numFmtId="0" fontId="0" fillId="7" borderId="5" xfId="0" applyFill="1" applyBorder="1"/>
    <xf numFmtId="0" fontId="0" fillId="23" borderId="0" xfId="0" applyFill="1" applyBorder="1"/>
    <xf numFmtId="0" fontId="0" fillId="10" borderId="0" xfId="0" applyFill="1" applyBorder="1"/>
    <xf numFmtId="0" fontId="0" fillId="9" borderId="0" xfId="0" applyFill="1" applyBorder="1"/>
    <xf numFmtId="0" fontId="0" fillId="18" borderId="0" xfId="0" applyFill="1" applyBorder="1"/>
    <xf numFmtId="0" fontId="0" fillId="0" borderId="0" xfId="0" applyBorder="1"/>
    <xf numFmtId="0" fontId="0" fillId="7" borderId="6" xfId="0" applyFill="1" applyBorder="1"/>
    <xf numFmtId="0" fontId="0" fillId="7" borderId="7" xfId="0" applyFill="1" applyBorder="1"/>
    <xf numFmtId="0" fontId="0" fillId="7" borderId="8" xfId="0" applyFill="1" applyBorder="1"/>
    <xf numFmtId="10" fontId="35" fillId="0" borderId="0" xfId="3" applyNumberFormat="1" applyFont="1" applyFill="1" applyBorder="1" applyAlignment="1">
      <alignment horizontal="center"/>
    </xf>
    <xf numFmtId="0" fontId="1" fillId="8" borderId="0" xfId="0" applyFont="1" applyFill="1" applyAlignment="1">
      <alignment horizontal="center" vertical="center" wrapText="1"/>
    </xf>
    <xf numFmtId="0" fontId="74" fillId="0" borderId="42" xfId="0" applyFont="1" applyBorder="1" applyAlignment="1">
      <alignment vertical="center"/>
    </xf>
    <xf numFmtId="0" fontId="74" fillId="0" borderId="44" xfId="0" applyFont="1" applyBorder="1" applyAlignment="1">
      <alignment vertical="center"/>
    </xf>
    <xf numFmtId="0" fontId="74" fillId="0" borderId="46" xfId="0" applyFont="1" applyBorder="1" applyAlignment="1">
      <alignment vertical="center"/>
    </xf>
    <xf numFmtId="9" fontId="39" fillId="0" borderId="16" xfId="3" applyFont="1" applyFill="1" applyBorder="1" applyAlignment="1">
      <alignment vertical="center" wrapText="1"/>
    </xf>
    <xf numFmtId="9" fontId="39" fillId="0" borderId="43" xfId="3" applyFont="1" applyFill="1" applyBorder="1" applyAlignment="1">
      <alignment vertical="center" wrapText="1"/>
    </xf>
    <xf numFmtId="0" fontId="74" fillId="0" borderId="4" xfId="0" applyFont="1" applyBorder="1" applyAlignment="1">
      <alignment vertical="center"/>
    </xf>
    <xf numFmtId="9" fontId="39" fillId="0" borderId="0" xfId="3" applyFont="1" applyFill="1" applyBorder="1" applyAlignment="1">
      <alignment vertical="center" wrapText="1"/>
    </xf>
    <xf numFmtId="9" fontId="39" fillId="0" borderId="5" xfId="3" applyFont="1" applyFill="1" applyBorder="1" applyAlignment="1">
      <alignment vertical="center" wrapText="1"/>
    </xf>
    <xf numFmtId="9" fontId="39" fillId="0" borderId="17" xfId="3" applyFont="1" applyFill="1" applyBorder="1" applyAlignment="1">
      <alignment vertical="center" wrapText="1"/>
    </xf>
    <xf numFmtId="9" fontId="39" fillId="0" borderId="45" xfId="3" applyFont="1" applyFill="1" applyBorder="1" applyAlignment="1">
      <alignment vertical="center" wrapText="1"/>
    </xf>
    <xf numFmtId="0" fontId="74" fillId="14" borderId="48" xfId="0" applyFont="1" applyFill="1" applyBorder="1" applyAlignment="1">
      <alignment vertical="center"/>
    </xf>
    <xf numFmtId="0" fontId="76" fillId="0" borderId="0" xfId="0" applyFont="1"/>
    <xf numFmtId="14" fontId="1" fillId="8" borderId="0" xfId="0" applyNumberFormat="1" applyFont="1" applyFill="1" applyAlignment="1">
      <alignment horizontal="center" vertical="center"/>
    </xf>
    <xf numFmtId="14" fontId="1" fillId="8" borderId="0" xfId="2" applyNumberFormat="1" applyFont="1" applyFill="1" applyBorder="1" applyAlignment="1">
      <alignment horizontal="center" vertical="center"/>
    </xf>
    <xf numFmtId="14" fontId="1" fillId="8" borderId="0" xfId="0" applyNumberFormat="1" applyFont="1" applyFill="1" applyAlignment="1">
      <alignment horizontal="center" vertical="center" wrapText="1"/>
    </xf>
    <xf numFmtId="14" fontId="1" fillId="11" borderId="14" xfId="0" applyNumberFormat="1" applyFont="1" applyFill="1" applyBorder="1" applyAlignment="1">
      <alignment horizontal="center" vertical="center"/>
    </xf>
    <xf numFmtId="14" fontId="1" fillId="11" borderId="0" xfId="0" applyNumberFormat="1" applyFont="1" applyFill="1" applyAlignment="1">
      <alignment horizontal="center" vertical="center"/>
    </xf>
    <xf numFmtId="14" fontId="1" fillId="11" borderId="15" xfId="0" applyNumberFormat="1" applyFont="1" applyFill="1" applyBorder="1" applyAlignment="1">
      <alignment horizontal="center" vertical="center"/>
    </xf>
    <xf numFmtId="0" fontId="0" fillId="12" borderId="0" xfId="0" applyFill="1"/>
    <xf numFmtId="0" fontId="7" fillId="2" borderId="9" xfId="0" applyFont="1" applyFill="1" applyBorder="1" applyAlignment="1">
      <alignment horizontal="center" vertical="center" wrapText="1"/>
    </xf>
    <xf numFmtId="0" fontId="1" fillId="11" borderId="0" xfId="0" applyFont="1" applyFill="1" applyBorder="1" applyAlignment="1">
      <alignment horizontal="left" vertical="center" wrapText="1"/>
    </xf>
    <xf numFmtId="0" fontId="1" fillId="11" borderId="14" xfId="0" applyFont="1" applyFill="1" applyBorder="1" applyAlignment="1">
      <alignment horizontal="center" vertical="center" wrapText="1"/>
    </xf>
    <xf numFmtId="0" fontId="1" fillId="11" borderId="0" xfId="0" applyFont="1" applyFill="1" applyBorder="1" applyAlignment="1">
      <alignment horizontal="center" vertical="center" wrapText="1"/>
    </xf>
    <xf numFmtId="0" fontId="1" fillId="11" borderId="15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vertical="center" wrapText="1"/>
    </xf>
    <xf numFmtId="0" fontId="82" fillId="30" borderId="0" xfId="0" applyFont="1" applyFill="1" applyAlignment="1">
      <alignment horizontal="left" vertical="top" wrapText="1"/>
    </xf>
    <xf numFmtId="0" fontId="9" fillId="3" borderId="0" xfId="0" applyFont="1" applyFill="1" applyBorder="1" applyAlignment="1">
      <alignment horizontal="centerContinuous" vertical="center"/>
    </xf>
    <xf numFmtId="0" fontId="9" fillId="3" borderId="0" xfId="0" applyFont="1" applyFill="1" applyAlignment="1">
      <alignment horizontal="centerContinuous" vertical="center"/>
    </xf>
    <xf numFmtId="0" fontId="9" fillId="3" borderId="41" xfId="0" applyFont="1" applyFill="1" applyBorder="1" applyAlignment="1">
      <alignment horizontal="centerContinuous" vertical="center"/>
    </xf>
    <xf numFmtId="0" fontId="9" fillId="3" borderId="40" xfId="0" applyFont="1" applyFill="1" applyBorder="1" applyAlignment="1">
      <alignment horizontal="centerContinuous" vertical="center"/>
    </xf>
    <xf numFmtId="0" fontId="71" fillId="0" borderId="0" xfId="0" applyFont="1" applyFill="1"/>
    <xf numFmtId="0" fontId="71" fillId="0" borderId="0" xfId="0" applyFont="1"/>
    <xf numFmtId="0" fontId="72" fillId="3" borderId="0" xfId="0" applyFont="1" applyFill="1" applyBorder="1" applyAlignment="1">
      <alignment horizontal="center" vertical="center"/>
    </xf>
    <xf numFmtId="0" fontId="72" fillId="3" borderId="0" xfId="0" applyFont="1" applyFill="1" applyAlignment="1">
      <alignment horizontal="center" vertical="center"/>
    </xf>
    <xf numFmtId="0" fontId="9" fillId="3" borderId="0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/>
    </xf>
    <xf numFmtId="0" fontId="9" fillId="3" borderId="0" xfId="0" applyFont="1" applyFill="1" applyAlignment="1">
      <alignment vertical="center"/>
    </xf>
    <xf numFmtId="0" fontId="9" fillId="3" borderId="41" xfId="0" applyFont="1" applyFill="1" applyBorder="1" applyAlignment="1">
      <alignment vertical="center"/>
    </xf>
    <xf numFmtId="0" fontId="71" fillId="17" borderId="40" xfId="0" applyFont="1" applyFill="1" applyBorder="1" applyAlignment="1">
      <alignment horizontal="center" vertical="center" wrapText="1"/>
    </xf>
    <xf numFmtId="0" fontId="71" fillId="30" borderId="0" xfId="0" applyFont="1" applyFill="1" applyAlignment="1">
      <alignment horizontal="center" vertical="center" wrapText="1"/>
    </xf>
    <xf numFmtId="0" fontId="71" fillId="29" borderId="0" xfId="0" applyFont="1" applyFill="1" applyAlignment="1">
      <alignment horizontal="center" vertical="center" wrapText="1"/>
    </xf>
    <xf numFmtId="0" fontId="71" fillId="29" borderId="0" xfId="0" applyFont="1" applyFill="1" applyAlignment="1">
      <alignment wrapText="1"/>
    </xf>
    <xf numFmtId="0" fontId="71" fillId="17" borderId="0" xfId="0" applyFont="1" applyFill="1" applyAlignment="1">
      <alignment horizontal="center" vertical="center" wrapText="1"/>
    </xf>
    <xf numFmtId="0" fontId="71" fillId="29" borderId="0" xfId="0" applyFont="1" applyFill="1" applyAlignment="1">
      <alignment horizontal="center" vertical="center"/>
    </xf>
    <xf numFmtId="0" fontId="86" fillId="29" borderId="0" xfId="0" applyFont="1" applyFill="1" applyAlignment="1">
      <alignment horizontal="center" vertical="center"/>
    </xf>
    <xf numFmtId="0" fontId="71" fillId="30" borderId="0" xfId="0" applyFont="1" applyFill="1" applyAlignment="1">
      <alignment horizontal="center" vertical="center"/>
    </xf>
    <xf numFmtId="0" fontId="86" fillId="0" borderId="0" xfId="0" applyFont="1" applyFill="1"/>
    <xf numFmtId="0" fontId="71" fillId="0" borderId="0" xfId="0" applyFont="1" applyBorder="1" applyAlignment="1">
      <alignment horizontal="left" wrapText="1"/>
    </xf>
    <xf numFmtId="0" fontId="71" fillId="0" borderId="0" xfId="0" applyFont="1" applyAlignment="1">
      <alignment horizontal="left" wrapText="1"/>
    </xf>
    <xf numFmtId="0" fontId="71" fillId="0" borderId="0" xfId="0" applyFont="1" applyBorder="1" applyAlignment="1">
      <alignment wrapText="1"/>
    </xf>
    <xf numFmtId="0" fontId="71" fillId="0" borderId="0" xfId="0" applyFont="1" applyBorder="1"/>
    <xf numFmtId="44" fontId="71" fillId="0" borderId="0" xfId="2" applyFont="1" applyBorder="1"/>
    <xf numFmtId="0" fontId="71" fillId="0" borderId="0" xfId="0" applyFont="1" applyAlignment="1">
      <alignment wrapText="1"/>
    </xf>
    <xf numFmtId="44" fontId="71" fillId="0" borderId="0" xfId="2" applyFont="1"/>
    <xf numFmtId="44" fontId="71" fillId="0" borderId="41" xfId="2" applyFont="1" applyBorder="1"/>
    <xf numFmtId="167" fontId="71" fillId="0" borderId="40" xfId="2" applyNumberFormat="1" applyFont="1" applyBorder="1"/>
    <xf numFmtId="44" fontId="71" fillId="0" borderId="0" xfId="0" applyNumberFormat="1" applyFont="1"/>
    <xf numFmtId="44" fontId="71" fillId="0" borderId="0" xfId="2" applyFont="1" applyAlignment="1">
      <alignment horizontal="center"/>
    </xf>
    <xf numFmtId="10" fontId="79" fillId="31" borderId="39" xfId="3" applyNumberFormat="1" applyFont="1" applyFill="1" applyBorder="1" applyAlignment="1">
      <alignment horizontal="center" vertical="center"/>
    </xf>
    <xf numFmtId="167" fontId="86" fillId="0" borderId="39" xfId="0" applyNumberFormat="1" applyFont="1" applyBorder="1" applyAlignment="1">
      <alignment horizontal="center" vertical="center"/>
    </xf>
    <xf numFmtId="10" fontId="87" fillId="31" borderId="39" xfId="3" applyNumberFormat="1" applyFont="1" applyFill="1" applyBorder="1" applyAlignment="1">
      <alignment horizontal="center" vertical="center"/>
    </xf>
    <xf numFmtId="167" fontId="87" fillId="0" borderId="39" xfId="0" applyNumberFormat="1" applyFont="1" applyBorder="1" applyAlignment="1">
      <alignment horizontal="center" vertical="center"/>
    </xf>
    <xf numFmtId="167" fontId="79" fillId="0" borderId="39" xfId="0" applyNumberFormat="1" applyFont="1" applyBorder="1" applyAlignment="1">
      <alignment horizontal="center" vertical="center"/>
    </xf>
    <xf numFmtId="0" fontId="71" fillId="0" borderId="0" xfId="0" applyFont="1" applyFill="1" applyBorder="1" applyAlignment="1">
      <alignment vertical="center" wrapText="1"/>
    </xf>
    <xf numFmtId="44" fontId="71" fillId="0" borderId="41" xfId="2" applyFont="1" applyFill="1" applyBorder="1" applyAlignment="1"/>
    <xf numFmtId="170" fontId="71" fillId="0" borderId="41" xfId="2" applyNumberFormat="1" applyFont="1" applyBorder="1"/>
    <xf numFmtId="0" fontId="71" fillId="0" borderId="41" xfId="0" applyFont="1" applyBorder="1"/>
    <xf numFmtId="0" fontId="71" fillId="0" borderId="40" xfId="0" applyFont="1" applyBorder="1"/>
    <xf numFmtId="44" fontId="9" fillId="3" borderId="40" xfId="2" applyFont="1" applyFill="1" applyBorder="1" applyAlignment="1">
      <alignment horizontal="centerContinuous" vertical="center"/>
    </xf>
    <xf numFmtId="44" fontId="71" fillId="29" borderId="40" xfId="2" applyFont="1" applyFill="1" applyBorder="1" applyAlignment="1">
      <alignment horizontal="center" vertical="center" wrapText="1"/>
    </xf>
    <xf numFmtId="44" fontId="71" fillId="0" borderId="40" xfId="2" applyFont="1" applyBorder="1"/>
    <xf numFmtId="0" fontId="9" fillId="3" borderId="0" xfId="0" applyFont="1" applyFill="1" applyBorder="1" applyAlignment="1">
      <alignment horizontal="center" vertical="top"/>
    </xf>
    <xf numFmtId="167" fontId="72" fillId="30" borderId="0" xfId="2" applyNumberFormat="1" applyFont="1" applyFill="1" applyBorder="1" applyAlignment="1">
      <alignment horizontal="center" vertical="top"/>
    </xf>
    <xf numFmtId="0" fontId="72" fillId="30" borderId="0" xfId="0" applyFont="1" applyFill="1" applyBorder="1" applyAlignment="1">
      <alignment horizontal="center" vertical="top"/>
    </xf>
    <xf numFmtId="0" fontId="71" fillId="0" borderId="0" xfId="0" applyFont="1" applyBorder="1" applyAlignment="1">
      <alignment horizontal="center" vertical="top"/>
    </xf>
    <xf numFmtId="0" fontId="71" fillId="0" borderId="0" xfId="0" applyFont="1" applyBorder="1" applyAlignment="1">
      <alignment horizontal="left" vertical="center" wrapText="1"/>
    </xf>
    <xf numFmtId="44" fontId="9" fillId="3" borderId="0" xfId="2" applyFont="1" applyFill="1" applyAlignment="1">
      <alignment horizontal="centerContinuous" vertical="center"/>
    </xf>
    <xf numFmtId="44" fontId="72" fillId="17" borderId="0" xfId="2" applyFont="1" applyFill="1" applyAlignment="1">
      <alignment horizontal="centerContinuous" vertical="center"/>
    </xf>
    <xf numFmtId="0" fontId="2" fillId="0" borderId="0" xfId="0" applyFont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left" vertical="center"/>
    </xf>
    <xf numFmtId="0" fontId="85" fillId="3" borderId="0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9" xfId="0" applyBorder="1" applyAlignment="1">
      <alignment horizontal="center" vertical="center" wrapText="1"/>
    </xf>
    <xf numFmtId="0" fontId="0" fillId="8" borderId="0" xfId="0" applyFill="1" applyBorder="1"/>
    <xf numFmtId="44" fontId="66" fillId="8" borderId="33" xfId="0" applyNumberFormat="1" applyFont="1" applyFill="1" applyBorder="1" applyAlignment="1">
      <alignment horizontal="right" vertical="center"/>
    </xf>
    <xf numFmtId="0" fontId="0" fillId="14" borderId="0" xfId="0" applyFill="1"/>
    <xf numFmtId="0" fontId="2" fillId="14" borderId="0" xfId="0" applyFont="1" applyFill="1" applyAlignment="1">
      <alignment horizontal="left" vertical="center"/>
    </xf>
    <xf numFmtId="0" fontId="62" fillId="2" borderId="54" xfId="0" applyFont="1" applyFill="1" applyBorder="1" applyAlignment="1">
      <alignment horizontal="center" vertical="center"/>
    </xf>
    <xf numFmtId="0" fontId="62" fillId="2" borderId="15" xfId="0" applyFont="1" applyFill="1" applyBorder="1" applyAlignment="1">
      <alignment horizontal="center" vertical="center"/>
    </xf>
    <xf numFmtId="0" fontId="62" fillId="2" borderId="55" xfId="0" applyFont="1" applyFill="1" applyBorder="1" applyAlignment="1">
      <alignment horizontal="center" vertical="center"/>
    </xf>
    <xf numFmtId="0" fontId="62" fillId="2" borderId="55" xfId="0" applyFont="1" applyFill="1" applyBorder="1" applyAlignment="1">
      <alignment horizontal="center" vertical="center" wrapText="1"/>
    </xf>
    <xf numFmtId="0" fontId="0" fillId="20" borderId="19" xfId="0" applyFill="1" applyBorder="1" applyAlignment="1">
      <alignment horizontal="center" vertical="center"/>
    </xf>
    <xf numFmtId="0" fontId="0" fillId="0" borderId="56" xfId="0" applyBorder="1" applyAlignment="1">
      <alignment horizontal="center" vertical="center" wrapText="1"/>
    </xf>
    <xf numFmtId="0" fontId="58" fillId="18" borderId="56" xfId="0" applyFont="1" applyFill="1" applyBorder="1" applyAlignment="1">
      <alignment horizontal="center" vertical="center" wrapText="1"/>
    </xf>
    <xf numFmtId="0" fontId="0" fillId="0" borderId="0" xfId="0" applyFill="1"/>
    <xf numFmtId="0" fontId="62" fillId="2" borderId="61" xfId="0" applyFont="1" applyFill="1" applyBorder="1" applyAlignment="1">
      <alignment horizontal="center" vertical="center"/>
    </xf>
    <xf numFmtId="0" fontId="62" fillId="2" borderId="39" xfId="0" applyFont="1" applyFill="1" applyBorder="1" applyAlignment="1">
      <alignment horizontal="center" vertical="center"/>
    </xf>
    <xf numFmtId="0" fontId="62" fillId="2" borderId="39" xfId="0" applyFont="1" applyFill="1" applyBorder="1" applyAlignment="1">
      <alignment horizontal="center" vertical="center" wrapText="1"/>
    </xf>
    <xf numFmtId="14" fontId="0" fillId="0" borderId="19" xfId="0" applyNumberFormat="1" applyBorder="1" applyAlignment="1">
      <alignment horizontal="center" vertical="center"/>
    </xf>
    <xf numFmtId="10" fontId="92" fillId="2" borderId="35" xfId="0" applyNumberFormat="1" applyFont="1" applyFill="1" applyBorder="1" applyAlignment="1">
      <alignment horizontal="right" vertical="center"/>
    </xf>
    <xf numFmtId="0" fontId="96" fillId="12" borderId="0" xfId="0" applyFont="1" applyFill="1" applyAlignment="1">
      <alignment horizontal="center" vertical="center"/>
    </xf>
    <xf numFmtId="0" fontId="2" fillId="0" borderId="0" xfId="0" applyFont="1" applyBorder="1"/>
    <xf numFmtId="0" fontId="0" fillId="0" borderId="0" xfId="0" applyFill="1" applyBorder="1"/>
    <xf numFmtId="0" fontId="0" fillId="0" borderId="0" xfId="0" applyFill="1" applyBorder="1" applyAlignment="1">
      <alignment vertical="center"/>
    </xf>
    <xf numFmtId="44" fontId="35" fillId="12" borderId="0" xfId="2" applyFont="1" applyFill="1" applyBorder="1" applyAlignment="1">
      <alignment horizontal="center" vertical="center" wrapText="1"/>
    </xf>
    <xf numFmtId="0" fontId="35" fillId="12" borderId="0" xfId="0" applyFont="1" applyFill="1" applyAlignment="1">
      <alignment horizontal="right" vertical="center"/>
    </xf>
    <xf numFmtId="44" fontId="35" fillId="12" borderId="0" xfId="2" applyFont="1" applyFill="1" applyAlignment="1">
      <alignment horizontal="right" vertical="center"/>
    </xf>
    <xf numFmtId="44" fontId="0" fillId="7" borderId="0" xfId="0" applyNumberFormat="1" applyFill="1"/>
    <xf numFmtId="44" fontId="1" fillId="8" borderId="0" xfId="2" applyFont="1" applyFill="1" applyBorder="1" applyAlignment="1">
      <alignment horizontal="right" vertical="center" wrapText="1"/>
    </xf>
    <xf numFmtId="44" fontId="1" fillId="8" borderId="0" xfId="2" applyFont="1" applyFill="1" applyBorder="1" applyAlignment="1">
      <alignment horizontal="right" vertical="center"/>
    </xf>
    <xf numFmtId="44" fontId="1" fillId="11" borderId="14" xfId="2" applyFont="1" applyFill="1" applyBorder="1" applyAlignment="1">
      <alignment horizontal="right" vertical="center" wrapText="1"/>
    </xf>
    <xf numFmtId="44" fontId="1" fillId="11" borderId="0" xfId="2" applyFont="1" applyFill="1" applyBorder="1" applyAlignment="1">
      <alignment horizontal="right" vertical="center" wrapText="1"/>
    </xf>
    <xf numFmtId="44" fontId="1" fillId="11" borderId="15" xfId="2" applyFont="1" applyFill="1" applyBorder="1" applyAlignment="1">
      <alignment horizontal="right" vertical="center" wrapText="1"/>
    </xf>
    <xf numFmtId="0" fontId="1" fillId="11" borderId="0" xfId="0" applyFont="1" applyFill="1" applyBorder="1" applyAlignment="1">
      <alignment horizontal="left" vertical="center"/>
    </xf>
    <xf numFmtId="0" fontId="1" fillId="11" borderId="0" xfId="0" applyFont="1" applyFill="1" applyBorder="1" applyAlignment="1">
      <alignment horizontal="center" vertical="center"/>
    </xf>
    <xf numFmtId="14" fontId="1" fillId="11" borderId="0" xfId="0" applyNumberFormat="1" applyFont="1" applyFill="1" applyBorder="1" applyAlignment="1">
      <alignment horizontal="center" vertical="center"/>
    </xf>
    <xf numFmtId="44" fontId="1" fillId="11" borderId="0" xfId="0" applyNumberFormat="1" applyFont="1" applyFill="1" applyBorder="1" applyAlignment="1">
      <alignment horizontal="center" vertical="center"/>
    </xf>
    <xf numFmtId="0" fontId="2" fillId="12" borderId="0" xfId="0" applyFont="1" applyFill="1"/>
    <xf numFmtId="0" fontId="2" fillId="14" borderId="0" xfId="0" applyFont="1" applyFill="1"/>
    <xf numFmtId="44" fontId="62" fillId="2" borderId="35" xfId="2" applyFont="1" applyFill="1" applyBorder="1" applyAlignment="1">
      <alignment horizontal="right" vertical="center"/>
    </xf>
    <xf numFmtId="0" fontId="0" fillId="0" borderId="19" xfId="0" applyBorder="1" applyAlignment="1">
      <alignment horizontal="center" vertical="center" wrapText="1"/>
    </xf>
    <xf numFmtId="0" fontId="98" fillId="8" borderId="19" xfId="0" applyFont="1" applyFill="1" applyBorder="1" applyAlignment="1">
      <alignment horizontal="center" vertical="center"/>
    </xf>
    <xf numFmtId="0" fontId="99" fillId="8" borderId="19" xfId="0" applyFont="1" applyFill="1" applyBorder="1" applyAlignment="1">
      <alignment horizontal="center" vertical="center"/>
    </xf>
    <xf numFmtId="44" fontId="100" fillId="12" borderId="0" xfId="2" applyFont="1" applyFill="1" applyAlignment="1">
      <alignment horizontal="center" vertical="center"/>
    </xf>
    <xf numFmtId="0" fontId="0" fillId="0" borderId="0" xfId="0" applyBorder="1" applyAlignment="1">
      <alignment horizontal="center" vertical="top"/>
    </xf>
    <xf numFmtId="168" fontId="71" fillId="19" borderId="0" xfId="0" applyNumberFormat="1" applyFont="1" applyFill="1" applyBorder="1" applyAlignment="1">
      <alignment horizontal="center" vertical="top"/>
    </xf>
    <xf numFmtId="0" fontId="0" fillId="0" borderId="0" xfId="0" applyAlignment="1">
      <alignment horizontal="left" vertical="center"/>
    </xf>
    <xf numFmtId="0" fontId="101" fillId="8" borderId="0" xfId="0" applyFont="1" applyFill="1"/>
    <xf numFmtId="0" fontId="101" fillId="8" borderId="0" xfId="0" applyFont="1" applyFill="1" applyAlignment="1">
      <alignment horizontal="center" vertical="top"/>
    </xf>
    <xf numFmtId="0" fontId="56" fillId="8" borderId="0" xfId="0" applyFont="1" applyFill="1" applyAlignment="1">
      <alignment horizontal="center" vertical="top" wrapText="1"/>
    </xf>
    <xf numFmtId="0" fontId="102" fillId="8" borderId="0" xfId="0" applyFont="1" applyFill="1"/>
    <xf numFmtId="44" fontId="1" fillId="32" borderId="0" xfId="2" applyFont="1" applyFill="1" applyBorder="1" applyAlignment="1">
      <alignment horizontal="center" vertical="center"/>
    </xf>
    <xf numFmtId="9" fontId="41" fillId="0" borderId="0" xfId="3" applyFont="1" applyFill="1" applyBorder="1" applyAlignment="1">
      <alignment horizontal="left" wrapText="1"/>
    </xf>
    <xf numFmtId="44" fontId="100" fillId="12" borderId="0" xfId="2" applyFont="1" applyFill="1" applyAlignment="1">
      <alignment horizontal="center" vertical="center"/>
    </xf>
    <xf numFmtId="0" fontId="0" fillId="0" borderId="0" xfId="0" quotePrefix="1"/>
    <xf numFmtId="0" fontId="0" fillId="0" borderId="0" xfId="0" quotePrefix="1" applyFill="1" applyBorder="1"/>
    <xf numFmtId="0" fontId="32" fillId="2" borderId="0" xfId="0" applyFont="1" applyFill="1" applyBorder="1" applyAlignment="1">
      <alignment horizontal="center" vertical="center"/>
    </xf>
    <xf numFmtId="0" fontId="74" fillId="0" borderId="0" xfId="0" applyFont="1" applyBorder="1" applyAlignment="1">
      <alignment horizontal="center" vertical="center" wrapText="1"/>
    </xf>
    <xf numFmtId="0" fontId="39" fillId="0" borderId="0" xfId="0" applyFont="1" applyBorder="1" applyAlignment="1">
      <alignment horizontal="center" vertical="center"/>
    </xf>
    <xf numFmtId="0" fontId="39" fillId="0" borderId="0" xfId="0" applyFont="1" applyBorder="1" applyAlignment="1">
      <alignment horizontal="center" vertical="center" wrapText="1"/>
    </xf>
    <xf numFmtId="9" fontId="39" fillId="14" borderId="0" xfId="3" applyFont="1" applyFill="1" applyBorder="1" applyAlignment="1">
      <alignment horizontal="center" vertical="center" wrapText="1"/>
    </xf>
    <xf numFmtId="10" fontId="35" fillId="12" borderId="0" xfId="2" applyNumberFormat="1" applyFont="1" applyFill="1" applyAlignment="1">
      <alignment horizontal="center" vertical="center"/>
    </xf>
    <xf numFmtId="0" fontId="1" fillId="0" borderId="0" xfId="0" applyFont="1" applyAlignment="1">
      <alignment horizontal="right"/>
    </xf>
    <xf numFmtId="43" fontId="105" fillId="0" borderId="0" xfId="4" applyNumberFormat="1" applyFont="1" applyFill="1" applyBorder="1" applyAlignment="1">
      <alignment horizontal="center" vertical="center"/>
    </xf>
    <xf numFmtId="0" fontId="20" fillId="0" borderId="0" xfId="0" applyFont="1" applyFill="1" applyBorder="1"/>
    <xf numFmtId="168" fontId="86" fillId="0" borderId="0" xfId="0" applyNumberFormat="1" applyFont="1" applyFill="1" applyBorder="1" applyAlignment="1">
      <alignment horizontal="center" vertical="center"/>
    </xf>
    <xf numFmtId="168" fontId="86" fillId="0" borderId="0" xfId="0" applyNumberFormat="1" applyFont="1" applyFill="1" applyBorder="1" applyAlignment="1">
      <alignment horizontal="center" vertical="center" wrapText="1"/>
    </xf>
    <xf numFmtId="168" fontId="86" fillId="0" borderId="0" xfId="0" applyNumberFormat="1" applyFont="1" applyFill="1" applyBorder="1" applyAlignment="1">
      <alignment horizontal="center" vertical="top"/>
    </xf>
    <xf numFmtId="0" fontId="47" fillId="0" borderId="0" xfId="0" applyNumberFormat="1" applyFont="1" applyFill="1" applyBorder="1" applyAlignment="1">
      <alignment horizontal="center" vertical="center"/>
    </xf>
    <xf numFmtId="172" fontId="47" fillId="0" borderId="0" xfId="0" applyNumberFormat="1" applyFont="1" applyFill="1" applyBorder="1" applyAlignment="1">
      <alignment horizontal="center" vertical="center"/>
    </xf>
    <xf numFmtId="172" fontId="103" fillId="0" borderId="0" xfId="0" applyNumberFormat="1" applyFont="1" applyFill="1" applyBorder="1" applyAlignment="1">
      <alignment horizontal="center" vertical="center"/>
    </xf>
    <xf numFmtId="0" fontId="104" fillId="0" borderId="0" xfId="0" applyFont="1" applyFill="1" applyBorder="1" applyAlignment="1">
      <alignment vertical="center"/>
    </xf>
    <xf numFmtId="0" fontId="104" fillId="0" borderId="0" xfId="0" applyFont="1" applyFill="1" applyBorder="1"/>
    <xf numFmtId="0" fontId="88" fillId="0" borderId="0" xfId="0" applyFont="1" applyFill="1" applyBorder="1" applyAlignment="1">
      <alignment horizontal="left"/>
    </xf>
    <xf numFmtId="1" fontId="20" fillId="0" borderId="0" xfId="0" applyNumberFormat="1" applyFont="1" applyFill="1" applyBorder="1" applyAlignment="1">
      <alignment horizontal="center" vertical="center"/>
    </xf>
    <xf numFmtId="0" fontId="106" fillId="0" borderId="0" xfId="0" applyFont="1" applyFill="1" applyBorder="1"/>
    <xf numFmtId="173" fontId="20" fillId="0" borderId="0" xfId="0" applyNumberFormat="1" applyFont="1" applyFill="1" applyBorder="1" applyAlignment="1">
      <alignment horizontal="center" vertical="top"/>
    </xf>
    <xf numFmtId="0" fontId="20" fillId="0" borderId="0" xfId="0" applyFont="1" applyFill="1" applyBorder="1" applyAlignment="1">
      <alignment horizontal="center" vertical="top"/>
    </xf>
    <xf numFmtId="0" fontId="20" fillId="0" borderId="0" xfId="0" applyFont="1" applyFill="1" applyBorder="1" applyAlignment="1">
      <alignment horizontal="left" vertical="center"/>
    </xf>
    <xf numFmtId="2" fontId="20" fillId="0" borderId="0" xfId="0" applyNumberFormat="1" applyFont="1" applyFill="1" applyBorder="1" applyAlignment="1">
      <alignment horizontal="center"/>
    </xf>
    <xf numFmtId="0" fontId="106" fillId="0" borderId="0" xfId="0" applyFont="1" applyFill="1"/>
    <xf numFmtId="0" fontId="20" fillId="0" borderId="0" xfId="0" applyFont="1" applyFill="1"/>
    <xf numFmtId="0" fontId="106" fillId="0" borderId="0" xfId="0" applyFont="1" applyFill="1" applyAlignment="1">
      <alignment wrapText="1"/>
    </xf>
    <xf numFmtId="0" fontId="0" fillId="0" borderId="19" xfId="0" applyBorder="1" applyAlignment="1">
      <alignment horizontal="center" vertical="center"/>
    </xf>
    <xf numFmtId="44" fontId="0" fillId="0" borderId="19" xfId="2" applyNumberFormat="1" applyFont="1" applyBorder="1" applyAlignment="1">
      <alignment vertical="center"/>
    </xf>
    <xf numFmtId="44" fontId="0" fillId="0" borderId="0" xfId="0" applyNumberFormat="1" applyAlignment="1">
      <alignment vertical="center"/>
    </xf>
    <xf numFmtId="44" fontId="20" fillId="0" borderId="19" xfId="2" applyFont="1" applyBorder="1" applyAlignment="1">
      <alignment vertical="center"/>
    </xf>
    <xf numFmtId="44" fontId="20" fillId="0" borderId="19" xfId="2" applyFont="1" applyFill="1" applyBorder="1" applyAlignment="1">
      <alignment horizontal="right" vertical="center"/>
    </xf>
    <xf numFmtId="44" fontId="20" fillId="0" borderId="19" xfId="2" applyFont="1" applyBorder="1" applyAlignment="1">
      <alignment horizontal="center" vertical="center"/>
    </xf>
    <xf numFmtId="0" fontId="91" fillId="0" borderId="19" xfId="0" applyFont="1" applyBorder="1" applyAlignment="1">
      <alignment horizontal="left" vertical="top" wrapText="1"/>
    </xf>
    <xf numFmtId="0" fontId="41" fillId="0" borderId="19" xfId="0" applyFont="1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94" fillId="0" borderId="19" xfId="0" applyFont="1" applyBorder="1" applyAlignment="1">
      <alignment horizontal="left" vertical="top" wrapText="1"/>
    </xf>
    <xf numFmtId="0" fontId="95" fillId="0" borderId="19" xfId="0" applyFont="1" applyBorder="1" applyAlignment="1">
      <alignment horizontal="left" vertical="top" wrapText="1"/>
    </xf>
    <xf numFmtId="0" fontId="93" fillId="0" borderId="19" xfId="0" applyFont="1" applyBorder="1" applyAlignment="1">
      <alignment horizontal="left" vertical="top" wrapText="1"/>
    </xf>
    <xf numFmtId="0" fontId="107" fillId="8" borderId="33" xfId="0" applyFont="1" applyFill="1" applyBorder="1" applyAlignment="1">
      <alignment horizontal="left" vertical="center"/>
    </xf>
    <xf numFmtId="44" fontId="29" fillId="8" borderId="33" xfId="0" quotePrefix="1" applyNumberFormat="1" applyFont="1" applyFill="1" applyBorder="1" applyAlignment="1">
      <alignment horizontal="center" vertical="center"/>
    </xf>
    <xf numFmtId="44" fontId="107" fillId="8" borderId="33" xfId="0" quotePrefix="1" applyNumberFormat="1" applyFont="1" applyFill="1" applyBorder="1" applyAlignment="1">
      <alignment horizontal="center" vertical="center"/>
    </xf>
    <xf numFmtId="44" fontId="107" fillId="8" borderId="33" xfId="2" quotePrefix="1" applyFont="1" applyFill="1" applyBorder="1" applyAlignment="1">
      <alignment horizontal="center" vertical="center"/>
    </xf>
    <xf numFmtId="0" fontId="29" fillId="0" borderId="0" xfId="0" applyFont="1"/>
    <xf numFmtId="0" fontId="109" fillId="2" borderId="4" xfId="0" applyFont="1" applyFill="1" applyBorder="1" applyAlignment="1">
      <alignment horizontal="center" vertical="center"/>
    </xf>
    <xf numFmtId="0" fontId="109" fillId="2" borderId="0" xfId="0" applyFont="1" applyFill="1" applyAlignment="1">
      <alignment horizontal="center" vertical="center"/>
    </xf>
    <xf numFmtId="0" fontId="109" fillId="2" borderId="0" xfId="0" applyFont="1" applyFill="1" applyAlignment="1">
      <alignment horizontal="left" vertical="center"/>
    </xf>
    <xf numFmtId="0" fontId="109" fillId="2" borderId="0" xfId="0" applyFont="1" applyFill="1" applyAlignment="1">
      <alignment horizontal="right" vertical="center"/>
    </xf>
    <xf numFmtId="0" fontId="110" fillId="2" borderId="0" xfId="0" applyFont="1" applyFill="1" applyAlignment="1">
      <alignment horizontal="left" vertical="center" wrapText="1"/>
    </xf>
    <xf numFmtId="0" fontId="2" fillId="8" borderId="63" xfId="0" applyFont="1" applyFill="1" applyBorder="1" applyAlignment="1">
      <alignment horizontal="center" vertical="center" wrapText="1"/>
    </xf>
    <xf numFmtId="0" fontId="2" fillId="8" borderId="64" xfId="0" applyFont="1" applyFill="1" applyBorder="1" applyAlignment="1">
      <alignment horizontal="center" vertical="center" wrapText="1"/>
    </xf>
    <xf numFmtId="0" fontId="2" fillId="8" borderId="64" xfId="0" applyFont="1" applyFill="1" applyBorder="1" applyAlignment="1">
      <alignment horizontal="left" vertical="center"/>
    </xf>
    <xf numFmtId="0" fontId="2" fillId="8" borderId="64" xfId="0" applyFont="1" applyFill="1" applyBorder="1" applyAlignment="1">
      <alignment horizontal="right" vertical="center"/>
    </xf>
    <xf numFmtId="0" fontId="2" fillId="8" borderId="64" xfId="0" applyFont="1" applyFill="1" applyBorder="1" applyAlignment="1">
      <alignment horizontal="left" vertical="center" wrapText="1"/>
    </xf>
    <xf numFmtId="0" fontId="2" fillId="8" borderId="64" xfId="0" applyFont="1" applyFill="1" applyBorder="1" applyAlignment="1">
      <alignment horizontal="right" vertical="center" wrapText="1"/>
    </xf>
    <xf numFmtId="44" fontId="1" fillId="24" borderId="0" xfId="2" applyFont="1" applyFill="1" applyBorder="1" applyAlignment="1">
      <alignment horizontal="center" vertical="center"/>
    </xf>
    <xf numFmtId="0" fontId="0" fillId="0" borderId="56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/>
    </xf>
    <xf numFmtId="0" fontId="0" fillId="0" borderId="19" xfId="0" applyBorder="1" applyAlignment="1">
      <alignment horizontal="center" vertical="center" wrapText="1"/>
    </xf>
    <xf numFmtId="0" fontId="10" fillId="2" borderId="2" xfId="0" applyFont="1" applyFill="1" applyBorder="1" applyAlignment="1">
      <alignment horizontal="center" vertical="center" wrapText="1"/>
    </xf>
    <xf numFmtId="0" fontId="62" fillId="2" borderId="0" xfId="0" applyFont="1" applyFill="1" applyAlignment="1">
      <alignment horizontal="center" vertical="center" wrapText="1"/>
    </xf>
    <xf numFmtId="44" fontId="111" fillId="12" borderId="33" xfId="0" applyNumberFormat="1" applyFont="1" applyFill="1" applyBorder="1" applyAlignment="1">
      <alignment horizontal="right" vertical="center"/>
    </xf>
    <xf numFmtId="44" fontId="68" fillId="2" borderId="35" xfId="2" applyFont="1" applyFill="1" applyBorder="1" applyAlignment="1">
      <alignment horizontal="right" vertical="center"/>
    </xf>
    <xf numFmtId="44" fontId="0" fillId="0" borderId="0" xfId="0" applyNumberFormat="1" applyAlignment="1">
      <alignment horizontal="left" vertical="center"/>
    </xf>
    <xf numFmtId="0" fontId="12" fillId="2" borderId="0" xfId="0" applyFont="1" applyFill="1" applyBorder="1" applyAlignment="1">
      <alignment horizontal="center" vertical="center" wrapText="1"/>
    </xf>
    <xf numFmtId="0" fontId="11" fillId="2" borderId="0" xfId="0" applyFont="1" applyFill="1" applyBorder="1" applyAlignment="1">
      <alignment horizontal="center" vertical="center" wrapText="1"/>
    </xf>
    <xf numFmtId="2" fontId="13" fillId="4" borderId="0" xfId="0" applyNumberFormat="1" applyFont="1" applyFill="1" applyBorder="1" applyAlignment="1">
      <alignment horizontal="center" vertical="center" wrapText="1"/>
    </xf>
    <xf numFmtId="164" fontId="13" fillId="5" borderId="0" xfId="0" applyNumberFormat="1" applyFont="1" applyFill="1" applyBorder="1" applyAlignment="1">
      <alignment horizontal="center" vertical="center" wrapText="1"/>
    </xf>
    <xf numFmtId="2" fontId="13" fillId="6" borderId="0" xfId="0" applyNumberFormat="1" applyFont="1" applyFill="1" applyBorder="1" applyAlignment="1">
      <alignment horizontal="center" vertical="center" wrapText="1"/>
    </xf>
    <xf numFmtId="0" fontId="10" fillId="0" borderId="0" xfId="0" applyFont="1" applyBorder="1" applyAlignment="1">
      <alignment vertical="center" wrapText="1"/>
    </xf>
    <xf numFmtId="0" fontId="14" fillId="0" borderId="0" xfId="0" applyFont="1" applyBorder="1" applyAlignment="1">
      <alignment horizontal="center" vertical="center" wrapText="1"/>
    </xf>
    <xf numFmtId="0" fontId="0" fillId="8" borderId="0" xfId="0" applyFill="1" applyBorder="1" applyAlignment="1">
      <alignment horizontal="center"/>
    </xf>
    <xf numFmtId="0" fontId="16" fillId="8" borderId="0" xfId="0" applyFont="1" applyFill="1" applyBorder="1" applyAlignment="1">
      <alignment horizontal="center" vertical="center" wrapText="1"/>
    </xf>
    <xf numFmtId="165" fontId="0" fillId="8" borderId="0" xfId="0" applyNumberFormat="1" applyFill="1" applyBorder="1" applyAlignment="1">
      <alignment horizontal="center" vertical="center"/>
    </xf>
    <xf numFmtId="164" fontId="0" fillId="8" borderId="0" xfId="0" applyNumberFormat="1" applyFill="1" applyBorder="1" applyAlignment="1">
      <alignment horizontal="center" vertical="center"/>
    </xf>
    <xf numFmtId="164" fontId="0" fillId="6" borderId="0" xfId="0" applyNumberFormat="1" applyFill="1" applyBorder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164" fontId="0" fillId="5" borderId="0" xfId="0" applyNumberFormat="1" applyFill="1" applyBorder="1" applyAlignment="1">
      <alignment horizontal="center" vertical="center"/>
    </xf>
    <xf numFmtId="0" fontId="0" fillId="7" borderId="0" xfId="0" applyFill="1" applyBorder="1" applyAlignment="1">
      <alignment vertical="center"/>
    </xf>
    <xf numFmtId="165" fontId="0" fillId="7" borderId="0" xfId="0" applyNumberFormat="1" applyFill="1" applyBorder="1" applyAlignment="1">
      <alignment vertical="center"/>
    </xf>
    <xf numFmtId="0" fontId="0" fillId="0" borderId="0" xfId="0" applyBorder="1" applyAlignment="1">
      <alignment vertical="center"/>
    </xf>
    <xf numFmtId="165" fontId="0" fillId="0" borderId="0" xfId="0" applyNumberFormat="1" applyBorder="1" applyAlignment="1">
      <alignment vertical="center"/>
    </xf>
    <xf numFmtId="0" fontId="0" fillId="7" borderId="0" xfId="0" applyFill="1" applyBorder="1" applyAlignment="1">
      <alignment horizontal="center"/>
    </xf>
    <xf numFmtId="167" fontId="87" fillId="0" borderId="0" xfId="0" applyNumberFormat="1" applyFont="1" applyBorder="1" applyAlignment="1">
      <alignment horizontal="center" vertical="center"/>
    </xf>
    <xf numFmtId="0" fontId="82" fillId="30" borderId="0" xfId="0" applyFont="1" applyFill="1" applyAlignment="1">
      <alignment horizontal="center" vertical="center" wrapText="1"/>
    </xf>
    <xf numFmtId="0" fontId="7" fillId="3" borderId="0" xfId="0" applyFont="1" applyFill="1" applyAlignment="1">
      <alignment horizontal="right" vertical="top" wrapText="1"/>
    </xf>
    <xf numFmtId="0" fontId="9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wrapText="1"/>
    </xf>
    <xf numFmtId="0" fontId="4" fillId="3" borderId="0" xfId="0" applyFont="1" applyFill="1" applyAlignment="1">
      <alignment horizontal="center" wrapText="1"/>
    </xf>
    <xf numFmtId="0" fontId="45" fillId="2" borderId="0" xfId="0" applyFont="1" applyFill="1" applyAlignment="1">
      <alignment horizontal="center" vertical="center"/>
    </xf>
    <xf numFmtId="0" fontId="38" fillId="2" borderId="0" xfId="0" applyFont="1" applyFill="1" applyAlignment="1">
      <alignment horizontal="center" vertical="center"/>
    </xf>
    <xf numFmtId="9" fontId="41" fillId="0" borderId="0" xfId="3" applyFont="1" applyFill="1" applyBorder="1" applyAlignment="1">
      <alignment horizontal="left" wrapText="1"/>
    </xf>
    <xf numFmtId="0" fontId="51" fillId="13" borderId="0" xfId="0" applyFont="1" applyFill="1" applyAlignment="1">
      <alignment horizontal="center" vertical="center"/>
    </xf>
    <xf numFmtId="0" fontId="32" fillId="2" borderId="0" xfId="0" applyFont="1" applyFill="1" applyAlignment="1">
      <alignment horizontal="center" vertical="center"/>
    </xf>
    <xf numFmtId="0" fontId="54" fillId="12" borderId="0" xfId="0" applyFont="1" applyFill="1" applyAlignment="1">
      <alignment horizontal="center" vertical="center" textRotation="90" wrapText="1"/>
    </xf>
    <xf numFmtId="0" fontId="47" fillId="12" borderId="0" xfId="0" applyFont="1" applyFill="1" applyAlignment="1">
      <alignment horizontal="center" vertical="center"/>
    </xf>
    <xf numFmtId="0" fontId="53" fillId="4" borderId="0" xfId="0" applyFont="1" applyFill="1" applyAlignment="1">
      <alignment horizontal="center" vertical="center" textRotation="90" wrapText="1"/>
    </xf>
    <xf numFmtId="0" fontId="2" fillId="4" borderId="0" xfId="0" applyFont="1" applyFill="1" applyAlignment="1">
      <alignment horizontal="center" vertical="center"/>
    </xf>
    <xf numFmtId="9" fontId="39" fillId="0" borderId="17" xfId="3" applyFont="1" applyFill="1" applyBorder="1" applyAlignment="1">
      <alignment horizontal="left" vertical="center" wrapText="1"/>
    </xf>
    <xf numFmtId="9" fontId="39" fillId="14" borderId="49" xfId="3" applyFont="1" applyFill="1" applyBorder="1" applyAlignment="1">
      <alignment horizontal="center" vertical="center" wrapText="1"/>
    </xf>
    <xf numFmtId="9" fontId="39" fillId="14" borderId="50" xfId="3" applyFont="1" applyFill="1" applyBorder="1" applyAlignment="1">
      <alignment horizontal="center" vertical="center" wrapText="1"/>
    </xf>
    <xf numFmtId="9" fontId="39" fillId="0" borderId="16" xfId="3" applyFont="1" applyFill="1" applyBorder="1" applyAlignment="1">
      <alignment horizontal="left" vertical="center" wrapText="1"/>
    </xf>
    <xf numFmtId="9" fontId="39" fillId="0" borderId="0" xfId="3" applyFont="1" applyFill="1" applyBorder="1" applyAlignment="1">
      <alignment horizontal="left" vertical="center" wrapText="1"/>
    </xf>
    <xf numFmtId="0" fontId="39" fillId="0" borderId="18" xfId="0" applyFont="1" applyBorder="1" applyAlignment="1">
      <alignment horizontal="center" vertical="center"/>
    </xf>
    <xf numFmtId="0" fontId="39" fillId="0" borderId="47" xfId="0" applyFont="1" applyBorder="1" applyAlignment="1">
      <alignment horizontal="center" vertical="center"/>
    </xf>
    <xf numFmtId="0" fontId="39" fillId="0" borderId="18" xfId="0" applyFont="1" applyBorder="1" applyAlignment="1">
      <alignment horizontal="center" vertical="center" wrapText="1"/>
    </xf>
    <xf numFmtId="0" fontId="39" fillId="0" borderId="47" xfId="0" applyFont="1" applyBorder="1" applyAlignment="1">
      <alignment horizontal="center" vertical="center" wrapText="1"/>
    </xf>
    <xf numFmtId="0" fontId="39" fillId="0" borderId="16" xfId="0" applyFont="1" applyBorder="1" applyAlignment="1">
      <alignment horizontal="center" vertical="center" wrapText="1"/>
    </xf>
    <xf numFmtId="0" fontId="39" fillId="0" borderId="43" xfId="0" applyFont="1" applyBorder="1" applyAlignment="1">
      <alignment horizontal="center" vertical="center" wrapText="1"/>
    </xf>
    <xf numFmtId="0" fontId="39" fillId="0" borderId="17" xfId="0" applyFont="1" applyBorder="1" applyAlignment="1">
      <alignment horizontal="center" vertical="center" wrapText="1"/>
    </xf>
    <xf numFmtId="0" fontId="39" fillId="0" borderId="45" xfId="0" applyFont="1" applyBorder="1" applyAlignment="1">
      <alignment horizontal="center" vertical="center" wrapText="1"/>
    </xf>
    <xf numFmtId="0" fontId="50" fillId="4" borderId="0" xfId="0" applyFont="1" applyFill="1" applyAlignment="1">
      <alignment horizontal="center" vertical="center" textRotation="90" wrapText="1"/>
    </xf>
    <xf numFmtId="0" fontId="46" fillId="12" borderId="0" xfId="0" applyFont="1" applyFill="1" applyAlignment="1">
      <alignment horizontal="center" vertical="center" textRotation="90"/>
    </xf>
    <xf numFmtId="0" fontId="2" fillId="0" borderId="17" xfId="0" applyFont="1" applyBorder="1" applyAlignment="1">
      <alignment horizontal="left" vertical="center"/>
    </xf>
    <xf numFmtId="0" fontId="74" fillId="0" borderId="16" xfId="0" applyFont="1" applyBorder="1" applyAlignment="1">
      <alignment horizontal="center" vertical="center" wrapText="1"/>
    </xf>
    <xf numFmtId="0" fontId="74" fillId="0" borderId="43" xfId="0" applyFont="1" applyBorder="1" applyAlignment="1">
      <alignment horizontal="center" vertical="center" wrapText="1"/>
    </xf>
    <xf numFmtId="0" fontId="74" fillId="0" borderId="17" xfId="0" applyFont="1" applyBorder="1" applyAlignment="1">
      <alignment horizontal="center" vertical="center" wrapText="1"/>
    </xf>
    <xf numFmtId="0" fontId="74" fillId="0" borderId="45" xfId="0" applyFont="1" applyBorder="1" applyAlignment="1">
      <alignment horizontal="center" vertical="center" wrapText="1"/>
    </xf>
    <xf numFmtId="0" fontId="36" fillId="12" borderId="0" xfId="0" applyFont="1" applyFill="1" applyBorder="1" applyAlignment="1">
      <alignment horizontal="center" vertical="center" wrapText="1"/>
    </xf>
    <xf numFmtId="0" fontId="96" fillId="12" borderId="0" xfId="0" applyFont="1" applyFill="1" applyAlignment="1">
      <alignment horizontal="center" vertical="center" wrapText="1"/>
    </xf>
    <xf numFmtId="44" fontId="100" fillId="12" borderId="0" xfId="2" applyFont="1" applyFill="1" applyAlignment="1">
      <alignment horizontal="center" vertical="center"/>
    </xf>
    <xf numFmtId="0" fontId="30" fillId="2" borderId="0" xfId="0" applyFont="1" applyFill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39" fillId="0" borderId="43" xfId="0" applyFont="1" applyBorder="1" applyAlignment="1">
      <alignment horizontal="center" vertical="center"/>
    </xf>
    <xf numFmtId="0" fontId="39" fillId="0" borderId="17" xfId="0" applyFont="1" applyBorder="1" applyAlignment="1">
      <alignment horizontal="center" vertical="center"/>
    </xf>
    <xf numFmtId="0" fontId="39" fillId="0" borderId="45" xfId="0" applyFont="1" applyBorder="1" applyAlignment="1">
      <alignment horizontal="center" vertical="center"/>
    </xf>
    <xf numFmtId="0" fontId="2" fillId="0" borderId="16" xfId="0" applyFont="1" applyBorder="1" applyAlignment="1">
      <alignment horizontal="left" vertical="center"/>
    </xf>
    <xf numFmtId="0" fontId="39" fillId="0" borderId="17" xfId="0" applyFont="1" applyBorder="1" applyAlignment="1">
      <alignment horizontal="left" vertical="center" wrapText="1"/>
    </xf>
    <xf numFmtId="0" fontId="39" fillId="0" borderId="18" xfId="0" applyFont="1" applyBorder="1" applyAlignment="1">
      <alignment horizontal="left" vertical="center"/>
    </xf>
    <xf numFmtId="0" fontId="39" fillId="0" borderId="16" xfId="0" applyFont="1" applyBorder="1" applyAlignment="1">
      <alignment horizontal="left" vertical="center" wrapText="1"/>
    </xf>
    <xf numFmtId="0" fontId="39" fillId="0" borderId="17" xfId="0" applyFont="1" applyBorder="1" applyAlignment="1">
      <alignment horizontal="left" vertical="center"/>
    </xf>
    <xf numFmtId="0" fontId="32" fillId="2" borderId="2" xfId="0" applyFont="1" applyFill="1" applyBorder="1" applyAlignment="1">
      <alignment horizontal="center" vertical="center"/>
    </xf>
    <xf numFmtId="0" fontId="32" fillId="2" borderId="3" xfId="0" applyFont="1" applyFill="1" applyBorder="1" applyAlignment="1">
      <alignment horizontal="center" vertical="center"/>
    </xf>
    <xf numFmtId="10" fontId="35" fillId="0" borderId="0" xfId="3" applyNumberFormat="1" applyFont="1" applyFill="1" applyBorder="1" applyAlignment="1">
      <alignment horizontal="center"/>
    </xf>
    <xf numFmtId="0" fontId="108" fillId="2" borderId="1" xfId="0" applyFont="1" applyFill="1" applyBorder="1" applyAlignment="1">
      <alignment horizontal="center" vertical="center"/>
    </xf>
    <xf numFmtId="0" fontId="108" fillId="2" borderId="2" xfId="0" applyFont="1" applyFill="1" applyBorder="1" applyAlignment="1">
      <alignment horizontal="center" vertical="center"/>
    </xf>
    <xf numFmtId="0" fontId="108" fillId="2" borderId="4" xfId="0" applyFont="1" applyFill="1" applyBorder="1" applyAlignment="1">
      <alignment horizontal="center" vertical="center"/>
    </xf>
    <xf numFmtId="0" fontId="108" fillId="2" borderId="0" xfId="0" applyFont="1" applyFill="1" applyAlignment="1">
      <alignment horizontal="center" vertical="center"/>
    </xf>
    <xf numFmtId="0" fontId="31" fillId="2" borderId="51" xfId="0" applyFont="1" applyFill="1" applyBorder="1" applyAlignment="1">
      <alignment horizontal="center" vertical="center"/>
    </xf>
    <xf numFmtId="0" fontId="31" fillId="2" borderId="52" xfId="0" applyFont="1" applyFill="1" applyBorder="1" applyAlignment="1">
      <alignment horizontal="center" vertical="center"/>
    </xf>
    <xf numFmtId="0" fontId="31" fillId="2" borderId="53" xfId="0" applyFont="1" applyFill="1" applyBorder="1" applyAlignment="1">
      <alignment horizontal="center" vertical="center"/>
    </xf>
    <xf numFmtId="0" fontId="31" fillId="2" borderId="57" xfId="0" applyFont="1" applyFill="1" applyBorder="1" applyAlignment="1">
      <alignment horizontal="center" vertical="center"/>
    </xf>
    <xf numFmtId="0" fontId="31" fillId="2" borderId="58" xfId="0" applyFont="1" applyFill="1" applyBorder="1" applyAlignment="1">
      <alignment horizontal="center" vertical="center"/>
    </xf>
    <xf numFmtId="0" fontId="31" fillId="2" borderId="59" xfId="0" applyFont="1" applyFill="1" applyBorder="1" applyAlignment="1">
      <alignment horizontal="center" vertical="center"/>
    </xf>
    <xf numFmtId="0" fontId="31" fillId="2" borderId="60" xfId="0" applyFont="1" applyFill="1" applyBorder="1" applyAlignment="1">
      <alignment horizontal="center" vertical="center"/>
    </xf>
    <xf numFmtId="0" fontId="0" fillId="20" borderId="56" xfId="0" applyFill="1" applyBorder="1" applyAlignment="1">
      <alignment horizontal="center" vertical="center"/>
    </xf>
    <xf numFmtId="0" fontId="0" fillId="20" borderId="62" xfId="0" applyFill="1" applyBorder="1" applyAlignment="1">
      <alignment horizontal="center" vertical="center"/>
    </xf>
    <xf numFmtId="0" fontId="0" fillId="20" borderId="21" xfId="0" applyFill="1" applyBorder="1" applyAlignment="1">
      <alignment horizontal="center" vertical="center"/>
    </xf>
    <xf numFmtId="0" fontId="0" fillId="20" borderId="56" xfId="0" applyFill="1" applyBorder="1" applyAlignment="1">
      <alignment horizontal="left" vertical="center" wrapText="1"/>
    </xf>
    <xf numFmtId="0" fontId="0" fillId="20" borderId="62" xfId="0" applyFill="1" applyBorder="1" applyAlignment="1">
      <alignment horizontal="left" vertical="center" wrapText="1"/>
    </xf>
    <xf numFmtId="0" fontId="0" fillId="20" borderId="21" xfId="0" applyFill="1" applyBorder="1" applyAlignment="1">
      <alignment horizontal="left" vertical="center" wrapText="1"/>
    </xf>
    <xf numFmtId="0" fontId="0" fillId="0" borderId="56" xfId="0" applyBorder="1" applyAlignment="1">
      <alignment horizontal="center" vertical="center" wrapText="1"/>
    </xf>
    <xf numFmtId="0" fontId="0" fillId="0" borderId="62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56" xfId="0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4" fontId="0" fillId="0" borderId="26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20" borderId="25" xfId="0" applyFill="1" applyBorder="1" applyAlignment="1">
      <alignment horizontal="center" vertical="center"/>
    </xf>
    <xf numFmtId="0" fontId="0" fillId="20" borderId="27" xfId="0" applyFill="1" applyBorder="1" applyAlignment="1">
      <alignment horizontal="center" vertical="center"/>
    </xf>
    <xf numFmtId="0" fontId="0" fillId="20" borderId="19" xfId="0" applyFill="1" applyBorder="1" applyAlignment="1">
      <alignment horizontal="left" vertical="center"/>
    </xf>
    <xf numFmtId="0" fontId="0" fillId="0" borderId="19" xfId="0" applyBorder="1" applyAlignment="1">
      <alignment horizontal="center" vertical="center" wrapText="1"/>
    </xf>
    <xf numFmtId="44" fontId="60" fillId="0" borderId="21" xfId="2" applyFont="1" applyBorder="1" applyAlignment="1">
      <alignment horizontal="center" vertical="center"/>
    </xf>
    <xf numFmtId="44" fontId="60" fillId="0" borderId="19" xfId="2" applyFont="1" applyBorder="1" applyAlignment="1">
      <alignment horizontal="center" vertical="center"/>
    </xf>
    <xf numFmtId="167" fontId="67" fillId="12" borderId="37" xfId="0" applyNumberFormat="1" applyFont="1" applyFill="1" applyBorder="1" applyAlignment="1">
      <alignment horizontal="right" vertical="center"/>
    </xf>
    <xf numFmtId="167" fontId="67" fillId="12" borderId="38" xfId="0" applyNumberFormat="1" applyFont="1" applyFill="1" applyBorder="1" applyAlignment="1">
      <alignment horizontal="right" vertical="center"/>
    </xf>
    <xf numFmtId="0" fontId="61" fillId="0" borderId="0" xfId="0" applyFont="1" applyFill="1" applyBorder="1" applyAlignment="1">
      <alignment horizontal="left" vertical="top" wrapText="1"/>
    </xf>
    <xf numFmtId="0" fontId="20" fillId="0" borderId="0" xfId="0" applyFont="1" applyFill="1" applyBorder="1" applyAlignment="1">
      <alignment horizontal="left" vertical="top" wrapText="1"/>
    </xf>
    <xf numFmtId="0" fontId="97" fillId="2" borderId="0" xfId="0" applyFont="1" applyFill="1" applyAlignment="1">
      <alignment horizontal="center" vertical="center"/>
    </xf>
    <xf numFmtId="0" fontId="61" fillId="0" borderId="4" xfId="0" applyFont="1" applyBorder="1" applyAlignment="1">
      <alignment horizontal="center" vertical="center" textRotation="90" wrapText="1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70" fillId="2" borderId="0" xfId="0" applyFont="1" applyFill="1" applyBorder="1" applyAlignment="1">
      <alignment horizontal="center" vertical="center"/>
    </xf>
    <xf numFmtId="0" fontId="72" fillId="22" borderId="4" xfId="0" applyFont="1" applyFill="1" applyBorder="1" applyAlignment="1">
      <alignment horizontal="center" vertical="center"/>
    </xf>
    <xf numFmtId="0" fontId="72" fillId="22" borderId="0" xfId="0" applyFont="1" applyFill="1" applyBorder="1" applyAlignment="1">
      <alignment horizontal="center" vertical="center"/>
    </xf>
    <xf numFmtId="0" fontId="72" fillId="22" borderId="5" xfId="0" applyFont="1" applyFill="1" applyBorder="1" applyAlignment="1">
      <alignment horizontal="center" vertical="center"/>
    </xf>
    <xf numFmtId="0" fontId="0" fillId="28" borderId="4" xfId="0" applyFill="1" applyBorder="1" applyAlignment="1">
      <alignment horizontal="center" wrapText="1"/>
    </xf>
    <xf numFmtId="0" fontId="0" fillId="28" borderId="0" xfId="0" applyFill="1" applyBorder="1" applyAlignment="1">
      <alignment horizontal="center"/>
    </xf>
    <xf numFmtId="0" fontId="0" fillId="28" borderId="5" xfId="0" applyFill="1" applyBorder="1" applyAlignment="1">
      <alignment horizontal="center"/>
    </xf>
    <xf numFmtId="0" fontId="0" fillId="28" borderId="4" xfId="0" applyFill="1" applyBorder="1" applyAlignment="1">
      <alignment horizontal="center"/>
    </xf>
    <xf numFmtId="0" fontId="72" fillId="25" borderId="4" xfId="0" applyFont="1" applyFill="1" applyBorder="1" applyAlignment="1">
      <alignment horizontal="center"/>
    </xf>
    <xf numFmtId="0" fontId="72" fillId="25" borderId="0" xfId="0" applyFont="1" applyFill="1" applyBorder="1" applyAlignment="1">
      <alignment horizontal="center"/>
    </xf>
    <xf numFmtId="0" fontId="72" fillId="25" borderId="5" xfId="0" applyFont="1" applyFill="1" applyBorder="1" applyAlignment="1">
      <alignment horizontal="center"/>
    </xf>
    <xf numFmtId="0" fontId="71" fillId="24" borderId="4" xfId="0" applyFont="1" applyFill="1" applyBorder="1" applyAlignment="1">
      <alignment horizontal="left" vertical="center" wrapText="1"/>
    </xf>
    <xf numFmtId="0" fontId="71" fillId="24" borderId="0" xfId="0" applyFont="1" applyFill="1" applyBorder="1" applyAlignment="1">
      <alignment horizontal="left" vertical="center" wrapText="1"/>
    </xf>
    <xf numFmtId="0" fontId="71" fillId="24" borderId="5" xfId="0" applyFont="1" applyFill="1" applyBorder="1" applyAlignment="1">
      <alignment horizontal="left" vertical="center" wrapText="1"/>
    </xf>
    <xf numFmtId="0" fontId="72" fillId="26" borderId="4" xfId="0" applyFont="1" applyFill="1" applyBorder="1" applyAlignment="1">
      <alignment horizontal="center" vertical="center" wrapText="1"/>
    </xf>
    <xf numFmtId="0" fontId="72" fillId="26" borderId="0" xfId="0" applyFont="1" applyFill="1" applyBorder="1" applyAlignment="1">
      <alignment horizontal="center" vertical="center" wrapText="1"/>
    </xf>
    <xf numFmtId="0" fontId="72" fillId="26" borderId="5" xfId="0" applyFont="1" applyFill="1" applyBorder="1" applyAlignment="1">
      <alignment horizontal="center" vertical="center" wrapText="1"/>
    </xf>
    <xf numFmtId="0" fontId="71" fillId="27" borderId="4" xfId="0" applyFont="1" applyFill="1" applyBorder="1" applyAlignment="1">
      <alignment horizontal="left" vertical="center" wrapText="1"/>
    </xf>
    <xf numFmtId="0" fontId="71" fillId="27" borderId="0" xfId="0" applyFont="1" applyFill="1" applyBorder="1" applyAlignment="1">
      <alignment horizontal="left" vertical="center" wrapText="1"/>
    </xf>
    <xf numFmtId="0" fontId="71" fillId="27" borderId="5" xfId="0" applyFont="1" applyFill="1" applyBorder="1" applyAlignment="1">
      <alignment horizontal="left" vertical="center" wrapText="1"/>
    </xf>
    <xf numFmtId="0" fontId="24" fillId="2" borderId="10" xfId="0" applyFont="1" applyFill="1" applyBorder="1" applyAlignment="1">
      <alignment horizontal="center" vertical="center"/>
    </xf>
    <xf numFmtId="0" fontId="24" fillId="2" borderId="11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 wrapText="1"/>
    </xf>
    <xf numFmtId="0" fontId="10" fillId="2" borderId="3" xfId="0" applyFont="1" applyFill="1" applyBorder="1" applyAlignment="1">
      <alignment horizontal="center" vertical="center" wrapText="1"/>
    </xf>
    <xf numFmtId="2" fontId="13" fillId="7" borderId="0" xfId="0" applyNumberFormat="1" applyFont="1" applyFill="1" applyBorder="1" applyAlignment="1">
      <alignment horizontal="center" vertical="center" wrapText="1"/>
    </xf>
    <xf numFmtId="2" fontId="13" fillId="7" borderId="5" xfId="0" applyNumberFormat="1" applyFont="1" applyFill="1" applyBorder="1" applyAlignment="1">
      <alignment horizontal="center" vertical="center" wrapText="1"/>
    </xf>
    <xf numFmtId="0" fontId="14" fillId="7" borderId="0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 wrapText="1"/>
    </xf>
    <xf numFmtId="0" fontId="19" fillId="2" borderId="10" xfId="0" applyFont="1" applyFill="1" applyBorder="1" applyAlignment="1">
      <alignment horizontal="center" vertical="center" wrapText="1"/>
    </xf>
    <xf numFmtId="0" fontId="19" fillId="2" borderId="11" xfId="0" applyFont="1" applyFill="1" applyBorder="1" applyAlignment="1">
      <alignment horizontal="center" vertical="center" wrapText="1"/>
    </xf>
    <xf numFmtId="0" fontId="24" fillId="2" borderId="12" xfId="0" applyFont="1" applyFill="1" applyBorder="1" applyAlignment="1">
      <alignment horizontal="center" vertical="center"/>
    </xf>
    <xf numFmtId="0" fontId="79" fillId="29" borderId="0" xfId="0" applyFont="1" applyFill="1" applyAlignment="1">
      <alignment horizontal="center" vertical="top" wrapText="1"/>
    </xf>
    <xf numFmtId="0" fontId="77" fillId="29" borderId="0" xfId="0" applyFont="1" applyFill="1" applyAlignment="1">
      <alignment horizontal="center" vertical="top" wrapText="1"/>
    </xf>
    <xf numFmtId="0" fontId="77" fillId="30" borderId="0" xfId="0" applyFont="1" applyFill="1" applyAlignment="1">
      <alignment horizontal="center" vertical="top" wrapText="1"/>
    </xf>
    <xf numFmtId="0" fontId="77" fillId="29" borderId="0" xfId="0" applyFont="1" applyFill="1" applyAlignment="1">
      <alignment horizontal="center" vertical="center" wrapText="1"/>
    </xf>
  </cellXfs>
  <cellStyles count="10">
    <cellStyle name="Check Cell 2" xfId="7" xr:uid="{C101956E-E8E4-45B1-BFE3-062A96D770E9}"/>
    <cellStyle name="Currency 2" xfId="8" xr:uid="{B88F32E3-CDB4-4289-9D85-A5983EAA5B9E}"/>
    <cellStyle name="Moeda" xfId="2" builtinId="4"/>
    <cellStyle name="Moeda 2" xfId="4" xr:uid="{E7E8CF33-7C7F-4B89-B651-342BF0302260}"/>
    <cellStyle name="Moeda 3" xfId="6" xr:uid="{F405D770-16A8-4CF4-A37F-B1C066E64BD8}"/>
    <cellStyle name="Normal" xfId="0" builtinId="0"/>
    <cellStyle name="Normal 2" xfId="5" xr:uid="{2D952492-7749-4C9C-B79A-45990C153466}"/>
    <cellStyle name="Normal 2 2" xfId="9" xr:uid="{5A4112FB-8D58-4697-B6B8-47794F455B31}"/>
    <cellStyle name="Porcentagem" xfId="3" builtinId="5"/>
    <cellStyle name="Vírgula" xfId="1" builtinId="3"/>
  </cellStyles>
  <dxfs count="103">
    <dxf>
      <numFmt numFmtId="0" formatCode="General"/>
      <fill>
        <patternFill patternType="solid">
          <fgColor indexed="64"/>
          <bgColor theme="0" tint="-4.9989318521683403E-2"/>
        </patternFill>
      </fill>
      <alignment horizontal="right" vertical="top" textRotation="0" wrapText="1" indent="0" justifyLastLine="0" shrinkToFit="0" readingOrder="0"/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color rgb="FFC00000"/>
      </font>
    </dxf>
    <dxf>
      <font>
        <color rgb="FFC00000"/>
      </font>
    </dxf>
    <dxf>
      <font>
        <strike/>
      </font>
    </dxf>
    <dxf>
      <fill>
        <patternFill>
          <bgColor rgb="FFC00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0" tint="-4.9989318521683403E-2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theme="0" tint="-4.9989318521683403E-2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theme="0" tint="-4.9989318521683403E-2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theme="0" tint="-4.9989318521683403E-2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ont>
        <color theme="0"/>
      </font>
      <fill>
        <patternFill patternType="solid">
          <fgColor auto="1"/>
          <bgColor rgb="FFC00000"/>
        </patternFill>
      </fill>
    </dxf>
    <dxf>
      <font>
        <color theme="0"/>
      </font>
      <fill>
        <patternFill patternType="solid">
          <fgColor auto="1"/>
          <bgColor rgb="FFC00000"/>
        </patternFill>
      </fill>
    </dxf>
    <dxf>
      <font>
        <color theme="0"/>
      </font>
      <fill>
        <patternFill patternType="solid">
          <fgColor auto="1"/>
          <bgColor rgb="FFC00000"/>
        </patternFill>
      </fill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general" vertical="top" textRotation="0" wrapText="1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right" vertical="top" textRotation="0" wrapText="1" indent="0" justifyLastLine="0" shrinkToFit="0" readingOrder="0"/>
    </dxf>
    <dxf>
      <numFmt numFmtId="34" formatCode="_-&quot;R$&quot;\ * #,##0.00_-;\-&quot;R$&quot;\ * #,##0.00_-;_-&quot;R$&quot;\ * &quot;-&quot;??_-;_-@_-"/>
      <fill>
        <patternFill patternType="solid">
          <fgColor indexed="64"/>
          <bgColor theme="0" tint="-4.9989318521683403E-2"/>
        </patternFill>
      </fill>
      <alignment horizontal="right" vertical="top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general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</dxfs>
  <tableStyles count="0" defaultTableStyle="TableStyleMedium2" defaultPivotStyle="PivotStyleLight16"/>
  <colors>
    <mruColors>
      <color rgb="FFCC0000"/>
      <color rgb="FFFF4F4F"/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solidFill>
                  <a:schemeClr val="tx2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Fluxo de Caixa O&amp;M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gradFill>
              <a:gsLst>
                <a:gs pos="100000">
                  <a:schemeClr val="accent1">
                    <a:alpha val="0"/>
                  </a:schemeClr>
                </a:gs>
                <a:gs pos="50000">
                  <a:schemeClr val="accent1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1.3799260098885281E-2"/>
                  <c:y val="-2.314814814814814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837-4C5A-9618-A21DA6F466BE}"/>
                </c:ext>
              </c:extLst>
            </c:dLbl>
            <c:dLbl>
              <c:idx val="1"/>
              <c:layout>
                <c:manualLayout>
                  <c:x val="8.2795560593311186E-3"/>
                  <c:y val="-2.314814814814819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837-4C5A-9618-A21DA6F466BE}"/>
                </c:ext>
              </c:extLst>
            </c:dLbl>
            <c:dLbl>
              <c:idx val="2"/>
              <c:layout>
                <c:manualLayout>
                  <c:x val="1.1039408079108123E-2"/>
                  <c:y val="-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837-4C5A-9618-A21DA6F466BE}"/>
                </c:ext>
              </c:extLst>
            </c:dLbl>
            <c:dLbl>
              <c:idx val="3"/>
              <c:layout>
                <c:manualLayout>
                  <c:x val="8.2795560593310665E-3"/>
                  <c:y val="-1.388888888888897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837-4C5A-9618-A21DA6F466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Gráficos!$P$2:$P$5</c:f>
              <c:strCache>
                <c:ptCount val="4"/>
                <c:pt idx="0">
                  <c:v>Faturamento</c:v>
                </c:pt>
                <c:pt idx="1">
                  <c:v>Custo Real</c:v>
                </c:pt>
                <c:pt idx="2">
                  <c:v>Impostos</c:v>
                </c:pt>
                <c:pt idx="3">
                  <c:v>Lucro</c:v>
                </c:pt>
              </c:strCache>
            </c:strRef>
          </c:cat>
          <c:val>
            <c:numRef>
              <c:f>Gráficos!$Q$2:$Q$5</c:f>
              <c:numCache>
                <c:formatCode>_("R$"* #,##0.00_);_("R$"* \(#,##0.00\);_("R$"* "-"??_);_(@_)</c:formatCode>
                <c:ptCount val="4"/>
                <c:pt idx="0">
                  <c:v>602159.09708099533</c:v>
                </c:pt>
                <c:pt idx="1">
                  <c:v>434643.71490000002</c:v>
                </c:pt>
                <c:pt idx="2">
                  <c:v>116999.51256283739</c:v>
                </c:pt>
                <c:pt idx="3">
                  <c:v>50515.869618157914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37-4C5A-9618-A21DA6F466B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gapDepth val="0"/>
        <c:shape val="box"/>
        <c:axId val="1527722144"/>
        <c:axId val="1527723104"/>
        <c:axId val="0"/>
      </c:bar3DChart>
      <c:catAx>
        <c:axId val="1527722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527723104"/>
        <c:crosses val="autoZero"/>
        <c:auto val="1"/>
        <c:lblAlgn val="ctr"/>
        <c:lblOffset val="100"/>
        <c:noMultiLvlLbl val="0"/>
      </c:catAx>
      <c:valAx>
        <c:axId val="152772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7722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Custos</a:t>
            </a:r>
            <a:r>
              <a:rPr lang="pt-BR" baseline="0"/>
              <a:t> Reais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"/>
          <c:y val="0.23313073749267674"/>
          <c:w val="1"/>
          <c:h val="0.63849346991336009"/>
        </c:manualLayout>
      </c:layout>
      <c:ofPieChart>
        <c:ofPieType val="pie"/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8CA8-4A04-B2D9-34B107E93F2A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8CA8-4A04-B2D9-34B107E93F2A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2-8CA8-4A04-B2D9-34B107E93F2A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8CA8-4A04-B2D9-34B107E93F2A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4-8CA8-4A04-B2D9-34B107E93F2A}"/>
              </c:ext>
            </c:extLst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6-8CA8-4A04-B2D9-34B107E93F2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Gráficos!$P$7:$P$11</c:f>
              <c:strCache>
                <c:ptCount val="5"/>
                <c:pt idx="0">
                  <c:v>Custo Relatório de Despesas Entec</c:v>
                </c:pt>
                <c:pt idx="1">
                  <c:v>Aluguel Carros </c:v>
                </c:pt>
                <c:pt idx="2">
                  <c:v>Cartões Funcionários </c:v>
                </c:pt>
                <c:pt idx="3">
                  <c:v>Remuneração</c:v>
                </c:pt>
                <c:pt idx="4">
                  <c:v>Terceiros</c:v>
                </c:pt>
              </c:strCache>
            </c:strRef>
          </c:cat>
          <c:val>
            <c:numRef>
              <c:f>Gráficos!$Q$7:$Q$11</c:f>
              <c:numCache>
                <c:formatCode>_("R$"* #,##0.00_);_("R$"* \(#,##0.00\);_("R$"* "-"??_);_(@_)</c:formatCode>
                <c:ptCount val="5"/>
                <c:pt idx="0">
                  <c:v>48928.584900000002</c:v>
                </c:pt>
                <c:pt idx="1">
                  <c:v>60715.130000000012</c:v>
                </c:pt>
                <c:pt idx="2">
                  <c:v>65000</c:v>
                </c:pt>
                <c:pt idx="3">
                  <c:v>200000</c:v>
                </c:pt>
                <c:pt idx="4">
                  <c:v>60000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8-4A04-B2D9-34B107E93F2A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gapWidth val="100"/>
        <c:splitType val="pos"/>
        <c:splitPos val="4"/>
        <c:secondPieSize val="75"/>
        <c:serLines>
          <c:spPr>
            <a:ln w="9525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olorStr">
        <cx:f>_xlchart.v5.3</cx:f>
        <cx:nf>_xlchart.v5.2</cx:nf>
      </cx:strDim>
      <cx:strDim type="cat">
        <cx:f>_xlchart.v5.1</cx:f>
        <cx:nf>_xlchart.v5.0</cx:nf>
      </cx:strDim>
    </cx:data>
  </cx:chartData>
  <cx:chart>
    <cx:title pos="t" align="ctr" overlay="0">
      <cx:tx>
        <cx:txData>
          <cx:v>Estados Ativos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pt-BR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Estados Ativos</a:t>
          </a:r>
        </a:p>
      </cx:txPr>
    </cx:title>
    <cx:plotArea>
      <cx:plotAreaRegion>
        <cx:series layoutId="regionMap" uniqueId="{2FC22F0C-6F07-4320-A4C2-7AE12A6C0B69}">
          <cx:tx>
            <cx:txData>
              <cx:f>_xlchart.v5.2</cx:f>
              <cx:v>País</cx:v>
            </cx:txData>
          </cx:tx>
          <cx:dataId val="0"/>
          <cx:layoutPr>
            <cx:geography cultureLanguage="pt-BR" cultureRegion="BR" attribution="Da plataforma Bing">
              <cx:geoCache provider="{E9337A44-BEBE-4D9F-B70C-5C5E7DAFC167}">
                <cx:binary>3Hvbctw4su2vOPx8qMaVACamJ2JAVpUlWRdbasv2C0OWZIIkSJAE73+zYz+ft/MH82M7S760VFar
xhMzEbuPOqIdVSwyibysTKxM/PVm+suNvbtuX0ylrfxfbqZfX5quq//yyy/+xtyV1/6gzG5a593n
7uDGlb+4z5+zm7tfbtvrMavSXwjC7Jcbc912d9PLv/0Vnpbeudfu5rrLXPWmv2vnt3e+t51/5tqT
l15c35ZZFWe+a7ObDv/68sXb0xcvX9xVXdbNl3N99+vLR794+eKX3ef8IPOFhdfq+lu4N+AHEnEF
r4/Vlz/x8oV1VfrtOuUHBCPOkBDo/g9/E356XcID3mbuxaa9rm7vXty6F6cOFPDtB0+93f27Xd/e
tnfew9Lu//2DhzxaFvzm9OWLG9dX3VaVKWj115e6vfaZffki8y76ciVy20Xpt/da+OWxFf72150v
QC873zww1K4S91360U57rfSfFP72bK/4x9p51knkgQixBP/gX3wAgRM8dJKQHigEv5AqfNpJXHX7
j/9XZdf/gmv8fuuuQ5z9yRzi7cW/0yYUHSCqOFHysS04hoANFYWLX2xBvin9qYC96CF+/hhM/plw
vX/Erm0u/mS2uTj/d9qG0ANOqQqVlN/j4WG8sPAgJFKGEn0FXbDhFyN8sdHFP/7bvTi/7q379v0/
j6UP792xysX5n8wq0erfaRV6ICSlkOf+AMWoPOAAYQjznZCJoC74x3/9vCm+3bdjhmj1JzPDyb8V
uAg6YBwzhdjTyYSzgxCHUI/Q34PnYXCcXHfbksN577Ylx7+EYE89Y8dKJ382CNNv9wbLf7LiON8v
/icqDsIPGEVMgJd8hcjHWY6pAyLBjTAPv19/6CTn11CT/isx+/3GHXc4h5ryT1V+bv6tFSCGjKUQ
FYh/rfAAIh9lNLAHlxCxAKD3fzsZbeOyf/yX/3kI/XbfjjU2f7ba7+8ne4PzJ6KDHmBCCOgZf4XQ
HWuEUBtiFhIs6JM14N/L68VV1/+CPX6/c8cifz/53x0ffxC7D0vfRz/52X00Rgf0/g/t2ILTA3Jv
BPF75DxEqm+b2D9+k6eL8G/3PXrr//Se+I8TyPf9Y3zdXa/u2YkHW+bnr37ba+/c+sy+5Oulw9tf
XxIEen1gre1DHhXTD3L9N/x5cN/dte+2NAgCKwlIJhBYFDPG6csX4939pRBDsS6UkpQTxJGQsPmt
gOcwcJs4oEwSgLwwBPQj28LRu/7+EpYHiGGuFBE0lDhk+DsvdO7snLrqu1K+fn5R9eW5y6rO//pS
hOrli/rL77ZvGzIE4QwSQiGw4JIr4Gnqm+u3QD7Bz/H/oVPadip3MlokypPNEBQJ106l/k29zZKv
CEok0/O0pB/6xKdI1yWtRq0mhuZ4yfzgdDZXZoll5QIZDy0yryvfNS4exTAtOklodj3WpAzjnMul
2NQusFYrwiZ+NJDGmo3Klu5Q2pKWqy4P/E1Dm3TQbGgVOQypqS5LiatzT3m68r43UitXJp+8ycwr
WxH8sehS9VsIJXqiZTiSJvKtlZ3m08QP59EKq9NhpuvJFX2jcwYAF9XVEHzwdlCvlJq9ithoxkpD
TdB+SHA9XaZj7z4TGfjzuS5Gr8t6tkh3sDd+U87GZBq2ysVJvaTzGKmw69u4Tdom1zlWLtVLUwRC
j4LWhzRQ6HOSTcukR4qqtyJRtYvmZvZzVCSsrqIpLfm4Hg0J3+DRdnmcB1M6xTyfrY9COuRpbLLc
fLY4rOZ4mOq6jguR4cuctKbcdG6gQ+SKyV6nWc+u1JhUbjW1yOZH3E9DqOd8mlbZGMz8MGjEfDaW
KmjXoh7md+2sivdJmQ25TuY0vWgEnq7yrp9KzYds+KSU6yfteyHOuCqrWaeO2zAS1k6tHrsQLqIg
b2stky70UbCg9J1lQ2Ni3xRsiSzx6oLXqUC64NSKdSsHwqKkDJcmon5QY2QKH4CtxGQu68WWnxts
+inK02IZtC0CCk8NlP9ssjKcI0/r4bRpCtqsbJeFs1YiTz7htKl6nVNcl+uuqbszcALVrLM+HXM9
5nO/rOSssk5XU2MWXcuAlXroXI4jlBhV6gnlXaFtny/1ekJZeqa4q9m6zXKX6zY0c6qLipRXk0pK
ESUgaF7NVKiLChtypVRQfLSK1F6LUpVLxMBGTvM2o9sg6NNOM5YMV4lszBQNPSnUiR9zt0SuKuvb
YSp7Hiddi/MV500b6rIbm3Rlk568Csupm45zXHpwYmKGbj3WoqURKiuEQR3KcV2UWWg2iZvIXVg2
ebjqiGM3fdXKi2IukstkSYcPeCqciNq0xSdUddHSMXPHcM3jjvVnucyyXBtZGm1rF5O2lmY1sqK5
8mU5znoSAZM6U9lcaDfP7SWbM1NotZQ2i5rEJR9yZ7Krxvvx9ZTi3/KQJEdiltV7gkf1xmRTk0WF
n8e3ta3b63TKWwCGokwhSDDK3wS0dWO0VH0v48QyZ+OKzE29tX+aawcQ+ckXFUQdlWBlnfWyGCOM
w9GuQmTqW4tyles0wOq1yZOK6LodEdKiD1O7sSJJpE5yLs4IDbJWV3Wl8ghlSZJvJmHQsGJuKcGX
6jx1GqUSnrWYPKu0t8bDc0telPGYyrZa2YKjQ9eq+Z0TQ5K/QqSVG1NU+C3rZbPKbR+2uplRy0Gd
OCujeSbNYQvf4Dgv6yZbD02gLpFhi4g709d3C2oSFLXCYRWJhCw3AifTscrGsVuhcKqulOE2iV3Q
IXsejIsAX2GGf3IOnG8jm07Nq4bUqFj71CCmm0x26JUtbV4dZnLpaKJJl8vkM6PZmA8rV4esc1WE
OlHN9rRYhPX9cRP0KS9jU9mc2EzXyIMe4rSxVmgpSAILCTrz3lWJnaPEJEkakzHLap0onrfHSGTJ
rBeUqMOSjYJH1RbJolCVyS0Zl7GJWjlbsi4Us6VOlr5eNLFmYsehbbo+mhGgXTzUlXwnDUM8mihp
i4glgfu4lGGRRcCIlak2zYLGzczCyWoxDcLEOTPVu0WJOgVkl71dNT1mRAe2KC7TbPYfZDYnQg9B
1gmNkW+vcOAXG8l8me56gnER0VqUJBqpF/3rSjLHIpdPRRGrLkzqyNXONWs2Fzx9bS1O8xi5dKhj
XOAw0NBjmdh50lCRx2XCQxoFXU6TyLuRZCse8OFyCkxtY9JhNBzOnnbgULiq3i80o+qoMWPfHRlM
/acxE22nxVi6LmYzW/xGlE0rojIr6i4uG4ywJti1RqPMehs5h5CPGAmTVuegniYKhKUiLqrZeM3E
1L8tbbddNSV1EfmpbcK1ELAEbXHlU53ONEx0jkAKFF5liWPEuEOgiYm+r0TjG903yXw6tmWC4yGr
AqMXb1KqaRKQMQrKbrmrKMfzYV/LjulUgoJWjE8JLnqddkklQH9TNpd9XDAlA3O8KBOUkRyr7jB3
RaB0u4T9sk4KUsy6VBO2q3Sw86J9Jlwbi7BPb/NgKPzaOSqy2Pc9QDLyDv6fTsa+BT+ZPrUE59ej
8+aqG3l5UY4pd+sEofQtn5XzMZZteJdhqMF0SxL2caIY8nZQe9HoACC21mnvE6M7xIoySpskv0qC
SXq9BRAAIDaROQoq2aPIJ91wMTKyqA34PHkjh6FXUVHntlqPbiwBnRbCj7DJR7/Jx8l3keUtfpPz
3r4lzhlIDHOeBbGsq3pVTdzSdZDj8a6txYIjeHPTrQLvSxahgZtUt32epdqHQ/seMi3YmkE+bPWS
JHDRiU6e5K30+apYpvwa5bRpNvm0kDZK65IsK0SpPG2mvJrZWuDypIT6EfXrrksgE85o8L+ZgBTv
wpnRY9GMS/aqD6vkuuptWUW+w+TUzYycoQnxdiNbCoA/V3N3uoydm6POcTTppnJQY7VJnRJNcTWB
aVxZvq8kbu5YZekdA3FKJ07OU5wkY39mc6g76Dioq2XyM9OjSrurosfycyNV/VkEGX49ATEQrO2S
yy0ypOg0q3p5PFe4vmwCY1BczqH1R1TlVTwsqcTaQ5lbRW1B3Z1sXPt5mM08QtL3mG0yY+2nzBUQ
D2jJ+kLjCrwiciYxYdyWIWiwQ03grsewE0cl9sm46gLUcIjISrxPfWP7VdG1/lM4oo6/Spei/CC9
HE5H1zoXe8aGIS5xy26wCioGuUMlNFqCkNCVHCi9LCdAcs1rVNWQvrH4bTJkBm8IO16/g4voOBWc
CD2lpDlltRjqKCQOlatwDqrPKSATi9OuntRp0OfYXJeCzEcNrvgSi2XOW6hOBxbE3kGhFY+jcq2u
sSdY58NIRFQRFtwWE4VizThkj2puMQOEbdS5JzU9r41UVTxZyu4WhrpSE8LGT6RqhkrnRR4eD573
ga6Uy96Ncw0QM6uRn9RTPi7RJKdsJQaCzKpHpG+1HWqWaFVUWaL5opLjIJnaXrNiCi6Zb5sLVhZ5
Ho0QffVmaIbsdTEk1YeW98t7QGJ3WqFsoq9yW6N1FUwdGHCxTRFl+TxAsVpIliKnl57b3ERBsjg7
HLV1ExISuySfUBETzlUgDlFbqVpeBekiq6if/fSZN6j4MCleEt1C5eSjNiD1EvVB2xGNIDNNeqCF
zGI2GQg3VHQ8jNJqkCfFmCEbexoE4wnifCnBt4pQ6CJtfQaFXQ+4RYVTsQVgNeC0gMdrOUJDZ533
tH3vcjLejdXW40TBijTOu7m5EAoH9rVwSXacyxzQUYxFAfsUeNqkpbcQ/SJlLSDyEByLGgHyiWXM
r5lh411OCYhuC1+oOB2wlWctKyUrdGlQYeDNivS9qQxlURrOeHzVthQ1uhnD6Qoqs/K6HKe2Xnsq
g7dBWSdnqGqJWDE0JlemZJAqSJ8qpYWjdR5ngfXjGguCgqgJy8xEeHBWRP3UlBcNWwyLVFYS2Eel
tPOrprb0w1QKU8OGaEkh50rv5w2t2Xgy9suY6dD3Y6sT1rcmtklTfJhr1KKoTitsoyCdoHYxy1B8
8DgMO501Y2o05QUsrC9NavVYhySNRk7weaJGJtfdkigZN8bwj1zhdtzQJiyKkzbz4RuaKCgm85yp
s4qX4SnkWXQ2F+F8uchJtw2U4bo1tu6iROVDtUauB9WXRQKbIS+8M/E2d96WYRC0kOpQe6m61NyZ
iaDLilnS6yqzGArLgQ23kJol1VWziDe+LmscTaZnN7aGvWPkIEJuxhrqeK36jNV6EPmMTlIxZm+z
hfZQCfeZKw9L2BlugpQuJpIVkvWhmZZlndaiKeOMkQmvqhqNjU5D3oeRTZdFHk8zFmgtec0NYHYg
+mhxGToLk8FXm2pchlU4qIXFPM0mKDbYCDHVtFVV6cx1wVXXwVZa42meadz0ZX8XLph+9D2rmog5
FCDdD0P6IdtSumA91Ph4SJupPeps1V/gzgkAI5ZkHxVLeBDVoeBcs1lODYQNSdrjKcthHx3wRBko
aRoOGyvYHHbRONEZigSplhFUngdqiLMx3NY3iIQWdqAekqN3BcQfahY3bxgXlsEGiEFiWQwEV5Ly
ih5PU9IGR2qBFK67YmFCZ+FEygiLAczb2SE/ZlVpeoD/hbwuM5vgjSWcHge9UJV2NEfXVpYdjhfi
B7tps2ypDgtQWqUfDoc8omJuXD23WWq+Tul8//i3k2+jP/cDI79/v53z+f3T2XDXAoNw9+LkuvYv
1n11ez/9s3vPlkP7fhNwQF85tS1v9ejDDyTaH9BkXwaL/uDiP8ehYcQYUFffJ4d+4NBWvv7H/20z
aLxdXFfd9670lpn6eu9XHo3IA8lEyGS45eU429JYX3k0hg+kCEPo6TBFsBT8dxoNiwOpsIK7gNOG
po54wKMRfECBlMMqxEpwpIT4GR4NaPLHPBqHDgWWYQhZmIJPchQ+5tFsS8sBQKiMcuekANprDq+z
oO/8Bi352K4zVdY17M5YQaIlT5fXBaZQXYxQR9SRyV2Vaxamfb6ZO0XTCGSlkJ7VnF3ClJU5c51g
QLbMAztjBluvOaq5WtUN7KIPeW66425RU6rhDeYO8NYStyqZqyBSbNCW72Ve1ded2e7ziaJ0XGXM
uMM5QZlZzbC9fwNF0pBGferTTxUtKw7bZJ+lEW2HoFoRtPirTlg5HYulGX+D3SFgowzC1OtkEnRe
9z6brwNhxgZIDOmAxABGZL5P+FYHDi/LK275kJ+BlBC/mvugrPQytjmReiqZKU76MW/TTVMQRC7I
srAUarQCAPXSDT5NItO14rRSSwGFN8BH93EqQ37nSpeX64C5YOnjynuMy4gErmrjMZjUvMkRmttY
joX5QArDYGsATwTCMqBQfMzUAuOIp/Z4KQt+sVRK5kArOJToPqcV1nXA01JnHRXvExvknU44oZuC
Ne4CycW+DweDFniOVR9CktlPywx7aijZkSlXfG7nQfcVKJXJpWbx1oKZ5iYbS13mQxICDPbsnHmf
vIX6eLmbhyK8VmFBrluT2AVgmJh63Tk/I22mIZC6a2D/HJlQDB8RlimNw4x5yA6QbLrLrObp4dhg
l5+lwpJbS4JExCOjfbvKOlKruOnCkUeKQpaLgxS2bKd24KSLcLPNnZPxwwcDpWABSR9KEA2ZPHuT
4cUAETIHjdFAAQTvumXO2iivh2LUI5Aip6J1M+wBWjxOeq5EdUzsIMoobJLSQwbsxre5HQVQJSXF
H5M8G41mdQdKSFvb5uAb4Bx6TGrgw+qOwL7HJNnodO3n/A3N8xbMIJ1U2qM8z2IJA42QN2vlrK55
ofK1rzKE1tZ0FhipArjsNW2qdLOtKuooTasgiVOB8yaaRRpYjdsuX3QTuj7UU9Mjpe0iCewAp4J1
cY9b6eJAZvxDyCqUb6Bkg2KsMcxOVeQGU6eHLhwWpSnwFlD4LuOYrWY3Dp9H2JoCIbC0+IrnAp6C
gPn/XHuFxSrnlTXa9IO9rjmRiQaqA/wLz6Q7d4Lmha57Q04CJCegxEy6wAbPDouDWnBRoQZNytNE
NRVapUCPZTpFkt2mc++ymKMKX4iGFhfSozqGMUfzqfNqwa+ZU+Jd0wCxrH3BgcYLXOc/9Q0wcHkS
NgOw4jK8Ul7V/aqF6ht8DVgOohmkPxrDVir71HigkXXjUuA258wJFSsIAwO79iT/DQPVerRIByj2
IAc81ZTYgVLANoIZpUgiikN0D7UPWhI5mYJ8bkFkOwBDixtdltAOmO+A0ozz5c3zwiA9POx/APLz
kEBfBlKE5JBEdnCb2rrI5MCyKDApsDqsuMsF3vItdoiel4R/SBE7onZaLSrhgiw8ySJgRKRfKTGr
lbHQ9WiSoK60DQ2/VQ0r1p0oqsO2NxnwAaKGItgL+S6HZhBMAH1Ptk8omj219pDDwhVkVND645xl
ltmgcuBZlM5NfyiQLSMmmip+Xsp2WQ86TBzMuW0rs1AgMCrD2w7UA3Na6CZP1Fso4H2L42k2DYAQ
VJvn2Hh2pmTXHJZ+7vas7f6xO2KhVmBEImj9MJhFfiy2k7RWkFe9HmJg9LTS2epq0Te/nRp97uPr
Uffa6HyPjZ9Y6yOh0O57uFYpci8rC0Ilf98nr7ZEQ01sxKsiDojcI2zXdbdx8nCFW/M+UCwLaNqZ
CYThCrV6SIBadW1/NBSi3xOReN+6tq/yQFTpKy+KrTKbFdZ91OgkUtpFMg7j680HH/826nSP22Do
tu76zaPl7URmwUJb2/LegCYq4T+mEw3Eta73Sdpa5TlX2QlMiamdcXa/Oh4DAXrk9btMz2dLJH5r
NT98Ph7wPnEw0/JQmZRWFkh2EDdHn5Y12qCoWPm1Oc0OE203e223Czu7brITf2oCVh9v9ThGnyAa
9E2ljz5HF++eX9X2pf9Yh/e984eLYjzPbbCVsqyhuojaFTQBor2Wen4t4XZg/KEUmrWY5dv4OmlW
n4ro8o5vrt9d0D3uvm8t27d44O2TrYKirkAKe5NsmkZX73JdHSX7EOp5Bw/RDliotrCs3aoseMWi
MfJRqm/EiTjyr543DdknaAcoptCbhG21RjZCe4DCYIVPG4gjHLuIryrd6uNWH0EPVc9Xz8vGz4MU
7N0e63ImVWH91tlLTdfZKxxfltGi7xJda6TdmmizT63PY1W4uxNLuykLYV/gNQXoB/oBomt4BUk3
SrSIgHNfpbGMZLQvmeKt7z0XATsoIhjuw2ar5Tr++A6O3kSVvj06v96jzy3qPSdlBzzGtJQBsNuw
ugty5N+50+aIfkrOh1K3s66v58vqKDuj5/xyj9wtSjwndwdFchkQ3nmQO8QmsmfuJInFGhr30W9Z
nMWfRz2DFyH9eR987ZF7nyUexKKdxn5ABcjt1hlknnHlNvSExHu95ik5mCpoZiIugGnYWZ8vJLTU
t8m0Wc0rDGuksQKJQGkel1ER8Tf+vIqGTbthr9XhHt0+hWoPZPNt/D5YY9ZA95ND/0p38bgK39m1
WY/rOYaW7iF5lXypGr7SPedfbPZlBughHfSQHfr/hXh6NKP2cAiLgoa/F8I/sE7fRty+jMZtyabt
7/czTQKOI0mKYLegBA5hqwA+8nViC06zhYoLOJghYAYI0xCC/9vEFoUDAkA+wUwlTF8hRmDE6hur
9shacLLv6+eHE1uP8ZQDW0VhLkxgJmCgTDK1mwGDtMpJCrHe8M5CgwlOG7abvq+YO0oXnnfrB5r5
p8QBoQUFEJYESndMdkCtDkTSFx1QTxjmN/jtZAu8WF0lWcAuUqba5eZ5edtU9DvMbJfHOMxnS1gh
h0HsrR4fhgLKqqKdbQOEQgDTUh3MwF02WZhvfkZKSCUoTsIYaxiSEA4gip2EOCyLSlFfQZlOgiGe
u3qIBGX7tiA7UP1FCoX5PwaH3GAHtAPVLvF1IimwIEmVq1XSB1y31WQ/ptPSxFmhAjia+N2Ln7DV
Y91tV8XRdnJXwpCuZOCJj3VnMQyHqEm2um8VW2dynNbGDlj/vBQKEAkDi7D/AN7zsRTcyyxvEXTG
YPSCXKGsKQ+hK7nEz0v5UXccTppxLsDbwQ/kDhy3jUWmE9DoBlrGiMioyfW6aDnvYThxBqgE0spc
Pi/zcWjd6w+OpAL/goBFxsAzPl6ZqmhTl8PcatdU5AgFDY8HX+QnqJfhnuU9IQrIbAgoxakgcGjr
sShSl8iVfQGioFOqobuwrOusryOfl/bo+VU9oUnIZkDEC1AjZLYdTfI6rGRQlbBBzHx+2Gd5+CoE
nAB6iKqzsXXi1fPynvDCh/LETjKbO7cAQwby2gov9asSJ3Wwyocw2yPnKRVCZ0/BsSpYHtAXj1WY
lBKYSMcbrWxjhijPl3yOu6xfPtJ0aPYIe0qJXIRwigsSgORye/1BhlYwlgdDFjM022ZSxP3QklMT
hknEmZzjcJLsS5L+Mov/RCg/uThJBUwIC8nDcCeUB9YnsstIo7HtmeYqJ1sOV+g0W9I98fyUqBCY
GbFl3YCB2kkoOOC8CCboCs8wMxp3xIanPl+IVmXa7gmwLXj/Du73ARY+FLUTYMMi6tZjWBVf3Jkx
It3IYm7eCUzZ6+244btW9u9/3hsfivxBkVkwjQVwiBioroi1CV/Dmfh9XMVTPh/CyQgZcjheBITa
Y/cACtW0S2Bg4iJT/Xnh6jwKZEXhtMlP4jskLDi4BCPK0N+UO5GV8IQ1RsHMkvMlzEJOLlxngwv3
5ManXD2U0MSC3bWC+fQdKa0SWZs1IUxGtYqGkVS2OLJhmXwua28uFeBVtye4nvRAOLUK1CA8kbEd
iXlgbJuFtNEdtAA3dug/cMY+kQYmEX5egUBCImgTAuSSbavwYRSHHJl0hBlbbZJARCOw6jGzuNsT
ULsbQcjD22OGTMJgBzS4MdlBXAPtg97yCgZBaUu1r+gYcRgoXcHkdgpNeEd1HfJNkhTFhvJuDDTM
2PQwPcnMHhT50S1DCJ0tg87xfdHzeL0wjIGGYYAsg6vOhm8qz4w/NLQv9zEMu5TW/ZJpCLUOoZJz
YHQfS5p8Kg2eYOQIhvKLI2TJsG6amkLvrj1Jw2A6an3tVm3hsKYgP5rmAuZ2RNThTh320F3aUwr9
iDQKkitEpIJyHcGh6cfvM85QHwXDBBwHggEcPaaqDGEOdoSe2YhSaPdk7RC+9X1XTnus/6POQTKR
kN2lgnMVu+XRTCgMkmDIFBOFQxWty4sIZjqqPZZ9cn0PpOy42DzUakkbAO3R4CHuUwsDrNBF2JQs
hbmsDy4fm/hnYwfWBQYGxYUCo106XcIYHIWKstF0hrm5AM5/RAPrvk5F/GHe+xF8QEoIp8tkuG39
8J08WzmSFF50DYyFqPAtDAw2K1r4fIN6m3/qsnZZP7+qp/QILrs9QgUnEH9AhKRwS2Y5ZKQwH1kd
D40MjkmC0kjK0p+QYVZdPKVQBe7xkn1yd9YJY61T0zjWaBizbI/z0bnD2vTLSQ5jaMc9NKoiVOR4
D/w9pdxttfk/nJ3Jcty40raviBEkARLklmQNGmxLtiQPG4bbA+d55tX/D/1/C6lUoQqdRZ/oCB83
CiCQSGS+g46Ig6WkOAl/c+3Q1WpLFjcxrG+9NszDznTH9DCVrg4ssNT6r28v7/ZffHnhb7ALQwie
QFyLp7ngIKKptLqooTnRlYHdNG0g6H17Wjm/P+0klSaDsQU0fBtw38sTD9tkzSYbNNUygQLXs3XY
z731/mTataRBQkIiSKFInny3cgF5LM2l9jRVgy7LIJJkqbrXm8zy8la/sDvPxJIXo2276FnWOUWm
3c020QrEd2j4IlGZ7Ydmuy4XdsaWn5x8J6UsBWrLJHcHO/ByIM5xksfxCuNi1Lvr2NGKA9wU/boq
LGdXKxsU+6RpQAIWeFLvPwooilAWIb/mQS5OJqmyGVZYz+2/ar37JW8s85MBQs6vTauBamGvqVfH
oXVhxmd2JriZf2xWZbNvTi4I3iR2LwzQc5YRDl4tXOAERhp7iT5q74/V7r+3MnQ5ninW9lOefUUH
JEMno5qEKq7GG3ug1VqI3rpOwDMd+1DRT8+b7lLd9MwnpcRB3YFExLFov74ctY0bc0WIing9AJL0
8iRxgok6/LVVieHjLIGRlo7b+U0yJhe+6Kttu126thQ08f9xC0++qBVOZd00RJQodWrP1EuxpxYz
wvR9Kxt+9QUZhevV3d5kpFunsaUNwTJPK3t2TXqjAiKYrpAUuvwIn6O8fXusczMiupB+OopazmkR
OpOJTKy6r73MLWELNIO2/hg1E+zr2+OcndPWJAdMBljgNIgla1o7ExhkdmW2BF29yBs9H4qrZh66
C7Hl3FCK/a8LVDEoeZ/Ey36jCYLSZ6gGEBdlDy2o1+U72PDlQnp/bvHIhTgCBmgLQ50El6ZwIICZ
de21Uk92rUauG09xs3t76c6Msl0zXI0sHqpiJ8/YLlKx22yMpNwCN63T8gK3Uryz5U4xSieh3up5
jOGYp9XXxYhqM+3CypuskeSSQLWrZie9D5to/f72hM58IEGV0pLcOPT5N+bw87ChzKKJtSirPdkM
4b7P+s7PYIP6lERu3h7p3NI9H2n782cBqqyWJoRBUHuuPT45qhS70gzrC/ttuxlfXDGsHOXJLf4R
d6klvxzE6AGJV4ZWwZyt9NsmnZsvhZiqKzey5OpV0zwf3p7VKdzm37fi9QWcUUKYRtHq5YhgIAGe
QenwZOSygBBLg7ksM+Ddo5l7sRXGx3Ieo92SWO6h1Bvzr7Zo150FECoWU/b57Z9zbpH5kLZFKV03
qN2//DVRmReDE7JzlDuugVZr6Y4SwZ/3DwLb3JRQuameypM9Y28Enq62Km9OWhOmzpTafdDpbm1f
CFTnviaAW8pGJgBaWh8vZxPKrNTFwuYs0xK2bixsT5+0vWGNx7LXlgujnVs7sLVsHgWKiGP+crRh
7uy5GKvaU70V3mTj0lzVRNHg/YvnUPCAMse9ZZ++3FQOsXaJiIhpV7S31QCIc7ZEcqEce2YuLNsG
SebZQTHnZOUyWPKZm8CJWCYVf8wnV/pGAlr/3XNhFGqV3Fo8psT2/Z4daWcdwWpuez9LBKSvZTaD
Oiyd3dujvK50bGpLNKIsxANsXm7bZJ8NA40bAlihKtgqYXKrLY7YG01+XU2W69n6+NGZrM+1poe7
JlbhDfXua9ut6wv3y/b1TyIL59sQtAmotjinicDa6ANMjJxEwB5NY9cDZC3vUBfQx1trmCbhz5Ob
J1ftiObAhY155hjwGqDpZwqEGl6ldloVW/pQuJW3FKnI/Fi3l2Cqk1shAW9DKeR/317xc7tna8Xx
SQUtstNbezDVXECzJaZtIgRTJyDyF+ulk7DtwZcravBJqZCxgzbtipMbm5pzNLeKz2rHQMBzR4EU
L1d1BdniUt/99QoylCOoLPD+MPXTBxWx0oYszQpWmQUrcqnyxoGhFxuPLoIPv+OpmMIL53yL+6ez
4+RtlUbClzxVvIizxpqjRgAxLgstkG5jPTXDtP7XDCoPDKM0/6MMMt/UsaiORWt2P97+hK+3qyEo
oJi8dMgkiWonZ6Zs9GhEXsLT8zYKclv9zlv1wyopUDVuWXiDvJRVvt4024g8WummUWUVJ6e0m5I0
MY2m8kpou1CihuHIUSkvBINtU5wsq5TUbzkI5nb3nGwaM+2FJau+8tpUa1coS0nyrVmXQgZtHcq7
JhvXBOJeTM0I/QjkL95e1jN7FtIF6Sw5INWj00Z1u9aAZhVqJBpMsr0VZUvvu6ERP1RdC9j/7cHO
BD5aJTyV0S+ljsKb4OVHFKaWyamHgrjY3R1xMXswQjcLRtnmRgAm3/qSiYKn8hxOXb83wxAOOqze
5jFuZVlfeG+dWXn6sYAB0H00NnTCyx9j5mDiYWUQ7JuY4zoO/X8TpNEAPAvo9iXMPnTOk9FE8buv
MhaBNjqVM4ABln2yr/TCza2mZidbC+gyv49CsR7c0Ui6C8t97tvy8ALsICipGnL78+fXTFmmIRCH
you6IXwcl1So3WLAKu0TOagLeeO5wTa2EBVIxGeFe7KavTTNWOsz2KVU1q9roxo+wgDWgtGupoe3
t9GZ4Ac8jWFoKCqafeLlvIxQWjBGmJdKVfg77Y3l0enVeMjKPD/S0Iy/vj3emalRo4dIhdCP6QAV
eDleLrWkGJaKuF4pJ9BiGphtG9FR5++8/5M5tJy5Epka1eKTvZHA6426PgV3vcg28uQ8DBsTuBRX
hllSC3x7YmdiKsQrJkaUQ3L6X3vi2QZJ59LOo0ErPaMoUj+sNtkOraHx54dOZ/7ul3bUDw13zYWX
07lxN9VPRvwHJjnZK0M/GbkpFONOJRWcGTrnR3Oh0diWSfw4VbK6dcZYu5DcnfmMABRIARTJF/9y
chxGNULR0CJCXU+VICw55XXWQBZRnX0htJzZoZDrAA4Y1Ix10E8vd8wqpkGNSFJ4Ybci5zOs5mGx
R+c4tGEaTGWkXSi0nJsaz+qtfUK9mMfiy/GaSUEnhYhOi1PaV6a2mkGBmMPn1UnyCzt024En95VD
FkWvQYHb4oJ8OZS0G7OPlrBE8SXJP8qW8lEqrXj/9s48Owr3rmVadAPdfxfJs52pF3UGT41o0qR5
A9FDd25iLZ7eXQtDJNumIuFQxEUkwHw5lw4WQGsviA41uTUrH1h9vhxlSl8tWCxHby6EyHO7ggrV
9o4hqZCbctnzeKzrq90OCXFL6/svY7/eF1UzeTb5lKcamFZvL+G50ajxbRAqysS8616OVpddaoua
w90uTXRdJq3Yd7CGr/R5rm/WaR0uzO7MJyMiU4l2dcWYp2jMTJn1NIM+86axrunLxro5BlFlhJey
iDObnSG2whg1Wqm72w95tjfmWhpxn3CO5xHGXFCAHUAYoHISL0nC9su7V5FFpDUJSAGBx9PBwtmY
yz5yNpGz2CoDfk7zq2ylFXqIuRiSyr+M3x8dubGplpKTAIk8vbbXyilm6PHoR4xJ6KPlFEgzTKjU
WtpOhu3szbMxBW9P89yaklRbWwl6qzNtm+nZmsYIyNWFJskxu/zapJu4ywsBy1yalwrsl0ba7oZn
I9k1sDBQQSXUvT4ZrwjVfb4rlwzdDhR7+JRvT+zMVeOqrTG65SbcKScTK/rWQY3KKL1+XvvDulja
3WqHkDqtrtltXNdr1STh1/9hUHsLKxwHXksng7aFOxmJIyCATixiAhTkEdWVx9gu271uN2I/dbG8
MOaZ5xmBn6wa8whgC/JkXTtnrbpUtKVXlI3hRXF57dZz/nUJ4xQDDVH8sAq9DSxNb6/MaS4uBJvX
ufTWFSKEklED8D09/Lqs1IzITekNajbuBxPNuzxuo59a2AwfVkcLd13YdB/QDrpw872OOtt25aSQ
R1NQOL2Oyl6iUEd90gtNgEO0NKJdKlLz/u0P+jqW8upU1CGBlVFHO71fR1UOSWIiQkRCHf+I1niM
AxjGVbmX4Vz96Acr+vn2iK8XdHvnUlJTNncgRMOXxyTuCy3WYbmgapcUEwT40rpzhzWDJk1bZW8J
qOaqjPTRC+swvYRaODf6vyze2Lid5NkvRx+1Sk9gDPHYrmtYz0rjYFK7r2JkG6c8Qa2pDNcpqGe9
zo4Ui40/b8/+dZBABpCNzC1JrYFK6cvxbToSpMkECXPOxBX//MyQPzmYsePs3z0SJVIqQ7Ry/hXY
X47E28F015xbsgxdVQbl6sD4RYBH6/f2aC3xhXD0+pQK9pFDXCdPIzCcLGyXalk69x3XiZk3v7lA
gmxKM1TRQipwfVkdomJpvteTqg/pIuTT25N9fVgYnVI6gGddGRTETiY72HY2dIwOciy9MWpb96y0
NN99JLdRHBr9dHuAmJ48lzghDihtdEEpbbvX6SI/js6sXf0PU3FQpgKwbaO9fDIVdKNsmMeb+Oi0
1neA0hHSg9A+XsKCnTn5FLdNSpXKBTp42k6if2oVUzmUcMelFbgNmHrXQDsCvN987Ti99u6UFFAY
/G36ZFAWXiHCughxKwQhS0/TUrHLRyf/aFH32hURgnlvL+G5vQjyUv//Bct/QrrPb+IiTVB5QoTW
U2rqrvS0kT7FhCIwEX+9qrtWv27ot99bbVp/j5EjunAUzsQY0jiWlKoTgPhTbLCVZyPQD5LvcI40
02uoKN5JJ0dsTp9V+2CaqAB6lkyaB5lES3th8q/zAjIsuBI0e6iA26eIKYQvatOi/OIZa6V/52Mk
tleaHEZ/QCKpA+qYZZ8jbbb+h4DDwOAL+MiEndPaf58kHTK9PAIWo0GklV94NTpr/M1QQ3Yhdz05
7pw8F0QP8i2cRKSST4sJ4RiXhYvmaKBPnRUYTt4djGpML0TQ06Le/w2zkeF1waE/fashPl3oiRBJ
kNKj6N18QNxo1XaVnm56V53+kX5ieZ0J7S6cw3nf0O28D4f+ndv51c84iQgSUaee5BZaXduiTWup
9kBiOB0qVYggc9ddZQuIdwUFPwsw4+7tw3RyY/0bHYAfiBWDSioVnJehta2SKknVgNJGFA3XVmMv
Oz0axn2VjJfaDOc+6/OhtnP9PINehVqsYkyCwXWTXS9yJzDnrrrwWU8C378JuVth2CGb4+Gz/fmz
UbQxzhBdSeMgTFo1XeugYNHnRNa5vRJL6upfVN2H78zmtkFB0nMaITNhxuOcJLFikU1roaIdTMg0
frCANwVb5epCsnpmaop6HvrgBnwcdZoqD5BFQo0CU+DOi1PcDEYusmMvUAY8wgvr4ACpmoj/9gY5
CTj/pkbrckNqMTaPkZfrWYUqjJNFJkGBbDKE/LQeEojyazcZrZfNanb93onH6RANDd32twd/tWX+
KUnQtCHUMe9TCHw7IqKjhaX0raaPjnobLr4N8PXCKCcRXaJXAUicNIo2raAXfHLxD3kCgaUyDR8F
2Wj00QmqPqXN7O40e9Z26Bhvj5O63AtzjS6E81fHj6ER8tjwcCbtFLktwLPdihK7HmZpIXxDr2Lj
zrTqsXlK+t7UkJSMVNdf6EadG49zwZ1PLgdc/eQMxivKdaiPmP6SSQS3p9UJ4BeiWDGsbfD2tzsz
FLV7xKXMfyogp+2CGkZXmwGpQT94jHdhU67BzL1MSGvaCx/wJCPYPiAoCFrs/KMsLqeXq5hmdmPM
w8SsOr26idG2OSASuUlDqehzP9LjR4U09dNiFreTsKYLH/HVudyGpzVCUgdyh536cnhTc11y4Nj0
2aTOQVsRlpR2S2Fa1wT5QaVfeNW9PhWI29OD5iKmpwlO4uV4NdpFYRoS1sw8k8csL8ddk8T9hUV9
PasXo/xTGXi2NTNXuBrS66FPR1/5kWNXfj6DvDNi934chXUhzpwbjursBs6GSMH8Xk7KKqmdJqig
BQQxvUz3tWxRHfdRwxb54DmlRFpgt/R5Ivdv79NzqyksuiPUVOmSiJPVjCk1guE3NV+gY/Y9zmhj
Vt074UB8JGi1gKKp6NAB4sS/nF1eLXmMj5v0F6bz3dWrMqCLUV+owL2eCgQIHBQ3WoYiFz9Zw3Qc
QzTw3TQwkR72LCepdlqSGFfvXTBG2WpEtEQpTJ2WprpKTDGi+mlQS5PMDMrrPtG7S/vhdfiwCYk8
caFo0nG1tz9/tv0o1YeLaJw00EZkcxEA5nqbjPQ4hzTr357QqytuQzSRU+E7pCALnV5xbbWxbJMk
CxqoYr/WbCgeLCtq9k1qzUHnVNp1tGn5vj3oufmBhNikioAFQH19Ob92ZYGjhlVMk7ihZQyUvTNL
9IA1Y7pwks8NxYnifuG9Ql3kZFtYeTwmUL/o4Kyi/1THVYG0mWN8lwAM332YNvYeGCQq6ltZ72Sf
62uTLDV6/UE9rdXB7fK/rbAvQQ9efy/2A+0IcP/btXkabzthQFGH2coGVMvjUK1rsGoyvoX32n3A
ICD/UK4axgpvf7DXh+vlqCdxIrSXCspWmATCGNfjWCf9oepG8/j2KK9zEZqaVNC4NqGg0998uS2s
eUmyRuNRojlDcldkA7LdCi26QtbmDTLjIQKFUyiOMu7Dn28PfW6CXGK8bNHJpAZyMsF57WpNm2fe
Q7Y9BzbGFbdZr1+qJJ0dhaI23X2qvRDWTiaYDsBtQysJlDmOe1FXGRgyZBzfnsvrLc+bhkCIwgcl
kFdqYJXCMcPoY9T7hzUcDtVUd+Z+TdusODaF2fcXQuK2rZ81F5kGw0FIQamBVxSvyZeTGqNSNs0q
0yBcG3mIsma9L60kD9J2q1W5A8Yzb8/vzBGg6uduaBQyjlffKu6l1EY1pYGjyDZ6hNtHqp2Vc+Sh
0u9HcOW3o0JWfvf2sGeWlXgM6IZRbe7Mk4/Xa1vy1YxpEHH57K0yXa/CZKCkW/GYv0SaP7Oom4wc
LTkOHq+qk0V1S31RbtSkQYdMcQX9jNTPB33g2H5iu118zNBGLC6c8jMz5BlHGYsLDj0K5ySXk2qa
MB0aiqCkGepTWwof7KkXx1VU46+3F/PMSaBxxTGnUEw79xRB1Q+KLkA8FgE4euWPxmj5+er+/l8G
oRJNnQMq2OlzWDfqCDxfj9cHPI1dXOp6UE7ueuEGfbVqlE+4xuj7UbPZgK4v9//M443mYloFcMub
+5yye4D3xnSIF8P++vaEXgVI9juyq6QenG/Je+3lUGVbthu4uglSlO8fQpBZ4VWyLpBckYJvdRet
62ZyYiye6ib7kU6De0kujBbqq0/H+wmoJAnyhgSBTP/yR/CcyyB9ZmgHWeiut562CjTe7sZ87aLM
twvZFatnJ8Waux78yS7NPd0pdDvzDVp3YbNzE90ojC9rIZb4Z5KBxZBXU+7U2lOssNHov4ZLlpbp
UWljp/0ui1QLHV9L9FBDzjYbyyzd6VOkYzkQL+XY6EE/0u5ND+ihtuIB1yhXq3w7jqft/x+vjfje
qLjo/xq9Xk9fV3O1xce2UG3xG+MmHFnMYUmMXapViBPhatWnxfVQp8m1rlI7pTmWjss3hOV6GuTl
ELWp2psSgwZ/MbJxQkIc/FH7Qc83tYRUxLnzRHnHxO4FLqX+2+3gPj1mPAgF7hrQoozSZ2UKFYzI
7A4lP76aw+u6TYseh5OhnL4Yi2ZDl6z6NAyDgiZ55qcoJbePsxRt+qmtLE0cc9cNKRAyl8r63uTL
INZANNOsrGOLAv0qdv2YzhqWHHruSnVs406bDn0B1MrryPnneGcsiQOZtnAbfKGWpQ71AI8IsXyu
htUof+d1idLvAe+p9GvT8Zwdg7ytau0jeNkq/Ngn7grYeTAQ5Y+tseOn2iBLvhlDpENqFWtZrl9q
uwbT6kZIR+xmNNR7f1D4GNyjgVlz+DWhDe5XK1xU96Me2jwefIpMyKt3VUrR1RvLNG9jnrKhaxxj
YfbzZxsx94xXRLQODf3KVNdk6uVmO6xf7Vnl0WNiOfgO7VEQmMb8Kh/GIb5XuA+NowdtxpH306Sq
fEIgPZoWNJDp5pFjJ4s9V19bBWOfd1dZu/3TuogpnL1ktFbt3ulElP+S3Nio8Bea5kRd8H+Szumo
W8OXyo5168//iTmXZtfEuh9HyN3HPpqrrdH5y4BRRx9EbjVFDM9Bdh/ScCnArA+17ayHBVn38rtj
ZToiueAl4oW7JR/U9INYOZp4sg0yW++awQEGedA63NyEZ6Zla0V+FvWIH3u4IJnhn64tTYutHNod
tAVtWQz9myOXtYOzLue1Hf0o1Zrlex2jnXs9mbVcH2XZDtEX4YZ9+QC7dc4Dyw21yYcWseKLpONw
E4xVgnh/4UQhhH+K8etTroEe6QMEhhm8nRp1uyypLZ9wYcLqxgkrIhBOXEOHhwlUIiPSjs2S03lF
LVkuy/dSFhzUfaEvyDR4KtNXICJlqpWtfiNas6hdf2uBu3oQ9xqizTs9digDequZ0Qu4GTBHWV2s
GYph/W3FGl2sIIw7UECeUS16JfdAhEoHxpyhrQv2IPpaTt9BWGop8uEr87g1zUgDpYrOD7Bkb6mc
KPtpNe1cJ76K9FX/bMc14gmwdha8Ery1ByKDucdUW8OvIl3SOPY0M3Lbwd/wEF13rYy8kf3HrNKt
vL1q+zyuh0M7Qw3u/JFHgbKDGs8M67YUqV0MaBcluFZc9URr7O9yw+1rT6BhY/m4mGi4GSXD5NTm
1SoKwtdjmFvLMHwu8YXL3F1XumoyHtuw4u1DdudYAnOXvtTUh7lf5/nGATTUmbs6WiUa1u4yGLuu
W5AFQt0YEfK7Im2W5ojJDAZwIAr7Kks91zIn97dTmPQ89n262H/7OpnUjaFnnf5DJWZXPRQKRj6o
P8BKAA8hkla/TUFM9syRbAGPg2Qcb3S7VuHDwgN5eNL7qsWgLI9s86Zz0KPyCV/6f6rf1AuTYamv
2nDND5MVGohEYApnYK0xRR/s0Iw/uTAP9mbuZp/oq9X0ewrldtYD0tVFtqPc1M74oPG2iz/Z9ThB
3q1FI7VvpqD2/Ys5JeJbb6cdZYEBR6EDP4uWgxFnA7Y+M649B+DWen7TLWVoBfZEmu5nqWs238SA
MSImDkXR1LcaGtwYG2VJ3twa3MDhXSOTebkl3tXfVmks8VNUuk34S62JU9ynmeao+77RV/cbWKCm
2neVlqggNupxOZCrIl4/ziWg0V2jFeGfyu2M9g7YalLsZzwrXDTWjYo9FxrAXe5b2yzL324ocb1r
tZZ12FXr2Io/iRypTqN43ZrsavaIPt9boqA9peFeZH8pFyxJrmMtlVD75Rzm2VMYYZxWHuXU2Z3a
61YbzcZx5qEQzv46OSl+Qs4y6X9G9N8xwIx7Qw6a3/WaNP8z23keBAz6crbXAIbGiEEXSkhRNHuu
GycWXI0q3lCpbSyaGV/HpWzKP2oodD33KqfpYMvGkdm7PxuZ6vWTSmSRkDFUbPQYlzF3xbQyqxZh
gUwxhqIvCaTOjCWTMyL7m9H3aD4kmjUJD6AMkkFONRPPgR50w/cCXGjrwaFKBkIjxmV+Bg4EjKWB
qxw2mVUCrEjPEuk84d4ni6dw0orfUVmnDtXKfET9cKiNJ0OjYuYL9qLwVRO1xa9uWJ3PALy4sd1C
j+d7u5zmY8T5Cm+zGOdOn+jTfHMMGr9csJuTC6Cez/lSpb/txOqLY13N4r6eJvse4mnU/7sWvuPl
1M7wHDv7upyaePhCpuBQko7xoDzg/pFOBwRNQvzxVChnX1Ruax3XTgfWAty3eKoMtZk/rdpV2y4Y
71EbjZHQr1E8QItfIkdgYWyX7lPbCm953SwFpqb5il0D9/dV3ZuN3GFwNAHB7vti1zZGtredxZB7
qaMsz+MD1ZB6yWqEe8EFxUFdlPimjYDGg5bO3XCYuN6+C7CYOfaI3DG+lY18lGTJUQYaQbX2/tJO
Q3bVJaPCJWF0wI6hFudGKAjNE+Yni9bN1xGyFwuWNaU6ZkXbz0jWTA42bRrXEEL2DOUPlZmB+TCG
UPqtUdlaIGasYQDZRfFnwp35tRNVOXrm4naPMlXRoxXN4d+Yzs49UvjFzIpomr6PE8TtA121Oueh
Sl0cXvEecj2EY2r7tg6LObuvqrXsDqbs0vpqruDo7AfRm/NjBtO8CWSDbZeXWt1EG6hia9qdW8hd
uDh65af8nU/bd6ASvmTV6PdhaJr4g6I/FuCFiCOL7eIT5/ETEXu3y8H8ib1UcROJap0DkM0Jc9Dn
XhwSbcUa0lyT9EfFp0HYdcq1vYD5jWcFQgZ7yoc1To1FgdMGj51in8qcf6UMSw4eZU6JiVBqRE8t
DlThUUbhZHqKTAUIRuq4le8aef0py20n3iszRdPG7Qa734uq02npbw4UXrV2uJ/FI8heXByMWHL0
C93arUNRf55UV1hfiizCX3SyN9uIYlZ152VxM88fLBXVUK0j4UZ+GU0KCV6+Z/0RZ0PzWEVpYV1V
Ip9D/pImyS7VgD2CgBk0er3qCWbdmsh8Xxaj9skEWlX9Z1R452kOMRNbg3nALjZq+M+KTLko37oj
GZ+tEisCKV6qGzdPlTyQ4zra4OVumf3JVjFPf2yEV74Vec19kmITInDTwA0XR6VIZy5GV/pkSxLp
xwm4xzVuXtaTaS2dc12G8AD8WIzR51VFJfLcIO9v5jEkuRyniSRvXGvXDOxKRrOP8JSL7GI8J3dL
Y5o/OunGt0leFdLrdfTMCYZuinRuOBIYp9WQj62pLz+0KsPoR0On3/hsDj2SBRYQh+Jb1jYjtbGs
64fyI8cSBy7w8Nx8dpjo2l1MXvuwDhrSLnplJjeVYeHWVyExScKfVVhwRVHsiCOfyhr36xBPHVu1
dD+P0E3SXTgnfehhjDnGRwx08U/MgOpk3giNSe3DPqQcvGohtqlxNRvf5KRtgCjYnOmeIiQK/2IE
DRriI3ZYzVFHh8iKNk8n8un6a5yKyasdhbllFw3ELjobKiu8CYpkcWzhu95RezMR01770bhqVG/A
ENN4s3C+7EQb8UDS5/RYSqetb8hVeLVlfJYUeT+X/46eDlYXdLOEDg+BJf5KW7/4Yxpr9Duuq+k3
8i/xzynK8lvssPpkL3il363pkD2UoZbPgc6G+jaIUsfBJhPlQ5tpOjGzMFaxV7OdkxTg96kFFgmF
ONjGbGRXGKp0D/TZrWj1ee/zelv7Unxu4dghqttgsBCHqc1doHFr+cB40cfC8NVJSAZLHqgjzml3
dOURp1ghM7l7MPp6u9dUq+bHFH+W7KrHOK3y+lFXOywyuIewiixFv6vRq8NRTNPi72kEc94DtKYX
D9ioTZhUFU0oDoTi6gMgihCKr1htaDcD5hpyTdEKAEjh/tVbc/6r95r7t5MWL9sxDZvFH/TBomnp
dNxnAOywR5VGYe5Ci+c5uJdNMHI2iubnNE0wXaJYFJmHAYf4RbOEN1DvGhkpstY+OqGq/sNFWRPX
Anb6wdBtJ/EpZ7dIjDtUgfcwV7LaT60Q7EkcN8bTWOHcxWW+Rj/ssp4+2qsMf7r9ot0PwhzuXc2d
cNQm4wE+2VuwihWubfouSdNmP8miS3auMeM3Eg/J8mFq8hmnFDnN/ykkSTPP0pb+F5aRVYHSSyns
IJxNdcj1dtQp3ETrz06XI1T52innIyac4r9pkoOC07NUP2uCx7pTg5N+MFNT/2sOxfRx1KiDY8DS
2T9HrDMfYguVDCiNGDXipUmKZNFMGTGeNOV4zAHhLkEzJcXfudG1/8puTk3i27J8wY0MWZauWvP4
U5o0krZpMZZ/MD5qFwx33CzbLZrMc5Cb+XCjYeHZ8kBYmr+RLcMfi6ij+4Er/M7GF+Z73FvOZvi8
aL9U02NCtpmpBm7JN/fQYJkNH6Nh8sA8jzfaruyALehyyRG9jePho9vyDPewhO15VS3x9kxwrOTO
MIu53Nd6YlGRN1A02o/dMqKh3iSWOtC5NL7bfWbZ6JN02ifZWhx3E9qlolDFGz6YobXj5qlmxasU
JAG+dZ2GI8gkZigc2TxX1ys9X7nHzDpad2bT0/bsZd8fVMpae25f9LZfDTj0eUOn2GThKOWnsHHi
J5AX+cNkDtSBePgNiIXXbqPjI1MRQwrbmT9neWT9GSs3/zB1SRddz7Em5M51SGL27Vw4vZ8NW0dF
D43oymhU3u/n2XUfuNMxncEzpLxJYXj3V22V2z/wINc+zKm2WnvDieOvEQnrcK2i1v0cuyH2QCwv
HANqLFboYwDS7BxjVtmxMWSZ+pGs5W+nEXhI9hgM38i1XZ/kNNS931odlp6huWgIjPNlDgWtyGk/
jvGK49u8zLdEC6vYu2Zm4nfl9JPfAJkgna0jHnchk2d1Fnf5xqNbPFiZiL5kLURfXJ0avG4ijRwg
wHxW/5snaXED3W8L4VSv7H07JrXyYdH0d6pfRsR70XZgAdbJ9ldoWZ/QdROzH9erXXojZljNLiJt
t3wtl/qVNU5M04UEgRZkMSmFebEhf9HhCx/1WnZfJXD6H7QJlpsI5/HZ7+Pc/epMY/WbSmB+1w51
8V9qreKqYpqtT5ec5y++yAq1DDD/4OAmN7wSZZc7jDss7Cgt7KddqIvR9Iz/x9mZLMetJEv0i9IM
iRlbAFWcxUEURWoDIykJM5CYM/H179RdtXhlkt1nvexWg4UhMsLdw51kT+4sNQMcxPamhwZzD4Z9
G1UE1TMY7lam1C3GyLeSV8oI79tqJu8m8KvxtSlr96tDKlgRT24zv9Wk8daxbsA/k6nt/ZayVzXk
Zy5T+ArDTJO8FFF+vXtkAcaGm3iDa7RVslqll2u15DQpllxkShRz07PWNQhi6Zk7XgTSLCKafZe/
21ashCDc6M9cVWV1bNZRMwKxVsrwv5f9cJa1YrvJwpMDtQ8VO5PLZAd5MhV9uBzomkyXuNNePSPT
z+7sxd/WuGU+2pOWuNaIWWbtzzsfT8J4JZqwT3KHhf3LcDTjq70a99HfI6IzJ7F39303h1+93CHc
OCJF81HNVf8+I7G+wT6iN8fSLyMd97hgPFsaIDW2OYFZ/i8H+dCsHUdARqBqQ4n1g3vdWcHXxVGM
cqiI3adiXTk6tt6w9eOPtW4uZ6tyrpqJIZne1+mXlPgx8VyGPdZ0zAwZA2noYuY00bVct3s3kzLg
NmQ48Yn7bwSSNvmhGDbMjyomYsIg6/q2OyVeggPBKZ81BCJejztGCWeZiORFONXBj7x1u0v063Qx
zUqLIedQP4IsB0OKDDnbiHUVYZGSJomAvgEQwy6TvfmbErLpnYBvck3nubePnr/S0XfkapWJPY7T
izVs0Z2PuA+tPaGTrH17bTMmBF70V1CZvRdDvJWf87aeVaLmzm4wZV3pvUKMo5x4dvL280J665a0
m3L2ZHalvnbD3EQchXP5EOLEG8Stmsvg6ISLPPKMiXDFmKe+ae1JvCAuYt2dpXd7Somdm64btuO2
8xqW6DEQ21hc4hzJ4VjQVhcxtUicR4Wl1zOLeM0gHb2QLXUvp8iQZh1cZrLZb6e5GaLDrouaEGJD
wLscPePEkTDTLVmVnGpdkENjNsvYnZcBRNFhR3n47GVqfx0ibQ0pz7C+XvRsyzTaJl7ups7arzNh
I29R27h54tOhvEMymJsq2OYiZWbuPs3aiObOwophzh8IqZ/LVPfOjAV8tpTji3QMyehUAHf55GZ2
7qdhFw7mrd6FRQBbPfMViHDmKVi06kyGk1M7ZycBACvO5Ri9+15Jsv0wTvv2smWL/BxCHJ6b1Sr4
cPZ1ee7bLXpvl74pjiHR5U+Yp7tfCTurxmRzRPtilZy6scXE/WUXVYTxkh/1Rzn6vKWRv2zNQUxL
FB70kqnyfATrJomkc+V+nTcRPcvOWPzZdyfgRTLvcAZwALCbtFQ1wazYlfb6EIbEhQNzOO3nWmOc
gH363olYj4V+md2KNtQOZBcc2oY/Ju3XgUvrcAim1NqNvqF5HphlTWOGpAXRKw9s57ctmJoaXoVZ
/TB/b/YTpGCsYbgnhjcMD+S0IS/ctoGs8L30OpCpYJmtRBi99xwqiny5Hk77p20C8pcUz6G0z71o
U9+GbMHpNAuWwUnAmBlrTOAsID3C79Xl5NoE0RkOJNAhzPVAiUdVtEm3797dUm319WqJjTDmeWMU
yndke0mhR4zki3FW29G26TFQwOTIgFvVjjUEje4eqnGxLf7na/9JOhV9m6l2qz3uoL5uQpqbf982
qAZibRYF4la3wSds6ZwgnpW/fGchXi8xYAghcj6PWaXtKAoAKxXld6vBGCcGKKmtsxXV7pZ6GodO
cOgoHHl1bPemybLpAVKlZbY3PeF2lO/mtdTuQpnGVot/XtJNxyKT66O9k8KrWj3rM+T61d3U5dJO
PTwi7ucIA0c8vWdc3zt/s6GrZLHQCViTLcVxiYCMntqCBM2UGE0C4vq+K/cb8pQZ1TyOwTYO58XT
B7ULzDtFs2/NVTmG8nxUal5jBf//WPBWzShrmpCMZLa0CRHuSz6oEq1MHpMCUjOI+l5+tuROuKeY
EyuozKyaCb3EeDxL/CXTr2Sbz9ZZwZR6Aabq3PbB5v8snMhdqFv5bAiLh8WJvabZrWO95/Wejpm9
Pm6eaEUsZWkmvDHcJoCEKYlMJCgYwbfBG0sTP82IsgHzkitQf9rwUCNPaYu2gW5/C28gicYvGRI5
C8IfKAQ/220H9ZMzREC5DbtITDahH5UlZxNJ382bKIjQTowb1Y8ZDL06tIGIiLVnPriLdEXnxHbR
WMSWRdZu7Jumvsgcm73eWUPLxB7ODF0a0LmOyQLH1/Ik954BQLvemHiVcj9Ho2SulixdPpDfKYEw
BrnQCC2koM1EdpMuFMzqbilpeVM8ueuLlkzOIl5zsQ7puhXrm50Zq6Hf29R1VbeNvLDnTDyOu+vc
o/0lcdsjSR6ElZzq8dDC9t3svQcAVuTe/OUfkiGO1kj9sJdR34oum59E1g/NIRqH6ofn1BynatX7
22bEeOuYrvgx9Fh4MBw42a0ynU8Jynr7aW1cPHtX0KfzwO7t92yh5PFTecfgRckaXXQ3fgs6ATC/
7yuOW0tYNKwkY+WCX1vlHTjn3FsYtOmBUXVXiZN75hmRtPjWwUxwkEWFnuJmkaIiDbuBT8rnYf2s
TFgY9P470QfKDsYfo4VnC926/0Ng5GglDKPhJ9veKpDeUU9fhG7prIt5sW6a6lRpdFFk9x3HJ6nK
s1yvIEfYvkXIHIg4Kyfp32hvd32omba519LQ73LJ7pbURR9rw5XzLgxWitUY+NbDEHbVcDVlga0h
mAgLJEyzAabERju0z5fBxSrLw2HFS2fZmZ/coVOxotWsEwWc+iS3ArC0Xpi2Ys8F9sixJvHOOQQl
uHabQYTbe9vf1yengWPU2eaasud0jB+097Efiv5nJlrXTTpdDIzCq9M/VDqatgS+vJyOkdth+mLr
Ut6PtCBW4qPyuZto/0lu46FAPrE+srAZr62RJjvXOMBnrVrjmlrHetJaBubCZSPwR0iGmRu3cnHb
hJfEPK9LJR5zWY2EwZlxfO3qDLR2JbWkjhe9qjsfe9L3kZPnFqRZ3uHZ29t3A1r4DMiurYnfODHE
uurk+JX0x9w6q8i5vmstObVXmT/vJJHyeflHlhHh/8i9xvT45Dd8aKeJXt4Jy6hEzTMJ8uVXp3jr
arBZlihHBlox1jU0kaqLO5ttWEI853U85NkExa+R8nF/jU1TMTaWf1/LU6g8enV6hR416JtVQ0wf
uolSnJhK88aGvRX8nB3LPLhmWacrFfocOYadG5kEq6dfwcEDMrcRIZ/5WN8WF6WLPP50zOGJqVTv
0P71ObgdNjR2lgDr7s+VXuWLqZtQxqtdiyuW3vsffrABPGP0jOFqBQX8dWmCNYgbImLPuQ/BKRBS
8P/cjutAS+sGjZcMdej9hPfwYDtQEZzI4padq86dGLMwjrfewU6AxTuK2prU0If2tRlb60sj3ME+
CMJxiNMsm/CEI2eQ8UEB/pviJdc/1Jtj3jRKrhd+ECktDBtNdwjYDvETd1in+WzDP/0SwMfa4p5X
6DPdUtekuZMJK+nDXThnRs7Oi+V15RMq1eLbAjb7gp2nLM7gqdunoSq9H+PeFzqm6bHA/OHm3lQ/
uDc6CoeNvLw1ku8Ix9Ue21mFCQBpFG59YdXN9rXb89G7tIsuG9MZNQgvMoudP/ke9QB6OMATl2tj
aPFQ3gwHvxaFOkxj6V5NuE1AN+nO/ZE5LUiA7MMsLcbN345BuaMmLBfPEkwMvZjym9yrWn4zzIBI
NO+rOfbL4jRJy7O77IhGhktmIfNHrbb5XnU7Ta3IpsxLDHC1c/A6T1eJshrHutqzZsxIih28F2Fr
GKEuD+35WDHAPgS1kCqJPCHMRTkW9iNyWJwBLFnQGwQ9Hi79LEFn8lMfEOdZpm6bzlENxX3rPosR
eoxTmsSPeJcquLcmf82Pm5jbb4GiO0rKDrA6bkTucZ7ZjXqcB+19Z+cCfKarlz6Ix7lj+eLZxclQ
3jjG2ARyj24pYqfOQJvW3Atu0eqqOg05h3eo9nCgKBHZzHrdijvEMSfApTnLmiGormzKB8hzMczy
QChS+VjVuQHu8TZRHnp0SS5wng2srGZ/T2yzoB6W9V4/sdflEweNn0XOPx/31O/sfY45IuE4Fk6a
HxMmum4K4yMv/a3NajwsI//Sr0OhAfQ3/bngVj6pfWfJWFdR2SeipvYla2EXWA53/aCOQEL53VSc
/DmazZdPwiqWr+x78Pl1S4YAxbRKT2nhhpOb5EIhxXCz0L6YKr6/V3QCFEg36CC6bIdiW9Nm8XF2
9qhiWQIxYG6COBLfxIkhtvSHmWygVjpnzYzv2ymvOju4miGCOHATHbt1FtW1Z7bMj0NtaeKMV5yJ
kqYDUD0PDbHeyhuKrx0lpeAmBMtFL2mJ0hANlPuw181ybVyrL6/pzvzrTVlBd+at3VomntciqqFz
AK2RcpVj2q62AIDZc16ewvP6l9Us/JDBKfP7lqHrq2YmYMVH9Bgc7KHKvtRhrgzblHsQJAD/0ABQ
veOVUrQpxxZMvU4aZcaF9Vln/CSXrX8XjfDKK2373jnb18u7vzbewbKLZfgEdA/nNbMUaShKg/8z
Wtvyu4Fb/dGAvj65ykc6kSkcfRKnzv8J+aY1T8tVubczcg8UYnCw+CitRkM5rG6dGBsbckw3t/E1
qHqK4FKAlnOSzAHJ3HU58Si2gFd/DlXnxh0xu08R0qPXopH6yRqCcDmFe+vXDpNomVbFKu7pJ3YU
KgN/fBC2X1zSs59q3VtRTK2WFTtQ6E5QjrkjTYvJVYnlkd/tzG77RLIvBjBADTjIA3OpYAxjuWj3
1ZOz+8WxguXeFQyo8RSu07tt5R39CEOQSjNozYuWH0hLly3OVUlL6idNuU49mhV8qzH7dDCmXRUi
Cz79Vp1xFhZvgbt5M/bSZnfweRpKP3WFF5Rpxg2UCbLcgG814z1IStspkS3jGQZ/rhBsxaeazNIK
D9iNR2KlrrsQuBNGrlZPGEw132u9jj0q/L257Ro6z4NZcwWtBb3bplG1uvqoK2jtQfvtKVW8dvll
GVuihz3jgIEbD/U3VVv1KwMBe9xlK/ZHWxqLrRUxbI9ubqoH26wS0EhusHAcH71K0GvATDfh3N+u
czZ8al3b+TJ2TPr3wE6Omwwor74ZNute8t60nye/psVGAV6hCSsz56nwTM8GvimdTwKauzjvu3x4
Ldb+pEBkBqnjDRu3+WyxulrE6xJxXgizVNBJkImPvo+opSqwuYy3oZt/rCxcfPMZQXP6DYfv06FJ
oJuA44oOvb+VczJMe/5FzhIxkYLROaVqFNAVXr9xn8sW++l4WWx5r51N37eEkymgS7d6RVHHEGLm
9btGWdzGxXR6i6fJLfvzXdXdcw8hzAsdNZpcboABK4Y7KKIY0Akoavfr4qaYVRcko2uPnMMb/+hI
SPtSEO9RAI43ljDNudtmCIemXM/3+ZQhsahOQvvYdbfCsCS9iGdm8+bW8YC6ufOVuFXjnN+xToN5
biY798KWMxjweJIo8cF5HgaRdb+EaQCo9gSoqF6sfLO9A9nZ4LLrWMpPaCY7P2GvBOCKec2Hla5k
YBLqLOINWq/u3ixExKRicHjgxQyVnPIJsOWRo9h7FoWjdOoUxjrfBPQ7NTzXr6HyskePLob75Ivl
TTo7LD8OniUxM9IzDOpiK55kVnrZJZas22034Bhz5FOgsCHN46zsPUL3YGDXIadzd0bwplb5HBWm
H6+FS22Jgzmf63Ru3GGPhW+yW/Yt1ofVDue31Z3d8VziGXJFfrGl6dz6DFrS9V7B8TbKXzDm573D
hj1YbNmfWduAske7Ql3xUyekDYFdFIlh5epHyfvDFfBwP05W6/9UbtH4BzGu3eupPDClwXng5U0n
cRFkusXWEL70ZQg3yb5D4eQdJ5QIgWfAKD41I8sFyGP87NMeNCT67QBxaBGKvV/TKCO+npbILS93
rwPBVhk6dQAM1B/HQZj6Ux31HJ7t0G42r8/oXNYenBOeN1bfMEP59YM16+p96/fgW4EeHEFm4Vhf
p31gKPIaXHdcXaC2yW2LHcN8sTLacn91vvIWVtdI8d91NjVD4nSKbi8o6c+DPbRxhOwa67yyFXom
vUNyUrCroThUIS17vAom0biCrkNsFG32BaKcIjzgdEc2k98J57VDDEe1cjiGq261zotp4JMA+I/u
Jls5dwoEukuzzdleBptTk5fP3d7sjrihuKor/2qd0H7FXdSXT5uBLgOT2rwbdrA33nDElcVhQdg3
4g2lXKb5oIbF8EdpXfLgRrQatRaPdaRzhGwnAWLvkTh0tg5rScHNupeRJdLnzZn6T51Vaue8apR1
7ISe3TOK61AnwdzPhYtqAkiQOCDwhGa9rDv4T3liEtHUhXHARul6riOvhW9oS3+iAtmAvQSlsOiA
Vz709urUfE88hIwI2nr2fIiPNbypt5JEs8kBHr9hqQz0oNO1H5AtM6LPBZYAreDcKObDqoLGOZIU
BKRdLc743Ff29mPrOINw5IJxTqvZDJ+DSIrmGqFveVVRLdok2E5TFRwzfwRymTKPA3qvZ3xIxRVb
i9DYwb5Vr27hbj/g+LjqWE91lIJbNeHt6LYAwiQc7swD+N/CunahN35lD055V4XXl18QHcwzDdeq
FiQzpUAzolllqZNRocA6z4HUpmvWaaebFaH5koTAXfs5CYmqLG7hWrX9iMJif6PxWtHD68DNpqc5
r1kFOYxYcAUXAir/FZfv7Vnnjl7O4OTDPo2YitFYLAJ3SOZrwO082MVLhCUatl2hH30qljoiJBeW
g+a67z9P0PgIq6zSehPII7p0L2svOyAOiZBGMZq2qTuhEYLpPn0A7mIwK7S7cB2SkDPFp8MOUJrB
9EWPcz+E9/vibBZk5c7PZEN5OENpu93s67QDv+1UhhRiZHnIEU0v8EOyHsA0w/qpxB7BSZe+H3H9
QQVIk1m3Bqx48ig5o6wZ+kOEIRLJ2DzP6FJEUUMxCF4b+FtsHGu1B9n5ALZcYlJEg5v0lg1lCAXX
+UdsxxTeTFiphUeQ+5qzybGh5lxk5HjGjTvjcjeuNqSVI/LPNI/beihwUL3ETEaCsFidEAzHE6/v
pi1cFYaqNVlcG8o7PCKAzwWu4AzTCE4CtF17JV+92q7ZH+6w0cRtda112jqr+73YO2qgKEmjiYXT
gtFGFRrgeKFYP4zN0HxBmOioA1O9flrzoi0uBI033EapnPsgt3HY0lLxRs5+N0tYQylvNpqb16Fa
w8/YBUeIj0gryg5NtLPSuTv2/GkMS/tb0duBl1aVti52L+/V7Rj14/1mOs9CuxGiYO9PrX2bOfWY
uNaCKoyOXLB53fnT165omHMrbEEp8og4sxRk3L2nHMAhsWOGJNfpGiEQv4nljjK1r4lT1WgcVYWj
0Tb8cw64c7TGvdXPN5RGeGJ0RNkzmxjNucFZVacIHqAHkfkML4b9uCkdELwNl+SmWD9z3YXOmSXA
+BJgAslRYvkkSFJcRHiQm8P4ifv5/L3N7Wmjoa7zJzx213tTjCsnjPLz12E25mceILM71mNUv0Uc
0uPB58OCiRiqcMCCpgrQhRpazoQ3HrLbLQTfDVsMNH6M3vU7GH332qug3GKJNfwTLC4YzTbN5qbv
t+gV7xfUPDDG3gALsFdIlh0Rfm+qdn8rma34VbJB07a0weomVVl584nO89bEKoPmW4m3K8E9cmfd
3gWpg/UsTzsd0xohFu36vUV8Ylk8/Bza7nLajD3HVmBvHt+BKwpURlU+HkIVIbvmbCFSKczdPU8g
ZIdPJI9ZJg0s37r28o6wgVJuTX9G/1h/HXqqMk0c0qPFVpR+BI/tO3LT6o691hmdYWm34oAiPLub
qU9FQpsvGdPKfvlsoxX/ouBuHj0fHsHldLxu+8Z5qBrH7e6Haluw2onK1Zzb4ao/T8U0YYO6jw42
QKqZszPTO9XDopwJ5GkzLK0YawdtpHfBNHW3wzo8MCUJ/1C6PeOingZ/TO2Zr+aQz6WmPkbb2F10
rrYX1nE3N4zAVj3qg+fM/NcF6zzvqtyVSPBa63E0qKSp3sIe4cQZFhlrdrMy4yDoCrL1QaOb++Ey
GvCo5cnMpcvB2jO3QE5mUMAgb5it5m0bdfaY0el/xxTqBLMavbkUAnrAA6s4zgv7ICg9WtaDXoZS
c5CPs4zOhmarYVnZEGrPNfrOB2YVRbBxZU/I5z2Wgza5DzKZGjYR49q2mwaFCSBJmmWsydBHBsEd
2DTdpsdWwFU1Ir9LSyImQ8iDheMJcY3zZJuhfNMhyt6kaQK6XLb/xiEZrDC76yoXnRGdP00utGtR
H3un9T+L1kbIs2AacjcJOe/JEGbLFrP+hppJBVb/WAel+RYuvvzsQ2hZB5ntlkiLKIKcIBsqL5N6
bGlNG+F09zKcwwfSG/sXS0wegqW+z+2Eegh8SDpcd81KmujYax6dV/zkEXwix20vRhav1oPE931O
+Husx4yd58t933o0IgCo36e6zF9s0DQUtYNuS5hYXrHYdlphUAquJ90lAjfEAUjgv2adKdwURdIO
DR+E6gyFPf/SQVvXc+7BvtEcI8mPFweftEM+zsGnufKEplQ30gP7q6rnUdXlY5TV0R20IYjLlmW7
OAFcuo9DX7DaokuXdt9Q2V5pGhg1bFSW8dyz7BCzWJW9+QVQxXGKhspNDVqICJ3XbC7d3W/xurBO
J0xlDU15cNcCWLZB0eEcZBsGt6e506OoLPvF1E/5mGTLCraHf5N9Pa27+yWvqWIxBpclCUSMJcdw
VLQzmDePPzcW/q7LoZ3tdB0t+PIyZKuAO80LmXjzkDfxuhvxzAIiz1gbLNHDcpePjg6wahnQXdpA
Y7Ro8Vb3Nos3dRfdz3W2ezHDekHTkEnJB2HZ4stWOvuXrFwXiSD8hDNjBre8utXkDMm+gcMkOwkU
2clX0EC4gRndtUblAvksY3VsnEDesC42fgqjHMFxIFs6+9wNZsKiIrVpKj30vD0ZqN5d11t2RCjq
5ueNnKJ70RW4aEQRjP2Vs26wGdDhU5pR9idWLDjrL+zKjUQ8zWQpz90omEVnaPcDw2pXsYZY9f29
bSSyADRjE0s0mQXfxY7cchh0YVQ6Wlq6SbizAp1oa1leV2cT22FbRlkdoyKq+aaKyKfTQoC6I5/L
8yqVQILld50DzByWXcg1aXsW4GnMTI3kIhrs8hL/sai92dYyvPPKuhlSZ90b1rR6NHa3rPxAai/s
KXAzBqf9LutOTkdT7JlOjQayOuYFjXEquYtjulPE6S0qWCpubKOEBBWys4dyCOglBqIvBELPlSbE
8K3+aDpNoHrJ3sdDPxscXk4xADcEIszPaGZdSMh+8m8GD945cXajkBaHqsKL0c0kylsqVywgUj7J
TCJ50SCpKPE2ZNlpw/7Q9z5T5kvfyOrWRZVunQSDYMegsQGDaK9+htnK8AeuC1YIekjHVXkQNnPQ
WN/o+LY5YUTpaEHXMbyVyhnkWeaG+7dcbNYNK6ardcUymfN986RzAmca5JlkCeUXAMPFDj9qdbcs
FzgSDb+zFNDsBBwkiID4ogJdWfcFoQd10rsWD2y1LO9xmUZo5WHxoXdra4oujMjn7WzjeX/eOcH1
uQuacVGBntzPzgqGhMfZco0gglOyR33yie6A46Kxpn6N9wkQ4ywshxEAy2ab4DOYZEML0q82eqmu
Du/9tkcMy3GT3w4NSuJ45S5/RaG+3p4GPaQ4VsM+mBD9dMeeZPZeKxDkZHU0E4arwwaZCJEqL1Fh
+JhzVZgAfVYDXNFWGOsecMNz3xvANpxhbVU8Fm43M/la0fCCz5DfALJ1zXsuhxEVRFYDKbHN3Sg0
6Z16lD0KAIos+gvXw/M4LidCyVO+YvMtMv6+0sc7aEE2oFoPFQ5tIzppt3lwS3YZElgo/80Lx+Ce
M2hyjn2Ww3Pz6o4Ha85HWvxROSo5VWdztCvAnQNOlcDYXrgjjCzC9vakQTVpoQd9Q+fSTf55DqNt
DoUrwwFruUHcTCun5nnd985FCCZixyEG84zwvVbydmIZ8PuYWfutz7boHG8IK5bzeQd/u2P3LMPb
VAQ996Zwvf5AitccXO+z36gn5gLxJCKAUWggZaHP9yu63HlT8qXpdteiB2Q8eo/yahUx4xcaxUyy
NHWmBlTjXwNSQyMol6jzKBIO0Bg62xwQHgFQab6gLl3J24hYXTo6il2euF8MWbR/3rg++T78r7kB
4QFYf2LXYGFyBgr5Ybm7kcaLBoQ/EMKu/U0sfRYv9bCcBfWm74RoMHsVWc6jm5e0qRd59ufLf1z4
Pl2erFbW8UNsbGHBft21Zod1nJGttDGrV4xDDVLm5dxCJeiw3alu4SiiePfc/GrUDbLgP1/8Y6oY
AXNc3bYsWEfHP/mn/Hp1csJ8D+qui+uMI/cwyowPqSUW8FAzVZTImkDRcjaz4c9LJip2RA91h9qE
JgbAe/Dn57/8RR93zz/+RR8sVhA8Z8PY8jjy3qUOQ2GmVR7ZCa3S00ArTOGBCx/ZRjs08+bh7xWa
s64DAbC3HGm4AXJATxL95U59tAD4588ixPDkeiudfzmLDZoKvbiMxF2bA7eyO5cj7GhAI+up9/v0
z3fhozfE6Wonh4/g5G6KJuaDTYra3I6Yd5QgyIHDN7cMHORxrEvRFmpPvxH0a//FUeR3ryGWe9L3
Tu+g9D5YXyCQnPp6godnHdC+85GZ0OZKtLizpS9Qz0VnqmN3u3f8/xb/cIo49FEa+6c3kOvLD29g
2LOBiP4Fug8jPFaugH9L9aV1OQsuQIKgtv98a//9Q3+93of3y/iCxRSlWDzsrI2JdjM3huteocdw
0IoPczqEw/AQeU1+/POV//1mc2XMZzxMjQPyqE5/2f9YPk3G62Xp8maTkGRd5mhbOXhV/x+9Wv65
n4QE8tqwkQGI8+tVuHTpRANftLPJ+dI7Sd/CVl5Cym+fA/TWf3lv/v1d4L5N+YA9hhDkaf56udCN
sqgVvKnjzGk2Aw0nII5fWa6R53++ff/+Jlx8NgLSyKF78Pc93d7/uX2sco2jLjkbssEeLuhg2MVi
fbhMEHiylTwC5/4ldv23V3QwYmIDntWEj+6Fkgl7aBe+eVWI7T0zAF3RXJ2QxLGo73BrDP/iM/K7
N4TohJBFiBD7p4/u4huJEC7MLdV4XJhXol1NKlXBtHb/j1eRCCI84aXr8tQ+3MsSMTkdBfdyH4IB
rfMcoTnSw1+u8rv7h125RDxFCgqa+F+f2Bag060LrjKjEPBZLYz286qwx4MGY4XBBwv78yvyu5cx
siLUA7RlVLMPX5jfj15uwtMrItfofuswBkl0ngfisDQ0NX+pJB9Nik5fWuQEFnfRxTXiY0xJHy0N
PTCbx6PM29cSQg99aI10ZVfX4dSdIonFvD79+Sf+pnxxMGBCJqmVJD3bv97TPQt3x0MkGuMpwEan
DLKzyYC3Om11HJosBIVw3DPXQfD4l5/7m6eJCSxsM55MFBf3Q6Oy2mVfhANf+pQt4YvN4nXFWSzX
c8LKlmPOfvThzz/1N1/DqSEjmsWRHEkfS8u0RTMauwYuC3lo6uFseVyE87dU8t88xcDG0c2XuBRh
/fzhZ2FXk1fd6ZvL7FpqVO/1VJ050ySto+ws1MhlZZlbif63+EtB++2VOQhYYSMsEL/0Xx9lhu5f
zy0ZCVW4MEezDJOl2cS3AUgyyTdqO2LXjVXO7C8X/s1nwvUsugvMrtG3nf6w/6mkIyvvARum3Nha
6cups9YDTrDiPgJB+UtF+81vxP7PIcCET+UUF/7rpYbGsvfNa9nOZ/cvFSPSMu2NLN6WEEj3Cpny
cy2jv/kV/+YHRidvePKDPBAU68MzZWEaD+aVj6SUGOhYI3IkVluys9xiS+E/v6QRmo+IlA1ibzDB
/PUHViydgyfxAzMMgdJoRse0Dd7f/N7+/SmcEhcsQlY9HN/8j5aA1hqS4jGQAyMwELittxo9X1Gt
f2nFfnOVkzce/6F6YqH/oXwu7Ku0nRdBRgdoRJXsPNQ6hf+fP2u6aD45Gw9F28L97Nc7pq1i1bTv
iCwQjbS3I+Y6fdqPYv7b9/Wbn0NhlrjZWxxyvAm/XghGyc078NN433AmLVt7TBAs/sVx+N9V8Z9I
UfyyiIin/fnwa2walk13gJz83PqS4lmaQzmh/1Carf8DG9bKvPzXVw4zXsIakah7p2iVD3WjRNYN
fkDH7DiKka0I1VEZrdM/X+U3PywIqYuuxeHmM+f9evc2/FvzsR4YxaMByrApgmvCZKZjGCxFonT+
t3Ce31+PEYAgU/q7j674q20tQQCugwRBTPB/xInCrmb/x9mZbcetJFn2V3LlO7IwD7Uq8wFAIAYy
grNE8QWLkijM84zv6j/oH+sN3uwuEeRitCrvzStSMTjc3dzc3czOOQFIm1iMi5turJUfn3fxAwOh
i8iYscvA+f/u6g0/PqgVBnIK8wjkbkF2oWjnP7d3OHkIjGnK4nWtFf221ehg3AEd2F0q+tfmCOCp
iZPpjHrl+3MBoSiNrcRgrwQSv1q7vh5CN7XQZypI21GpDSsLqJnhjpJ9a2sNJhjcJBhJ4TVttv18
GD+YOY5b8AVqaBVKxFLeWkofiVFVIVhiF7oaPAIB0h6B5qmNlxbQdth6QkmR93mT77cVhCkYyiWT
w+653rTDQc6tARVt21fyeatRlfWUCmQkLwWZ6/m1D4JXsosqJJ77ecMfmIwJrafJAjRZf2uuWXQv
OcDCN2j3sFWdYk3N7KYshz8+x9I9C95LGcAVlN+r/asoR7D8JoVfVmrmW3CNPiRvQm6wFNI0084Y
6Eemw9ZMNHAZUYrm3s5fpyCJRZ0q91JzjLZwe1Fbl0YCrPS+ER/hI5yOGkG7rcLh+v7Ph9NgGFEb
MTEfbTGt304iRkTsOtA1qv8pZrqW4HzaFHAqnrmjfmSghsydmDOkxlV1dWaG86lUYJynMllPDLuh
YOFJGWH1pP622oETaXb/g15xlYbolmsPrvptr2boVAogglinWpSRC8q91CnzgiTrjDV+2DFu+cvh
g/+aq7s+zFSUhcLQAIOLD4YAZWASJk1hjekuyTSxuZ1B/pyLhH3Q6CKSwr2HwWQLX20Ms0yZcjmD
s5lQbCNHBYRrog6+gNcmyDL386F8f5LDOLihatxT2RWUlW/JhgSULbQ6QKJawEVONI9V+gj2y6hG
EOLTIJ+71b3qoryNBy+SKdysTMaV08Nq9sbMCgOd1IRtseyyTdS34nEYYRCzojbf+SapIymqmm1I
ZSQagALpKTuYDBKCGRx5Z0z3A39jQXyCS1d0fPv6eBkOVGaiDlVQW1MHG4R0KeELYIr/fJQ/7vNv
zSzT8Ns6jPU27UUf9Rt/nkfdrruFXAupSFVzMsVqr7QsFPbiQH7NTGGsLVNS0RCXm6jyxOIZnaqP
7IsZ/0tYAc+wWq0FZHK+odLloK3gOaVa9UWpq4SSMDE49A13tM87/9EQE/xmL2HnXETd3vZd1We0
KaBltA1NqeBdA0FkTNlwplcfGbKBkLgEOb7CXC69/m2EqQxW07HjngCFXvXNjwPyiJUcPCO8fe4o
8GGHuHMtDOXU9oqrAYQdmQIBiQNHjYi469dUBJKoCc8cOD5sBVAJjofYB/77bYfANfmljGwqMsFB
ZHrQFKmdy00LBPTn8/PRyCHfw9ZK4J3gw+oYX3O4NwG10pDQip5AZbprFL1xU4IYvvufNAXxs7Uc
rNEAf9unrBmb1hKYpHJsyyvTb0MynCZlvFQTDfHD/6Ax1K4IwXHElta3cOhsQtihOfD2JGC8rmsR
vqRC3O3bNPM+b+qjueKIxgYIHTM7/Kpf1DCpepMRulEULbuBysI86WZvnvFVy7esHSckycYSHmKH
WHMx52mvT9GM3eUNdZN2R63oHuc4fAmJUHllB9rn8259ZBkE+yhRpFqJHNZq+1NaQOOZTuoMPq3c
iWfgcXWMSBjn+vDMZL3vG9ESFaNg4yOSse7boEpW2lBTvaCp623oVzeFWR8oldN3Yh31Zzr2QWsm
vMvIJ6D5spSbvbXDoVME1MZJr2uDoB+CzBLukXYCuiN18zUUff6Z8+Z7+yCyLiGcwzlCBum6WsuR
qFOwLxSA2smxfyuleSLmJg+3n0/Xh62gcsgyJpRBzvNtrwSh18cZdiYq2mBgVfugPlHCeU5T6YOx
W85CJFq4HBB0Xl7/zdESrgcdZVJXn/dTfy1J/lIyAer3oGaD/lWu/PTXH3cLEyTIJMNWT4Zn1S1F
T+soCLkSwDDGYT2Tf0a58Yca1QQWuA+ouCUcOpvH+kgpC5BN5HPP9a5QYNFt4I4huqzmDqUYANRE
5uzMan4/W/h1DflN7pQcMdcJwaovQeD0FvV8adVdGnPsH8VuUIY/9u5AKkQD5XID7y6bK+9uZtT7
UACSwIzRFpssyV7mpdSs1uNzMljvOqQrEjdwQ+SKLKNevlpUMP3WQicCRJSqKfqWFUK5Sdrwj+Pz
tMLVlOPEIpZAh96aH4WgVHsb0A3XwHArO8lNqHCGaUiUY9+VlO3FjUURHTh5Fj9Ml9XZPNlH/Vzc
BjdyPAgZx7dPkHLTWQC/VC/VKbUyUa2El2qkZX+6/7OdLBpbbMzszLjGt82I0MN36hLGAxZmupYy
vOQUGe8+X1vLWfvNlkLEc5ELWXLh1vLv20bqKG/qttGfOjDCZSHc6NEuEw2vkGQbxRsOOIC+0Gs4
Y5PvogtLq4CNCOuqC2HQag6pJYStd9Sfxu5gheZl1m/kwndSPXbn+fHzDq6bInYskn1AJIeIKwjo
lfOI4JWYKQ0FFayPwQm2E9/phqy/EOBb34g6ODUie+Hm80bXFvLaKDl+cpoyR4x1aC+GdUgbijG0
4e9IbsAHpJvZnEz381bWu/NfrZiceRVlEdZbrTeS0AF0wHQtBOY0UFQiLKFYWJQccOXnCiY+aGwR
CwGHRsYbiYyV16+LApkybalGDH3aGkrzlg2NHXNs/T80fPr1pqmV4Wu67xtzRVNgEwdADJm/hVzl
T49sSytEftDGIK6GJ1n5xa6TQirvYWfEyWjbgawxybbZ8D6fo/eWQHYWFAR+imgT8ZG36wvEwRxr
OuBEPypLbrFNCMNi+qeel8zPm1ZWq5gLCZwAI5dHCEF9G96sb2Iiffu8J+8NgHAE1KyIcyzZJmM1
K2MqtHIwQ6WGaJH+Uxrhc0gB6C68EsY5qaRX0/3dLXHAoDFCBGRLyC+tFeoGOBLUqSeLRRYdFhnO
jAJgbaO5rIWsOlF8W3it3nU7yF9lZ4xieQ9LbnrGN76bO+7IaJ5IVG+ZC4Zz1eOsgmE9C41HKwIB
UEGz6Ix6cu409WEjVHgwpmRsdHHdCLQv0AgH35KpyqyNUinaIUerztr+0ewtFTEqFyFSKDSE/snK
V3RpOlqhPg42Ynghlcul+QBvChBSNQ7P3PFWPfqrKU65SLWSw0bO8K3JK74RJTmHW1vPAH83dNDt
UkE65yTEt+2Q0CW5xbCpChPELrlOLvBXkiCF0s3F/sq72rmeZ9vexdHzXNc7Ovx+dPmv6zr2jp/c
44W3t/e853jk14Pr8trOPfDa5sCPvNvb76/cHa8e+fCetzrOnm/ztjZfydcvb/EKPr+/9672e77N
5uvszfKyt/ecJ97CI9jO8jf8zC8b23Z2zo52eS/feL294usvXJeveuJv9ht7s+EbH92jvd/f2/uN
w2c2m42zcRxneduGz/N9y5c5l/xwpCc80e3S/HbnHL5sDstbN4e9vXFOjsvP9Hq3Lei8w9N5m92l
43j7o7c8KM+25ZO3zjPfuuOth9Pdbne3DBMDtXzaPR4ze2n2zuGvP7fB18Dlf6/qdzO2TtRkcd2o
lC3dHL2rp713T6c2zrOzOzh3Z1p6DfZ81tLKubdNncottuG5N4/frwL7yt58OzmifaYdZVk2n7Wz
Ol00VVOCX6Ydpuhxf3vLPDuMN1Oyuzi6F45zJtu/iiO+H8LVjdyX2iqGSf3m6D7dYy3M0+dzRIXL
mS4ty+636x312eCPYEc63lx4F4tBe8fXf/jz6sljbVxhq8eno/d0vKpsFs7x6Ym5tC+3GNb+drvf
breb7fbSPmFhB+dihzl/u7x8NcdL2zntmG9WHsvCdW4uHJv1uTncOBcXWN9hd8aFnzWEZVf7rTeq
iKRlzHi5j+4964YRO2fVr8f9z2xg5e+g2gHESBMX3tNVsGFZstyvlgXPsN3yv7295adlVQc2PTz8
2sHlaf9yd7vdr8G+uTtnIq8Z8c8eaL2ltKYSZ4tRXu3vrzzn124f2d7WWwb96OHj3Lvj4iaZGCZi
Y+MDneVX98q7d+/3t0f3scC3be3Hi+8eX0BXrrb29v66Z/hcvMjtfovdbQ7YeWlvTs+xfbhjql1X
tt0bDOLJsh82JzyJ59o7d3ODHzocFwfzuam+XpA/6+fqbJUUwqhIWCoO+2g/4nN7m+f+tvXs2788
M93DiV447oXHQ2zwu58/gfJ6DvnsEVYHrxlqw2lYhvoR935kFI6LXzveuVeuc7Hf4613T6wWnDUe
n11iu9lUuFfPY8zZenbLLuA+Mjnek7u/usJhYzdXt4Ftf8WKPOaEXWJzYBU+4rUP9qsv22/3V/vb
l31gv9wuX/r9/uopsu9n+3tg73F2+KGrW359ecEa8fk753SHj+XPm93d5m73y8Hl7+7se3aR0bYD
e8tS/Xp5On09HXabh/1h9/Puhp3CuWE7cDabO9d+vmQj2t1cuHcsUXtzOFzisw87ht5lVF+HmZ7/
YrjZXGmRvWV3ZF8+Xji7zYml/vrGL3f89eIU7tyLm8dHDNH5eWZGPvdenNzerndklQrBYIthl7zg
/9ju9uiy5bH0bcc9/LXJOWfsAKm6T50mYnZvm016w+gLmqVNhuN4xfpnqS2tLrt3ZbOK7O/LXo+7
ZF3sbd6Id/Bul12ZiWbi+emWD+ztEwcCj5+Wz+732xN/7u4YNPfg3LwebBhWb9k1WVEnVu7+9biw
OxxYkIupe4sNXnmLOw3tHSbE8OOtPRd/fLFMo7t7PHLScXdXLp/5fAKW3eG/F4T+evijIuf1jIky
+bpAdC4K2D3zEAB0KEOMC1HNpSLO5+qo1qiKv5qh6GPRRCaLoK2mGTrDnrImAXRjr9W7eKymS8h9
u5PWBdo2JI8B4H7U4McAVj8kaNvBX9MFew06PYeT9rn71+pu9Po4OhUay82IOOW7NLGZyzAbw+BV
TGNqN2qSXoywTHkRlAPHzwf4tVx/PcKgF2TO89RUErJ8a2qqmqHIMXG8DuP6vgNzDaOpsp39ZIeS
xE4r6qcuGp46CVVD1b/Lte5xpDBwIhhXtckeuaBz6aPFza4eiPiKSZzFkkE3rIu4Qb5ClmKiXCRK
taW8ZNDyJ4e8ofjsGkrzPPGSaM7kW6h6ox9zhEjImSLyDwZf13VFpIKcOlY4kd8OiF/Pcgcre29T
sY+0gl4ULrCu0q3COD2z0D+w7jdNrU4TlTTJ4bSYXdjqwj7BIC6JEXZnzmAft2JxdQJgsIQo3nao
hm3Ez1PWUDcHoSdbo+CVMhSgnxvSh60Q7ZaozKI2RF/ZkYX4VQojLnZUxPETZDXNSegF/fbzVj4y
DipwWRKkrSipWx2OqIMNyj6D7CaJpHjbZxyXAepKwSZQg/ZSLCHbkruyPCh93D/8edOmjEFQxy2/
Xygw3uTSkMH4oJAzPY6SNjwjVyXsYeDRrjPIfmG01fVrruTnIBvvhxY8I2FwqsiJceIS3k6gMFBx
I9QxtGqmWh3jJC92odWcK4J5P7QmhVlMnWiKxN3XZRShWPW6WGaTDVvCrahrz71q3vuzfugh1oNK
v90Zan3mcLkcHd+udRLFMiROZL9lkFOroyWw8IFsSD5BCAKH1KNVoteyKyUl0h2Y/8sQKu0moDYG
5vT4y+fT+XZnX3YWUyKcQJkpVTFUOq+apqYZjH9C06YOTk4Z/XhTlGG1QYISDGpbn0sIfdRVlToV
AFMU0xLOeDuJkzT7aiBDU9gMsFDJYxZ/TYPA94C/xXBOGOUOiYhzsszvfdlSpUXlOGgfLGddxBAi
AQ1fDbTX8EwKTiIWgpuojeWV0J66n4/nh02RSoGbA4ppduy3/YM/d0ZGG+4/CJ0HmQ1ETMSNb0V5
5knxLOm7z5t7tyaQQqbGVVcx2aWEcrVjCyOUNqYGMFYboVQTamhHywQ9289beWckC4CQJpbKDA2l
+mXN/Hbds3xu0DPUoPAXZ2az4Wwe526qh9pPIPsmFLVlrHqfN/luHFdNrscxhZfBRGjKgYGjdCU1
eYkNqXWzKu3PdO7dEL6iI6k85XRFOaG+2hfCeQpFmCojJ5iqbg+FXOYA2c7P2MX7Vkg3URxJ/Rlb
KpI6b4cQsvc+NirIY6yk0TZV2M8Qaerz9vNRW68uzi6sKtYVVi6bEMS/bQXAvIQUJwXIne+Lt6PV
o2UZdPtJMXobXcjxti+mMxHDd00yYsSTFzTdAqZbh+JTyVBGpQHfGjW15I7IymiOVbTCtQTh5ZVl
tguN8NRuPu/oMv2/e0xylYQnAdm8rmlikm87mo5D14sJ+pytF9mdM2yKrXKU3XMZp1VgSMdpvG1n
tedwWuz0KqWd0n36krtIotk/D9fPn3fmNUz8WW+Ut70Z9SaEkIFW5C11njYSaxvpBPueiyydo22o
iLIvavuAqpE9ff287XVO4F0PF8P9fW3XSarWi9KpsFOdwQGbaP8wjsbhT/fV9UguC/63dsY0h6Yr
px31xt9WsB19AWd28M/YxXr3Xrey2l5gSYpTYenN7CHZ5sDn7OROeWYtv7snrVtZ1sRvfVGiWlLj
Zb6O1eZ74ty/aNvnL3fnBM2lZdo/M4uV2wVflk5SRDPVBjSQAy2U/QUO9KvZMR6gVd+fsYTFlj9r
buVyLYTEcR80Nzjf4eK3f+T24Zdz9+VMMx84jN+X7jpnkjV5Y8DQvvQKYlKHHJ6DlKNjurr7vP3W
uA9QOJ6bsDPuYo1LJ3RXWuHSZu9ysWOBRZuvs/3j4RTa1437zJ3ADu34zMZybv7WmEcF7jQ5XeZv
cr7PnrhFqHTTeOEp2vt2uu3sMwP7Nmr+zlfJKy+SqFBbwPqwdDJ0Mv5RbYjYCc+fs//13rwy/3Ul
tSqgEBlSUGYvQEO790GoFnV36BPjXJ/O2crKaZhG3Jj5stBM7bHzdxESFqWMBm2ewBB3rg5wFXZ8
P4Ar5xGbgqzBA/vXAKZXyGe5hoc0r/MQuZFLVHnCEYv2r3O9XIXT3ze88idDkCHxVNGwcicfmi/F
qToo3/1rssCooZTP031+iK6Ua+3+jMWcG96VgwnaMdKLxWIUbAZCLOyz33HKc3zbcMpNvglc0zEd
/YyTfhdsWRvQytNMcp6kzbIwqAvzop3k3mcOgVXfLhnewpPts/v4Rw6AOi2wlQuJAfC6tx67Scws
FxeTrTZIYLI+FNfi5KA61kXmoKx801wjNLKtt+qltT8zyh/51d/bXo0yNH9TSt0KZxV32OhfUi/0
Bm9yE6/Zy7tzMbOPppQyD2pJwDpQq7i6EMToh8RTXTZ2jSiPKEGKAmuoOr10ee3G883nXVs7giVx
Bo5JpjAS7CW1pG9HVW8j2Q9TdXYEpVU8aCsRu5DqCOnbaT7jwtXV5kRTAG6ovwQabhrQlb5tKjVl
fZR7BE19yIMuCivPgWkp6Rkfuh69pRWVwiJuAwuJyTquokoTekwNLJQtZClXcIEbh7pPG0ec5Owq
LrPsAYS5dP3Ho0gEh2sVh3Zq0/TFfn47TRTwV9VNiYQ2OuDlBrp8fKraZjeoCKXnbHFxYb/v8XSQ
OxyBG/CRGqj41TpAJLGeLUOYHCPvc8uBkqx5gJMXastaK5TkPpX6Fh7+zCgHm4KDRrChrM6u03jy
v2ht3hbwOvV9v68yXb6hyLdC+rGOStMuReQsPx+Xd4dvSuEoWaIGgSpzS6Gk6O3AqGib5a1hoC0u
9T1ScEIaTHhDpARCd2x0HwCLrvVj7CE83z/XFIT9CBorMF2Joq3Zi0tFP0c8tD5fLo+kYB9UHcHA
j7zk20cS4M6MRKkcHZSvEvQfFNlGIyz7Rj2GBpFs2ZuHqZTZdqN+POM13y82hUkDNUA8mAj9a4b5
NzOBYF8YJkC7Tt2aTxU1tQ8tnJBXEKGfA+980NICcNapjiSqQIn1204GzaJEbMkzLMexToUrEHS3
mGJI3Ckfevl8kt+va0KYxLxgcwJCK64rJQNDHLMChlHHgKFw09YjuptVcOaO+u6Sw7RBdqGAlKGu
jy1g6fFvYxeQnFDiuesdXwh9e0To3Y6zQLExqOwQdXOxMVI/3chirB4pskxftGySzniw90uPZ6Ac
egGRU/2/jrRNcz8ERcXqMpHY0DdB4Qt3aiIC1bBaKAr3qErAsPfHo7v4MXDXVGBLROrf9jvTwkwp
Uh/+o6aAmHBSEy/LDGX3562AOVuSBZSCQmDytpVg6MlNTXEP+x4y6xBUIv5QTOIfj58qKnREIrK2
lCetll4yKYnRUq/rREOZH1O1kdxIgBRwgNTdzbrR9/60V0spLUAXMiBYjrqyGXkSm3SWW2R75ig4
xIUw732k8s5cEt47FFPWoNKgU6Tc3mFBIGMhpTeZjWMIUe6KIrSEKdo5O9HUhI2ZaQOE/WPT732h
+Xel/H/8GP8zeCmu/3L7zb/+i99/FHBwLtX8q1//dYx+1Mz9r/a/lo/9v7e9/dC/rvqXuu3ql78d
n8vmb16X/3xuoyJff+bNV9DSv5/EfW6f3/yyyduonW66l3q6fWm6tH1tjmde3vn/++LfXl6/5X4q
X/759+efGaMTNW0d/Wj//u+X9j//+Xdw8DgXpu4/fm/j3284PWd89rbIf/7v/5VHBG3++so3n3t5
btp//h2Kn38s5eILMpbEAz9i48PL60u6/g8yBoAu4YV4rU3mpbyo25CPGf+g+FumDhyuHZYHIca/
/42V9vqapPyD16jTpsZYhdKEhNT/fcY3c/ffc/m3vMuuiwhZ2X/+HYNZFsBvezscG0s4TCfsJ/Mv
h923y9Bs+zqHGRzhiGr4mZZmsUeIrt7A3Yq4SG+MUgSNZjDv9Lm8UFNZ2WS9ZNqaJnZODnXPN+Rh
+8ui7yLBTQ04ZGc17PdBHmoHsW7SrTFWP0c17djrhT2aINk2saardBjDi7CMs+3kd8/aTDF4UMHy
+aUEaRtn/bWuN3ukpLYWHGl9OF1WMDw24/CrUayv4iwZduXLX5sJKaIy/DEau84UNuGsXANB3nWt
dkNl5cIV4ZgdQbj5JA0ygrzRBpXKLWJkB8SCfrSTcvD97hgCkhiEiQRGcw0tFASQnRG3Ti6i/I62
jZrGhzBK3Vr9LorBNpYkV8tNu17y6m3ZbOM537TgUaKYJK+MrGgr69azYrT9BolBEakyf9tVPyjX
/RJDJbpoST1yY5T2VTt/hT8c+dy6moAVw5FPsrQPepcIdr03pjzZ9sG0ERvjcgzrg9aFd2OlwDiM
/nKWyneGkIs2Sr33DRo/ShDbesAjDMcECnI97FExPGlq56Hrta/lzCWz55b6w5ShJjtFvXBp1ZZb
qcW27XaFAe99kt8ovf8NNInTQNugl8jrll3/ABFfA+l5jdKJ0iJTiXbowL50I8BLBkdwhZ5QrROb
A8Uf7PMcE0AbS9O+oVo6OtUs3VhBMz4lImolZTc9joN2OZEZsNH9iL9rczj8iAbtOZS5clSB9gxA
Z3Lh/ZO5FUj6thplagdabXTNNh08skz57VREt3rgafo+zhH0NoLiEPiLJmyY6fVlqWTDrdUjGV5F
vnwt1+P0NWiUaWdNUEZPwuRZejB6qRHBOk91HbwDow8OzEfVL1X3va5EF1qjPpTi8KigWnKq1Sba
m6GRHERUCl12jvsGZXDUqdX9EEWNC6g28boxgS5Uuaq1cVdzVCCdcykDZIYEtoGOvvDTEwiclIh6
vE9QSdqopfREyu5XKeT5oc1hT5en5EETqhMiFch9AcU0vEmYi3tTHh1fHL8MRolMA/qDXoHau5MM
2T5VYY+VBcRJQGVD3QqzZhUfWzNCZEO0xQF9T2kItmY/GE6VonFhlNuuVV2pM3fNcAlLsotWwyLI
2LTXVFS/FEP6FbQfWO9OmFzNbE8TQrZlidqr0HuG8qPvFjiKbwPwPypy0WzrIcAOB3WXpPmdNpnP
TdbWt3lbg2l+mYf+W83h21bCaF821bZBw8ZuoFhwgCcJxXMx+l/EqA1+znqgn0I0cRx0hswj3HCi
QgcULbXnFJZQWFqL4h6Obfinx58aWBhfJsQjP5J3vRstBsZw0k4O7cjyv/IB2CRRSc5mAGMScoC2
mikobNWql2AAPYo8Rk99SGmiQ1fu/NI66ilIwEno0OfIN/AxIiiOocMhni+suK36fTaTuwFCZmcO
kP2qrUc924o8h6jdVKI5bOcC6SHOyMgWtaQNrc44TsIYOHHbESwIs9LTu2bYqaWe3Waz/oQjdXSC
U2g1JUHnhQnaJ8im+v6PlkOnJS2iB1L8JeGMqbWlp46BNzfjRqzmQ2lIOwWFxyQSEzdvg/3gwwv+
GNde2/eSJ6blZRNjUVVs/WwmASGZg58O1OX0omMKjY1+Io/9PRPykxIiK1Wn2wie9KzxEfXtPCHs
tkMlHhqp2lpwHYzyvImCqxSC2ikNbpDa1ZDsGQ6cTPZZJ893qDYfESWrjOQym/qTZBWPYyrfhNl8
MKJXCpiLfIAy0Y8zOIM5tIM/j5xQjm79kTtsZQjNLtORHBIVWKHDIfWSTL8Pi7JycyTyEqO6Qg/t
Loutg4hcTKWJkDVBjdxW1wUCxI4id5skNXaxEX7xUQxwEA17iVrRbutQ33NdfJAD8w5wgpNYenm0
EPh0cnlIEJspoMLvWqAnMxaL+FK8C430ps30a6QltlXTPgRREl8pqXoZddm2Vr+aqJhIQvMcjMO2
0uZTN8v3QSEdfEYaWuQRmXJ8md43t6JWozIu9d+7JkLYyPo1Nv5FlsynVI1vNZ/Enj/lOURahrSN
hYO0PEEKYC7uILQLa3mLYgJM9E30IrbhCXa0wJGNRnRGQBB6qNuNiHzXGEYuxJf3vTa0iMOBXdj6
ZX+hBQoG13+fp6oFjZddhxB6uwYLwkPA+2seJTtRLx6oMSg28L8cwh6aTim50dpoq3RfI7yo0/mN
uVfq+nqaun09xBtfZ9DHFwtxazuDQVqMEEnKTHxA2TptJx7KsD/oIatRT4cLbhdXUTxA2x+i66gM
ykWHwkBphjddMwW2irRuJIsveTPvLa3SjrlQajsYiu/DNrzqEu0KFFVnGwWs6Xqh2JI4HCJDOLSW
5UNuheiyXF60lf9ljkNPmox9oaebCtiQv3B5ScZugnVmA6V4cxGKeGehjMZLcv7tRm/VR8UvtRuz
bqcL2aoc1cpYp7OXBeMGVah7iARu43moTrBTA4iXuQyl8VYUx+9y0Hzpc/968pOnBGtW+hfLihDs
UGI36Kaj3DTDponKE+UZrd3GfgHXOBJJE2nBHR3LIIazIt4RvjTy8A3tsfokZ5WxVYbmQNreNtVB
2Qdpan3p0HGcKuGeyrvIMwrq1zJZMJy+GEX8GUnnzdDWX0prsEeOoTZAjyPpdW9oEdCkDkvZqnll
XEhhsC8LYsJ12X2toIbGYny1ZrM0rNu48I9A1zSvKhnEEbpvD3MXN73BFlKoP1gtM0Lc6Ynb/SmJ
Rn3vG0xjlqYu5TAN4tmcyCLDeG58BCkHoXQSQbeR/rrLugSGbqt4RpXTPGpCmDtplm1HRXRrUeFS
LWXQDeLTdJhVFql40U5nM7scDBNVjkL6hWyziyZ8vjGpwkLtTrkQ5uROhGFdmfzxCi2s+xZN9N2Y
Iuzbml0vl04KVrS716XsWA++UaP02fbdCW7x+KKPTcUBf2Zdoo9gbkRQo+4gIaeJzj1VR2gAK4do
fAgMlNMG1X+OhC5GEsUfXFFrB68Jwvgi0Apzo1Iw4qLepGAwvEBcyYKxvlq+sja3KDzkh0KmraQa
By8I+IQItzXj0oDBVSx+qtvRHmZhuE8AX96JdT94iTyGN03VW5dmb9WP6sTHXt9cmF1+AC+ZH5BZ
Mbem1VmXSSnBtxkQqvqGalLOiYQQYIHSwNcksX4qerAZ/YjDr8qRi1FMt2JQ0/bSrNnxjKbPKCTU
QrlNnbX7qfERXRrrlwHOJGQylm8b0nC8r1oNARDEzo0jtPyVgxe5sRLRiarsEMxIqQVGeeoma9eO
EMQiThKqKIIVqBwA+L1QFArakEDRD4ocTK6SEaLMIpQoJam+Bjv2EBrWF2FoK0wlRu2zFustTPOT
a83FkygXG4HIRl602OEUAAosbsVK2Qs6UluwEAyeKaWik3X1naAnV6ZQHixD3pbqstVbleQqZXUq
rdib1XoTaZo3IuLuzFbyrRnKW0FFYwd2/uECkF6EwHs17XKZHRDtgrtFsTxVUFg2hPEOOraTEcKP
kQU3aZNc6hCLuVaX+xfa2KDAKyJpPqOL9EPMjG7Hne0JzTvDRULCupDR1QaOHxa2ofsvkTlYTh+P
R/C/00YLsu4OoFvvwSU/bFErLfYixT5Hf06zOwqAvmNJkDgZSeEOQ6S5na+T44TP/ligpuGW0pQe
ID/ZQe/h5RZkZ5XoL3434GRgwH4BhQLWYibu3IfRFlWX7Rz4h6mF/K03GmMzIuLgalEvX46ioLlF
t6TIWpglzCcjVr/HOXs8MsLE87riJ+Ii2U846jRbVBr/ZCEXcOPDf3Eyq25wEHNnJjRlh0pq4DRS
WLphhmqiUSuc5P3QEQfVOqWahnA0mpgO3nG4KnUUlYYsojoisFQqTeTMcossMC6bUT6mEODvIuJD
11IvGZ6AkALqHsuSrab0NsnYc0w/bfdDa6bboGj5O51FHoi5uKu7juWhlMt6r7HlMq3Gr1zWOXen
vrYJZL1R3GZm7aqx6l8FgYaYnDkvH091Tp6NZh7leZLTDQrBS9EZgf+T2tfpbZFNw8urh0jgimS9
Cs0+QYkGSaYU2TTi0TxMl5mbQg1RdFOtaLxX/ZTDrjoW4ddBGvEtgyJ/M4WBRT4L866pm+ouGSb1
IaksZO6SXI0uUKtXHwzUBQ9jboy7vEdrMAm10ukVvlHRsurQFmF4O6ST4ppzWd01huFbtshRG8Wu
ofev1H4Ov6rQyiaohKDIi53Wj4OYcYT5y5UlA0RTKnRhhyBROstBVyR3FSUSd6/uKkD1ljva6yMS
yUCSuuigLy2idh9bdfAzmAOeaRojBY0czE1EpBTdRVlBKK8pRPWhM1qhdLOoQzYpxoc1oaQ+iBF+
1g4SOZqZ+wzhvr+cYdmM34fKUJwC2ehtIodRYJvFFN4Q2i6dIAjGe5jq+Ak5GX/76hhVNN7uzbTn
+5Kh5P1/fUqs8LBF5VcR3jpeyBwXQb8gaemnxtckessnSvho6C5XKcSkHeYmv8sz9Jf1rhC/QdFQ
bFF1ECAQHDUFDeE8E7kRxH7umciYOwBh0UZmF5NRy8kzq/Bq5GNdam+HctcgOXTBPl3Pjtop8iVn
YXVr5AVSMwNSYdzp8V1yapnXegjDINtwKGxGuNhRFmOcLpTBalRb6YT5WEJQdadFbUSEwioB5KPX
vUNuM0TDJagKJ5sT8Wmu/g9755Ujt5Lu+a30BkKgN68kM7MqyxuV0QtRpZKC3geD5G5mLbOx+aV0
TreOMPdenB5ggDHol260yjFJfl/8rVTHdbbFTpSrOhqbvewKpFv0jqWlf0evwDBHcxlWL25H21uk
OVmRtWK0+sUztHjyMzeEMc5pQ89bOgvPaYrxzwdaY29UYbTeruvt6XVsvI4ep2ZajqTubD6PdNGc
6Xnz1X2onWw91BA7j73RjonknyXmNAcEW7Z2+M23V/1uTmt4VJRtx2WgXwE0ttt8nnUyjpwJYprj
l2foCQQqReHf6wxQPd62LDsM7am9RSI0jMLcsC+m2gyuOqpM8l1XwFXtAltBPAdBem6VfifOUMoW
l4pu2ZHPyRLnzeTYKuqdwT3USlVP80rfqOVm6socu+AoM0motJV1U+J0iqbPlkTOBPUa88egNMqs
FM3QOBg+mzi731Fps3/regiPgX+isKZSnYrsZiqc9nVqjkdTD/qGh355SBEDP82GagnkhWE9Dxdw
pUIWskkotiJXdGhNzvyNOFIy09K5wcZ4vbnbdmxBno7bYgS33HNE9i8prcyc+ZGgwLLRVm4ZTZ0U
owHwkefGk2p7lyAApfSxoQHI2c3FkN7REOWfy3kGtWp5sUZuTbcctG7Yf3jO0l3R2RjsfWV3I5u0
WVyZTZmZHJHrpkoMMA9EvastPvM/5dcwqOwXD7x4TGy9+R+BNzpZhHM8eC6r0Hvk9vSuer8NH83U
LQ5kyPt3dUkQjTbM9UEF4UqzoTF357bOuueU8sgnkc3hxwmcBBvsbSgjozKzfN8WvOfcLc3em2Lg
uCHMpncSZ6AJvrPzejjaBFZcqSCviRk0x/E9XZrykqIqFmMAhZ1QY/s+23ySG+VsV9Xi6mDfy623
32d6Z48TbzOqiwbrnNxxf08CXLgPRq+9Wm3tf/PN1okXYgEIuGn4DBqNX6VQ5RKTZB/ep4T3nY2L
DG90udS8M53iSFAuR8iAVH6PFtoismB8h0hr37jtPUk7HJwpPZgEdkaO9ugDakRkeXyxneeXFC+8
zXyvS24u74zKKErO8ik8/CwH30qvvdyMZYolETE0bNksQquf0zFk5hd47oaYmCNxm1aciLYu0Bej
yQpumJO+Q39Zn62GDs7r/tktQvXCpR+ot2yrK3KkhizapCgT3vIExgeVfyTwzzwL2urdEuw6Hf2u
0WLO9bmuLbw92eLfaSd36FMyHDQJttVdUiBKXQ5FbLvMR7xcuc24d+t0edhoC+A8ni4XPxrJR9Ox
ErM31L3WFNsrEis4Pq6FHbVhCkIgXeMunYL5knK7FQuNfNdFVd4auRVQ0puyiMybXV3/bDAfLRHE
aYpstFQNH9YwSIM+oGGJpg0UYbLWlAllicQttTirNtHsDKNYznpLjzcudX3J5jfbRz8M1pkZSn08
JS3sA0+JZLRCcZWP5vidUrcCWQJRxzwgnX7u9TbEJ1Dao/6NAvYT6NnZq3wLHMnlXHhn0SkU3rgp
+rvoRzV6VZjzhZHl0xkvhMmmTZOS9HkL8+5gebyqkSM44Zdq9JEOIzDIb3/pSC9oX7xwrKJSSZPN
zGG7A+D52ZOeV9X8bZs2OmJ/6UrnTnSWI+8S+2whnO4+tIr2S2MGKyXwyNgSs5LhowiMYv61OB1q
LDgvFR4puhUb92mcfOcbx0QrPy9nCmXp42l3CyarY0Whrx2HxUyD+oBUAKTM6oxvKsw4GvN2PoVA
8LYlrem3BvWu5gINK/OM7BoxP5htu1zNvWsdt7wVn+cWSkGtKQ1RJZMoBvYB3ymXIr3+0aSus1Tu
LNQDB6Ps52yHdoQOq/9pqXoz+0D1PIcPoXkKj/qlWL1cDDc5JQQBuNFmxQaS+tm+Dsl6ElYe7BYa
yobYrvgNwG1y+3as1BSwcK7tl7R0y4A935NXspTFXetNHUSwGZDdsAqrutTBFjzOp8Z1u+ZCVqUx
JpbpdzeEqGVnTV89jJVrXjSZpE8+1OkzQdcq4fDWW3iJqv4y9cswIDJmoQ5R0cH3qMHbkvxHH7t0
u2WfKUHQYGqk6xnt0rKlMaPpbpZTM3shyMuIRLnIh9+b2dOUQjNyx0OZMzwE6NuPfnZeJPwiG9NE
RlUd8sKVbhVEpUlTcEwJ3fJO208FkqaaIF620DinsffI00r8tgjbUMaZZy1D0qvO+GARH86cvuv3
XZU7wQ62KV9+bW3XZmo9jbxtrubZFwkFl9nRDDvjLIeeNJTrjVFFePghc3tnz01mHp3Soj2c52q4
XWDODr/Xunudq97zynLPWbltK/lZ7S4CsBrHb5c98P3wrsQkL0nxCr5lbVZ2MaV/7g2ACbNzPhW9
c/gdgDXnYOYIpzyYgJ9F76XTUI5Dl/TBqVAWGEuWUDXeMTS78CJnK7B2qGyaezkY/bTvHBecfhjc
hP5gTfx5K+6pjmN6TosRYwOESGjClY4xO5lqSdXacDdRzEs9Oxh67m5oQYSdrAVxRFbuyY96rD6v
FvVmNB1fQTb0SemL4Uo5g/2qITMOdQUZr6bUi1DM3+uRTuCu36GXT49UNkQhg0dY2R2l1PtabEkD
86kX80q22c2pYA3cN93B6e3qoTxP85LATM95ztr+sBnG44hsMiKJeV+E+rVL/YuhIxF95Yk9NLoI
Yuj6E7xFdV3ngNgV40L/L7CSVW6H0jXyXdG0SLiGNSUakzZu0frjtYsXcxc2oQNVMeXPQ1D3X8zO
svY6mMYr9Djp+c+G+9QenLNNeAXV9uZsfA+ttbvmrp0Suk/SpzmT22dyd62jEidFkZn56m6w5+Yh
kJO56+nBjcrNpXPP2R632bzwYTRi6CiOYRggdlulnQuqzV+2PEDkKsVyKBflQ5RvhcVBsCivOM+z
tzZ+cS5rY2CwDFWSEbIG0qK9u4k6BRAQYz7ms06TsDbW6ZANTX8vWlN9QP+2YOnwJEumh0OLCwGm
YeWJrgP7AqHIetXZcrz2iICjfj2Y/Ydh9tRFmfkbm+bif/WrbN6PvWXGCztn7LWGwLrZV4fV6fJ9
6GzeuzCVjEu/rV5G8rqTsDKK45A57NmjEbL/lt6z7WTWbp3n7ZxiYRqvVyul+oLy5LvRLcxrpxNq
Z1Lpu6t1GJytqzd9phHePpWNBF/rpZ6u6n4NbxZrKoFkyuzR53T3zVhoPKFMVY9XVWcau8nRxdEN
WvdSmwW54yB7y6HKCvvVMJt8t5Yux+Z1HfwYATXnkQzKaSiM8tWGldjLKpW3lMkDC57iuMxclrdz
q9Ovi40FBL7M3rXaCu/om7BvS/hRiBO7O6tSGn837wSLeFN5THPntW1wMjZkmO3qRWffaDsOblYr
WO9td+RGou7Sirp8tt/6gCu32F163moYnHoxhgdJPVbEQ8Av1E4DzZxrdxV0yJGzzZeJ4n12KehC
AoRy1JrQVHGq3IX4a41wuCF5DrJt2DTWasNZtziTxdYmZNF2cdF0G0lgWWOeZ8aKiNuU5aVf9pIX
yokMSK05qba829ktRdBFWLGxWA60BNjWyUAtLnJ7zXaW1xg731P6Yt2kPof+HOMf22ttO9vZ5PXb
l0VAGi9Q+PfbmruRohph1xvF8BgaTb9vA3ngiF5cUJlOjSMeuQP0jeLeJWyL/XM2d5tQXJE2CfzJ
j4kQ8o7UhdW0p7bTXg6L/3kdtgBWIZP7pnLk5YKEDzYzK439zCQ8t+qFCo1J2vJ5WYvgwSP4Motc
lbf71veLG/on8+uicjTe1lBb502q2+GnGuYPIchfZA3/1Jr8Lkm56b41D9Pw7duE2uR3iclfRCr/
58pSrFNM338qSsnbfxyGt+bj2z8+2n9cIydBV/cvecofX/+HOMW2P7GLnvSIWAHRa5ziAf4Qp9jB
J/dUJBMScPvj/8Eo9ac4ha/C8wlwiG0L5RHBrf8Sp3ifQtozyIJEKEqliu3Zf0ecchLn/qJMIeX2
1zhE3/hNuvW/KQ7xN8nw/0ocIvrZ3/5EVIW4B10UPmhVT8VafxXfWDM1KjjPiVRv21VQxg2fi2zE
LMRuDtPuote1ezBARvudoTKe0HF0N3jTcQFT6EuZhTfhQI9R7E1jTg3zqXS5GKUNQy1h2pjQ6XNH
XrAZC2JxKLfkXIxba5nKKvbEOhbJMgS5f7BqFQyRv9rVtHMFSdfY3df0efJT/LzlkIfnRTUpGDip
61e0/7M6DxrDe7Fby8rithn67CyQVvuds5usEz0MOng6dQz2MRFGgQFZlY93ni2HJgHf3Ao8tY35
CMVvdhS/9YtA1iCZr/Skiiw5oVVbXAdbE0a9eZIWDZXnvDYQrLRyQv7uYHLrJHDqwIOcMuprYTW1
E9Mmv85RWEobejSlPJLiTnPtdo4IfB114KDygtHom6DYhVPESjireySt1L3ghMguEKBO6OJwltZ1
7pJ4GLWFfW2obok2s97unU6+jFJwhPXHYqiAvBsbPMQr65O8SbALrQShBtE4DKkTZemEQEfo0a6S
dNlWOuEmasx3pPRK6I5gPeVEG8swHjCq5hDaarbduDVNNd1DhImDMYtW3FAK5n8suS7loWHlUAjt
SCvYDwWtthe2o3R6bgO8LGC1QfvSqqD41o/eskTgMJ23sxSLIR8/KCXB6I2fRfRezldhCOSUVEqE
51Pn5kMSLnkGLklBTHkzBeUJ93dHRF4jmY9MxKzhLGH2lGIfavbzPsGW2hRHQf6F3G2bkxPoTXZn
3tz1sy4U9OucfdVNSGlCMRldusfdxTEq8+qCS7iG5Rnmn15HIbfYaz87fEc2YIKtw3Wq32A5Vtqj
qR+8buVaPDZVp8MDDLJ1DLtg45rPgaHjzMyL7/UqDc4L4GjecVQM4VPi8qJ2yk/tc6cPKKdmATzR
H2U9ISlwSnfv97O6COuGJkCuGnWjEonK5eQhEk844XbVYZLbRIlvl423PTXjb6Bi85BYlbdJqgJ8
8Tbb63RPGrx8arGvfg3dWl1ODvh0JLjRYPsnepFimTX+u3LVIoF8ZMPaznmAJbPS2cTNYlEx3KRz
zT8Pw82OzXVj3SiqGtw6nCbLPSxjbbDsjoO+26Zyuq8k58KohKIbKDEsn/rZzeA2JvGV/VNMSdDr
5eucs06OXW3dVqWPFKljgbGi2ShWmCgSQpCvVQTxF/2PmvBqpg4AYolm+iFbQwiSYVjQL2W+g7oj
PFVQF8KZKMgO5+WlJcjzVhVlMe1pL7du+3ymGi/I1ejuU1uilLM8NX1TwzjfshyZ1n4SCgw4bFWf
CNcpH9xtAtaZ27L8PJQk3gKLG+J1Kehn29vVrLxdiO9uwtdv1hynq2z8nFscQHg0CsNjOeZ5hQLu
Gn/XZuSgxrNrr99zN2e3R0J65U4/+g22je4KLV371qha/dwUS/28VYaAOF3S/qQ5wRYeO8ho7cRQ
tZkdJppo3j2nQew9Zo6+6FOHio+89bt0N9pFPpxTaTrTpKJhUKJMBI64WAKnR/zn++VPH8PfWmr+
79fZerjacRz+xzrb+Nvb8N//269bDPmqP7/ozz3G/4TFh+JEdJXMSqSz/9xjHPMTvhxqvXCYo6XF
efGvPcb6hCrcI5WAaklk9aeszz81tj4rDh4l7DWEMXguYuC/s8b87Gz4dZEJTWICEACDk2FWoHzj
r1PeWdSMBLloObXMApqIek5A0K0fP9a5dfOoMOrsgK4Splvm1vJOcNHyTh5N+TZz+KL+2SRiKXLb
xn2xVa7e1kKNabK1I3ce58j1Qxqz0omzeHOV9PnqgQpt6GskfZllhATD+T5hQLpbs/AUhpSmvMpb
vUorQbWQfk7tdiMtqRQzlj43GG7LwOtOhyDaw2M1zWZLgoPmLZTlrXVtpnn1mubW1eB5ARIiR50U
s1qPZaS9Bp5i2Nb58+z5wt2ZzlreboWel8SYU/vI9HDapMirhoa6lZB0+qyb9jiY4wn27XT+ZdFF
3TNR6+pKGB6CCavaHOsk6Rv6GPP+dDEp2mnoCJ9AtXLHopDUW0Zrjoclne6N05vZ6ntDRryV9JBw
6bo3NY7jbbd0QJD+7HKgXgq0AGwpUl7ZP17/3RgyCrzTVDDttHL3xmlWaBlM2UGnlFMDBTdIQ+lp
V7vRNBgy2JE771h7K8MnP82hDSWVjjv2aeijcjOOW1UG4UHCbz1O6eRfZ7NgqHXAD29g5FUTr5hW
+iQ9TUCafQeNXzUgOio/zUhr1YBy9uT36V6SrpEy7NLsaz938MqmyBDrNr7RMnVt5WfzwRmd3tu7
5KPYbwWOXoyvVoj201kqmdDgI6uogJ1GAWrhurNjghnKV4Vy7ZpXpI/S23IAwfiFkGSW/rb5F53t
pe5l6mrlzbHv6XqJ63wbyrN+RBTTR4Cj43md45mKDIc27bhxdFcApJvTuDdRqLSHVijDPcCTjc/l
RMv2DjegsfOWXMmdY3a+k1RmiEHIburBZXurWzbhpZvLxO69BjVPX1TrbcGZXEdObmKjoBVyChj2
lvVql93aJBIw8RQLA/B9DZo3aFYdWbCClST/RBJ1chnNTHpJcTKtUTuYPuusm/TiHE122orybxKR
Hnm42id3Ng2cs4J5cT3LqWKNbpnhVABiOPe1cSdG4YH8WKl5SNMUEWM2u2o9oFAYzKcm97cKfXJJ
CHhnzCBRxaD0XU+Rwpfan408ISO8CGPUUEv1gqEuKA9lMCuWRpTYI8SngfIPYXTwZXCKHs6wkF1x
aA0Skxg2VXZFEUzTvaSFqa6krCwjrpx6vVtpyhIcrtFsxrVQ9cUEfAT3yezFKNuMGRdDrMUDsNHw
2HsWOCYo2qu0bLoi0nmGzmSL9DPIkHJ8knWL/dMee/OVEAFhIS0hz40XF0svuilT78I8rb5y/yHU
yavZ/lIIe30ZLH7ebpn95rNo3WyLXEEfipj8dTmMXb6Ncd1s9ecWiApWcQ6rK7vNPXcHrC4uh1Wn
407as3qaUaSial36bkOn0bo4dpD+nRWB9srzCU+ZcQeKsBEBsLmD2okhwyFb9qcGTyfg0+CgMabP
cpEIkdpeTpCKXk1GumPo/jup38gxvd4l276GcjhZXUtV7Iku3njHibl/1kvQhxFmSFg/7lP7ErQC
cHYzcQjEOOncMVoWE9zUEZa4gbtEPZrBjDwGjSfQXximPl9z1J38xA7UScJcJC4HJiQBLmlM8BuO
8TQWBUYBgBTDSGqtupuu7ihs04PptGdpI8u7kEQYhPS8/berctT6dV7LIJGp+zqYtoSkXWrUcyLD
u3PomkYnyJhM7iT84GjJBkEvjV11p27oYfMqSsq1tfDiRfF6JrJJ55HtTIs+E3Tm3jjKQcCy8CDc
5bIv1K53rPGmHtbhLWtLDhJUMMsx3uZAPCwI8ygbce3ySAjWZWE7lX9VWvNytmZTIS58wvBatHSL
ekhDBt8l3XDh96aCqqOOJ88fi3VEdgasVoxRU44VqgxuK7mnrRHxJu2/0AdDHfrhgXnQwFFW2pw4
JeTq/gSvl3uCyJHTNA6qJAoK/BwUvx4xKGRr5aRYoSZRx4zojVwjNaIKGueN06+iI5vY91F+3ZoM
Z0elupZvXhrrbrEgo85Xima+dpNYOb1aYHbRphRSmgD8tOQYUE+M2pL3RgzzNv1RC/L/d71fwCds
fi4w0n+86T18G2Te/QWw+uNr/lz0vE+nfYxemD89U/9c9ACsLCyuCCAI0aI579SI8CdgFX7CKQWU
BWaFNZWKC5bAPzc90/zk4noiIxQfFO5cw/07mx7I118AKzbTX5P/f1itfvGL/lvJ///Vz+CS/upJ
/Tc7DH52Uf5lZ+Vv4T908J287YTU//XnnLKF/G3lIWVlbExINrZIajsa8dG0Qf1FDZ1hRnkth1eg
HY8eRkNTFVVBG2ATkpnZxBhylDib5rpurwqyGsVx9NT2YgUDCk13qMrvITLN9R40qOcp9EzjXjez
jaC97Cu/eS30Fshz+njhQkPUTv2lLqEZYnSJEJRR7orePIg86GwU5b3RIPpyy2cqnXB0FOYAcLa6
agzPdGYwu/hdQMHYbnqFeEAgrzddHz3skLl2dWbaWFYiz/N5+zl232501WzO1y4f6LVUFNygVC4n
9zEFHEf1MpgLG3Tot9YFe5ObRq3Xmx+GLPyAUqlB7wY95HcFHTxA45Tw9HHtm2qIV+mIZ5Rn6Rav
epv7syALEJkwOiZgqxntecz6cHrhiHFeItVuPX97qLeV1bPQL22oc3aghhexwZZzbrnLRLl4uIVX
LXWMfaxNmlTYO4L6nEUR+0Ntj/aTydybWZkDD7RhHuc6WTNZvXmjt+MEtD5nASacqAvzHL1u+2Z2
cno0Vw4ksd8by8M4iq06FKXIQJAa77Snro7HHodFFWpppm2DbVhk1y4/nMbGua0+O+ukjSgwGv+w
1aT0RcW66utM9VJf2sFYuyS05YpIC0OVT2zEUxtnnS+fpjU3ZWSugwKMqx37eUGvWiJvz8sHNEPp
U2oXBdretbB0AuPRXs4Sn2LZT/Z2tKdUPHd1WHG/LqPDgcUxwq/2MMOA4UlCv9/oartz9Ebf4qAd
sgOli9sZ3NVJ88Q2V7OKR0zhDyOL1JtUpt/H5mLa7AJqdr5vXphKzikmxRt2wMqJVTGTQbTIUezN
UdU5RrV6yi7pnsSdRNHiFpnDFNxpNxh7TiS5d43zLYOjNTbpXKT91rCdAocU8aKE+opCOMt/mrn/
1mz5f4IcCWHf/9P58tZMb/+IMQvDHLz9iiiAGZy+9I8x4wSfTm2SPrUn5E36zJN/jhkX8gPGhJSU
U4Ai1c6/jBnL/RTSeuJxRnMt4yed8ueYscJPQBZ8U34QZzX+wd8ZM8yrv4wZj1I+TMOBETCzGF+/
kQaOz2F7VKoGSXfYBHsnffQQGJ1tdjt//eUK/UGs/eoP/n3a/PhROJdtmlfgN38Prph49U34eevE
5A+OZ3N242oLP/6dH8KwgQaBIglPf+8vYxMKQAY+LdNJ5qYoySDyk0aH23+Rluo64Eq/XTdifElH
5uIRTGz8HucgcC5UaJZgchspLlaOJiOlutV63dKh5185mVNiKWrAAmO7s0e2fk3FA6D9Mg0XxhSe
2pSHVG8fyDQN3B+jGGBU46nPoS+s2j4JuTLErNmtpRHxxgu5cgdfOkG+zzGsNEkx5BxIBGr75Qy1
lvATZ0x73iUePt+kcyvzmyWljXFWzx8VlCovf0BcI+69tLDjeak3Qv5kPUl0yWh5zgi2RTE+WY74
jlKyvWqVSXaJm+U5fharUN9At/IZfHUeITuIE3pYPH/CBKpd63MTtOm1qcoKPVsK84jWJx3yePNr
YIy2UYVOakvh682NQj4DIGuce0qjzrJK8HReiY2F8YyM5gqlpY97wEQY+L0vnYkRGwBbx1s/N0+u
VaBNtRbP+jqRU3K0RVeGpGlYxRvf/6SgNpHrx9hJB3K6hA8XQd1hZl20cm6uDb/wChB9330zCkCl
CM1vs0VYYbBItqgk6e9lxyfj3Gq2q0bOdL9TIdxcnpRMS9STNuRwKNw4FeTBgOk1F96CXHTswwwQ
ZBgNrj8BQncmQwASv/HcL1m9YJG0lmW4ayYLQXzv2lxn6JjRjt15W6+Mvh6eUkvpKZIB/MRS6/Yd
nwfDAELc2Oi9W/CMIi3ozBhkfBkuTOwOZTzZlYUMxVwcLoHvFN9SU4LA4aV8tI3FQXFZz/l0ojC6
1WEWBYAblpLD/dK37RdE0cWtW28Ib6bcq56yMui/WMHYGDGKrOqmyRA/JrIzvafSqJurrfCnC3Tt
gbmb7EatuxRV/03qruF61mVT8GLnofc+DLmzRT3pm3niAtBduoVjXpmtxyehunJ8DGVTPsxjiMGu
qTn8ZJ07vISy0mWS+SuSN9Rl6xmSRlnze2TDF3cknCdSDRZ2YkrskbItbl10rsWEU8vqhuxQpamc
Tp44G12y2PK3VpJnhFOODPl4rCuU0d5W2DMnurUdY3cwTosNSQHnBK4pbNxEKVBN7Q44qoNFLXfE
WMxrbFpVSwPmZs3If134mFhUun4braW7m1vf++AMl54tEGHoICtPvEBZfWnNACdRPxjOc+qjfYxU
6W04rhuPaAArt6whWpUe76p+3GAM0GZDeKSkfOzW1MEgRXTJVMKnSvMC3s24WVyFAa+wtqmPR0u1
Ju7qangdMd7iWyQV6asn2E8QJ9FkGeUimIwY+FWej1mfLjvlGBjGRSGgHbSvu5T1Jk/ZWGohwMoW
v7fge4PyDbvnQmNlb1Y0ZouwQSs7r+J8I9WYJdps6rupa0+feusjS4ZXW01goabKj1YfNnaUKaP6
DI2xevtajdKMDKvAU2zMy7ZhOFDNFHMbASJMrd1rBH8VGmSYz0kdSk+XDz2YblLxCgrwZZgNW6DV
IxJVwUr+yeJnEjg07xBAd2LzcIcVa4mtvFyyZ2IoTAz9ZW7nBxksHToUUo6tQ1s0oMm+s/ZoSLK1
fTWy0+NfztIYEh7F4LNEmGns8oF9KVpXsj12bVkIwV01IPURdomfehCL/+GmOEQv3UbJhzpL55dO
tf4NmjDb22HWaAkcD5vssG5WtyR9OeH1Jo+28ONFalzCW9VaL3YdTM2OzkJDJORdh9QVLIHMIcTr
GS8EmeZ3ZjAF91kq+E3F6HpJCgFuxcJTmHOFsp6aMvWhd12BcWkb7Dc3F5SJA1vX59RWU5AJIcxz
YKXKeDSD1joGYi5BKroy+xjLXL4CrfBxq36p85h0/4I3qV3jScdkglttPGFR0Yjc+bmqLBTBxQY0
3Wemdd0FOWkc6DdCgMfcQJcWjsL/DqBRlBg1s4aNvxqQZFYw2SoB7cxu2errJTG7ubs/XZGZeG83
vfRny3whjW5Ydmnf5BOUXNPUMerS7pr/Go6JK7X1uGBhfNJ5ozDQEhThR5s/hy9amcGXjbv4suo6
jmqn3QX8Z+wXP8qLtQfEnxf9PiGE0nG/eDmftqx4N4uBRyfCil19TR0e2EhWDto/q96YfkGK2Mmb
1XhKSRjAaKfNbW/dsTOvMYLobVfRNv4SFJ7xWo/Ai4CDhob7THv36DcQ75EK1KmMmvCsr+MsVL8D
kl/fcn5UFfvw8c/9igoD6FjWLwMqeC+qgi59tIW1fq67XJwNPQcISBKw9qgRInOS0jMWErx5qu66
ymnem7Cr3nXLmTFe04Yn1Sl8yAJ4FkD3TNkI2A3PvtuyqnkEo6wypJZye23m3r8xxwkNQ24pZ+/Y
W37uwp7fY6EtFR4vvwevN8WwJ1a7MqGj0T5Em0YDEUtbQTJ7pZcSoFDA3NasdQ8CS++jKLBvkugy
zaCcuXxzCK6EHVLG9u0UN9pHZm26fdQaU0k80lTnfuStE6/nwtH1wxAWvAY9AOfLta+3m75dnQdm
FVwMqEp33uES4QtsA6EXUSh1EZG3ZL34OC/xZ8HhvlKJqJ8cqzXTOK8C9zi62r3aqDpIo8Fn3Ypn
vxY6qvDLQIEHg/k59aXx0ellms9qsAK5q/N1u2uM0bht2hTDjOjr4N5zG/F19JCZx5VVYrwP7B76
yiiq6rKtXMSe6aSgP2TlMl+tdU5rbMeq8CKndaYrIb3qOSz5O5dQ5ZfYZYfnzS7n3QbnTrcEmjc9
9uWNC+3UxDbj6QF0mfCChavjJHJZ1MVJe7dGC5XPl5qpMhOBhs+pNcvwc5Xl9nOOlyLY10NtPdTm
aFlJP/tQ4BrO56koLPt6KNwMXYFvldkFmT/Kj8qwIzmiyXNuizJv1ycg8BAto52Dly8aR0aJTr2M
MX61txhS6i5aLEOS+uJ4PZ4tuxnuUt9IP9bW5EEG7c7fSttbLkI9K8wtedoH0TYLIriRd88eiT7l
CK7aDNl3a7NOJgax9e/hOnqCwL+h/czYbr4osyzSfWnM5vlSWyaRdY50r3Ab9Tdi8YqH/8Heme1G
jmRb9l/6nQUjaZyA7n7wUUNoCoVCoXghYuQ8D0byd/pT+sd6UVmVV0453BH5eNFVqAGZyDAnaTSa
nbP32lZpOAALnFRcTllQjKvKCYtHr6jrzxXuUY76uvsIiCO2oAohENolXmv/GDwxF20aJ7ij+Tv3
NtnJX/GBdZkVLOPMoGzEJsRfiJ5ztIzaGgyM+g1gcbj34i5q16HX1h9cB17NSsWV32+UnxrqDNzr
3cmLQuGrJg6dN9Qy5G0HJ5WBUmJOb6bAWqJVD6mGr4Jdq9qHo24/nz4ULaLfbPI2BVU3c+5B2/Ap
zAWXKa/zOshpFG/iwjI/GVZQaLSVNP9r5WqJQcGFgvvKBsSDRELKCoFwaY2IYSrP3CYWxjPdaQXa
iiYp9WuzDmg/B0kYAajIhX49DKr4hM7LFRueq4Fco5/sDQk95WUb6c4t8LD4Nz2I5oGg7vGrZakx
xsNKm4xk4sT7NnTm8FWPlF3BnBnchzYzwk92LafvlFiyR9xBeKNjxfnoH5Qz/rvLIkDEyJOljJtv
iDzD//t/ioMqxl//1H+qGPq/qGC4SB8syX9x8P27ikGBw8FiAqVOsBOknsFY/ymW6/8Sc5yRh/WI
Az8NfioC/6li6AKhxVwmR2cBuR+F6J9UMeb5+6bATDVep2Jv2vOfQ2ryMjrJiFt+eTGjQePZKuuy
1H2ppjFDJ1768r5KejhViYv3dsUeoBnXp9+vJSZ0Hp9qzZyCo0uilPVFFcU0tESqFlXDaDf3KGQT
jItegvqrpnwom9B6TMwMxtfgq6bdGfR7HVT2TfUU1pK48dO/5sjNADCsu2xDPJ17u1CIGGnT1lPF
DiWpQlTrfdd+VzbYHujD3iqFNHLTuJ8hXIZnEJeL+s5fN8HFJWsjIqVAtVjQBLVSi49lsbJGkgTg
1/rmtPcoVDZnbvdi5Xwd6BXICoTUoB/DbHxb40E9Efsddr1V0HT+E3Ae09mOuudfczzvnP3pu3ls
sJmPxwLNvH+HtGslolSNaHr4bTZEGr3oblXOTre3OWafHmr+3YtZbM9DCIrnDov1fIPf1K50X1qj
k3NdTuz4P+NWH5/c1un3tMexUJEOeuazcOTSUD9Re5yrjKQN8eq+HS+VWpR1Izn0duG4tFGRV+J/
5AjKP/Pnj2xu/qBc4tKIE1vMDVQoZdC0fDa8UdbAeoYOn7U15ealbuTs4U/fyPl1W9xIV9Ke40XU
KbvO9di3FxYPuY0zgcx0PcviNWe3JmZ7N0Bo8t3G+NlSGADGRGH2TFnw2LiWoC9PXBltw9dQ2TcP
sGuVDtTQYVyVN8BOcX2A/BHZus6j8EnN5RC3D7W701d75DHOGGDXdKRw+D+L16F3epm1GkY+pum4
4XDgrcoEQ7/jNOfiu4/MUFRn0kLrz4JP7PnhjZ3IFnJ6lRUrv5kmAGmTsR/t3r3oaj/eKCqhH/78
0lwyxui1krb1brxKQSYYXDwhRSPtS0ObjE0GNgdFM+Ce00PNP305Z7AhEHYHKZN7uZgzbHQNVKs0
dwSy01vaOdMmlla4+wejgAK2YHjaRPEs1maRlXhSLVYTxEjVtvKFe41GXZ2JEjw2I1zizajps8F/
FUW+nf8NyQi1PZaMkloDThxhp+OFjEcYFCPe8nOBWsdmBWllkoKrzneWT/nB6ybEZNddxLqlte1j
304PWYEY2y6xMzpVXJ15UMdGYwvvemybaSajpzwYrcyb2DbBHIKZgNKcR7W5a5LAuRTDUF5PaurO
fACOTAxWZN5mTziMOesO3t7MxDE4NWoiX6m+5Cg4hQLDVcDJ81xYx5GnxhAmhxaPtetd62Iogde3
Ee/xgKsgA3bidRuAPXT/osivH09PxCN3kZsowbC7dJJ0b7Eg+4M+QPrDoml7oQVsRnjVD44jtJ99
DRLxCjpf+OerIyRj5rwh553i0p8y0eofwoEub4yZGoIV5TsDhXvTgRmWPpZ7xFDqzJfg2D2la2DN
m0yDrevi4DPLiMpMk2z7mvTKMPxkm2aczhOKZqvTN/TIrst7O9LC6mOXAteLPXtee4B2uyw2zc+s
1226xQOq1zRzATXSfM/1LRpW69zkOfLpwSMlwEawV+EbM//9N58eFAcudREIUe0wtftptLR7SGgw
Wa2m2mqDN1451H2fT1/z0UGRdaB9tom1MxeDIq1SeuTS0W4UNzXy0uSJo/VTaOf1TtiVucNTLM+M
uTByzZu/+UPACjofONhzH15o4yJVjjGWIKKtsN6HOSaOIX0eoQL+KDIz+2pht91YmqgvDQVV4/QV
v3/KzCKM4g47bI4uy8UAbaozmClV7A7j80NnkFqYhnXwTfOr7mZyNbT9ftXcaGVz5kv4fhWapy9v
DmG0rgur+fCy6Zx6UTvgrYB2Yt5FLUGbsRkbD6cv7/2qAN7csSSMOr6F6HUOR0Fx2UWRAWKMDXb4
NZjCPty0wLvznfSH4mvbWQHN8L9lWfd/fWDfNoXf31CGoVM7N8ANdO3zC/xm3oZtpoWC8K8VvH+K
+1WUW/deNyWgQBI4hZaZYxXJ0aRTxvbj6szycGz011393ElnlV9MYCxRIiJHq1gJpDjpxqEI062U
VYRq7ak0op+S+5PalIOgQaoqTf91+urfL0/At5nIfDX5kHF4PLx6u4oits0sGrhvzEv+8y0ppdob
IeTEPx7JtW3D5BoZkIP84UicJcBcpHw1c99z8M1NrgIqm+Rau7N7awzP3Nj3byl2S44V7BPJNCS1
8XC4JtaSeGjhb9swKX7yQdkkKk42euLTPWzzYh9QXHopFQDheDTl59MXO9+2w70co+O1cNmMkxHr
Lj5ubUfTFp1+vgrTOr7WS1sgiM6NP34l51EobLARFh6BLYfXyBviRomHX13QL7uKR4lmHDDTP7gU
iO+89Q5y6uV3upHSJn6SQWw1lfcCVOBID1304ZmF7cib7zIzXOAwMK3YNB5eDJ4WK1M5wtqASiLi
chtcup4Fl7XnDFeu22p/vEWF6Injd44MRWc5G3/fvvdNYIxFNT8iDbrjFpYKUNAAST2yNXl/+hYe
m4uz3MTA8MzGfrk9zeJIcP4a2QM4qrkUaFzmpky2mV0RUKRrcQWTzHog/bV8CaEznnkVjqwxbOu4
pa5toGJbKmysNOnTWrAZ94eArmIlvepegkhC3Tc49SfD0GhGWzKqPskoGOszF//+E82OS58rbXOk
ur1c4YiMKIlNoqeLKl288DAi0K4GL+O6Q7YHu9lPko/wK6x/sOAwsGd4PGSWnddkujcLewvKvEJz
QUlMr5q1xi+87AE/ftGdLnk8/YCdZXqZSXES6b7DvmeuwYEqOpxNfg0vYZSdhed2kgg1jBr4RgSQ
CZXJaFTGPnRMGtCpoQODjlwcoTs3odm8IQIA1rA1JvqL07oUpO28L6ZdZFTur3zEE7JGbzLU26nM
/MsUQTvc0iysAaEJ8tltOmvszlFyzU39KPXXDnDKfTQNqAdow/Yjebh56dAe9uhJNH1o/W4mNIer
Ti8z58JtuurGBvrgbOpet2jn+Vnyk8iCgn5q2Q7uNq5Ur61pUPLHxsIBim1H6Q+BE6PEpdEI/F7J
MIGgABSIdKIjEXwV9BLYehK46gPikwhmryOCalUbMtF3EsT7vsbbhfhKk6mktS+MYFu3dfkRZgUK
1X6sg8dRTgZQMS7ze9tKEzsTlXjCGzoUh5vRs6srLUIRC/ZaT7/KIE69VcK2AhFFNMZXIh0HOmJe
m3+Y7Ny+NWdAzja2S4JZNT4BFlKaybgJzSQaV0ATLY9qYauDJgI2uQFZ0dUrl6SadNPIrr0SrYUH
1uGIoK21MVAP8KpEux76rppWA1k2BjiKgRwHWl7Fd+GWs75Gb2dEOnte2jlG2brXoKmlQFGTDw+p
0zsWXic8KisdDFG5UdFszsHuLj6CoHU44Hld+xACCUENMxrtdVRyyGBvb7KOVJne3VapaZSbhnzF
Ya0sOu5ZbrcGBeiyvA9CrflSF077LFsXMGbTRTEKBT8DLGmGvv4j7kNlbfp+xOfiWgM9UjOPW7Xt
hqoedrFd+N42ARh439u6Zq5x6aJEkE0J29gZfDZHU5YkDYIZzK2bQc+HcUNaGA1smDVwfnLKT2CG
qhrEN8oR7QXrBV72IMjxW6ATnbRV3Qa2ucozsBvrKion7C9lQ8e0IMTgGT1KjHc5IMMKlkfaQTwc
yqHayrRyH7JKhqBDOq366pcU3Vdh0Ey3yRybvjYABXQrQzkWXVfP9z5lXgODn0anDHbAwhMTO45W
XbvjREc6nDwl1mOkKjKJ6wipHO315lPjAd9a+fbQ/YB8Urkbkw7o1ylzwk/MBm6DMEcCF2IxfAHD
GniophrPWHvVII3LJDP94dIMkRlsVKDq5pvy6SP/JmIZMz5yPqWt0roQ2Rb0tCo3YF8xaPc5Prwv
mfTHbw2dyWBVgBopb/sOqN3HEnBcss+tqUETLRuOO2EaJ+E61f2i3iOq0Smna5OpbYrU9tOrKhvG
4aK3yshE0U0kDnjmsZbrSZXN+CUQKrrHyO2F6Jgc+qY96GoQCbVwn9WcPbeV+JbIEbCBoF5oVNtI
Xphq5850Rsu+a2NQB1UZWg6alrQIL/DUGVgTu8Gob1x3mtIvxH7YyRZkW1jcAw3wxAZbf/UT5SHk
KNyGKacXze3MXxWzaFzDE/PHr23sUpEdunDM99xV6MBxrM32Lqk333DghOrOxyWd3fll6nU3uZmb
bcmy7gMKxMKDy/Cxw8IZrDGdy/QyZgV0VjS5G2dfIRK6GdppGMAoseO8UUQgtPsILK1ax10lnjU4
Cj6MYYDNq5EJXl0F5uS3+zKYJE38nJb7Rksq7a612t7bdvMkXbttNBBkqiKall2sVe16EnYYbLCM
tv7nxKOGvoLEqN9XZVndhza6vv0smmzXJvryD31WmOEOhcOoXadhVkUvYF7j8NZTNnEijY1RcKvX
yjEv+ER6PiIGT1d3HV5L71vV4fPduiKyI+idMi+gYMQdnv94tH/7PptPJHVN2eH87KAY0rEanIc8
M6PmGtZQissLlKOz6zxD/ZaZn9QXedZnziYZfcROTerP1Cj4zT/E1Jco1unMdZ91FjYXJnme6ZR2
dRTx2BBK55poNKvatGj8tIsIgM5Hw0RRujKgHBazDk03Vm0/s8esEt/gWvpthZg+NfoUaIGXOVcU
pGzv0oIU/eJkucXaEFdE7Ii2IMhhGI2+3bSe5jznSFRJXwAhTqR3Y4nvTjsHd0bdWF4C7E73yvJ1
bZXYXvxrpKX8bAcquCEjL7zz0MHuwNQmd3rqJsmlnYFrWOeNyTNy0tGYdk0RGS0A7rhvb50M+8dl
jrgIsFmTDxYFjHEUuwEibr+2u6zTV6OVE5BeGjZYdF10cbqZRlbndd3HsrisoIiNa1SMsPQNVPnj
NjV1PbvNBA6SC73jA4orP3KdrS3b6Uo1fZJcOEOrtE00EZq7anwNCUgE3qtYtRhF+EBrielvi0xD
6F+nQ5Q+p05huvvOtUuE/oML8EJPNJ1tTpUqZDxyfhsKPkZIkcoQfaFsw7K6pLQhH1Hmt85WRkit
8UtOk89qKSoa8RaDrVvPghPGVo28VTTI6TVcZd/a2KAw5Bq1CIt4TffwtsvZYaxL4HHxNrErDgk6
4stffqzpN7ZTIqHJWn7d1sDBd6/zXtQfQvycd00TYNeWRVQmG/ASfMb6gZCPLd9h6BXj6CPlqbqp
fC5iYTzAFmGbEWpR81GZEnrw5FktvhUzQmUSITHu1p3szN/0Phw83wEloQ3bmwBmiGum4WNWN/k+
bm0gdrEnU/AtejU8yL5J8d9pJf65nugOZ631HPt52fvhg5x6DEF4CoPfoXTCb/Eg+ORIXqyQ5JWU
tkYauHW+ZemyiF5kacc9S3uz2/MNjgHWZVGKP9627xyrxJ9Z9m0HAsYqva8JrydNktGLPrthA0Te
DPqm2NgEVt2X2FKCVei2wwcY+TRQ85IQMVRPvnWPT9T6EJVGgghNOd9bw7SCjYnr5IXZi7klstz8
avBzMu4qq6uSNbuSdJ5BmADXrj4G5p6oyoLYjdq7tYcA7RbH9PRrjaSR+9XWzQ/EFaLadq7hbJGc
2jmqxwksJIxGm9pokva/e3RzT3nZ5b9TvZZXkWH6DRqrFLm70oZeroNSC36ExZjCeC55aXZG7Tez
rF/0N9YE0l+zHEq8TeRDHqmDVtmbjE3E+MHUzegSz0nTb8oRwNfKyIHisN8howjkuV19avC29xfg
2kDVeCikEObgHm9uh8kJ2XmRE4VNuKNGiSs1qftLKwvyim1YWLEZy0uE4doU19PKCKUxgLKB8Ztj
0MbKnwAi4qbP2j3mktn32d4oSpQnfhl2bMpo4RPtITtOKxqi1ngL7pytJ8rZsNhQ200/TvXU8JdF
T7JMTxKaeUG7qP7SYID3NrnvONFGA65pQvmPzWljiVp4m7Rnw8A3o4+/4fwFBG4mSdRuJ7e2EGKH
HX8sGa/uBYkhmHENLwXLJjFy/Q5Uyjgq82391kDD17EHj4S+DsZwRqzqIInWQQ91kc3qEIqNNuX8
6X1uQk9ngRiivcOn76ltdG/aVjWbDhSvYWFe4FSK5Q5rOrucooo69q9+P3gXVlq19Rrdk/85RGiH
AayS2J/HPmXrCT9bu86g81mb0B2rj37j4BQCk5LDbs/rcl5IVDDt2sbIy80AZwHNXS5LAN9hiabW
rh1SfFAqglTVJxxgpeVW7pXrRe4v9ne8cT3adOrXwis/4cNOWhASwrlX4AlTIlu66BFNIdIdGr/N
byRznlxpkTNQ5m+bNFjXzeiGK5GE0+94JHEHpLTZbDGJma922pupS9XnsbTQpuvoWS9cpF6AhduK
+2dnM2Y/9qEfZr1vG5c9eWHXyOH4EXbgGr9d0ZTgR0FND2urqqAV+2RBxGu+mhwQAq0DTqp51B7Z
91sjj5Ut6E8LBHHPkpdEJU58fwzXrRzies3nLDQ3uZMW/QUwGrI8Yrfhr6D7U4D3o7LbT72aBqj6
FVx6yqhMMZ9fviXcM7Q3RTto1w3CqeiimOySaA4lRoVIGvT3mslvvrioSzFzs+jxZ2thZqwMfQqs
VVF3OWewgTQOpWL8wkCMmdDwn8dsG2vF/LO6bviOPoyBAy9kKtdxxLRMNL44bCSl+qSmrCjuTRcX
2kXh4W7nAYzVY2x3ZJ7lec7cdIaBuW0Goe1wOmjUL9Sf4YNKPX4glUBOKj1V1poCgWBgRYDTHSpT
+SSGnJMLUDGM0OxcITJhqcED7aTDnI0QkN2wzqsqpZBQqV8zgYS7Zg1hu20CAbtThWShrWNZc9Bh
XxU+xJmJkbqpS34OObXql4AjzwrhpvpIVJ8SZL/FHiOYU4s1m6+d96HOVOZ8IMmOy2Gfi1+cZaDl
S63KGngAeJYtW+v5PWyV1e/MbHJ3o18Amm1LXf9t11nz/XTdYVHZkagmQLAY1FaY2w5CpsOqAwaj
ui1NB9OMJjkjpX5OspgIfJTJZLTcwTv2OJDJ4LoeUghLpwd/rQ2/KXL+NfpcypWw8eZI18PRben7
FSr+DNyb1FgNx2DDYchgX+x+rkqkmBWkV855RbBNuSPQUdxxn+dNszVUQEYORspnzWQOnfldc6Xw
1O+a79qbwk8uKtuimp5TzEB5v611X+CYxVCwTQzxO8qRRzG/tUig1KXCrrd+vk1yljyE8JzHMNl8
Of2LFkX2v26UZ1F9w4SMQm3xg6oh1dk4xZS+Mw7J+E3B0Pl8DWgDNoVdnCn3LQqpr6NR0mRCUEc1
+Nfh5ZdK5iBeyLAYY8v9LiOHLZWvMoVCnRzC77hzjDOl22PTEGqtTnEPXCKdjMMRc99vIKa4bDCr
3LiHjAIPyNfdbQBk9nLshQfUAZxHYdpnhCfvB6agaBK6ywxk/KXqDeCpleIt4jiZCzWXU8ebEU3R
9czq29VD1W4qt6o+emDpz3QzFiVdbvLhyItH6hZ9IgWqViLmxyLcFEbce7csBMOdV2WzSc0nm4fv
mRWVT5msyd/rw6atzkz1+cYeznR+BQpHEAIEtZOxenjjm9EC4SV5A7E+EHdGO+5unMri8vT0fT+h
GMWD+28YNqIwsXi8DB2ZXsX7ZAKvuLIIZ9u4mX4Fm0094rV0zsym97eW5ibTSKfWQM/cNA8vigXY
8iqTi5r4u1+1jlJkl1Td3knUcK9pKa06zeebZbXdBhKHvj99te9fVpqPrGkAQQ2bhXVxta6kapRp
vD7QetEQDn4Db4SFSsT6xemRjt1X9tI6YjaUYig8Di+09BLIdBGtXL8yyCmJA71Zc2ClsOBonJ/r
xHFu/8GIJgpaQbNv7pcfjqgL4ASccAmtAwT8wx81DS4f2SMADMKEzKvRPaO4ODZBUZLQ1JnFu/ay
eaQQyMjCDFiK647PujeVDbGtTtPnZ97HowOhtpvV5STTu4vuItBzUmx67uVU4XLPW/hXOB6rM6Mc
e2J0a3VEhIjCdLH43irogxOqczQOXWhhibK86YLo6no7tBW+hVDrzjRPjk1Gqk4AVVE4sMQuXnC7
oIA6uvMU0XvvQeVTZWLpChwyLtIszc4sJ4tWzeuiNvvEuYvSkayph9ODHO60Q0jF1NeD7FtEEBwl
MlgR/VR+wJbJ/og9Wv/59Jw8sobztSKcBKkkH8elMHPy3QkiT5EDXQzDHY+Y/BoqACszi3dV6ru3
JWv/XpojkIvTIx95mg5iYXo3iE8NWnOHl0tltAjdije98Tv3xdATyI9Vp/cX9UTlLAARvj094JFJ
Oq9oKNVoO/JI5x/0ZmPSKK+14J+iHDE1FCLKtHZwysXu9ChHnqKD8ZxpiuYd+fViknqjH8T5/M5R
RdGhfTtJE+/NhvryTs8FruQoFuOdPgJSPbOgHR2Z7xDYM+pDaEQOrw+Y+EiJF4kIpVwOGINp+Bu/
4d1YjSiDvvNpybBw6GCRzgx85DVhPMGWh14fl7x4kjUtCqftGBjo5nCFgbjf2oOmPXil7M6saEeu
EZWViZ6L1cx+LwhNhTEpK0MQSo+M7EvN3A9WLeGWxKbxUBYRqWK6d058c+QCX1vjyCkRghticYFW
mXee1/OSEBFkkRcYwFOj7LoPoPifeSuOTFLPZAlAZIQK0FxKF4DUZ3U3cYE4jiRZrtpASJ11Tsb0
fpRZcCJom5I2hy5kMVVET2UuAn+HKjrs7hKV5FsnjPsz+8Mjo7A70vk3qycKgsXy2bk5Rj7Ly7HM
g1Qr9TlItQrtP36t2drzysHJ4D802A+nPaXBfuCUUxBOQivlro57UWyKWmvPvV9HLoeFWaeZj9CV
mbB4s81eyoDyOB85JUBOZhC9inD4enr5eL8qQvbgcwMahEIw/3t4NdhpdDXQ76I6aCVXLJ7RuKWV
wNUNeWeQChKU48vpIY9cF0ovKnPor1g19Hn2v1kXo9xGhJSymTZNDssE3Zc7yP/D5vQoRy7MQZMs
UAmDdZfLURSifKL9iAABwkSOXho6H9DSNTsXIuIae+I5beLx8TiX2K9OgOWHrTdE5zh0rFYWEWxk
WqQETiJ+Cjya6iIuHrqhNn+cvsSjN3JWdfOVQfLwrh6QicgzZ2kiKb/ESqsi2KRFO/35fHctlJ6W
hUgdbsviraL2St164APTpcK/d4f2NRF7PGPmmefZ4dkGRYbFpwQjkcf5Y7FC+HbYBthsgD6i9N+F
6dCszbhXjxicvL2nAGMkZJfC2W7abH/6Nh55cmy30JJbWDd0Z6mr6iMRVRV6LUBYMvgy6z2+TJ0n
m11aUM/Dj6wMa3d6yPefFdQ5PDDOAzhGMLkdvgKhMnL6fkO28s182ludoX9NNTLWPmgGNYN7v+hN
nZJsSIvl9MBHpgzmBrA7HEJ4/7zF644NiA0suBp6IK12G1uAG5uyVH+8j+XycOFhztJnEvHi8opy
cDqieKjnp26+p2GJKAItoMOrkKaZdWaCHps686cZbRd3FIX54c3s+KjlYCA4FrvUumNbzm2dSJNr
i77mDU7U8caiU7angzJ++vPb6XAbEVu5TJ8llceJ+ormt5XRa7BoeZFJvS2w065Pj3JsgjoGR3LW
aYuj6uJ20o0rcfzxqDJ7xvhg2P9qDuhUx0RWF4NmNxenxzs2SeaTvENBiW/Dcn81TQ3gyw5pji+L
Mtq0si1JKwyB3JyZja/2k+Vbj0kYVhUVB9BUxuGji4Yx8ePQzFbFBN92VSPcgcZXeEN6QYJBmm+7
xBlgepi1S9GnKH/U+NwB6GSI3M78liM3eZaOcRziHvNlX3yVJiMwSQtHIDiiY1/TQiz7cReT2bRx
AkDqp+/wUkDGh5ZJw8kVN+FcDVgKyDKV1BTmKIDH5CmEwyrLgCRdNL7llusQbxAk3yF2feLFrDq/
FtS1nvWKcxzGeeIuZmyQlf/Qy0kfLtJBgwKnJIvVtWP0CFx8jlZn3rGl4/T1B0thG+zzBTK7pZFo
yLwwsEWDoY6XOdtGfStuFFSBPTLx/MJ3g1mKVTX7UCtyjBZaNeeCjI7+yeTndmdeiOO/BguaZ0N6
ROy4mDex3aa9oPm5ImMW5RdqlOjVKSOtdWZ67Z1FLO2lUD1dIjDMmzKFW6L1o4sIMRZ/Jsv96868
+S2LY3SITDtG/wvFZqiDLdZJKIKBce4weWx6Ml8woFKpYr1ZuIKKMRK+IxklaMnalTCXf5l1ldz0
jQiu+oaT3+kZemQNYIcGa8zge4xSfv77bzZp0p4gAL5GEVhmta21CRHrmKkz925+qRbvP6PMblcO
WTzKxUs3oK9Mh47TBxKS6sWPA2tTAT/5hrv53Abj6AVxksN95AoDAsLhBcE3hVmjs42pS4fkuJpm
Ud0bf+hJfp0MDlQBVjMqKu/Ft4HjlwbeNJRNQeTuctIsuw3nNxIQTz+fY3cOJjsfbHoMc0nj8HJq
jgwu/k4G0lpBWJ2INxC2nYcyDMzHfzKURYF23q7jRDkcKmuGBj0OD6kcWqLk/ZldlbhQqOimq/jp
HwyGhJjCHht3ffntkQBGoUvMdBt6OruugxGvoX7Z9AhVdqeHOjYj2PjxWcWxyL5hMflUWki7QSDG
OcTKHhIRube2S8jm6VGOvbjQApy56MQHZrmxzcGT0K5k3uWoZwXob9DiLI7qc0jda1d2frI5PeCx
mUEJEfuZdL3Zw3P4uMw2DAMictmTFCTSxFMmnuoYLQOnhfDMw3p/bdRgMAo4s/3Y4z0+HEpJnZTQ
DMHFUMDPDf3qoXDrK6R39oWoo/7MhR0ZjbwL9q3Md4MC+uIgojpTw9JdE/9NWPfVLBb9hIop3oZ6
N91DwPbP7GLfzw+QKDrAZjYnHPONxXgRjjKpawVyEri8L4BTkeaYhvp4+nEdHQXrCK8xRzgSNg7v
IYlz9jBVjELwT/JN9kF9S6h68sezkOfDPZtnocPXe/GkaAKAiXQRcuWETN0T4gQ+v8pJuJaZsp+N
yk9///FlMQWxquCYfW2eHV6Waac1SlQOGhjwOQJkxs8od/7QCMxqyykDpPa8oNNsXVZIDMjoZT71
HBoLk/Dexs80atYyX9f4uNuV4JmduY/vnxbrOvp6j5Mq+9blZ5EEi9Aae3p9Y0r8rkNI643olPlv
pjpRfsGv4v6vL+Bbl9r7d9ghn87BHu6wunPqPrx75GfpPbjwZBWabbHNkuzXVCp0gMTf/ukF2Uit
HF4nDt6gZJcvVYDUl5wLUIF6NUYvWaGV26QNz1X932/0GYYTL/sJ4mrw/SzeJQegReWCombjqswK
RYsbm9dqJL3spu9KUHJx4xEgISoL1hu2IK9/oJvKxjjXq7OduHcPkR8zLyGc+VlN6Pod3l3CL2VU
pPyYOVS5WOHoDj/IyMrOlDSODMP+3p5B5HylcVEeDiNG2phyLhQWjnI3nql+5aYI/jqr/X9CcvSj
PQQEvdaE/rZ6bkAh/xvQf/st+/W//sfNt3bOjyyappjzIx+79Mg//m++kCX+BRKEvihfdtZFyvt/
84Us91+ULGZdAyUSCtXz9/pvvpDD32O/wMsP5kOAlv8vvpAh/wVX2cLNikQG6DDdtP/9Pw/e979C
P4+//+xAliUigX3r1cHFfpU1wJm/hm824L6Jkt839Z70wBlBm6MhfmoAtXQ7HXkqoNy07n71qhq/
xB1OCOHmBlETXaVfloYaoMvm+iNttGFjBPV4QQLZtUYU77OOveJHULvJfQKM8rbtDCAsQ9BfoihW
ISDVsH8IpZkaqzikw0LiO/4bsqdRnPq9/hV2ev/RKynMEXmWPxOfGu7KNsaylyR8HjnArgha7u8x
f0uxN3nNnqSRNGqF16fZqa6p7Z1wAmj2Xtc4z0be1vE6d6b2Q9dFyQsdQ09f9Vk8XURhVfx0TcHv
rkrnJSKOBXSi8bGAroYqd8qHT/Nu4anpI+9WTkN+VdhYVyhlItJSSteuZeWwUEforgv6UoG9Vvgk
vidB5+45YWnXdjLKuypL4psCk/6LMMy4uwwmnVO5bCvN/tJU3UDjB0yyQF+1VvkAPxjRi/ki6djf
yT4ZPmVNbzx1mo00DgYtFiZ/QIymYsUdc9UU/ERGGpiEPQ3FBwTZ5rQVaYcGLkYQDyfPnOV91Iu3
QZENnwSxPz8hlHGBfEO6bE9funpUrYvWXRKrpUhwCneYCiBPhmQqX0OTQ2YXtORPXnJ19Nw5vqNX
SzhTbciXg/MMShdnmpEArmu9eOuCqP/pm1ixoO+N8bhtAOZDBR19fGlCk+pKlTpquj40X4Jo9O9c
FYzFei4p3vN9ZR2DWY9k30kbIA4dhg0eJLlMIo1Qcufl82hhAIgR5yDcBj9133pobrcpDIarUVpl
sEbk1mySXC8e/C6wfyiMG+ixZIV8ctDXbZP9iLT0jmL2OMcWF/oFJ94YCK8U2aWuS+/Ohfb5uTOc
dl9ANH0awetzPAgScgmmWnfWluaXHefkzr9EXQifUIe0b0el8xDGdXiZG8MvTfqkeKYqfh7cLt7S
kCjXwsy8l7KS9pOvdGwgVmZWTw06UrApWvocKWmGl8Qt8oT8StnbQer5B9uotK/eMHrahUhtOjRN
m0NLFeQFbYtAujdFzkQVJErrcyxf/A12ZureFZbiafYTkWfS7Lov8I37uzBK4YUFMo2ndcc2JNwm
OkLHGX2FYhdS+h0NDZSUKVrPdIuk0Q2uhAV6Z9U2RIDvnMSNnatG9u7eBUVKbFmnN8O1KDOBaE+0
rnOpbGvasmWqd7araVQsvGGvE1c43Ph2mw+PMI5BAjMlwjWRTOoekUXLT4wtTGdDlndXEylq2zi3
4njVy5jwzNSIeZVLW36rpyFFOhkXDUrgiuyuh5Ko55+oBRF4tpDXNxwx9SdO3+4+zlS6nyYLN1zi
QpxtydNpyZQnazsLHx0UdM5KIUTK+PPQ3X4SGA9AFnbl1rL935Zy7PC5ACYVXpdhrzlrZh+h3LQe
M8LUezKrijafX4bBRw3KUdXd89ngvUTybgUkdcwmuTnZS6F5LcyXQrmsFEnuEMgTGLymO6SwEUDc
wcWxh/kHuKTok+CnO1gotC32Ye5usvqYELokIdcn4h8qLmfXQHoBCcK+zFyRfWgLF5Zr/KKJglTx
sfF/9E7QgD8VzaUdFQ+inVxSKsIvcDIJAxvCbayT0TTF8kfRssT/P+7OY7l1puvO9+I5XMhh4AkJ
gFGkqCxNUEqnkVMjX70f6PdfDlUeeOpvdI6+91AkAXTv3nutZ0XeUv7EqJM2vREld1ZcpZdxKPa2
0uTB0M0vXew+z4pzbHvnAk74SBAknqz8XMTujyuaR0VLz5XR3rwhiTewLElDmjiakbt9yyHYbeA/
3JopDdt6eY2E8Z31gKvQKQWTmG58006oC9CJiWYXT3IwrddGIeWD6zQgq68r1J3L7OO763EM9Y+u
UYQjDIttW2ffzuSd3Em1N1IUgeKY7/bsPXQ2HoZcf7Cl9uy0egOzWe4rVb0iYj5FmnrNlXzX1uUb
tui7JB7uIJt8CVU/214fTi7vmFOeFjiTGnbR/KBy/R2LDKzJ7a7M0f2h6c55NcX3re6F0eJ+ljob
UoOSfaNnxteAFbU20/qY1HPKZkI/ewE+xRNAOmpd5mfF43tUzO/MSt/KJvOlcB+1jr60pz+N+B62
lAAQi42k9pH3HSJ9fHdJAV7Nqqs2EJE55twEEm/hJCH7DhLrzoPYkegw1iqt/Xakox1Uxa630iUj
xdXd5CQ9D+l25v1UOKb3VaO8MGNjQyC5foOUkGTgKpXun7L5HHvLS2fly0NmDmMo1HXDM9k96AVx
F5dsgi62WaTTTevi60s8XHUNniFzcR4it5tfjTFV9+rSubuikxmkUbNMqr2cTOJi3fg+5hkOLSG8
t7g020NL5Imfuto/0Yva57yyvIrOFeHgJD/2YtZhK4s1kM4lA0RDyL3XYqQ8tdVHvzgGaKUnzgA9
YHAueT0ogcp6X/pDjDQ3MahWUFENIdi+M0RdgtwzAQZWzb4mzzgo7vSiJG0SOp6IORUn7Q131a1k
Pd6bTfpP6ZXB5x0YaE3ll1sR/4ejMA+LTFrBILKJk0ZDZnQ66lkgZ+9jqnrszvUwoVyuysM4a/22
LjrtS6S9Qy6EeTaG4qS0mu7XmvUYIfI4FGr3gd4fanqJwobtPNfuu8nu6H5bgAa7BwEDVrdIPx5i
U166KLaQZmaOX83tIalhUqWt/pBb2T7VWcIzQD0AqhLVJ4ueCGGqOHQD0742ojTkCV/z3zRigO36
PCjqRUm6lyxPflQD05XA0bevXfGoZvWTHs9BMYAs15vUk1ub6zxin5MvSib1I0uHvdNzrI3GnH0L
x/yqhxbHtle/Ob2yc/l4m3jEBkWtyLJvTg/FrET3kzZ2u6JB52akUQWjHbolyYQ/Raof8O/wj3rN
JBJtXIagyrt/Qst3RZ/1jyoeCXw3CI7Npf+wbWEe7LxafmeIzH7r9nEAxZrfZln5AHK6L7fJWB7Y
pr6GKf2iJMrnIFu6O8PNikBzE2+PhbC5ijjWLtKNpz3Zl7of9wUQ6oyx5XbhGuxguL1MDR4vdDL9
BwoJ51FRfzrPKQJDcecDFqBzFJsfUKeMzSAXb5uOSnFHMqK1LavE3Fhuj0R6ZDVRPeJ6XPvdUDI4
bGK5ZZWofOklx2ZMJF3P2QwakjF9PgJOm1xeKtfds8Qkm9EzH/VouuJGrDeO1TxUnTAOpuJUAZSS
QNhxup07Fdd4JB+rKD5wcrCe4diFqtHv42ExN9RUW0o2/PPFsZytz2HUfslpPrFADxiuV2i+YKVM
NaNSNzDW4nDu0q3SoSujo65uGiRSPidMhObR9Aaan+HVgALeSOv+YLsG+U5edypmYgedJXIO2SSv
hlRyRKAAoI31uD/sZrfakSP4ThadsfGwu/x2jaUF9mq+WvLu3dXH/OZ06S/f1cXjBk1181wnTRYC
jCTrmpBCrB6U5R4JR1tSDH49vbt4bR9CvT7h6nupSwLJYcQNgLgISRxxYalu/KbH7U9BsF/oTbog
rhsTpTR4P4YVhTC5k2Otex+itaZdl0XnWak81IrDrwv2019WbGRdkLCqdLR/Cit7SnK5xkbh17QW
KjwtjVDyLg37fvovUsyfqFje6LYFuC2XZ53Mvthpgrh1YHUUjh4uxZTviNfi9tfY4YXV79IyPhgL
RmgM6dFpWgycbuSLE3uLa3toVtdLbVhBo/d3FEHiZAvk4FVPZPaiRIuvJnKf2SRXM3x+ASWIjqeC
+NETQrixydPKq8baJaT6bUgCzrZ89frOalRvm4/UsLq6eBdMpS1HtHVVhwEamKXT+RGN6207921A
WLZ9LjgO7XtFqYgGWWzeVo0tA3PYXq+VaKt1FgTMzDZ2CzZS/m2jHUkVy9bsweFQ6NbAyHA8aI7U
TqR3czsShvFGBlYVkpEJKyQzA7OHEjQbBYplXd9qIG1x7kcXOOu4viYHn7BbOf5i6/0NEwZ/LRZn
a4pqtS0ZWahQD+2dpXrh3i3CeVFgNBDueR8PWnpiwct3iZm+LTlynX6EzFbAHKeMVhz2eNy/FNXT
ds3SCIY0ru+TpLX9hsAPNTfVzylBZghEMfIbrd+RDCq2nG/73dwReslXFtRN9lvmy8X0ZBsC2Xhl
CdZCh+CZMLVqK0RJFh2LrMrDpeV6up1Wk8tA0JXUMKyi76d2iqab4jbnpTKA7soFe1wNwoU11d4Q
jN7SS42IRM+S+JYPXXYG2edR2StQpMQwBdaSHcWKegI2w0qMPOK7pxtG+kV1sbTVUzuZxZYUmiTs
uTFFh+jLzQeK4qGC4AKpam/q9XVQ5hZxZak6vj3xYLeYm/15DQVPW2zUVB7RZan5CHahBqquymeV
hJG9cPmlg6p8G2w+x54I9WCqRmfrqaUe1Nlcb6pISXcjxpXT1KN+ga/ygFmTMj2KtHDNrLwM1nBC
6EA+fNt+ELzClNqhZ419662uqnTXD0J/jp1ER/9QxMSCCBXzmhhPRLS9L3obmkzRt20czw9UOMtv
ygR+Sx55Hk6YMO94kC6GkMQaJ6oTJukyMb2dcjZSqRy7GP2jJuX3OGn5keHCSzmbcjOkkApGCBEv
VpLaxO0m1S5pLR+mWfzeZdDk8wyr69Lh+sd5/Ql06qMuW7LaGm/bwMCnjTL+xqS1b+y0xcZl6O+L
NtdsvIvL6WM2fV2HNl/qc3/fWUu7W/Kl3ju4jQKzcMm8y1CuVZ6NLyGVGMOc1eXnrc9IudysfPrI
1oCgbmp6H2Jwv3Fa9nt4SgGsz2hfTmZ7dVqs9IpGGoCpajjOVGJoHdIndPAvQc+jmKSOEWJudIIu
xvIVNUlxG1Kr2VWZHeO/aup/eFO0bRsNXth0OvF2ufiBTAl4v7feo1E3P1AOfzW289O2uh0aZWx+
6+agvGZFm4+bUZAj6NH7HBPCOGrYBRuS49VN0tma7yRJHXC1dRy1ET/TOEhWqpmR1dPQZI+kQgmf
kXMfed7ZMef+kxMrvkq3ELesGQmlF/hB81KZKJ4q6ddtQ1VF941mkhefHULqbo6qfCaec7KazHpw
XHmY+LghUYrFzs7TdxB3q6c+mh89k13bbkfpo4Rkk0tpzliT+RV1Cxs5Pu7AS8HqNMqIQTybMOnG
e2KAIL1JqYNZ6KjTqw7VjDMRKVBWZ8VJKepYTzRBnnXhqU909s5l3XpvhWiuOom9pNdwYgzKotae
ojXWtzAhcWCOXshazslroiuUx2q4ZLV4kFbqLrcRMkQHnGaoe168ifaiSL2vtpwizpxt3aaq39ZE
6+5ZsRp5rvFzbgxFmQNzjeVyPC7HMjb0cNwcuOg+K2tbKgHTLkPC4QEXdHLTjjN/XZLOBR1BGYj8
qdUtX4qQLPPzIP2KdKZIvtATcbDfVbY2XTRivgHAMhmqfaEUdBTr0Zl0UCHQWHgwZdQ994Yndd9O
BzIBZFP4RmvZLMhx2sX+aLTJeC+KNsk2Hfv4aWhJx6QbNAM1QLBSR9tF0QhrmIbCC6sKOKU/ix5o
DLW4zUqbdK13rpcS9FtfxF7r41efQqvCOd8Dz5g3TDoy+imRlRLnPnT1uUrthKMrHyyYpJWQwVMZ
wInUJhPvzZA24GYHQ439iVdtwSR5M8C3v6xwpWuaS9TrWbcjA0KtzhOW//TZiBqlOXokCO/hp7t3
2N0JgRAY3HO/Y79MD14e0e2jMk+fVHuwvptOm/ptZtIJI3ySY/VGNIlnBqyQdWCXmgYUdogOoybm
14KkHB7EaaadhrNqAOyHp8DZjSTxYDukB0Cmo5eytDt9Zzo8UmV9Vcs5fxpsXaQ7i3FttUeLgfRR
uKBdDjTEEj8lygy0g7bD/hzZx2xAecOoy8rsYCijqfUxR0Ekaeu8VgMjnohH5qKQHz2s+TLdciJv
hlAxuVd79+hUvbpvpwHtkF3N4qzV9fyRCtq4uzZW56NMYET43NH9Dlf2t2ulhxra05Su4UA2KSGZ
FUaGvVO74lFXyqMyMKNPrZvo9Jc4Tn7aMd63BA5RTJ3V2T2mSZ1sWslWp5X5zkmHj6oqDk0x+v1E
hmclX93SfmU1fzQsNjRlIW7KsBZfyUk2k2kxb9GVbxXyo/QBK/BQfdAufLCG5IwJIHT7765NPuLZ
+ZbafGzhWBys1h3UvTIZFZk9Wtsc5qomvXKAruzWTXzfja2nnsZG4i63kM5UiO23aiUfkCxShXdD
/pYVCXcFPG88G9yd5FehLXK8wSZJm6wUsANdbNm3eEFntV16W2xxymEZJ65KqZ9UbbbvG4UbzC/5
juMDbDD+TTF2o7FVKNTSZ4xEX0Uq5sfUibt/Qw8h8WjVKQXwKBW0923cvNIuGb9rU1rNNp6WlPNd
zbO3Gfnc8X4cCKXh9qoyde9p8JW240JupN91xvRqekvmBPFQmRkJ9dNy7vjMSZi52aQfCU9T0n2D
U2KE44QIBq8o1M2do5QBNe9RLqzDG+pJRmKMHfsObAGt33CmH975ICrFp17FkctVMhgPNI0oxJ0S
ayrWdnvmXNoOXu9A71TVnzQzULG2kabFz12aZ4eetVU5k9SDNqxhT8t2fzPn/6dZ2P/v8RoMq1aW
5v99DvZUfZMVmpTyfx1//Y9/9Z/xGtZ/RQWFachBQLT+iTnW+Cu7//ZfFCZjzh+kmXwJ5up/hpf/
HH9Z62SMcTvOGyJ0Vozq/xx/acZ/XX2U6/9WbOQqBfl/GH8Buf4/xl/Ar1U4mh742VX5ilDyfx9/
ickonBxFxLayZkY7hgvYIpvGMbSITaMtKZbDBDOu3RSDmykU1op4trGfXEfyJ4BStGbgWEqzq7OU
uqMU5S5O4l9kistVReZ+LBwGExs6qTYNcgvPUobXDW5eX4YqCZZvKnme16olwgaEBxnQ1qB8J542
fgI3DKvaup+dQT2gta5OjdC856kQb6gqpg9OS83T5JTRg6l11YXNRXs3hd6/U2i397nL4iiin95T
yrNOECNPRuyG0VRUP3AvBpTLTqqHyO2bq8dpHM6SZZywmFCCKUSBjYNFoxGYj7+OAkkf9Hrtmjte
sR97O7s3JpKG7UJrQUwsVUhqBcTFNLIvDEKWDVaOynfzrr3F5YdDY9Onx/BBgLzbbPSK81udARpx
e7R+jA/6jaUmr61KzZcbI3MWl7ZvjKod0n9RHBunoM8zX7FACZ+24bwbVYv9Np4zavp8tbUCMfVH
J/U21YQMiTMVsJYkHYYDtN8qyMGOb00siA5QEBKMZaU126qPnMCJEnhphtHZUeDYZZ9/Z42LHVGo
pbq3SqP1DrBm0uvSE6NnGTEIcbYaaSsvXTaOJxlnxXWIUlAPRubtBZgP32r4enwmXmVYu24ZVqWZ
haqW1UQ8Yzdu+WnRf1Z9lz/g3RUqOCU7aEmJ2yOlB10yBa069ucs/dbarxgAoO7Sw6Ha2tMtfTdH
+bpolKFF9GIuyS6Lyl0T2UHDNNiM/3lJdhzYl51M+1VF8Ux8FwMZADi5bRwSrzyIdvRtQ7krMkx7
3XSZK/HQZcXJjaJTU8T7eZnkBaiv4euV3E+xAmHnmCBtDRutIMHObP1iflxRyjS3ZuXW54SBehMZ
ebSMZFI+pXHn0prUTA7Q7p2uOLCMNMK43XLvwChPUu/QtSqEMco9HYubPrw7pBuOjRvqw1cfmTfF
olFkP5jxK/A2bW34uBEMtRHsiTF1RmgnnbgsmhNwH+7UMvOhg4RjPpubxGhpNQw3advxpvSo+Xpr
1xutL3r4l3PymvfT3srAQbnNhUDWF6e16bqtr4HffZN3gv4YVcy/Behj7NB6d2YGe8Ou6SttR2zE
4Dde+tzURhoakXii6D33+dxuVZPTUZ6ZG9VV7k0AI7nlPXfEMMZqzDuPKqIYlXqvoWQ269+E5u2w
NJZfAHXbNJnDRLfkZDWOqhpkE7GtzmDREa0o6PJ/JO2qH2Xl5Xd2CvPHdGaSH+Wr5iWBMZa0P5R9
oZD/5Xmhk9MfqBb934zzaBebqHetW6eKH57a19jaA7DYNsK7Fubdkhm/piUfhCqep0rztl4pR7rP
ylVmC6fqvvzUciXb9gLp8zilD3EWazRv8muk6neRy5xdJRyTmF33PtKS7ymt4N3b4z3zxdtkWe/w
Hl+tQSNCLVfOS5o/Jg13WQ00Xi8l86j8XYtN7s/sjpP3O+jvA+KgoEfOvBUVNfqwNsxHTuJt99ID
baQzk9nbIle+2E8+yUQ7gQTd66Pz0sTNs5uQRc+4+CMqAcWPk+53Fq2wWbq33iXSkRJuTPrr0AOo
60RzD6MnZ8KThmNLRmT1DR9172Q834tUAdndMz33y4qW7hBi8KMHWdJMfDMmZN0tpBjhLp9RxJKz
soQ5HBpwI7lBe6iZWgIT7RJ72n7pOTTZ/Qecw/kTzl+oQwHXs+c6Oqksg6ra/5vt7h+xnADfdY/T
ohg2IJP+QcokGbG42TT/N0vbnaL8R7IuSBF/cCz/mgxvq5TKPfsR92x8UsoMAwpJvGjS3cbLtqMi
FHpxTbG1auPWRPKbPpQMPbt8RVh9D7AEE3L17NqEtw7ya6nyoPK0DOhXc2ACDUhzHkNDjsM27wby
YYd/ve5e00V9IXnx0qjYhpz4QA5yucEd4Tt1amz6YUGSMMbZIZWNTbEKH2jydDprZb5BDqZuF5oJ
RBoCII+H9Bli530xiT16PZKctO7HLqOnSZU/TkVvs0hhvo5EZlZ0GAOjjA6dvVMiYKUjNBWLAlHL
Cj2cwcyFkSToOVkOVnmXtgQPj/2dSOsfsrtGfpyep8bkSy44t9a0F7wEdlencKRTx+6SzNVLUhDm
ZkaBpnIlak1VuPcS96oX3Alq9YA9BchTo7/Sw+xeVYKS/031PAOREAAcPbkfVVTKc9WqO7UW9HtY
6rdNNl1YZL61JL9ChVVudB8DGWsNj66JdyL3trYOyUdaV7ZyY9PyrEKk2mYyf2+WH6sF4klFO/SP
phqfwDmeo7Z5dBMa/QOM1Vgtw7LX+j2BoVtNfKd103Ijch5jbGAqht+SZbs3mnYldppX1LNiP8qP
mHTB2dpGXOtNATW17QD9jiO8tIlZKyCdHICzNEFja/leX0QYx6RZ2KCjywMAypB4ZwLIQNQN90Pu
blLKpVEXV4+jFJRBekQDaa9vko5tTMaqdcAltZU0Wm1O9fQWjjqhtR6LrZZz/eD5dKYK3BXU1X2C
lKGz813sRWDS4otafqPTeAcLQ6PIQE4jzr2d+2NsvlZew1KM5mTi3JaNH8Qybicqi40mhi3xfRdg
nmEsnb3G3C/1GDIM5gFyWDAbxgmrD7JNXCNWEnY17j+wbFVfvGW5cejlTI/FuKu75lF1hw/iYk8a
2ERgqGgJDT+u9LAklZMo5rNlfaWVca+2sIhGbT9Vzq6qtFvMrWIY/3ovYmERxxrOB0zToYeQuxDL
6YiPFQSUqq9y4dGRy73e5VeyJmBm5UpQQmGtq4GCYDxKg1ZzWqa+q6G8b93JT2WyhqbIJzUfjpmr
HyZIoQKqnxdXVaj06zFtmffSNf28N/sgiZfqjtoy37LL0Keq4/WiP7Ej+RbVTJx72skrgSJMNafp
Qs5Xs3bAsnmcwKR11CfPDXFNfENlvisTwLy2njQb0duHeAEV7WTXfI7DgoELDcXAduO7CATHaLtk
Wcr6jvlimHCJes0CBAtQ6uLSlSZ5hQ7Kv1ah2NlaPY3FaC6aSyO5/51l0HxCtp8ajXEJ6FlawIv0
/MEteDAI2GQ62pj+AEwzLvnPa0EgMRGvI1A8LdlFCXJOS/uCGBRAYDgg6ghSekUIIa52QucviQJY
TGId452IMALalV7iBiSf2jphbsIObI2namgnX9Zz0MzGXVWNR21SA9ku9CIAiTZ9YBLm7tlt4Lh3
Sa74BlVJjpwCPVNGyWySJBy9R5S1WlU/SrLiNFIJNnE27zqTEPM33aBK2vSoPxSl3+qwVLcZ/nRM
vObWXdG0wgwS86HuL1Sz28HKT3Zv0lzZa/awX1u7cNMgLfdtmFnMn/NJBDPnlcLW90rr+kX20tHC
MNvqbCwuBOZ89g3mSwlfSDa7g6+xUe7t8ano3up5V6s3d34Z5miPdBd8chMOcf6ioAHo+nlLAv20
GTTjlehVOoX3Wu/R4lR/sfHtSTinJc8n0LJdbHMeGt9jZqWL574wqA+F+0/XYPLlzUErLMUXruPH
CbhWfphQ0ptjDhVzeGrcOMC6jZpQEBiO9CqHsoCeSGRJqC02i3DzSL+iCyiEGS0pCUQ49U7LoS+/
pc1hLJWLldtHl4aRIrzAswO6WuSWDBvq/E2SRch6M+jIukF/vhp50VYJonTdK7UQE795QBPZrBd0
Z3t6suv5i0KrolxOcMR9NEfFsc5c6cv8Uy2cd8kD74AyR/HQPpas+2PbbwZF93Utvi9w4zxpJP4+
xqCFbOdqefGdpHNHMlBod/OOp+AQ18VeWu14sIXFm85F+UuT1tmLvGIIymyxSQ8zWeacszdI5R5k
90LSG1oZ46XD1JGRt+NqJrdAlz5FRgIYjqsP1ZSMcL9hp9m12shN2I8b09TlOUPkOBvdTuZxw+0P
Gn7TiWcWllujqjvPBsLZKw0KM8bDkR7oKuvJBFubgZT0wdeiHKHjHkQWk6pknhFCIrYbl1OUFbvB
0MptX5naNsN2dKTvuFnozmRGMe2wkG2sqCxCBli+ITyfSby3XWLX23fta9tQzZT6MR1QFzGRhJIJ
cOCCwRwcpjNSTIiHdbRNcAJ1jc0Aul0pv/rrksSb3lQulZx5hj2C2WgVAW71RMNDZgWWQtp3BwEU
Cvm01StqeFrlWy9Lt2TiAlM+rY3GWQ1Ssk/yxhHg2y6NyM5O/DvY4IrMr155J/c536lpGU7xciAv
9qEz2hMxUhvJXDD15kcGQJCrH5AMbKLss1GfHIEzkauVcB5emvIykl79WHmA5ntr3JNZFLYxXFE2
bzJ7naCtpoOWjsumFEv/q0wdy0vVB4zgUKo7zbFSNBy4Q3aN3ASEf/SeOe6ho/pXJwpOtGodSvsN
UMj8RGjPyXGoVutKCWLG1kc3bhk29MyJchbq2ZIEAnOIRQjZS1IAkO4hw7KmyAw4XjjrHDlFMlJp
U/OVL+gvifakMWgBT/DHIY3oCjL/epkjCfp5STlCJt1vNLpnkTFLJzF7XzQuIY6RyR0YK2p3nqfG
OXRxgsq+mFSl3GOb6cV1Kvpa3lyPMHYfOq6jHOtRPZoZ3X9nCiPCiXuYyzZFNJU4eO+eQ60bNO5M
MZkp37YjgokBOkPKfGuBep30+W7RYKjbeZizdUfzHhhNHNTtTIAQbLgi77md44iDQJoivEKIsQbS
kGdhHKO24D8fcKSQztN+2bQJfL2B9WZEXf624PS4a42oaD7JrYhHYPgQekMbvRdDwaq+ktAEfLAZ
VaEQUg1CMlBL1IjUg/oLDZDhWKbtfCUcnhVyqqungsXxsALzr31c0NyoqP4Axo/Kv2lmQSP7JNtg
T3Z/lwIqHZaPSN3aFisQBNyIobBhP0xdKl4tvsMgornJ7ThwlYFxgvpjI5hF5wUyKWiGK9VXpow2
Aw/nAYRdvGe8YBytrjSf58wtg2GIe0ARvH/8stGWxvlwXIQz+QudZMzXXf5VuaWycWNCwjnXVydn
XDtL6BY+SAtnIESFOT7h03U+EnTSTHYEf0f+S+PExaf+uJ6udtKpvTOOFf5KigwKPZsTASMHiggH
JP5NruTLrBc0fVya17fqj4opq6ZD+qq4l4wN8JJJOE1dl+jnJWN7kLBbTyNayTu8wXzJc0PP234i
DLs6xnVv7yVmv2dX50i2ytwyEkcJWJ8SdW+uajQXL9J2WcZvWl3tgyq6MTSFsr71ErnsUrqBilnD
H4l73bkKhNER3rK5zZL1PXVtd5DA0z/HtuH16BMFYwmcbytnXrXyhugKD/VlBaa+Sm3885JTsq+/
UtYo48ZBundxLhGa9QtaRHNGJGpl3WEcO+ro9Xf+KbOhxPbXCvz4XcbVpTpg0u82ZXyrzUHuG0ZX
2ykfDm7r/Kh6zeuOKipwCN5XU1/cO2ZA6MGFt/4RnPKxqvm1oztG1z/1n8xR8/2HfN1YlcgJb1Qi
DL2pEdLV//ikq1Qwahl8qqY57WTj/UgrTk/kBiDUziMdtXah7pEX88Lrd1sNOV9IC9bCLVoEDasi
EDgTL9zW9+MI7UvUFlNf6nszmaJr1vC2K1tykB6NxaBAUTRq1uXV6otxV9fKo5QFH8zgLmrmgolL
juu84QtWE+VHFYbp861KNI3ej4oiGEW7k+8q3UWDDgTl0nG2fE9L9eHvZvp7AwxRP5VFfFQpQkWU
cPBcAXbvhKe8jBFv/O/NVQoq2qxA5Pj3BZkxr2rO/ExSYbkeoyRsWpzIaR5mKsdS09SiK5OyZN+R
Cb+R07q1GzbFIJLUM2POOnDXIWu+JCLketg1X3YFWGkri9UZMHB58tT7MMCIBn9vky75D76812pC
6PZnB2CWUvoyHcHn1oJBOm+ui9KR8Y5tPfDIcQ5a+Z9SNdo3c45cdGv8Eid3j6y/ZShwq/liXL+Z
VS2+fn+jax5do75fIfNNFv1kGU/Ln4CT8QyXcEAtKgS+YtXgzWS8EYS5EEtQi7Za/K3YKXIbV2FN
NJ0xaNeb3wXYGKY88NxPyo/hRS/S4Tly1HYMKdE4v9EZ3Ji68lJpa48W5R0zSfMe3v4Pfn7EKtSA
foy0bd9K3HR/vx6b1DHruJ/+PuV/aFQZQ+51b/g0O15USbmzZG7ziE9DhVgPTe52dPms7orVVs28
O5QdD7Ur+OgI2EofUesx09cP+Cd5Zcn5e1ftiifuy/yixHOzK5Fa+X9fSCVrdS+J0Qj+PmG1YMX4
U8yOzlAeTTnkDyOkcr9c8cgYGtw710LLokxteczGivUCZcLt7+4cm2X6gv3ZvlWaAUtZMP8XA79/
HLkzhEG/+u9Sm3FGxm3f9UGpzjORAw5rz98TJVpWnP8YUaCipPUs0WmJjLvY65VHjkx0IlIJYbn1
GvdJc8G1E1CCHH29FGPT8v+IjE/mTnP7liuKc+uTD7vV6aZbZRQmvTCeek9Ye0JY6qdOHUkuSTTt
CNle8Qk9q8+T3qtvnpmytPX7tc3eNRSiokUtaCbIetiC7Fu7FMq2G5srBhoPWDEBTSFxSQ9D1nCq
VyDG9mgBOiq/EHYbbSqCg1IkHsjdnAPZKb92YZxqZ3oYO/nrMfAIFLcKXOl4vhavXLuaxKd66A/R
wj+e1bvWHNs9D8Kp62vlheAVhAHTfOyytNnbGjta47RHUeX5PRZv0MX8wWvHX88d3vsyLnd2Iz/B
DJ/7NVGGk5DZ1x92L+6RMhECUGScoX/y6ObRaEPXGcpheu0N85cJQ8vW+8kKdm8wQn8H2P9dojHL
hHIoDWjw+nidzI6z21QeOHMajKuH3ieV5n2qc/q0jUW4Rt5cm8qjVCxvvehuTZ18O0hpiKxR8a/g
Wdrhgzpg0YKJYNGb1V6nvnokWh1zhXlYPDWM3epWus7GGA3iKe2D1buvpl2dW9PwbmSVzKy+ZTts
lYn+kojgnXNY+2nGep/hMNsUbFh0bWoTkdH80sYpT6PwdqiFWr5e/YWUNOZZ1h0l0adZeNgmpP7i
lcZvn5j78b+zdybJlRvZmt5KWs0hQ9+Y1ZvcvmPPIBmcwBhkhANwdI7OAeymrJbyNlYfQikriUqT
SvPSIE3KIONeAA73c/7zN1GMI4R9j2JlZzj5NkactBDVgma8zk20RZIR7tq3arUrFRQYZMBfpkoa
NCjXSZJtsX/fhB2RrFCgKc5eGcajsXa3Me4758qz7j1NAEBUWkQsNQHjaXdaN33yNNTTy4jcY0PO
WUKtS4GMAdcmBReDYYWZnZeeSp9xhilDby1MnojOaxr1stuGqbI2xBhATvehwQxJ9dS09YtW0BH6
eSATwIjyXVDAodGN5656dqkNtlC0yFUGXAEppwbHXneDIzaeHKeHtn+14nDj1VwNsa/BhuE8cwgs
v09RPsqjlaArrXmZVrGZj19yCu5XRvHZ0ZidfgPd1ziivCugg0JFKMLOprAMQfaHcLgxjRzOUzPM
2wnK0b6Y6RzGaZb7qIIfygt1h4M4fbabwjxoIWowV9pUhnIfCc34YOKTn6yYQCJMr+wdA3Nj53p+
erbnflhR5LXPgwVpDBS/ua28uNkMmeEuH+Dstd/KH/i8W+yaYUgfhf383qo9eR04g3xJuzQ4ZYyR
EgCoaOf7tHdtnZkcW2V0EizsnG/kB8fWs3DfhNH/JEK/3eiGujXVIR7wDtk7697E+62B4NKtPFyH
r8w4dzBaROkidMHD8IT1OiKipVKTLrSmXKkNWbvqnW21WcPAyI85VvYZazgzXytP5RP5zIU4e6Jm
9kXscLETjc8mGvOAVkYREIHj+fVVhwpwR/hK8JRFUFfHJPROuTM4G6hFUNPCmncXSQ36634gH8y2
JkZFggJuBfUEGhhGWn4SYbzG4YN6cWwATOLqpvV6Bz3gjB6ij+CMkxS56d1aXEaMVank6+KtDhNp
0ZfADjENZdGW2y91qMYPm4H8sa5GidN5QfjQMrReeTDPgPb6gAVZwc3e4A7dHU3UHukelghggxsg
MXGc4ehXZaIXihQVIOwX80A8oL5gDBe/SEYoUOYo9ERlIOSTuR1d3IDCTY9+eOXanCME6kUPoKJk
flRzVH+Eli73Ik2drz9LXq1diuGyjpAERojBvradT4H7M0PCCxaa/zCNs9j8WrbCvDiHcxheu7Ll
rPw1gAKm32EsjH7eLo9gXRkcmQDbjHsYgHa7ZsjjqwxumLca4dx9CMtmb0ZpcA3H0mRd/8y7cD3t
bKTfYbMfQvV60eNSkpIRbALcLYW2otSXQYc4k5AiVI+ipMYnviu/b1QqrivJM8hnJ2f1lP6r46n2
ZrKN7stgu9klVXF8Nfm5d4/Xf3EgiMjfpAqP7VVue/MhasyE2aKdWXuSTBa0OoUraNo6XDWJU+4h
8T3S+pInVwzBl9ZI66veq+LbZk7HdTIDios6FTdTH1BjL5Rps/BJFIYs2IsouLeNdr4iEKGl+iq7
aJP4DuLxeSoiQK/U2zO4tvFv6MM2Il0gkQAkXv/DdoZ0kzRWdojTWZMiAQcrsQqih/Ah27gjeNWM
deueSLT4dib+7qopzfZCzE3CqLhLYYjPVmt9AGE7F7ew8lsGwC2Yvh3RXhQgyqrweMUcqL3XBmPx
m1lMobmrGPTdR9z650lXqb8aFfrNPHTar2luFd/bURR7z6/goXFdSEx6V7MbIxC+L0jmOsTExe9T
a/aePc9gYluTuPGRBybSxCEIrRuXiMdtSeLXdxrY7oPEKxvpaYHCg9Cl9tUKOhEsn9lch01qn3td
y2YZPafHOPL6FFY/ehjP0gyPGpcbNAgQyDHOxSURVQjdimircu3Clr54wUBeUyFsvWskbwW8QC94
qY2svuSjUhA+YY1/a+0YFGGCELifcMC5hpprv0UlCQarxk7lbZAkNiw6IVzIe86C6OKKKzZhXdZb
3WmyWsxFkPWzuq8h4Z8tFVIM9U0HsbpVLi8LMmROaUvm92VV+lc5b7ALaawiHMNkLGrhd+2E133c
B7fSqOudk43xF0Z1IPOU+VcxmaM7QSSNsQYLesp9+H7fIjptOqmut+xLtbQq64RzNbwOCc/JN9AC
jZkTE6ecg1tJiLq1M1KauCIgPmxMHaA5yl9ja6lJAp85uHrToMvmFFWabEkrAXdG9wPp2vBRap6B
3/p1S+RUC4stk8VFoez+SMdIv5HLmT2OvUX6laED4W+oxDzIATxPVheHSbXhEDK+ZI4sltyomI6r
J70QCHcUJ8OY8dcETmFqHia2d7EkV2EVer6VqiicVU7s2AQZZ/ZPnNVAygPiqueRdKVxTcQkFy4t
OMtGZwVfjameyUpI0TVYATOqumOcSavU5seRjIMjW+1j0o536GCUs2ort14HYf3hTfpEdfdAREV1
J39i7a44IG8eACfSGaSJkM1Dakz+fYFcCU63nr65qr+dZtu85MIALUSp1iIZXDZ1XyJbzAe5ZYG6
m9QZxN0kC+/UVPawN5UIEF+G3sVlo7ojImreT+kIyahP1F2TJ+55UIH/GviChJtlM1LRUliGZXMm
JMD5NiJl343UF6eCG40ohkCFfDNo7y0dYdkXunff4Q00VBhTVz40IfFFu84A4Tr45K2NxwjGfLKZ
W7+rEdtnSHh1nZdnmMQy3oSDLJ/rvh+6rW/F45k9U+wTBz4PcLsf6o03VIsqk/wO8t8EqD5C6/ZG
ua5TbVWqCR1ialQ9WE0YvHsteFkcz9brYPXDAXt3QbAr5gi7JA7sJ8crcbeYWlk5RL3Y0be6KuXK
s5mYNK78Erdp+1rVGcyV6VvvBeE9m9zAW4mC5YCJyvTuwevqAcmbiG6Rdo2WvzQoFXALg5sEZs8S
zhBWBc1wzNkiHuc0jrN9PUbqpmbtgl972T5GzYnZfOYFNwC8tAfjUAPmhVygm7PXU3kkzimfCLN0
hkhti9wa2Gfw3n8jZCzZj7pmZFAAfLmle7WwITZ5bvCkC04MqAO0SV5QQWppcFmTAJmbGC8bqj6r
eGVb7G+FM6jLBGH4pZX2h2QbW2sT5igxpfkGcJ9kSytcowaHjRO1xa4fvWmjfJU82nPmv/ped0JW
PUPvt0Z5MByHmsaT6e0YufF7pPCAgAfiQDlqvCNYDnWNmbPnIHq1y7B8aEebQ7r09thYMYdXyZVl
9ZyzOLAvlN1GiAflD8+duLHdeQAuM44QnQqmj4wb7wazHK7bUhf3QKCkT/nNdMKioELmZROJlcpp
00DS3rH/OEcthPyh51FIqHPuVSuRluVI4GEFKHEbLwF6bqDa+8IQW4yN5LoBDbwr8S0AhI2LQ0Bo
D/e7j69tuGjYBhSDt0EpmV9Gj+w++BXbpmw5kw272CkxiwugPDQYq4IYkpdkqCIQRT0VOo+dhnJT
25mz7qP5ayB9/B14xC8w+929Cr2z0cpbGQLMRbVTHJj+Aq0mowFhrSW9NE7Au7FxPlixDbF3yqlu
ZPcjKST7fS3eIE2mLHXssCso89h9I7FMDOQFlnHvKKu+6+qBIGNbxDsS4uioq/ha6ImNqza6J5jH
FvEoaQP4HXvXeZcHXz0ziG9G2w1+iNmZrpNcwuq1EmSWugrB2/JoT+12TbWW3dnB2B8qS0a3AGvd
m9ezzHMUnm+e0atTTDzffoQKtkeXqxYVFLJvuxIMa+uYmcbM/4hhAh93hz0ALHoqi4ceNx3ZdGi9
PaQPUh+USpHJ5pEQ+2JMso1DNhkxdgiarzA6T9dNURXnLBytLf0TfLxah1tfTxsLc0zZ14+ZK/dC
hrxx2nbT65oJ1ClvneY2GhNnDce/fUSoMJ2ot3y6e7ClXxGemcPqTIUFGhRaROdKswXyxTjxvjH5
nMgX4jgBim9daAmIdw2Od44i96bJ0dGDVapdh/vSqkuIHdYa7r8/d5BETM+78eEPXjAIb0915yQ3
TNLltquS6Sox8vbIIGw+uEG1JikwITrUcK0vfmaV5zmPxbEboWABpzD1FlWXXgc5WNWS38uxxCSj
pDtfWw3eFFlTejshS7R5hR+dBxmlF0US3iUxx+LY53W482VQgKpMkzgmMdFcpbYPfVl0V8pq+72D
X99ossPpJr+0TDiIWbSGvnhgplJrRoNItX/aDmCkmTOQdJpOcRR7s36su6q/pKGfsYL8JfUKNpIT
sb+heYbhkTFCJQGbLMHcRPKwIgHcumiQAPKXqE5w3wVwioc6P5lgmzC+yLUKPFKdOHXdSq9QL4q7
ou/rY+JHLcYSxrglhE0dvVrF38IArxVEktlb0xTdcSBKkgE14YsM6QoBa8+3IiDIxMzvg6QXHy5t
52lKiJGR01gPF8C/+MYBQTu7E/LhcCqt5z5EoPsTpy4V0KEmWwRoFTSwWdxXwri6/YkrYlTP1LgA
94WZuQR1ScRbDk3fc+tU4R7yfvMiwmXRBCg4GCxFF4A91PXLwKNUDTgfFMVjYDBeqOhtQORS+q62
qulFmqzly84DlhFuZSbPZOww9NVpm9+bMEp3VQLxVAqJsoOFGF2DSFHt/AR1nQXet+0IkNdvzHc7
mNe5ryEadNObGc36zvfYePI8oUv28UhJNfVyOC0zNI04xmhd47GlTdxFunkyg4eUvO61Z863bUQq
JI3LJi4nMJpI4YiBJc7tiA8Hol99J7Ox2TVRnO58KiqE5Z06wfkKUE6b4cZCzs/+Rc3DAQ3Psg3C
/YxVxES+zxqmKKTKuqCiidHRSmNskZaR3AV3x7Q3pgMzA7+QdodP13xtmCMJtX2kzmPq2pSwXGMF
ZZuTasqolwLv1olOs0c919bYd0xeOL6LiMfaF+2iB0o2dJrIlSNg69a0OZokG/fbT2sUSUrzAzUU
Dylr8nvXpEH+SRQuFTfW7Abx0UibQjvMsMJpPRDaAbsVuTJCVovpg7UDwaZnN9T0wWkPw4pIjgbJ
3Zi48dd/LjC4qb+XD13z/Xt39Vb/z0Wb8F7V008zu5+M9//7XzfD96brm+//4gfbf+2Azd+6tCo/
/84f/gpMov4td1gMrv7wH1tY/d10139vpvvvbZ93vxHsl5/8f/3Df33/+bc8TjWWWW8fBaIQ+PLN
Z7Otxbn7r0QGD//9v6t/3b71efV7lYH966/9pjJw0Qsshk2ODVBuuv7vTLacXywzwAkujHgYOKDz
R7+pDKzoF/x8HQQA0A/5ZQfjq5Z6JEGdYHu/QHnBFBQRAqiL5fn/RGWAmxcigt/bz0JWx3XeDELC
n/gun/N2BteRfp9GyYaJP4SExneLcatH2/8upz78gmJHvtJTwMH1sgp/73aGqSEcXHVoOzL9HsKS
d8/MfCUJxYYUV2XQJq+yzqjWBvaEqxDzGhM6eOI2it7NGF+h7ct+o9vef3KTWQ93mWPl0anHZTO/
FW5KP6JqEg83pJrG+dJuOa8eLfmNCRpU7yyqjvpJ2XkiEfDW2uq/6TwHstJdfzaYQ2fU30nvMLFP
F9WUMXWIl3pnYp6LBcZr2tiJue4Y13w1MxPXjBzsDlUb4t/bwdY+cuamyz580aXiMtTRBCXWBoqj
U57UCLHK0q8ZJyERT5No3EsRKXzCZzEOHZhsML34wwgZNI9oEFZVx0kDJUN7CnoK/dtaJG1YbrKu
cL4LCukLOBUkRyvI2MDiZkYnOlST2W1LolBpCdrMgCYBsFivIFLA4DRgnrAVzTZnoGREr4u8YDKj
RnKgY9+GCQXYPE1r05rVeymj/qFrs/RH1/f61KV+9ixdx2R3rv3OWDN4ca8h0zVXmAS2d8AyIzwW
z7YZWqiUPhncBgJOCMVjPcejpipHUAMrOvOvBSqEfBVYdvTdd72OeXaaQrIL4a5nm6kmyACebRE9
amcCtxedim6nFj0LYtScjTm1I4wdGNiWS+jSbNRMIifr3awzfFqAbfqtkwTiuoHhEKyQaGPYFCIj
EytOUQvOOUkrel3IoQHnjUJCnYWD9xYoel28SpIWY0Kky3nXwKpQm1lE6P169vp9JJPqnfeq+DZE
HZS12rC7YaXcKX8CYmNkFFV2/2BbeKCth66t32Q351f1FLLiCz+Nn+KizpptWI6Cx2M0xS0Bp1BS
yOVrt2GhEvTcocYPrGKcSBp4mnGBJmxXEy8DN/oRhHpE7evT4QAMmy8AcLBTe4A8Anc7r9hlSOlW
vQOhn2PLR4dtaIsBrmfMIYRupEwo8xAKw8KEYLy8Umbz2DIBO4dMollfQVpiQINBkL2KOw8eqZnV
OeMCYH+ss2cXHWCFQ0m5Do0xvJsiYefQNWPjon2LI71JJCYSvcG8pWoMo9gKsTB1AuUg28X2gQEY
3+TRcJL+B9bOMMLGXnoXaS9MtrJJsSipgJSAo1Tlvw+0c1jqCR28kh4NU4egppFOlWTbB0HM75MF
SXxAIW6iTaZAxsIg6+fyucQ1AhInhNxsY7J04WOqLHDZDMCMtjHw+IWpXgmZrJr1l8FwSU6G1Ykr
kTJna9inRFbMqxkrPbmOiww+lTAzKuQ4xCdvY+DVFq3ryZ9P3FqTUTWdl4l50Q0GL/I+tvahd42b
vEfr08bOfecHCWnnKHMD2hWPaBjwsGxHU6efBtkjjgzpHhitGbHrbjscrF4DCrHgFEw9ylBepQ/8
kVqxSbJ0QrpKQA+/LQQtrF0K6wfk2qoDje/g2rqEGUA5nDx0XdQzt0PqewSiWzZge8j+dzSaSnsg
yKNsd4I84sdWi4zAaxgdL9AmzODcsmnpdQO77WsJZuKuOhq4nHm1hiODE+HwKNgOERNHCVmkAn4Y
RV9CKtnqVxqNkOTKUpoxQmEhMys16BXuFMZvJ01YKNb3GGKXzPlmbW/ywi8ucRXN7THOEdatMFDL
mcRCOb9G6aumNS44QFaWRQ/T5uQGbyurcx40YSbw45jTf1D6kFVtAyPCfvCL76Nfs42B3xn7rouR
YyUj5bM2PB8yHgDUqmrDPNqOXtFuSUfHcqoUqKhXmjxzvZ1K3/2mf3qiFTZwIF3EWDEDsCMvgCa8
8It+Qv+OgVcDzI2cdU1YZ9qcG/j8mk6jqXzSpAuBwmycI9gJkc338+fUhTY7d4J5RsoURBuJ+A4O
KPyzaLMKW5G8hcDeIYewFzPDuLt4oUkeq8TUiDGsnMcthRtshKRukBipEsM+tgnXeMWVhAmhNiMN
TT7wMo5YpA4PKVy7ZF/q0nxEKJGGG4qMKTrkAMGEdA+J6LZBynQPUnLCOG6ae+C+EtdKhQnkUvl7
2EisKiMi6hhriT6CI85MwgwZxB2Y+RMM5ZTMyo8mrRpsCD/Wj5ASWDyuaBnrIMjw3dXgDDalfjhw
/4PUXeKQ+2L8BvEJsz/xM/jMLHr3i4vYvYAr1I/fRMuU89Cm3jgjul4mHm6YscoqgV0Gwc4T1vMA
cmUPHAUWGTqi9zf+qKJXHcix2vVuJPUmtIPY3FcwzmOsLgCnHJJMyDThMJTQEOK63Y1mBJd/ZojE
rN9LgWE5F5Y0aC0Zu0gTWBKHHzTe67DlK4ZeKT5EH+Hrol36AO7NxCoPZ8nQStoTZ1YL3d7iqSxy
GsmglVxwu+bf4zDCV2ZxYGNeEYHZYwHjjdNFBhKweuiN9sEYaCJJT+b2Z92gp11lOxLKqhwIZSGC
Wn8HvC+v4Umqeeu05Xhvs1O6a9WRt41s0AnbA0TGxQeyKh110Epn4Y0gy9zf6ilc/qquxjgJJhd3
PlEoKQ+DHhrU25Zoo1OK11ZyRBpQMWnQsYlDjGLURWqRgY0Dnbbp4RGAbvbYNwY3kkAybH4088xt
3JPXHMMDUiSA1yNmBfNQikOWpjhYecKYBlAIYYKPouh+bpPRArNB63MxW8c01q0zUwAEevHJLMdU
YhhgzcNzBVkrPopOspYmM2IXxq7ACXdsAHDjAYdoSXNTqb3IyHA4amBMQUFTuggtHN2MZwYOg3vC
3oVl3C7BiXdt1Kb5kXkQza5X+ZgeaEM9knbNeKJqgdX2ErOGoyN/fomKV+lY5SYh81iCs37NKK0x
yWvHwNlMM9PEQ61M2z3T7llfUObZ8sQKxKwB/HgiUbOOIauTCQmYbXnZh+y7sgBwKaTaY5rGfKLE
NsvZCSMnanwcMdFzmJhfI74vl9PLLPZlZ3AJJWqj+9Cy4whJZbf021hrkC4D8+MZLi2KkDlgLVJ7
hRDBKz4BPMS0Gf23kLAeDNtglDjjmJnhYc+Sdqelfc98pjgzoI+/ZrLOIm1KxRuXJWRfs/gtFnI5
LnQHMc78vAG47m+DymTBzgsBUs4Q4yA/oAFezSUMRe6r/q4Rncxbl+SlU0X+N7nv1pi9oAqhfkhx
ZiKKnHRnuOhFCAU/NTN/hUSGrQy0G5uHNK2Et0Kp6x7DYJxwlSkY7a06z44yZF0BBeUAXf0+oGVi
E0X6T4XqVB+wg8S0NbrOvWc8Ra8PL5gKEfvF8UcVSKDsmKwmhUpIGe0aUVr+3bENwBwajsbcZVCa
3utmgJdRZp1KtznBlqDYqE7h6+ZFj/Fa2/7ACNyokNrk+XPkjxmpClHYXCnS6L1tP/vzrci0/zTP
HdH1qi7o3hkhW19UYtrqwBN3bYxT3G43ac9otobR9OkGEQ4+M+E0x+sANera7HoOKZ97i9rF6hI2
+cBozuz2NSBT0opHIw387m5UIUlQzkSsz5oJtO3sug4N2WoYsvKbExo59jAD6ijMR77O7WB468yI
oN+ISKekhGR0aNxKAyONgJnriFAaUxre8x5uSWHVfBPmXMVaxeFSaHheN69Iv3PfsJHDuIhXM/7A
fm3R5QVVeYcBmnMRykvwW83DfECcKJkwzb6Q2a5LML05oN+brxpourjTSLP7CJy8irYaAoRLaJmN
Qs3MSCdcD5m2PHZl0b8a+ILilqwnG0cMNSfUWhXup7Ja1gQQt1cCaPcG0HPvjNMOc2TlbkE6s3Og
wjZeYbas37PRsq7a3EiMXRfMDh1Jg4xppWvOyxWq5MbfytBsX5ti2Qxd7fb3wGJgYr9r8P+DJb31
2c6cpgJjbBeCYQTKQi7CHxX5WH1IL0kzJk+zMnmHy2ryEdeE8soByn5N+lk9J62bf+DdBr/RJHe9
WOMk4pRrlRUGhViHLQh3nj1ikzaN++2vv+B/+H6BTQgAMQCuSdfzyTDbmVzVeFUkNhpw7srrHLUB
ebD+xi/fwhvhM2ZANlZoe7YV8I/76WP6rMiRmw/JJhqnsDjjh5MFGwe7H9gBSkoUlZA89NJzD99w
KvS+VKOdIIrD2+yx8jr9lgYwgFd/fe3Lh34CMtgvHNsOKJ/x2P9kNW8s6cBVLNKN37wXcZ/NWC3V
06FzU/Kl5+Kf3mmLmHngBtwhSMjAKOKPK4FtJnCNuKQYUZ04mA2ufb5Wf5dMsHznP1wTVb1pR/SF
HCKu/ac0zzz1h6LihcJ8R2BRx+t2k6kx2hr+aHAgg0EUZV3uQGDF3yR/WMsVfP5shoxgKpGN44Xr
/PEKo6wyY9Sp2BVMY/lSqBjqoEPZv+K1hOlQI7Cwsdekl1/D8lgM3GpRWluNBwFWSTEqmX2Zc54/
1Hq2Lsqb5vcapfSH4cRIN9zYo8Gx9Bw/I0XGRPivF8Pn8Ag2SzIxTOLFwiV+IPi0GJLZze3YwAKQ
fDi6a6isHAr0uV4/N//8ozwLU0cgPmJ0Iv/Ty4AOIQGdjSw29iHZxqqcN6PTYWYZQVT866v6D4/E
8+0FTSRRcMmj/OMjyaSvrLHXXBWGTucEuQXSY9TNmBlgljAUNU42fbbOitG5aMfTf7Mk/vSGWTY7
SxB6pCeyJINP+Vu2EUVdVyY29aqATDx3TDp9vOtj02AEwtTg7q8v90+7GQ4rFrMOh4fpMtFYoMvf
2f/XYiQZL3ZjjiPpHuRib6ZQgfzNTf3zVf3xUz4tFfznI0OhUljXhhnQzvgwhZbq1koYDA+I3f76
ohZjmU/vFZEmDkcIojlQns95X15pFjXDK7HpJidFJDh6d8yBqXiD0rDBz2Rt2eM3y49lfICOZ+3Z
bqNiIxWQIfDs3D5zXtIo0JTk6aEYS/ws+7a3q8PkVgGGn12NEJUVi0uKajrrcRxntLmpH7+mEajF
31zPf3pIwNCmSfS2jcDv05pMagNAhz577YQVgmyZvqiqlfd/fdP+/CGuQ7ilueRV4GDzeSXk1ZQn
fsiIcMqd/GtkVgCoY1n/GnT9/72T/j3xOH781//g2Ar/0jtpX6X//b/a3480/v0rv400vF8iTJPY
BpgVuJG9nBu/GSc5vzC65/mQr0BiDz/yu5GG/QvQJNuG6RFxZzsuj/i3kQbjDs5RhzUURjBnqCz+
yUhjGa98esUIRDdJ0qS68i3fiT7H9VpgWUu3jKVGgLR2BVIW10cN3f0UBr6Or4l1HqM9IFzeM+tH
kLWNdTv/4LCFjtBCHPvg6GvqvefB1TqPEb3MxoSAnJ2k3+QdshKLaUdp+HNxl+Zp59yJMRzmAyb3
Q3SKR7W1Rl+tccWO94wjVH7IYXVt7R5jTDNn6h7GVrfzorpdj+b4kfWwtvO8r79gCzKd3Dlrv2PZ
ab5nhp0ufNlyG45OfUiUSZtmAX8wEPC7vRd23dkkehtfSHfYoI7FNrCbymkVzbaPaahj6G/UKYm3
0qHE22ZwErAVY8SmnJO7qBHn+tyVNebsxtb3icXFUjEKXvy+C6P3GDQoW7m61s3WhwzRQtMmKAE9
M6y/e/Bf3VwRYgBAov0ZmDVwywjhsera5mPOBixgCG/BE9D0UoI2UqCoTaQy/6x6EjAGJqEjIAHz
Z+bgNLtBjsjquVyUTmVRIHo0U482GYPjWO5kuzi6w0rHwcY1bP6UxD/a3cqrxsfM1zCICXZpNllT
4xr56xRbw5o4/4ptli7I/6pdnL1vpVT8CLlwdvkAe1PvuynFdMAcqrtABzswnaNfpxjyFb25ltgv
rQdDmleJt1Q+ox20b2zEX5o2VOt+WryhTYfhURInxhpDWcZoHB5rgBC+4ogEuzPqd7/A9xlwqb2A
Nf5I5uRYuN3dFLBGV6GLnrHRq87srmvFt/rAe8dZnG3qL1HWfARF1slFWYg4yykcGSPGd0iD9pFr
XOw4V4uMvooBY4sY7raGJ3mfVLp1uE9SPw4wILxV3Yr2pGT0bnBnxS6aTBtXEfihD+TfCGxbNCUy
zUKGjaPRv1cS/0dcopoBZ57Z/0gYJzHvyL5h4wcw6c+QLFK1673k3HTBJcfcFGWTWx6LPn9sc7Ne
dWmCLbX/o2mzeyQc2Vlb4Y+qSWGNIVxgdLdXqtu1iql+PJkb3ZuP2B6eWzN+G0MCIwxvT+O+MnBD
2RDll2/NGGMaxpRozBPF6mmTS1jWd3gbEDxhLdZmM52BtysRuJ3xgDWvwmnAvjOwwuuxH84IMZ96
TFtzQ1+x4jkma5jRUJbcPD11CgHsyiij7NbP55coc96QszFqiwnGuTeE/zz6Yyn3rnDUYwDx6ge2
MLAN6UcFi8bxd/bkfC0SC/IAuSvDyfb96gNMfpDHESSCOQZGxCX6dVdeWyOmqoeGL9LghJDCvwwL
WpVCGUchRrIBWu3V/XEsrHQ72i1++fc9DND63Ftz8q0KHA9/rEm4mDRJgpCF3DMpauYjqoMJaVxm
1cG6CAuEbKWMzeSkjdYjWshIXEkewBBO2fXkaunuU69xo3OsEJwdC89qwMZqHKxXMac5mvVZ191O
x5Zdr+uZQM111BQSpZBwdqmO5ujUMee7dlQbktRSTgVWP9BRgLd+UhqEGcr67ScBvirE+Dgpsh62
PZJlyYNTC1GtttGK5bz8v9LgIanw/7rSy52dGU3sKgIMAcC+A1NfY7QN30F4unB2OM+DYlViJPAH
r1iXbJUsHVpCEKcoVXgZyKzeuC4KOcBmaDJhnkuiFbKMvU8aTqVuHGLGmaY4GuVmg5I32oJhAf1m
TP6KZ41hL+Sa3qltWEpJh0dBEy08v3WAQ9rONAQq/rq8orlhjGyUPpbLpN76qu+/4lJxg0Pwc5zk
t7XGf1M03pL3dpPYXbcrZ9yjoUUmDBLHdz+e/TvVz8ZeDK7aAHzUm8G0cLGYBngqlYdQOp53ow+y
YCoH8TXA2q7A8BQuuX1bg9WPiddu0jzyV1TmGGl01YxaJqI4B1HcQseEAF2N12nS9PswK2yE7OgT
Gxf3Ac4A72aYeU+TpmtuotgL1zUunNeexHN56PPyiqUb7/MUOVQs3WxX5PN4sVIPMnIc3VkJNiEk
uw6Im7z2SC7SSwn1Ztv6TnpKi1BvbVX3+G4k+jLradwTjWLve296y7R6UiVaDo0pX2vhpKMmU52A
oc0HadYoRnBfye36Swlwe8JEZj7A2sUih19c93T4O98j8Ng3QZyrgFMkYYnvrDb8AeHnbDqINhRf
ZY1pofMK5Vts2OQiTg/EvNBgiy+MfQ3o9lx67DekettNuc+T3rxD4ZvtwnmetnOabebEIDpCB5CQ
sRzmddLXiWu/tj0+aB7y73ODK6i5Qvt3jfZOnxll94RVxzBBGbOvAz/Dstxx4OXKNG0fwIKz235w
7XfcOLInEQwVDXALM2U7T6F7z/HpHZLCHhmsIwuxauFrJPFt9tUlXgeBjmU2Owtl/LyewwHRXpUV
LyE4IqALkTwlr/Lc7XrdQYmGB2B/zRIFMzWbwJa1KBOUQ0iQHixflE94JBYvzdCY67huiq8mbrIo
5McRflRgOHecHGrEKqlT31lDuT45JbyxvjL7J6fM9MfQqSmQqzLX1ZvLjsuStf4Pe+exbDeSdtdX
qdAcDCRcAgNNjj/XezdBXN5LwrtM+LfRs+jFtHDqZ0eR1V2l0kwhRUf0oJvkcUAi89t7rx3dxmIW
N9bslt3GYxKzDTKkM2bsJsPaef5mBJV5AxcgP3Nxy+6BBBuXHjsu8O1RXd9nnm1nDJ05E54hiZ4U
TmeRt0KOYAhJqsABaYW1R/QeyqGtxk9vsrKb2BvD7tFoMKbTQxBjZAfcwdg8mdUgt1NrATCw0qiy
PjJbms7GT+PkPmThXY9JR90Xz/Uj0najIZUV5t1oduLr5Hb5joedhc22M9VC7ioe29IRcqPtqb3H
11m8t71X25t6VlFzaDA8rhLFPJYBsC9e6VjChoy+S3I0wG4tw0JdIcLiRpzRrm5HWzVfacTKFWsO
fQC8z35qwcyn5m2fZIANctcsKJ0b3eu2SlBZhxPok3C5+TWTPQpIAH2D0iHqmxU7j5PCV/XsybGv
LVaxrIiiz8E32TANbtBWcGsrp9/l0hVn+DextkY9y3Lisz9OFjfbZBERkcgY88opZJHc5taM+T1+
mRe3XO90Z3mfH8J45jubI3NEYWnx3Zo8sp2yrjcAfaGSETkl3g1tsOHND1/hF3iM0dkIc1/RN8QG
Z8sD7KpzZ1wtjl2wtEc5m7Z9xjZzZ8DzsMHk+zznfy+VqsxFp/YXx6JfabYylTo1vHlSkSeD/puf
QSQgHL9YIx2e8gTtyxt9sk1OlCgMesQgupgqHTYJq34xWrZs6/2taNyGW7uuWwPAN4yFqscgDSxu
HYwJVQvGyQvqn3yhmcBAGTdpkz4Rm5G4uecAFlfqo+bvvAqQ93iyqzJywT86DTSFpKsCu7Us9zS0
A2Bqnekxc5mPtjaW4k+yqqDYiBri8HNWRdXJ5y4qJDRvLIztzSK3c0iw7To7BFZVQG2fi+a574eu
3jWFNj7hB/FlTOVSMeGHsVntmtgoxk1TBsMnucAnNyXhyNrrXDfIljf4MS3/w/EgCZ7j2eieHXTz
vcZ18O672PBBI9vAp53Fnx3zrHm1Fs92a5WEW21s3R3Tv5CbGQvSWe10aPjwuMOIcLTph2wZUr+7
TOBw5uC9pyK/XrJkwaZShXFBalt82pC/1yoxviFokigjpwrVSiwGA5uJ/deBT/lZE0x6y4IivMNQ
5W+QfTxsN6M6L8uwmwFc9stX2HwkRjBcBSPMS/De1RGou94VdAPBL2UxYVjytXPGDnpY50JENbk7
beFt7LHGtoEhe2Lv107GGXUZxjURE+fAw3w4CyC27KyMSWXVsf3N+HpqyoNWuUicrTEmI+86INbV
cLR5KJk7fhRD0d5x1HUxOzne2h5xHPPo8sD459ZhBKu7NkDWv9EX55+naVFcUIASUX/kOO2973TF
hlbHUiDJczdqFu6Hid0bg57BJ2Ok8m6bC03nUFLTl+ZwVtkErR1ezoHRQnYyi8OUVSZ5mpJN6ST1
IcDCtGqIkRJF7o2ZT5w2WFrn4job/YIAAZTujKJKTmoGa7pjaxrZAoGzRjg2hE3M51VdjPc2H+fB
9E00/66I2JMgMF0Q/tHYcNPxMIumeEBuxwARD31DIxM7LVdTQWFSwNHhycf9nGSXlj/VmzyECGvl
OthpMR8F7/CqDJgM89QhxxcRg781FsxhEwEgAkjGij0EINSw6lzIEiNryggNiTYZt2XpmvsGDAr+
ooLLEoR28ZAHVfUU0Bd4NPtAguutVfUVdud8Z7sJGT46ZnYmm46NRoS5NrqoO8NUaVz5vdFehlGZ
o8aSAQdZVl5H2GY+EsDIcIVn+0h9QfOKF4DtCcnArbbjatPhawKFGafZrmqRBmMpqr2scXQMjJtX
BdZXWpWynh8i6LNvHKZ94pltp/eu07IKDJ69r/jCDkWTzPuls2rPGTvdRj7WJCK8MA10cA4dyN4k
oW7OFMr7MRNRc06SJ9kFMoRONuTl1iia6ZhazP+92FSPLkv8goh5UzDAtgXOImpfTMAHbFi2bTK5
27EIG3szp5Y8eHQSfWXoMREzXVSqEf/hViuHFq059DalW3PoQe+LQfwRNBVxd0drY30N+wcaktm4
GXa2oPrql4m5dfQ87o3FA516szrgnvIO+LKKe5+l9ok+ZP+YkzXCe2eVC7El2iaBafEhWtj1tWU+
pG702BZOcjEwd7k0EdkPVm+8pg7EdLIg+sBRwOB3Tx+o7tgYA12U2tZyC/iTqDu/2VqWLDs8Ze8p
krfwmjketUSRqaObYQhdwCfmcOSeitZ1BOGurwfvfLT855BsK9tTLChxG8NTIYN2FAmQC0fU3Q5T
3K5yWvvQkhB6rrKOf9lxmRrhViALOASABIMG0BtWug0tjFf89ac4ROgrEODQ0ZN9oQx7L0b3ZSzI
leX+VIIOq8o7bc5PRoAjhTcWHrzMTLZQ6OGbsIjoaHyf05jGJkMe2RbWa8fq62PexC+uIEiAI749
unPwAd7tPI8EAUC3trZuNwLAG5Dg565LN5GWAIujb66igGOcsltsY/GeR82+TM3mlsxsvjFTh1RT
VFPjFPvGNYcP+0ZPaAa1VeaXo0l0XvUO4CHIjgyt+kfO00RqOQfgEmKQMH1FAAZOJ+Nokw88jYEW
dOu0Ty98Gc8bDK+3EfEEi+aLi8kf7AORzlda6HYzBZGQu4Zonys9ghtyi5XRRPEmc9SNZ6XTWopw
56bU7iWx31x7TK7WwUIWGUz/oqpHYnHYj7fa94yL3lLpNgto/TDjOr9GAM+oWehuq7GarrWde9ta
6nrHFQmLmIeIIcZXmEVvGWzUjSVF+lzWRLx4oMnHgbvroI3pJa5ZpccJBN3kRd05SJzL3ix2HqFa
brKBP44QvSeXifN0Lu8rS9k7nwkiUTzp3WhC7HGB2XhOx5u5FjuKVnvK4SDvRU52nmQ2rX9R8VYb
UEHyaLpObHwxqoUIGVvTB8bqnnqtghlV1DegrAt9tCr/JXUnxhlJL1bpTAYVyefS7CiC7MREXpxx
6JUoXQK01KbpoUCbrgRbjDTCnVq94tp4yMGM7stanvkmdFWZpnIVLPlStgxXWTAfa9c+UpebblKL
7xtFCQVkHHY5yUvJVm81iAofKzh0eO+wvxN9V2JNRPzJ00WedNddo4GiVmayG5buGytl7GhG1H6Q
3ly5XbdHDOTpl9RP5ImiLe2kF7077dB01dqqm31izBBbaXuVo36NnIA409S8JHEQsLDqW2+E51eT
53wi+kijU8P4MgahusMsnL3aZvAZWfVV1gTOwS0CjnoUwaoiuevq8j2Z+ckn89zBrbHKOvDRUZkm
tMjS1Kao4XiNBMcLRbQEhvDOkzX0jxIiq07aHXMhFKEU6LUdVA9Mxa/ZwoGBhru2zoY42rVucKxl
+c1oaCmtl9xlNznEUnSSoSmNVGPkMZknkp1UkJ6Vyj8zsQIc8Zi3wEPYNGBX6EgZ9jBkkrS5pqCA
017qCh7mc7J4ONp27eIc2iGU8mci9RhGDs+x4GKslN528djRgDLd4RYd2Z+EdPiUZ0WYX5nsGo4G
HhWOyPPMF2y9sEq/EfTqQKi0D03IulOx7i6E6gSEfNysqRmDnG+WYtNE1bExNSiT8BmWy2Oqx5TE
UDWSgIsfnaSEDKTYY2Mzum0CCiunsDrzusqCKDql15B0tlY2HxnYnU9WfhGNFfhJrFKxfd4zYCa8
zeO9ZPqcY4YrumPqV8eAOr0oyC5yyXZuxEaUpYDo8aDTHsKoASjVntRwth0c4lZ1LldxPX8IdHcM
RUdnwmTQUvzhMMQtK/fGDCeoC1HGOMH1rwfHWDPl2YuScxvIBMyzvlqHKvwestytw9w/hkljsEcq
BOVYM9F3N8QI25GtPTOi5Hyu5HdoLbT8xGlxzFHZmlIVlzpmEwSKyMLBjJJ3tKhUcZnlxHW6KTN1
rHv33HYwRHtW8X2u1Blm5xsnyK+EwqmubfcSDka8Y+LKMqGZZgl2VbgdmVxFct9L+4rZld6Ksnhr
y+nQFd+mHG9kMR6afn5NJ/OtgNJgu+P5PNo7/p5/VHV/b6c+O3CdP5YyAHfXrYNpvhzC7jXGbdTX
8YNy6oPfFwT0MYKvkDoIPvjJVe17l2lrxVdRHt9LCr0wCKcXXdreL/WL9SqORPkQSWUdSk1Dl2FN
TzHsb68JvE1s4SgdzFzdd4MdMOhtdHVMT/XAk7tUBTtkA3zKvFwqhDObavBJuqTfE4qQbgnC01Rs
iKV7OD31EIOXYuo3mJ716gfxIjRM0fh14H+muhgjeXSnfq80Dkvib6ei4wY4DAYqX0DsCnqmXqc+
ZJPTMITEHG7juuRpHZ87LNXxc9IKstJGciCnEK6otcqeWDJ966E/FS9741LCnCx9zOR3BspwdSGe
m5iDhE9fWbI0OCepM2/aGN8zaROipKFIH4tT1TMmUw50rMXc+Bq2WZOeaqHLviuooOhq+qKJ02HD
pGstvifbH28jBsnjui6Wxmn+sPMBc83oVsGpmNoMlpJqAw3hOAyeOmaYMxcVnk7rIi2kfTxprv9f
Df2DGhrYjulKJOv/3CVz867ey//5P/4oiP7rb/2QRP0vJPZ8YkiuiQVEBhgVfkiizhd8C67n4xuT
FsYs3AA/Ul6W9YWYCS4tH0OZbZk2foofkqjlfSFHE/B/BjbCuiPlP5FEXftPpgNTIK4GEqyG78nA
/8VKYVVtLMzGAKhUSYZQ7tDQj0Xqt7g1LGWRlDU84+h4I1b6BoJyBYqgI8ghWz97d0bZLDv2EZQt
DYNEqkY5cH6XVqLCbe+w04avuKRky8zAGx+SRVmzmDeMLSbNXqNkCPkBFrJdoDK5elUIeGKNoNg1
68HtHOKZdmFeu0YkzuFcdHAkcX1AiTOF3W6joTZTGqiwn66TQOpbO7HovAmRGetVYc0msZwRoXSl
lOng6aSyCe1wwRgV3ststiYU30qEh5RZ72fLfvRWibB451jhEH+OeobKdEPxHaRRDnkjS7zx1hna
mY1kZfakSnwDZjH4Az4aBup+xUMP4XYC+d5vVJHTzzGilCnyoL3mDGXMyfsU1wDosjCMQILHI4CF
jlQEslkxB+8cjDS21iJmr5rnI47Zzu3VW0iaDHkYE/AhkhMhOz/KWXJ4r/qlJDYNfFgH8og9P7sP
7UE/mJWXKOIXiXXpYKq8qKuWPtBGJQ6eyOUIUNF48oJ+Cn+WyUV37aJN0U7lgV4G2iXRjkmOX0ZD
Ip9mKZjvdIWVX+ucfj6qIsrhTTr1/OQUs2b4Qej3Zmiq6o3tUHOH34v2P5JLGqA4qi/O0tRdMklB
Vg0PBviMT17RNY+GnVD2y9A42fXh3PtofbmYmFa1ebqFZ5h8lfPYfKvGBhmP6HUHZIySk0IyUkup
KGGvB+cFhs2EVm5U3QO9TAw5KxW4w6agov6JMYCjj8AJiIiEMnqltDI9b8YpfFdhTPkqmR3d7PJK
tnceZe3vWH/H17iaQM0L3+yvknoqrlInp1aU40ZogfhZenMXnC7p3ZA6FazR+KAhU/jya4yLNl9X
GPbDTTY1ucHF5/sXNAThzk/FPF+HmdtdQYq3XgocMW88OMiseUOnLky6eM7Jddao4bkLF1LjCZ9q
MKvs9Goh1xYldLfCCxomL0ZhcV8krXvvOT4QDicLekz51OxhK630ziHSdpfgQT4ALxtvhaqDfRxG
BfUffk7tIs2mnNtIxzkrfbLCQpbs7wzM/+y4Fq8saSBss9WMskyj6WKn7U7W2qwk2g3LQSiQrREB
z5MNt18cuS0alcNUaiTaMEcugUXl5E65peoaM299MvZ2brH0EaY90/M5SqBVLS7g2Ud1R2AcbMTx
UBNVhJ+Badj/3UC8eIkx0usSmJqaL+uOHxEK3mI8ds2+JnzRzRmVjCdz8jRN9sW4OJZ5YGNe1ouP
uYtnwO9EXZ13+2R05piO6dlc/M/lyQqtTrZoVQ94yh3bYljKEYlLSZ1s1FE8pHj2TvbqsmzwjgSh
F78aVaDfgIrmFxCny6/dyZ7deYtV2znZtvGig+SI0sXOzSlF3hcQEAtmepY6T0/Wb3mygYuTJRzj
CDCik1FcL57xNKkAZHFWxkoOuAMF4GQwVyezubf4zpOUkBP50cWOHi/OdM7u5k3jIB5su8W5DkII
EztEi/zZOVnbc8xh39XJ8A6UA/N7bXv9pjpZ4puTPb6vjfjDP5nmHWsx0BNrzdBnFls9hZSkV+qT
3d5enPfmGLHuBydD/syadxeebPpuUlWf4+Ld7618sfEvjv6wKBhnEx/F6M9SxzVhWjZ2CIILzpHP
usQCThEBgAOk5bJTdGC2Ovt5PAUK6GEhXAB8j6CBXDIH9Sl+4HQlHGJywfOW+NfwjcMJSYVTaCHL
BOwLsxsaeG9LrCFin+ltUdC4qumw5CRlBhEac3aKROhTPILQLt4RnErEJvQpQhF1IX8++69oRUx+
ySZvgRWwuXcY/HkA3gTUrP4UzjBPQQ1IMZABjSW/oU9RDrC6S0glm6HSQxZjmPp78OMUAokm8iDO
kgwJTiGRCI/na8oMHzX9FCMhR4l2jR2DeAnyWvqZ5I33Zp/iJwjLRFEiC94pXbtLRCUtJ/EYuIbp
nM+nEAvXByQMcQq3YLLig1XTRMbKHBVakfYVagHn0WC+1TxwH8lCsoWmVzXpjpnpLh2rrQgD1AmL
UlIwbdmmqrm1GUuXCOtVKxf4l+mjI83l0Bwi4qUN9cRZg7c/1xlVCw4JmkMVj3hZShaC8T4a2/Au
ZHEiUYdPd7i2uoAuqaUz+S3sBWrQ1FZY4vOiiVIK57SG8R223sHy4DCtybmNauMS/1NUPehQwl4U
Bo5T2iZhj1Z2ysHM1lTRgLwhKWtS5YQiacHqwTMEBCMdpOFRWVFBBxl14ykOaAS9t8S6R71VsCbK
Y+nAOtmZnoCKKAwJ3wpQKjHuqWXnD9TdJbDq2i1/PoY79VEnc22sidJX8dZO6xgJixzlckgauzMw
O8w4EpNnFMNtFR6KrKRmZAT69zCWNNpDBfLfq1qYw74qI07eIREbKI4D5whe0cy/kngK6dgdwk+c
JQH5hmkciAGNg6Q5gRz6eZU09it8raUmh2a5V+biPRUErQj2DZsFZhtZWhaHMRpDytOqut+AIyJ2
SvYQrCWBcAHYNWu41C0rz9dUeoHQA71FjoSsnbzRg9Hmq6q2Q0j/S5dNy0e2VklDanNt68l8RO+b
vuYoiMxEclnSOe2I0yl6rG7K1EEMInmH8xT8TMyQ3C68e55kbOZabcmbGNf3jPAVsqMiN1UPV7U0
q4cxzWuP/Y6H7dbSORznGkI9ByPbJHBvLZ1hZRk14LwKbXvbXM3yOo/D/sUpuwjiWRXDcjNG+Rna
WQfv2lJcKAwWDWPFdrClpEMRMeHSwWi0xerlP6Y9qemNhiiGwy2eqtc+TflFyrTkcT/NPL3hCpkg
MCX1FcleIguQ/M/G+NlfIAeATIkKUf9e89PxPUTDuvWnVq+V1VQAoAOBDpBBHMZTwYx9g0Utu/d0
2jIE6/I0XLmloO8uBa/FpgeE2AKJHmcAoIPFcp93mrlZxIPC23EsLB5FA9iWK73ErTS2BZmqPxxp
bn539f9WdsVNlZSt/u//7U/+WnItLgWUFhED0+Uw87PTOuzjskA+AgM4aHcj/FzvRdWnu79+FbEY
xH+KFJxexncDDjxAH4T988uA5WCFtW0KfesalYBBaR/NpN3ot1pzcDevGlSxXdxIqgRGxIbGFMEt
ETnnb4zsv/pDlxiPSzLgx/tYvo4/GMuxBg0t4Y5kieAUq9GVak+wlttSFgA8Ax4zHkNat2A25zLC
3P711/DvvmxPisAXQjp4pn9xTHuwnya34LnfBVTltTYF9taoq7/5sv+UgOAz/vFVlt/iD58RXlmV
UI+ZbHxqfJlHedPWjLp+VyWQZP/6A1nLO/7ld5X42T2PxJ61RKN+fi3op2GcTJAsadXg4u5GbnlW
TJVZQN3s5q2L3Vkcq6o030Ig55uhBXgrc4RtdH/hXMKKIMOGU8Mgq51mBzFbxreuEPZbjRBL2xJ7
MTrAUhnckKXHafbX7/9PPwhbanzlgs2IL5fj9s9vP+37MBrSAFYtDaArF2rD1iD3+vs8BfgNDZb/
O/fY8io+4QkXi7T0ONH/9IPoyh7i2me+XjsWtxd2qF1i6r+LF/zpZ+dVLIdjPrsXF7jdL5d2hClk
wpCaboyedpE4Nh3sevBXx9Acf7fL/8cPtLzhn351XsrlvrAXdYFT1zJz+OkKw9BtJkm2aXQbfcxZ
Vzy4bkQfZwo2QRMxP4sY2q3++rf6d5/PxYvgMDhZXv+Xz6dmvuCoWVSKJG52VujQvWGV0FYN2oX+
+UuRzyD75FkuyKwlOPKHz+dS1sS8gctimO32uo6rYl0xWMSOBarqr1/qz1egFLbj8X25dBEz7vn5
pUwK6KeaDqQNWalqH+j8u6Lm/m/WnT//XlwPBDRMjw34co38/CLahkrqoDBwAcrpsePMtpkNByOt
UWpY8jVtarOBH+6ff7Q/vuovHy30JoKjMd22tsAh39dJu690bx3++lWWW/Tna1ESRWRYZltyGcH9
ci2Sw0+yhlnDxvC75KaArkxrJc72wqmtczDnIXOcISRyHrfh+1+/9L/77chEgZEh2Qpt4JfVg3BN
bRjj0lLveePG66zsIms5Av8fvErA9U5CgvjVKZL5x4sx7dhnhW6ykVZPPSPr4k4sh8m/fpU/P6EF
DyZWQkITMPbd4JcndCXpK+DUCk6+Yie7aYYKy4tHBhy0UW4BHsfIY19MMT5aJBezZIFuQAug9xAG
jPy6bv7mHS0X5a8/LB+b7Ag5Ux8t8OeLto+gISBc84bmxgG12My3JXmCxenvgerp+uBvrqR/c5cQ
UgmwvLhk3ILgl2dZjJ/Y6OVAv6Ek39bCXaFHlFTCAXwB5/O09i96iQ7wNzfnn9c1yZJt2pJX9Vxh
/rKutQZxP9H0aPdMmXZumc6IUV2J4Y1Nm/c3F9Npo/XLt0p6FRPo8oggKPzL5iCgwkPSTJZuKtl5
V5wilr4Sbdw3rik3fYZAyMhNACDUlTVeCnMOrrjyK1oFOcPuW9WFO2ZV4f509f0jxeH/BbRcQMTp
D/flwq77L03i6r2ASfc7jq6tftt9+/ym3vOftIfT3/0hPMgv+OvYtKAwoCAiL/xLeHD8LwS9+Lks
Hs3A4myWpR/Cg3C/EI0lucVTFHSNlNxUP4QH4X3hMsQvxA33+xb5nwgPzp/Sjmh2/rINIfBFMptR
5c/3rzPxxNYF/bqjEowYM6jG1sfYW2l8PuBnbD5rTh4SVrbc46+8CH08OdSZClufAz0HjOyCwZKL
kyx/VXLYmY55NCP/vGjGHeTluzltL1SZbIekfZ6z5kONmBMM31jnWf1N+yk6eIyDrbiFFQDaJCrX
RB02BC13ODHVBq7drqa8BXXvldTGHqjlUzI3+6H3b7J8vmijnqppOperLrjpavc2HsHz4o3pB8ge
oc0SpIwLb1T7yEpwyHOc9BLzGxTq+8iwD6U/WSssxHtoc69DI/Y4/M4swIR259w3Ql61LlPw2Nlr
mRyWJnUSPZddPh45PqOBhmeyofBbe0Sp7fo1dhhxJm54xjdzRvRpN30bqIvwHiw0b8YX67p7ylvQ
lgad0/asKAxijg0iLJtwiQZ0BqT8b4FzpSJke8/Odu7UPZb0+IJTwNxWUYNK/sSg7LOjlj5+sxFe
POesSrONQ/7GMKBh4vnC50CfUrcrMSJGw/dpepyB9QXg5DDiHyOqUJXm/B1MZxKUDY+T44J9Zl+8
qeZ3n66JEN9S11dHp8EklL7okhBTPR8pjVhrXtIRZ0syz4zuOKit1fAcJeMucau94ueU2OMxZkQS
cDppoImCjB4rFmWyNi5gKif5rB2NfBznt2Zv72sLAHFvgK59VcOZGodtoa+76TNyrbVJtiZ+itv7
KftOD8CO4o6dtN9i9I4MyT+/s2KyzsFhNvQ+88Izr6V51ki3bPSRIKYABM94b8li65vpayiifZjl
h8KTF/B5L/vI2ThpCCbRjXfEBa6Bxx168NVSes9ZXN9Es3s3JcMhGaDxsS1js7muW/hyEWedtrzS
Ic21UbsXtrsnJqg3fX2KORy5o4550u+S2Dv6udprigY8MMcd9TB1Fu4TCzw36QASby0/nMnkLb5M
RmKDlF1QjOuf47Hc8gU8khQ+y2Asr2fPB5SL9jwhhyHGb5mxfyZ+uovdCEVkVsTFxovCmQ8g8UHo
4Rpo8EZARLX3Oc1pOa59K9S46MJ10WM/9If4pUGZwsdzCAXFHHlFgJGikT2bKJxHebwhSvRUJt1L
NHTPduvTjJ5DZmEFuKOSEh5jHeCLxDtiEsRMQ+6+5HlqLHkcg+4I3PujiTWXN9Uyk1e8W6CStq3K
qjWWX4D7foVLL3fvoQh/VC75tDy5Z9GRa9MYnjBT49ennQQsGNnAzqV83gnlc4CfdcYvn/l4p1As
Wugljt+DOR8Ovp66vQ6ajwAo4JaERA2OMMiP+Mf6dZF4H3UIA9wiJnpF7eRnOWcP4wBxoGjIXXU4
nTdOlx7hbiW7DM0EA1dafLVUn+zCoe3v0np+oFovXXUZjNlJUQSrZtwD8RMrDyhri04/+0DlxMYN
Xmz3tnrKFIx2ImDtQpMkFIIc26/ExK3vLiGplqBn1rKI4pTjAyLU3FhDv9MQxTZlIL5nfZse88w+
9smMSS7UjLfgTjnhAZAl9CjjcrDcbWLgmrdbc12VxtaZg3tliHPisJrGUufcHQgTiYGATDJaGxHr
V2lVl5k3XKJbYWExmNNC0Cvn74GN39FIF/J9gxfblbu2nD9LTWMW7ik2gMeuL2+8JCKOk5f3ZKQO
3mAfkU4eDD/cY658zttgN0Q422BCUVZ3EPjOWi+70rK7jHql1oUxWiwI1SHuHGwzNe2msK8C4X+k
U3shomKxfX7NE3ELuuIyyvvbMQ2ODvkBWnVfXSJ92yBnvOhF8bVR2ac5aLBlfog5Bh1NEGgxg8tS
uTQDkt9j7FtcunPt/L45+0e7oMvkQ1W6+t7+Csr9CbX7fzFcV/rLjPE/uy7ukuq3PcaLz2+/fVa/
3Xc/7YHg1C5/+8cmKPgCxdEBpGsuZz920P/aBLnyCzuOALAf/0H9Wo68PzZBlvxi+hxMSbBz5gac
yJbsxybItr9Id+lwMCVLOQCUf+a+CJbN+0/bbYd/xA4kqh/bLnrFf94E8X9m2DSzhmGfd+M1UU0C
kYM+UWrKfqyczvqZICfgNUejxqE0oICvJp/0bE6UpjBxGrYimdS9FZRkA7zeJv82V26k3jutDHUz
h9qEpE3kxKXlcS7sKX7HaIpEcBxyH5+pr5ns0tjbu0NyaQLxc3OmbGgGzkrkqseqKY2eXElZpEbo
4zZs4q5HCaeA721ANV/AiWOrcAyQXF85CC8+WROzQ+lUUcZ/l2UpL13foDlgqGCsyDIyzqm0obeG
GELYb8hQ8i8mQasu/LSjU9e04+kmL+zh+0zvBPwIepCfs6qS/mr2BZkXA6ikD7AtMM+Uabfo7ZrG
9IkhG3YQcgEfpjEyAypSoEwU0ybBfVJW3lMIdO4JIam6n4qowqgJLPEYlOXygEMpuk890VxL2biX
fOuwVFOzF8dOqCzkWK3KtzRT1WMIeRVp36WB154ttitVqeLvbcsThoaBvPdWZU//IjloqKGruKSb
F8zAiAUvzJN3qmmgzhjSDD8bkIW3s2nXyBb+ZHTblu6hmiR5Ut/4kbKydcNjAkQNjpeLzCcIswLK
Nz0xQyPzlwc1/lGaLTu5Yqufxed0eSzYdYrPr5ww6J9UL33wl0Jb1ibko92nbcUuxR1N67mmPAH0
EkV3o8o98EHUUVxARISmH49jdz55U0tTHVniZC1Vq+7xu2Fgh0eZXie4Y2D7ndS8sNuihajnKegS
4jw27vrYy59d/PGXCe4+D5hAz4Qlzkk5rIy2g+hY47gsiGDm+UVGTKvDqZPR2tt6RYSNJ7aJVqrC
v6uAr+Mi6GLzpkwmzvb4+Jf64rHtD1iQzc/MV+KRYCXGpDSZoXNqybWHGuarEHW/cC+niJ5118Li
s8aiPjzBmdevEF3wz0ajK15Shj/pquFfQKrB1MTmw3Rrnjd2Di+vmpx7b5DTtXSK6UIHKdYiQ2TF
fdIGBGAQWxIJY1YSpTEL4TZLxkM3K/Cy8zfUTptQcmYab51s++cow9q3khiYHjAzePcVMSSEbHaO
l06dVd7KHAwLViNiC7Knr/EnqLLQO6Fko/C+lFm3whOa33l92X+1dEs9XkpA9pris/k1NDFkrvpu
LB9yICm3g+otscmG3LpyU4kxk5ogLFuA1kgNYJGKvvqAJD6cyHJuUs+kGaEySIHTuGDSJEIBKE5T
q/boLcXC+ViQyHrQoi+8FVpZ8dKkBjk+Q6nsmeH8mK+JHU/vGD5bYKPouR89DsZyyZjzD/th454x
IUMv6QQ5qFXAC74WjRW9BBjj5y3QNnHVzW5FNA822DoxfIQX2wcHwIYPDMAm4tOcGQ5OqhVic/4R
aZDGKx2D8F+r0SOeGgtjHtYNhNuv+I/ZURKQGdmGU3hfboq6xiViyqG+4Hv037DrBi8ICC0LF9ug
cdtG9fjkRYP14IqMzY4xpvVVkWOsgpxIuhUlP6X7XdH0lK/ZanD/1vyRO9sD3Uw8X8c3nJ5QrCgy
8gx8X6oIV0hm1PCF2pDfx5yWlv1iDkw2uaiHfh07Lf03TdHPCzTbr/de3eOjs8UMG2JOBCSeFPMP
Oz6bEtMtzHGOg6kL/xuLJ7Evp07TF1VnyUMQUoKCzSsaVgNNRAbZooG8B/kHy1zRR0C50xR75TsR
9frVtGKb75A+1m5FPjb86sVRPWELblLu9Sa2glXctQtlxCsgR5maKRehkDzZOj2lFascB4q9FYUv
rwGJdsAjnG4+6kpHeKW7nloFf46tCw048DHKFCQRX9HbiOcXMKmvakpvBbHB7wOCEZ11RQttU5lS
bhKI93qF6jb2a7eFyMixYjJe3MBCBR6nXGyoqRIPNm5D+qIyUBgry43wRA8ZyF9I5WVw29IWiNU5
yeJwG4ZCoJublvE4JPb8iIG+E2tLdJDSiRx0706q7WYNx2BS65k4LQTUZAGja+KqN+SY61VatzUr
0zjDr7LFcl439UORVYo7ym5WfWn0rIyioBk8cmQ7w4qEkLoV/4u989puHMmy6BehFrx5HDg6kZRI
+RcsKSXBe4+vn40y01lZ05mrX2dNd1dXGkkkgYhAxL3n7DNWCxQQSpNOMSCZ8MVSJmsLt551JxTY
ph0Lm458UFDfPErL0OOc6+YZVrE+QmqQk9XbwOy2zl1BJ90NO0FsoZ0Dhd7FS1KWd0s6a5WDjQxj
v6kReVODckAGwQLjVSR5IKWCs4aKGNMiB2DU3W+DMgqjh8xMSnwe9khttInHGTGA4LrxpIUhhX+w
3rFd45N8XTCJZGeeRVIC9lKQOMOUdAfg286sQkQZyfE+o+CeH8chNm8x05EhqgwLAY55OSVwk5cV
E9wv4sDFqZX8A7a91BKdCybenScpklH6a1HnSlzehsPPrEau0bfqeJ9ki4FZLqsEyTYwzl3i2sDJ
VhOuJoDPZetuz2mTf2bFVA1OHBYWWpoZpFq9zPlRpjf7HHSBClSmbPVjrXUV7stlriCam1UCgFQN
pMvQI3+AsF7KJymQqhrB2UwAtTRaEucmcNgfJbTZh0bjYVdpJvjgdpmDGG9hb7wxBqovMxh+191J
6mXpY94UjS1c7x37ide26yDOD/VQUK4YGvMsVSQibQLVXF5DYRSP7DwH8WCijfoYNUkhgEBYFYZ1
loS7QFVAgtIMKs4zQ09y5kbpI5sEL7wFU5Qz6YwJJ3g05yTjlqrIDRxoHd2z2cOWU/c6i2cqttZO
kMT2oZYJZXFHBsFV5ggfO4UyjyepV4hcowoy3HXw+TKHrn5/09J/4fSEmulkxCOKh0xsy2EVgAUJ
0ZUC+oa4bkC0tNRQ7kaUSB9sqMerXLQDke84zNmfFql5h8M/RJRo1OG5zvKhJGKzKlbWz3Ae5ypq
HEsE7EvJqGxvwQ4E39KqWhawP5MQomgxefbRNYTlFfH85qxPoooXyBlSM2Dtbeax21e/YeY3iRCX
MStQ+wJ/FopW/UJjXycVoip4Skh1Q3htkJqmPekja0Oi4dJDuSsN9/WU5/kKhbZIDsZx37tEQbRf
FtT3wY1I7oudcYDPbpPkKrHcmyrZKzEkWge8k/6O1su4q5BL3sZzYd4GYktrG8CkdCszyBtP7JAq
IjquFHxWrPKzTxCX1nvJ1GVvRlaLi7dQ3BR8IZhLyyXOgaol4J8KfxQ2hicLR3XuT7ISpC72AbNG
clGvp27MLsC6iZsloTlkdTYzmt64sKdKIsTVMj5SUMGpo6KiPK7hD/0WZ2S7GyMJAH+NP+15SdMy
cSxjRMzSCCgl2TUl6mZeNOB9eW6GLWiRKWkctU7H23lWVVLSh2XpMQ6ThS5YHIZt1NBi6g16goqm
GysA5sVChoHEviD5ZoXJgNlXoIhENS8VzE2FJjF6MpBdWq5OMAW5o1LZFcl1VFRCFKgJSWhdFoDF
D6u6kxohACiJLXcoofuCX0lQrqXd/Ocdhf/rZ2lJXRFs//4o/V/521Ly8P++i/DH9/x5gNYo+VsG
yw2gNzr50Bb/5wBtcBCmHU3bGMUCXbj1r/48QMu/kehkEHfDeQtEIxX+f52frd9MpNMrMxQIG9X/
/4jnpsk/9AAVkwUSfYmJ2EA3Udf90EJWx9iqZzAFLqeH4THq23SNX60WVX5BRCsTbDeJMY6/CTnP
BLWpTqoAKBHGt/JVBNsyenpNbW49Knc+dHDy4lLC2fMvwjC7+E2qQ21fW9WgHKNC4RwjZl1dnfVo
bKWDpRjEwggjmI8dLQwasNUyQKfIpgpxmSoi4hoG/dKtceJEcY4p3e22c7OGHRpKGA3ftsO8bqLX
whQF4WJGGg7jiUwyEgL6SgZtVhrGoYfJ9Yq8veSHRBFnXynvtqGFl5fUKKn6QCU3gn3HW3Afc34Y
iXiQ4/hew/0l6ZTrc7DrWU7P70ZQwS0NYCIBHA1pMwQbpYmm+6W1CiwEqSlX80aoOkk9FUlf7JMZ
JtP7oNOdt8W+JtAM4j2J33oPd6MMCBUmZoRPjAjeWogXW5ToSWlHbFlsBqKnP+hJUUHvfV/0Jqyd
LkzmLbwYDA+w6lRtQZRIYCW3wiC1IcrvET32XX/pFDE/tSNxYGo7PRe4Yewk6bAuYMYgYB5n1uxw
lkhe4polOkwN+V0hbuRzGDP9Imjd2sGA64oNUmIB1Ej4JuAbfSOFxuoU1kVyg006O0eD1NwQYNds
YJxVHv531Q7LsHFjHV8Bq5j51I3oyG0RhS7OO7N/yEsqoTyABNNVzLH2FWVtWaRGv6XfM7vy0sbX
Ru5jGJtKCg27CmEimBrxNUCdeyskRjGppHZvGN1XX9YVO+S2Ia+PN+2TA1c+pJku2Jox4asn7ejQ
tPjd57bqaVp1ZrIOAeoJWG20iKOyweVgU24MNzWhda7aJs1tE1iVa6iTAo+wlv1ejOqOpqJSXOij
FR+YzMd3Uob6K1dNfhJiqA/4SLRuP8rpdOHo0b4PCy86aiHlJPanmODNmaRGuZpWEyJBfLCgCEJA
CioVz73MWflxMkPJgmSox0a+a/NK696lMewxSTTZANQ0dWRFF0YgXoLGmeQbBMIqWT44kw9sBMqY
I5UPIK8Xcdylky4/Em1hYKovhJxcg6Rvo3dVbkxPIs/RGVW8QEElmHaW5vpXTRNpCwjOOBihMWHl
qfJru9SEJo+59M1i1hPTu2SaMlxyE7XOjSa0ar6ZJ3qTO8I/aMdEgoomF/xHPyFnT4e0vSOvSNDv
mq5F/2hrMqgizMoBLJxmghJyKJO6XXtIfcEeo0ab+9QC9dgnaSIKL3VLsuXZYiuhvRhgDmBuJFEo
3xBJoExun5L3mNkNck6yFqgARN+MqJHl3pnFTga5I/cJ5MAC6BF8n1kxBkc0hXSobA0bcFG9lCMG
lh1Fjqg4jlGAiUrGETI5HEknSE4RezkPild0j4k8Qsgdo4ayB1Jt2mtSw7eB47T09ZPB/l70ZwVs
X9OlVezqOR0CH5n4QOmhBIuErDwq5b1YZAw2+AwWWKSCmUrOCWr2JoylyOkAWqiJY4IvQ6FEeai+
lcmUOifEoOQduY5GoLwNhSlwSp8o640nxZqCeJMFisFRrg8Dh61S47QS3YBERfaLrKFttOkGThLU
Rryw5HaMsj6Jt6NSoZxH5U4khZlO9tyYWIThF7Ybs00T9aStlVscaFN3SkaxZcKnpoYNR+qFWUNT
DhnlJs9rzv1kMPpKjX0Y5UgKLa+aqmNria9Dp78hfuiHs9zouNWhOpiDO1KMIJKnIs3OHkcAHGMG
twHNfkZ7bOyJLr5JSCXnvCspdTfdhu0E/1IsSmu0y55m+yMxEhz9WjHnCDxSdpVuwmiAKkRVxVAe
S31YV1Sz5AQVlpEe3pSShVWB+D4OJGa9mhToUxKPZmEonl5aidNKnIVpjH9iDJLhre2nPPGbTjSL
W9DBVXIbgvDzFeTsyjkvsiL0dTFZA58l3jQLN+a2+aQT5PKysL6G+5pkUv0pNNWqBhtqzMq2Gkwa
gfApozelTIXmOA+9GN+IYDEYvimVcyg1ranJo0tsmWDeU0ln7DlCqi9GjydQToZDrgq6MXFapjyy
V7NKGW8TyVD6XRQ24C6UWSjy0zgHi/wqsXXGfByPsUQQUZ8PQExi8m/PyKaRiOkD2fBs2XkOEaPY
sTjwep/zOGQvy5AZbrYIb2nQpAcrXNqtEU2FG7WFcatzooy/pUbYR0/RooXdDu9thRmXqgfwJTGK
wy4khCDhnDSVSteQLBrHpGpAx4me27FPs003JDEBjVOrkRVbm7UgOZnGcXe/xI21ssPkhBIkXH2q
QZY2Wx6Mp6B0rG6O463UzBHcbZEgB7Kyo+U9Jy2V3EfwNA/gt8IMfOBK8+AHLMO4kwlXr1+miTVn
sLWSFPY7cZ5mQtLn9qWRygrQQtRbzSfbniuB4jrZOLVRXoxSp8YEN3GWwntUH82462cec82nNkSK
7AwLd10AgoYEVxTB9klzv8uZTYxH4CLkeO6TpH6nuigKrk7kzXLVYypqHqQj6ktbPWe/8kDKHHUg
xcwBYwOuakjRqM1qxgEnk/jmobknSN3u8oTI6KTGdYir3qqMK4t6Gzw35rSaayCPGH6kgluM6FSM
mE/teRKFzrNyJW4eMZgXPH7NBaKjLevhIln09DSFIn1vgSx8XEaOga1X9oLBiCgkMYExCGOcBCOj
T8ZTSr1cs9wljzq/GseUoI16MptNT638GaIJNVAUZbl0KsxCuYD97ZMT1pHAaAy/EeXqXBG01X8j
IitNtnGLfNCxVIyah8zQ5/DQzI2RX4fa6GYXj0HYPawUD+MxCllot9Xctljsgs48VNTTw12IfUOD
x5OV23RRYQAY6hC0vmJkXSNTc8D75Gv53Ax+ZHETXfI1qhNd9O4DjDUQHbkunkZ9mu4V4m6OCU2D
rUYC2341B6OgEIv32NK6DeQuRdlOVaIPH/XcESYIBlfvjwOEK3aKhcnQIIOeBGbNyuvxqzOUutwQ
Va0VMZDJBgJlPEJ80IKC/k3AtlTfQJTrZz8WOI3SErcQpdhVLZGIzQYExEVMYlwdcIJGrW8cVTls
hNqbNa2Z9j2IVkW2R2UwGWECch7NtYylPfC4jS+gxhQBbX8UDgObOgtp8BlWIefX2ZbVUZc70VuZ
f2EsuIG8BI1BQlZntapn9VKXvIIPEdL8/wnf/wgu1dWfHwe/NZ/fHwV///I/T4K6jlvdsqhSS5Iq
a4aJLvBPIzsnQRDdPMK4QRIO8pW5/Vcr1fgNaLf4L8nYqjX7q5UqSb9JKuc2C377KlCjcftXZuvt
Hy1S4l7/veT894yB71qpikYqqwHB1OAN0rv9UW0bTkaXWmMouuQj19mbSIayOzZ1obmVrFCGwnzL
mpr2BtXOSuUwCCThyBM13ZeD1d2mVlo/B3VunKuFvlmVK8KV7Uds92WGjmGiroEfc0Kv4SzpOPlh
lQXbGpyGXShCd6dZE0QhEnPUjWQM0IyJko+6plhbK/VTRQ3y2QJJWriZUos6AWHoWIyMPBicPNrn
REvg1JGhww6DAiniri7dLISr3mbGTOTxWFHOVCU6VFVExdwpCbu2dV1N/TXAwmkWK/HkrJ9X9FBF
wJKe70sArN2NmA7yzZj0DVvaOVr99um+kxT9S2Opj52aTuE5SbV0Q8uJmp8MgPkmIfl7lwFe2mnS
+CDDxqQ4r+TBk1yZwU3T6+GenFYiicPmPu6SmI1wzXkDxYykcjaFJxPfLrCl9tUsRZc6Jbk1alOe
JE14qobVk445/IkHbLGdoJTuZiQV9NNEJXxs6SrHDid6xcU2S8bflIqEeqdEdqaW+TgmQ4UnFmC6
ipFwi1Ot9qZSCGFd9VrgGcUQmhS3YfAUfQn5SaDWTupxNB8rvVg4uFH7qudh2fVFiH4D69uujigI
z5BHk+KpsyRsx8ltglLchu9KvERKF0AqOslZVJ2D1AwKV5WlZDMDcKf+nFFAC6dq8rmVsk0zN9uH
5GAcllwkZ6+hrGXJ8LDlehFJedZBX9Z6S5QTZW8Ns7+vTzR1GoPQa+IRiveF5gQed7S2jrKGRurk
qwCVmxQ0bLUSnItKvUhFrMAGB7WQo90JcdkvYVVfZvjL/pKK00VYAmM78nhylInPm+pZQkXXHDAF
K/odr1BehB7PWtpKoU84+uDlHSGiyZBS3DWH0h0YXFiWJ20Ee0hxhZPHSk5JCLoERCQoeTrvCYVj
Jc7/WJaHcbRi7RTSM8f6FjaFhqCwNqJ2dlRs2Irqp3UIT9ROZCkaBFdd6qiUjpUkYLi3p3XvAAs0
KrJ07NC9sRuOD3pKQ1aiPRkXuxFhhKu0aelWTY0uqJqHTxNhgKviFPebvI0P4TyUH3q01A+wHSZX
TOd511hz/Jwn0LbtUROt2wGMK9J0LlZUDyE4+igCkWSa5SVrk8oHwa1Edj/jBcCBp9/wEEuJlZdq
4WUxq/4QrlgffVLy22ySISjRLXzJAsNC7BlU74WMy54qvXFc4FGIDlQmrK+lEl14yNbs5ao0osFS
k/A1jGp+0JfGkv2BLbM7jhOdErPrdeJbAoBwqYr0mq4r6Jexr7et3lh8/Grx4Z1LrpFZheBm7F68
JVEBWQ4zzlgh6G7HwFByO7TuFbOpb2R8G2zDIhOZbND0VMfFLL1gAe4g0ULqm8xO/tCMeH4EKQFq
Qoja+kZVpLulUCIvh2Xs6UYiE1je5xejXYwbg4RML44T5VaEgf1klAsqdODFynaUC23cS2DtUSAo
FdexaCP1K5Il+b6p0Gagd1vwBSRF/DQhFr2NRqufbLWTjKuoxuhw8xhmhxBW2mMRlZuyqasJQ0OU
b9hcJy4dONpAIMisDQ1THBwIWUha1bSBAj6Jw6tTUGhPVA0iVswsvaM7T7UCIQ2bx3CmsDALK9iW
+MDUJT5lOdcDuSiuWsM6jPEjhnZkjPFrSAARNkqyLSkFxeI2Ih2PrmCm83tKUPcIGa23vIgHVO64
f49YXrVrMk/s8xdRvOW0ml2XyFL28RCrb2NjSXc5DpHj1GayI9HJWDhGdIAVjcL4qkXeDnkD1XBL
r0H2dI4Zx1RqhWdwXBrUs0kwToT1zL6qILxjLUJ51vZz7xszicyTBNNLNCftEDNWvpX4mDdkv4u1
y1tFhRL1cZ5QFaoUCJhV76oZ+Ge2VQNtE+NdRLG64Qg8cRaJo44vGeLepeyouILEKUPWoTyqYD62
iQBPox307ps+9uEN7k8L67Jingqgn6MtEcKNSNtc9kOmjXeGlSJ+mQT2uFGQdE4ZKJKthl1+wfra
eoSZhj2oMNzlnZwKt51kJoPTyEr1if+03LLPntEzwM6qKdeRFDCG5jEtNJDjczH6a6WC9kVuchLL
gq57QB8VU6ExVZMuR5s9BT1PR62TVmWlYGibGRTlZSVN3w66UW16KUo9U9CbE0tPdQBrT+JvCiRS
pMPa0rzXk8X4Zs2dpO+IQDXfIgNpUhEF4mnUDa5qnmYU+hAeYYCmkPRGkavf5BlYeZC+4WlKIuHI
ERDwAPjgCDJtUXyQfTA9qkzqTRTxUHOS0AheyNANNkARjn1FHOqU044dJQcUJ31GjL6E9g5woUT5
bKFzx/zFsT8K2n1KZfHRgCCKnqI1pSdJpAqDwj15FqdKfC8mqJ4kbvQPrHr1KY0Dc1eZ4XIr13Qp
o2iuHMnANKwncEiq0G0nSztUmpge8waofxsrWyIbroBtiAzUwWD7WQQwLhvRcerSsYcY7k5y3wHj
UCPeAtcThWnQHsRIJ9+VHs8GYVhGSWUSj+0I076tQVrVpBrtmMOiHShytEWere9jAhZI+YjrJ4r8
ktOImuoVujTfwMQv96gJWgQRXbCZWoFjmCgEfiCJ2jVOdMvjMWVBYFSW2zGV5nOVWNFTPlLdRf5Q
XKVkKTYa8IENDmng9OD6XMiUqd8ngb6fk3I4g2SKT5pJPUTSe4TbRgOgMkJ2ISn3sSKRCml5ZHBE
lMKiI72qPdp0L04XH+ybO4zmtugQS4jo4JrXSvnEPqefqZhYpK/LxUSXPCtHCm16v8aYK8GdJKbh
U1uIm9mYW3eU5M+e0skL5dzxBKaD7Q5igAgtFAAJpEA3aqCm0jFn4MEioeG+OHn2aRm19akEdPwk
tasXtxA7viFsxFMHHJHKi6xR8DO6G7mCrCD1dXOftYhQAZxGdHaXSEcxEQTR2zAgqQdGSvG8Zia6
/cx5XQrEJ6JtA1cFtGjXcj/6sCDoTidTJLBVlUe7WiQJcN8kvIsl6M9aIc4maLMRTUgs+iwBCDfa
Sb4NAdKWMh1z6M8QPJM5fab21XkCJStEI0G8Z4M6vo69OPgNFTJHw/jkQfgpPjrRCLaUDpdTEQ46
pWYEQGiudE8guMSNCg1OFQUUtnFxax2bdAGySFntzhTJjZdxCFNatOK9KoQtVWHZuljDPG8ahutO
h+NR9GrvIiWe9qT1KJg+Uh2aUK9v9FmB+wzqhy+hAQ3TZnT7SZIBuFJk10p6kDUZN4e6lJ7Ryt1j
7H8Swnmh4rPuM6tUhiYkHBBv6rakz3eBglq+ZlWBAEWVIogaMNWCNF/aOgyJZCAoMo4RTo8Ddr1c
qKhqFIGbhdxR5JLcs6RBqh4Pnwo9Gq+taxzp6ngUqHNXa6AFZusRtiboWgvTAt0GHXwmbCJt0U/M
lZNotDv0HRqhKG3odNpSUK/hqdZo8XvCMdpWx1b2E5j5rIE1qphKfOnS/LOK8wcits+zVJdblDh0
WiiZ2klpUNwSyYoPkKLxZwMSerITOcrv4UtyVknK/kVsg/KzR2aT2FYrSBBTKS1RcITbmlBzsgoe
CnmjvnZkeBPwEea+IhQGtZDa3CRdkl2gE+MzaEWqFEl336thfFLyCd9wqW4MgQQS4Kk9fzf2Tgt5
GtWfZg+d9CxDI0IOg7eZ0I2HpRl2DXEicIdld6ZwBoeBTjoMzAgiEAHQFhyxgI6FY1J/R5MUHDo0
iZcMRaWPZgSGspA0uwlYxX7uImsXW5y26GpIGyQ9sw0TWN0vUUawbEfw3AgVxRk6FCsBzQFbBol6
JeWl2QmZafeQeUBam+zDo/7WzI3HMqFqTNggui49oP+DyEf6mls4oSnPTSMb7vtlY66UzQoh+qEy
YIFSL8ntSr9N2mpAa99M27BbnK6Pd7p6Mzb5ws8ycUDRtzRDmnWnFHLWnqfusC2aKbtagIN35OiJ
O/JZwgFdk4TOTWJjR9qiKf9hZ/9/mfp3eEDiDldS3r/vrd9+NsVb/k4k0vcllT+/7c+iimz9hvmN
Jj0Wck7RQB/+p6iiSr/RObckAweftPIB/6VPF3/DmKDgPzUprdCDV9CU/1VTIS7NlHW678bqGF+h
fv9JTUVDH/+dOl3jZWn7KxqbflnUoRWu7ffvrMVL2MyFFkl3B//1HHr2bmPv/LO/s33/6F/4z87e
8Cvb87zQdvbb/deWZo395W6326/Rvrv+Aisg/b3d/8/382O7n01qkPB+3Gf33t/YnuNtf+F/1VbX
8L+qSP98iR8E+WlJPreEEcQ9bo/2s+/6g23v7JeNb19s37Z5TXfruO7BcQ/+nWN7B/cX70D+uyXg
n++Actr3Fx0taauKiXR39M+vO//e5/o6b85271x/8UqUdX7+YX/kjSCfMlCy8VLc4QOfbr2v63/5
9/nVP27d89HeHV+P/uvxXNuufzy+vvKO7JvNzr7sLpvdZrPxNpsb++Rtnb1z2DISXm5unK1j2ze2
c9ryrt0tF2zrOncHx3bsrbe/cw4H12G4bL+bX39WBL8n1fxqdKwlyu8vXNc2nNAZHb579/x+Du2z
7b2cHNH+1WWz1jvwkzFiIn35/oVSELADy/jdwT26rns8MyWOzIrfB6Tt1/aZe/bOrLC5YMf1b/hC
Jox/sfmjHX+5jiPGE9PJPtn8Fb9aB/Nutznx7+2Va+nunbsj1435dvTXu++6zsnx/Z3HF/L7/d5x
1jHoHxkjZ3+9oJG95Y7xPdwv3+WOHPhCrv7z8bzehLPL9/z8kv9yAK2z6bsFwgyDUjC4Erwkn5F3
Z2+O7u73S2HzEXhX/M/5xQ1QVhXTT2/AOoW+e9nFmMcZUdud/8zlPF63znoR+IV7dp3Dbndk0L0y
cHf84zKFdxvPq21+6W+5pEd367/avvvsb3z/1d2dz9wO1rTzJbTtJ1Y4n6vIffL2TIhn++Ls7d9H
026zO+8un7vQ/rysP/T9/vwa2/eL/R7aO4bb7nI5X/jt5ycrpW8zCU5XJi3/vttevev2ixu73V7t
+8tuN9l2aG+YNU83p9PTab/1Hnb77cf1zvE2zp3jHh3Pu7r22816BxlnV2aL7e33NywC+y2X22Xd
+X0h4pN/sSAdXWbXduvw8XaMmIOz9U6MhN+/8PHKH6/z8+oe7p6fXffqfPxiHPwd8/OPNctcHyTf
3ZC2bitqL9wQlpBnLgQDwblxGKjO9sB7dZxfPQm0dan/2Rz84dGUdxRqydW78887hr/ztd3FNjd0
HejMuDMfknnFb5ku/J+9586vv3XP/r17v7sc3eeSm76xnw/v6/zhDZ839ub+dlhXeKbphUHjXD1m
mVfZ3uktsfeMs73ryrZ7x0r4atkP3mmd1669dT0eBfZ+XQ1+McOkddH62ef84ZGHp6pOFj7n0X29
361T//rzW4ff7Bev8MMTj+e+JEi8woGBc2bBWZ8Dh/Xa8SnXBYihxUBifDFzGGgHLhXDm2WL33I9
+LstY/Loent+yVf7Oy7/lr/l+cGvmQkOc8rlec2P5MevX+KXfP/unpvHYsHc+31BXF9x5zuvfAlv
wXa4C+uX8xvPXqfTltfla/mJt5szP54pwI9iKu923rraHo/PLs+r3b3NheJ7eBitI5CVkzfH9/Pz
1h/m3PALlogj74ipyK6G+/ro7dcv9fY77v/p91WLT73dlHx4bq3te1vG87rOr2s4723Dd16cN34q
k87Zn9apvV4mLtT63QyMnBWH2+Xwxz+/ZX8f+nTlFBAN+tpVo9v2T6ZWrEoBJMk5Im9zCk/hMgRO
P+bDQYi0AdEIdc55miLv5y/691Hy54uChySfVwYPsoIhvp/hQJs7IqwmKiKBnN6lQEW9hSjdX3y0
v284/3oVU0FQqvDJfkyWV7B4gerko0XmiIUjtwSyERYq0KSxIaD4jz8S1TIg31xM5Kg/7hc0PUDR
RaoD1uh4dIIiDzalruX+z1/lf/lIf3uVHzYLTVmSjq7xKkOER40qlXmRhJJISiCY+5+/1P9yjzgr
aJKGDI9m7I+oo7Uapze4DG3DsLTNCFwcR8Bi/OoDif8cgIpMgjLcDl3RMNj+sNpjQQXgpyIEl2tM
e64cGSnnY3kRnjIY1I9CXEL1QMAYCj6GuuHYyQN1wxqnChl0XTY/mrKUTs6YIkjZzUqvvc01xRav
C2JZQbjX63QxCn3ocJ8jh4IeJNTTZlom2DtxJ8GSRoCe5BA3VExzRjEHRGWZOtZ5k5zl2s0srrAt
VrSQnNaEqYv3jPhO5PKpRszC2BdeTszUdpYmcfSgXpNh0ge1Km2sTG4fUSSY0V6WydzD3MPYm/pl
/CjNgrIuiruI7uKSr2lxE5VdGy4mIkBZh5xld2S5nkWhnx6VVslLlIXLnJEJgdDHjvSR2aNo0Tz6
rRljr+0w/65erZAKkq5rM/V2ErtAkDSa2FEjXyiQxshvHkhWMgI7J7saC6aOFNJb9CAmMEVossaT
hdp6Jl20fikBqQ/En9c4/YNYSWM0oimsBBJ71OOUoslykg4JBxUMRaq8NDWjyFWy1PpYxB5od1mV
WgET2ZxyJDmIore6mOcUbYMlT4/ASLqGgLCZJqBRN8ldNpTQmptS1L90vZK+cvSFlM4MY7aOkol4
3Jt7GQ0HiUbWqSPQmeIyYk9KgJqil16fVM05I1AHVmqaq2+FHFbX1pCzF8rI2TtdRHN2jcYcehff
SZLYAxq24yypRPcgpwvbhyFHQ+LroFonpzOndHSSSau/im4YCj6phaBFklUQMKvB5ArketJJZV3f
QZGW0U0yTkQsR/2iQGvH1vyamhYpvEWZj+5SpgBPyKjhssSMX8FrZ7oC9EvH7KXvB3mmXmy1x8GE
6koZlb6ArdD+dwOqPkiy2j5ckQGoYvNqSJ+sSUYfnnO7kJCWJtSELC8xCMUq+Ts2t8q65m1ZNf5s
Lk3hNZRlCUFlwH+qCN+PNDEpv+I1wVFJSrWQOxlhnukW8cL0UneUwGyqDPnNLFSz4GrEF36paRWq
9GkoXp9ULbTkXYqaLaPuBd0Aabj1LZNGdHT9EgMZN+O1QaNVDWiKgTHi8QQRHqaZ8ONqQjztwuoR
7kBhFBTHFBIfqY3lhY8QuqLwpnXdhC+vq2dbF0lChEVLSh9QWJm5KGL0dSiZBkfI2loO1DecEwq7
cgbgVhAw5kQ0802vaUyuFl3l9k4HbNTbytQXdyICgcHWpWKItk1rtM1Nr3Ra7iVCXopuMElKhO4R
VxN1wMoS6aYZ7eQsslVdAzO3nhIxlr/h8jIXct60+toWTV+cGmRhRB7XUFMdUZ7kbRcEhe6Rg903
fqwKGdFIaSHacG7TemtOsfyKChEI31znU0RI/FLcNIQ9MO9RRV6A47HUWm2fIJRAKffQ4UK1eGRl
NI9Gen0P5BWE8ENrQKpb/LMzbQFkoyR50KNTSbuNWKMEJc1IAsVT5aLk7WuaMypmeFJmZTxdUPAt
Jyua8CUVR9LnAvSQrljQn/BC7GsEKhUloABhNqN3i+YpChYijXK3RJh6j4QF1nuecyeWaqEThO0N
HHdrjuTphkrapJT5Deq0zCgcQHpVhPuIG/8lV0F3QHtIpI4qLtN9VYn6x9T2waMGFLpD3UYnxVbq
OLy3BiV+jUqxfmyMUSPvMJyFj1oPhzchVTN85aaoXNV6tboVjRV/w/oFbp2kFuEBi0b8FqX4Iz0N
MugxS1EW2i35BkBfhgpxpKbH5YMxYZFAcKi2CIb1kHTuOOlfAtYp2e7DMX+MGmW87/KeOKxp6apL
ZBTKHWLMGjACyGrZI8Y8Og1DLywoasQE+nPemI2vZyj3JgSfa8+yGci0J56v8ivE25Ez1FbwQGB8
MHtSkpqfaqblV2LgJQyxJGGCQQJjT55gXY3bRpjDfsv84aEV92pwiq1K/sTrtWoClYBIs3A1eKIZ
XppdGqbagwA8TSMnStT9hGSIYg+1S0V4DyjsCa4x100V6/4UJqVe7wLazfeInqEckbqkoq7I6RnT
8Ef2x4WC5+P9N3tnsh03kmXbX6kfQC40hm5Y3ruTdPakpAkW1aEHDDBD+/W14cp8KTEiQytq+mqQ
k8glwt0BmNm995x9bGkI8AXMNqfcaT6opLeJnyC9A121VOm4doEYOCtRqJ5sLkINrhxEVc3J6EtJ
+NhojmAfMvQ/rhOTCkhy+hxsLLB0Yj+H/ZivQU4wGDYCN/ZRr2Tei2/ZS8ghfIDojG63ugJjPRHM
1HTMkvBCdMThuuIDomXkx5l0sxZBvZczHC8BjTuJlbwqk4+2Tk0QQHNfMzTs0VB8NVKUMCsP8PWw
gbAPFzrErTCse8l4CEkmFmZa3R3fb1BMYlaNNrjxDWyALyw8rn00c3NCxyDRmZpVYmLHzkLj84/k
72VainoaUsODcC1kqbnH47ZOp0IQZlqy0pBl66cgahC1EpErFq03Ib1MESM/7R6MJGSPHgwDA0iV
zl64t0AZQaDxpFtsE+zP8Y4ZWVGdUDGyLBjEGVebWdnJk68mXZGGpsLvBsLS7po/lTxlAbmta1/j
9LnJwjS5bYWBR7EMW5DZ1WTXeh+XQVKga0VhuSVnGGoA+3KM5zvvOfPRFTbtlY+NGEVVX1YeL7zy
7INybaUeYsLFbi1Q8GqVFXFxPYZWjdcAd+/jNGYaOQN+jueIB8naDUMmkeVEr2GdDc7KqBaXS2tX
+RdfEiaETnpOnqeYSVHdz/nthPT0Hpu13PPA9ntsm9hjCsDb1S6fnW/SXm65Nhv7PjA48ROb6iB6
ipkPPmIdZZrUh6lH3DTGoDdQ9whikI1FnzKJkXzntWhd/WnqSXSsKzg8pVhGbKVErbjGiU28VWk6
EWQqHNs5zAMzkBt4EZyUpqSMmX/lfvuh9XP2zDlzeMx8Xj6SJrDlkDVckB6KacdER4xB9mM0yebs
ISW7Haeap06Vy703bVL+1DR8I59zeJoCpDekt4EJx4vMSGsd89RfZ0FbfBKdmX/tcpRsG8OL6jvT
awkJ9QhT4w0xcZiwp3dp/5sewR+O/fxqoQ340zQDy7TtdwV82UDiLxP/Q0gUyoahLF4QL/8dCfkP
ZcxyEeExDeBSFEzv+y1OKsjnYvdhCwy3TuO4J6cDWADlJWWzvhQy/zdB+mmCBEKIG/WfB0j/XbzF
9Ttv5uWf/HN45Lj/oBqHbLsgiIPAXsrXfypyHQiPju9j3AygBmM15Gb9S5EbYMD0lukQvj3IwkQ+
/Xt6ZJn/YKzkUX1blgU9Mvxb7kzrUkD/u3e1VPMeNHX+x5zqApz8tWfQwjkkCRonUWYNYr+0iodH
bdUQeGnf2R9GMbNW6h7Lwxl3fA7zRBS2BBnT2RHa9JlTRz+hR0d82aZIMn1IPSb5arb+NrG2PnpV
khWPSR9w8JCViZ867bzHkXrgIUb0QuJfjdiDxULmV0aYsK+SKYNspclS4W8JiINYahI5cJ30Xlw/
OaUWD8irfAIRzH7MDmbTq/Q1LC3p79hAzGFnGVPjrm1BAsJGyHhOtx7uv3Xu2Jd4wfBlupye2QU4
SYfLodrPwGuzUWTxle5Dt8C/yQE8AIdDVtA0+jakta6tzu7lvG7xBn5vMPlwil8O9J7jkWORJ/bw
UWJAzw+mnJZtKq+pBOyWTRUDhMXytJQKBgpecqv4iNWW8NO63YFNCB+TS42RaAfWDYxeao8IWfQM
EtKDy14t5ckoVVAc5k4M9m6IiJYy5FLQ+OYiSSFJhzrnUvKIpfqBV0EhBEmwM7bWpUByuopAiEQC
jdoQLZifexyBn9JLYYVUmiKrXuotCBOUXupShjVLReZqUabbytUUxvWlaOtt2XzvLqWcfynrhkuJ
ByyCcg/PKKXfsFSB7Y+C0Iy6blPRJpuwSVEzoj8oPtZLHRnTI3krL8UlYN72trmUnOWl/Eyw0TgH
jCnhuSHb3tiM/AWx9RfY7Q2UDGGtJjo238lY974nxIkbq2Cpd+E6de6u6Q3On3YV5PkN5hXl7tyC
8ywQZJV3bBYYu1ZTL8kH12bqn0o/S8ptXbk+RQ9GuEdi2DmGte4wfAjCYZ6Oup4R82C9x9UV58up
huhFdBClZ+h+5VP0z6cRc1BzKJCAzesxFjRafKvjFGw2suHgRM242BDT+9knbhfDvB+sKq+xvvoZ
hdeqwlliX9kt7Y5V6EuZcFhw3SftVwSl1piYQBOh/v3i4AkBCILqs9uavA0tElnXKQ6m60O6Cylt
STE16qZbFwSlWpy7Fv7J6JI+dkjBE7l7hLr4dCrkpa/aS61qzX4OfSdxDRAYP62Gdz+WkZ/HfX/Y
kMC5ucJe1j/2JPP9bHosDG3HMy85zHDvqzWK5FgofjnIRP7vSOXWr/ONZSVbLgYVGZA3hBjr3RY7
1AHenV7Q7WnKakNSgG+sgeyr65a47fMExmGnva47oLW1sUlm9jGWRnH4+7vi/w8Q5AUoQJf0P2+N
NynQgv/aA0BO1c/qin/+w39tkLAGeFYX/QQqvgXA/v82SNf6B9kEcIw912RJBYL87w3SEmyetmmD
vhZgkskx+PcGSS5juLCKf2gr/q5lBbnGu+cK1bkILP4ij7HjuuzMv+6Q/UhPcaoEuu80tO8CFx04
Ec6oxdVUn+3C/uRZLly7NNlaOuboH2AMAMu0trviUPmd9dbMQ0g8bhrvpI+AeojxKztGGi+wGjSk
bZNvnSEj+D0XT+AsIZrQdzoj+0iv4wzKmaOL/NDCV15fmtJm7FNVIm+n5lOHrIvvGkXhWxPa22ed
3CV6emimYa+COKehHRi0KtrXvCXhcerBwTpVa6+JEmNRalz1LFHCXmsQnVtDDumRJh4hq2P73KBK
uzLMVnxx3YsmrIJCzGX3ubGwqSAlvXWs/4/BkriSta63S6X71U0qImhFvDdd7VGXeGPHz1IjrK7l
dECtCzFvYKNE2XscwYjdZSks4JESip6oHezJvZrO5PnexuQ5bbFeWPvCIk9M0Pr/1EMNWpSG9J36
0Ij5EeULJf2jAoC801OY3SqhbM765IBAlDPWygfZl89pvfI6cT+S9baJKuqmJsnzJ1hdzkNGuORW
edVuAtK9cmw1bGOfqqtpK0TWVbPNROmfkqA99/DYtlrR71Tz/Gx6Pny1hhZ2NwKiHidVHVNvSQpv
ZUyhk7kP9aCL3dRw8A6xLa1QAZdbXEkPs7bmlUDkvqVUrE5uVB97MQq8QnLGl0r8cF76zas1t+Qh
NIsenLK1XZUNuewYHcSxM1pF1R59bjMCkbA8Nw+BYbywm7LxeoC1MZiUcrqLgy5YBymx1gQ7sfkl
9qutOxO4Xw4fd+o+BmP1ahTevnLGVxHByJs10ZZhnGCf6tvTMDb9sQHeu0qU2x7GsIiODfggSqrB
IL82wnCrZdsSJyyAh3XWPgj1q8M1nha7/oEum3qbVXvXGRDqW+UOT34i22t6mp/wpzzTCH6Rofqe
z7injLbfyzo8ezIe83t3NLrvQLsUEr/eR8dLBqDGSF67cjyqqcdf3qV15V9l5TR+mkQbgLQKo/os
KmVWWz9r0/y2h9Bz2wUF8VRrU+TBizYoSbO1N8nJW8dJK+QGj68BQEoVnHdniy2a9JJwXseFWLbn
hmJzm0QOzguRdLH3XOUO44CMTrTPvbASE44069cOI2wuN8h0Fs87VB1xk0dheVvVMpZnp8XF5m6p
riWYZERrOVQKLP/ltqQhyOPB30+/trWIoFOSCBxv86qUL66Ivfux84BwJbMBMsj0YaKAGc1oFGK6
HT6Wg9/HJzSV6TnWwvf3MJnmU8Q8ztiUuFexHpBA3u2aAo7FcWxw4TxDmC4a8ImD5qzuTHZwzAfm
J5vcJrwMRl8YbbypgaCBr8588EjThNPr0Gxc+7KR9gZMUeXschFNnCdy23fhLQ02gUANzmGaRaFK
+3IzNJ1JgHQXdd6KoUk+E1DWhfjOODC6G790vHZnJ5FodhihLLBEldDdliNJmO0EZIlkB24FL59O
PDNca18H/oojaPRq9hMWgDGS9UybtHKfyUGEq6iyCRtVASFq2sTwX5orMHREcVn+TAydI9vkWCcJ
EGO6pOqVJg16TuI+k2rVtUFy3xNeYcMaLkdAjh2Do2Ph56FaR7EM9JlOE912hZxT30xDlRrnNiSG
esUQKZ7uQlMF+skYMeVujNK1lxQ9bnBtu31+zKOKXqIvUzPcF60B9cQmD+7NVhH8SSWihzxM+EHq
MMWSniYhYmVvarFAAlp13C/90Iu7kJnkGwf06U0MAw46L3XIgAJvLzAEs7eGa3oeqb2Hz9g7V4MP
uHEHrkO6B3qHWXMf2SAsthIzz+I2c3POrk5HGyyL3fGx80Z927LX73rb6A945q9MI8muct3Kra50
dU8m0DnNzHHfwDfdJIM/7sg3q29jD5Mx7fzh1kehtpqD0mtXE/iWdZ8Mb1aczXtS984jvMX9FFLR
qVSZ18wS5LYqxyNtF3pmUQEqQDPaG0eCURu3Io1IqhvTJFV4tiDHeGRg7dBCo4r27TXlQIRSNwUY
hythm4+d3PZ1+VjE/X3siGgt2T/Xc5VSlVLztjfI2uP8ucVUZVxHShzIsqPbL5cpCJ1Yj2kSb8me
xv8d7FlJal7IpCec3WMdG2e38ear3Cj2LUR53dPEj6qbhKYkjP/m0PXRm4PFaaWL+ntLI54p1Vjt
EsO6S0OFwjejh69U4GMGI9yx0xFrQn0XLU9oaTMxdwK1So3RWMhxFNFgEs91Uw/0xLBRmJR2eIm+
Atv40MSDeaqJgWV39G6iCoRKXUnvhjYPJlamd0i/7YM91Vu4QwdvtpxDO2j1zZspg0H/bWReDIck
BSrOxM2oSblha86k/6q76qm1TH2ceCA2wmCmaKt0CZJsPwPtyPXGHfuHgSYEdAdOSNNWG4Ag2Kkq
cgmkXJwIfceKgXb2Khumat9RQD66bZAi7Wbk4n81FMERpyTDUbAm17FwXxuyD5N1Ugp73nuC6cS5
jy19RZ/TMXd+OJuAjqOhj7dtiVuCZBO5EDcnlOn3YTF5DOmjVplL7h7ARLM392lYL9Gint9fiZmJ
8grWY0Yefa0fMz/S5q5PFTVHKaz628DpS+4KBpfunU4aMvO6dMrDjSobWV2VaNYONU2NQmHSAD1w
SBP8FCchYsghQ26TqZmCs/oKmi4Z4BUORnMYtEmwptfbrj52qkkw+Hb8oSN+4gvDr8pF/7EyEkqv
MMk7i5I/o3G8Ke2mjI5JYpCsMKeRyE5Tjhv3uQoKNt/KhgpzEA3o+VVQgRy86nSTx+jlCzKEFZ/K
f519i/fKYYifEv0aK0/dFIYqKQmdtCruvMkcujsT8AiMNsUYL9oGw9A9dEFDVJuLWuOeYNgZZL5Q
VnM/ceb5qEXSi9uaan0mBFz0hHJWFL+bwK5i/xFgHByD2bbS4DZrfA5zbdJJBqoMLzgdcqKSOCGV
ald1MgTJET4LJsaBowG1F969GGiAskogPGbBqUHjejTiUCfPZTnl+DQGGrdbQ7uV8WDP7Ue3zP0D
rpFD2qMhYIlsdlYx7wmaaA9Gt5xpl6IWNxt+rGS8CnHHPWFZsnHGgBVKjM95qiEzgqywIelFRoDR
dsweGfrwMYMg2qKYeR60dyJ7dsu5bRMa2if1EtTlYNIrL5U8WH7DaEuH8XNW8gRbzQ3GLGtdlxUx
kKrs962F488rorXHe7LzDAGU3izCtVFWp66pnzyVMCsaeH6qOTx0kbGhu3YLP2e45wd+TbIsWWEe
vjUDXN/4A9c+tjO2vOaEsTg7RJ175Eh0G6MG+MgyNp5dHTxFafLYGdWuc8TWLQpNo6z6YGVWx4pT
R7vaAwTU6BfAPHcq7A6JXX0mU6HcQJJ4hDB7Dw1mxlbQjJ/gc34MeEN7KbH8mLo5WDx9bo7oYJTO
ziInFYNV7K2MfIYYFd3gfH7UIDpXYI9uhqZhoO+HzTV8WEg6znIi8sJXAZYE7nL9fe5jvYlci1qF
QfboD2ef3aUn8VT35Y2njPuizMgvV2dnquGUOunJi4ovstOYwhSDkzRykr2T6Iiyvv6Qzn6zNoIC
vcNUYPorpPzcd+1jZ/oP1jzBJIn7m4TQCmqpnYq7q25U2HYdT66T1r+eK8VhFP+rP+mzW1j3vnQo
IwZ5l4XuPQ5FnNP6pV8cqaatQl5RuEdOBz9gCvQHtmqOyENGk8xKOeYFe466H+pY75qpYROv4S41
qGomkHVOL082yLZ9Zqhin4Xya2S7xMwMwVuLIcYhWY/h0mmOEdpQGmG8Z4AsY/frGHIolwy7nJbU
2HL+3BchMfRVYe1FWnzIKIbYW/CxXQntvRI9N39DTtZfRyJ9xkKiHwflrXsTm3g64i6qKFvHcRs3
0aktp2cykq+qeSaBpYrucEvu3cq7hpmz43y5zXyzf5m67nqW411OYXVufP8RS2q2ofzFHE9WNGff
MTimTNHXvh34nwAlbQA3yQfRVM5HVwwvKRxZrKg26VOYm3ZQQtu1W0Z3SVPLtRfOxiZUuX0V2V65
nZTF7ZkAdjLRt6e7wJF3eQT8BYDmQFyu/DIbchnTesM1m41c+eNkbZfM88eWFK4jf8PGXeUUJAiT
nLct0+wbOdgBE8G+xiMcNasiCLvd3Lmt3pP2K22ygSwG1+y2XfkK/pqZk8LmGW7F0Ee3opsUfl9T
c4q6pYob6x1odoywBsN8XP5RYh44pmMl1a2VNPscSkK2pewR4LhrOzPjI+zwJcJ6aApiPHDA54Rm
KwaTsWo9HwzfhDTKyV3+3yDoSHo2SmN4CroMgNSAIws0YM9/tUvbyK5HTJQjx6WFCThG9sd58ofh
ukffYG4YHqRXGUT/kFKogz4ODlQFgBP91uPA1k7hiTTh+RMj89hZDzRgJGvClG1H2AGcZjH1HQ2A
b8SPGAO+JDfBB+jQam6vYQmo5GBTx9zAAKbgCYeSI7kB6yk/WvimvuKm709A0Lg5duXlR4y08X1O
Bkd1ZUjlfHdip3mq6L0HO8OLOw61Y0jrT1J4ytF8c4v5Qyyc7E41GvkKiKPkVNtD0O/G2SaEqW/U
SQfRHdq2F/KerzwrOCsUGeWm1bZ5U/pjeFWVg0WnVxgR/nOyFHbeIhpxiC3wQwqfbETy0/cTwihq
+ox+TN2mNrlSYldgSG/mFgdoR1TRON+JgUQ6g3a7k3jXtiJLqWHHLHENO6Hz4lAFXiX+fDYwcBKQ
Xa/bAl77ZJRvOg6mg0L3se6CDMKwKs91PXC2dJthhTPxRReK8fbsfWUfOo9ivGZg/zgiWYiOgwPS
cO06kfGGBTF8jGBhR8ugU8e7QnUPdLai66xQFqsFeTVPcT0oZzsYPYC1MmIQk2XSqLYW5Rydda/2
9LXP2AgiCeOMdY05ku9TD+C2EHIREDntagho1B+9Xa84aOb2V2Xqs00zKMJlj1O64cg21Dc6JJvI
lJ8ze1LXQ83cFagtWfdmvCeY2dpUYABZGWFfGuOXkvYAR4+wKYiJz1ixAvuB8pHCP6HfgewhdG7q
avpAM+mbEc/EKRHD8ibc+pSafX0/jiXqNBbMPdvzXD1mecORLxgax7sDjkI9GZfL0YvRrnFFSR7C
7myZVq/M2q9bkMdD9naZ+MadyZopUo+jWGwiyNuarU3UAnNh5AB5UYDDq8tlVFyTBrjlHMrrL2KQ
IOvMapJ79m7a+S1j2t0ARmQ3p242E8mQgl6mATC9VqWDYK3FwPK1SguPPX1QAbHqeTnwQuO0BifX
wlJWD21XhMnKb41U7QSzrXYbehE4TU/RI//S0Oj/MCVLIy4RSNYYFw/VWkwl59Z4kssx00lYdsYg
b82t22fsFMoxhs+SnAzjVGGxn1bwfVJ0MczsY7OJV/Ce6kdLkBdkDV5+J5TjfwcM1qySuPYPJS1F
zuqath7SoC81jm0OjWyfeOI7+ewHybD1CfMAi8UcLjbV0e+6b2U9l2uiH4Zd1I2+dZKV3aztQW5b
RnvhKRkD8kA9gFLOfTZ5Y8nbH7Ap0BzM9ZriNMxOQ2hMw8YqRhVfKY90yb3mwPq1KVFWoggIpu9I
j7JwG9om0HKd50O4VxkrLT7+GrbpmEfyqCvRowXMEDUcc8fEpzt3lhqvlMgpWfKGDvLW8Ng0VmNt
phmdGEmzDUN3EJ9kgYx/S5gEC2+sdHSLjAbUY23WAuFXMH5oQid8TqbGxHOK7k5npQWKhjNW4Zjj
S8rhop6d9mimJZ0lejzfRGTzTJqxm70NvlfAwOgAAqrBE8/kLlr2CgGbsUJiaZ3gMYePTp7MB96E
MKQbxbU31kjrBXRk4o/XujZg4K0yJ4rLG0Sgo/WoMj9XO9aYqrnNh5QcJcdFtbTuR4qXYw7aInub
W7N5pBxUS4JG3Mx3hRri8W3M6jiiSo4n98ntTaa2bWsC9W9Td5wPuayMgqg9hrF07nzxPBD/WT1w
CJbVvbPQQ5+zyXHjo44ma0D+ZYRVvBUpZfxaN35Yb/Vc99XGRmGLnsrO6nK+DryI32CoOs4LeMyr
5ECmn55WZWvk2RNfBdy4H1K97/DWc6O7UMTJfaHqVrDpjvnHyBnxV+OON6zvrtWUn1PuzXfKbYsI
C0mxToREvVFOwZCtTERWfe7iDH4BfFuyHGJt8hkH8oNoDiVObN5GRaU/CwO6+5Z8Lp9mpNLl1SJH
DnbYs72BW0cewUrHdQiVKM8lRRzSlAVRp53HiB3IuuOo1zrrrnfa69gIe59cwK4xNt1QQHyIRhPv
se+iAt76oprXzOtmD9ilk9xT/aQera/EdFZza/F4IsqzQRqhmP+qIicKUQOXTnhiYSODj9bczAqh
IxY18L4MBY2sSDXYJIayKxl5ajyHokiOCKM5k2SFv9TvXcrDrIMs87Zox03SwBid8wF8Z8z3Pm/W
efSKIr4dLchG8AI7/wNvJgLfuOy9D3aX+B/7cRAPrBGcAn1psNY3Psf/hYShOUiB59JrZhvpZ7DB
ydbXbXee62YmpWtyHgo3nXYyDrzdQCDeOeidY6O1/TKRRFJyZj4I1x63EX3P55CPimJv4pg0pzI6
owRC9amCjnamhAw7N9VNbfX5IZDtW2LJbmeaqABrl0wEEDvTmdSbcQXmTqwBFSCVotA9t1EqToEA
74hA+WgE87fSG45NSVCjTzU9j6W5nlCWbph/PwWtitZDp4qPiFOrR80afhgtAL+z1A8qaA9VEzwI
WnxfiIh5Cn0IUyY7OxjfdtPhSHisdHCNcu+m7cHeF/W0J096QPXtb+M8nnfCzeIXHQRf+yoKGeT3
1skvJ6PZZFk2rQZimgizHD0EBS0zHBo7rvd/hPQ/EPF+5Bj/50nj6i1J334eMf74B/+aMBKySilg
onMJgvDHGPGfEhzh/cMl09RFBAwJHRwdA81/S3BcJpVMHpHYOL4wbbw0/zJwWwG+bw4OGFKQ4bim
/7ckOO9m5LRZfAGhHQI72z9PxDtHLASrMUw8UnecokvW8yiD51GTKRmLLHn8aQL7J+P4dyK0H5cK
bQaurBgko73zhDioIvPKoU73ylbxPqVi0xWG9fccLper2D7mFr6MLQL/nTeagKAGIWICSSyx/U3r
1PKafbu//evvYi2enJ+ESz8uA2QOMuGybbvvfjcbqWpLigFhOT3DKQwV07VO/e7sdrG7T0ZYpVk8
uiyVqJWGXPfVqu86cHmZM5GoSkjNX3+eP7uN6KgIikN8hyB4+bg/uSuRitsaFjQ9kGmEACXy4mo0
/WqXFjK7+etLWX92LdAzNg8OGjHhvgu5FgKYkT9xH5OsfepyEEx17eznKD94qXtw6/ZTlw6fOis6
kqXyCI/lAzR7KBtyC7Lw2AhKld98oj/MyHmRODExPA9tlMbvPWFe1Hi5CGLqLqsNnW9lpcb8lCVN
p7ZBlihwOk1TcQ5P59J+sEY7/dLG5Nxuq15Y9vavP8yfPOWeh5zNsR3L4f19dycaC70QHOl+lWiP
MSW37BqbVPebd+lP7sEvV2F9+Pl+R+0MBDxjmsDkqCW9hMBSKNly03DC2vxvvhC8qsXLhXfs3e1u
W5VGAL4HfCBxsrPD0dhJG2br/+IqhDAidXDw2ZH68MsXCumLF3MGoyWps+wTKYDqbPSG9/DXV1n+
yru3lpEUuROOWA5J/mJb++k1MRw/lv3CqgKMne0RtCf+CqdLvKWJDQlTpvm13Ul5cvqsf/77l0YW
ZAa+ZWH1ep9lXRlOZQ1l2NMwj5Ob0XKZqsWWcURg7N6VRqi3JayOO29hd/71lf/4RBKngdJzSQ4X
eELfLVXGEHuu0XIkoOHb3GR5RchpqNQP6dF/pKv+8acNTBDLyIsD0wJV8u6nTVBCeqaEq9nZ8gFY
01svaBTP3qnPlOLgqw++aH/j8f7V5M/+iB6GBwa5seNCNHnPc+0Tc4gbvVSk0ZgC5rQ6rW5COevq
IC2HOZ2CKJ5srCDtfIr4PEPEn3th9vLXP/Aiwfn1qQqIAmUndV02BKjivz5VcNQTNBZ8jABBG6ak
KNvWMmm2RTwgftZt8xtd2/JT/vF6AhoM6l4bHd6v15usOSKYD+MHQ7lkbVOJvxZxHO0mtyXpLvXl
AY5n+Jv7+8cVJ7Bci6mkA5AGcuW7iyYziWhzxOQS7pixJunO2ORChTuZTd1vVpw/+z1d4NSEUiIo
t7x3K44zdHMQUQOsgIEjmAyIb3qYmUmaW8BdVclUYLa833y9P7wknM8wrLKdOVz3h1D555WBniZ6
f23Dhg0RDrVBs0Xb+TuJ/Ps7x4bJHeOe8QvaASa1X+8ciV5WacrYx0samQ9j2C9D/g6Dqw9nLqvH
h76efnMeCp33d265aMgZkvAqUD2sBL9e1OqnchJOAbBxIFLzBOe1tRRhTSwY30oQl8NZ6xT1Zm0H
khEsZVgTHXVcFeFTFk1leaMylVkP4SRycxPD1asPGQnd+rFINA2RcSoBtiI7qRjluLlJqCEdp9I4
jLHf0EZH2YG/CAD48KnStP/Mle5EPt/BufMW+iMu1uabocJJOUzOlAxvwloD3WpbnD+nPNYOoQpe
bzrOraA9VO1UW2EYWchxjX3VL4bYG9vvBu8mqetSbrtSZOCzCElUeGPnXB7qbqEZF0FSrbWl3XDp
xxo2aLeGH6XKkDmsdGsP+i6mDTt9lEk4c+EwFQDn3SKargWWwPjR6VWcgjJnFkwEB6E1WKySdNq6
sZFIOgrx8OaigKW/IpzZB3JK37JMRzrB1ZCIaRv4HbLrhl4gsil+HG9R9EYVkaE47l46m8VsBUuS
0XWY4ttFzZDih53zdn5x22Ie9vagsOR1Ikw/hwZKpdWkp+a27jx+oHZo/Gs9pyOmxUyF8Xo2jC64
Cuc5+UQ30Te3AXhdsS7Dys0f7CHO9WcOQcRcbLJuTIYHq85zuhLNVHRujPZITNPHCvcYnXdcI5GE
RdolR2fEc3keht5FhFdNzce+xSVFCz0oPw2gor8iBa/FKiE9zULoPSQpoaRD92WYaRoQljmj34rx
hIirGXQrEXOFcM+jGzCHcZ0kuMecTbpdHUPfvkmiqOT3DidjV2VOjAc4GCoDtq+FpBdcv0+aYGV4
36Wq8HUnHbPStS6N7s0c2/BRWNC9163J5H+TuKUL2G0QrI81JQ8d6KGYAR2bZbb3qwSCQBhl0RfC
MKAm203kd4SCtjiMGu3MJ0x8+pkf0gH4h7LL2uA4NF4GypnHQouU+1UK51XyEMbAgVNIsan045cm
Ikd4Tb5i/hLDUEx281xV7hpNcjpcQx8ezmbJkg1/r2cSNukBVQFxHs8ekAa6gb6RnCO3DcXKt10U
G/TNuIuq8lqOL7mR0BNjjFrsaeRPj4TaWfHalrF+CnwsvphH6zGiEdnOr03q19/qHhHChg0VW/VI
+AMdLQgLL4PMtcncxSyPQMXdflVbqP/WWTiHN7JpnXLtSR7qVWGNFavWIlefL8p1YZKRuOovinaL
KixdGa4Zt/uQFmO7WiDo7aG+2MTlxTLuiNRiMrE4yQPDAefbXQzmlTAluTlejvE8jybiC+hE0lK9
WNOZbCA2F6Xb9RtM5c1HZ/GxBxdLu1G2tHGZSVjtNhLSr9ZdZSJkp74qn9XFGB+rxSTvXgzzFNuY
58OLkb67mOr1xWCfVWgSdrTm8BeYFxN+ejHk08TGnG8tPv3ESKrbErA6+9HFyC99B1M/DWoM/uPF
7C8vxv9pYQDEjdWtsYcR0DrwsZKTxKX2UvLwWHtDTTznqdXPw7azM+gCF9AAMGL3O2aKrqRcXFAE
HNNwS5cXREHgORW43hTjJ9mJC8bAmmLkCKxRSXk/1Sntf4uQmGwzRLZEJuUnOEuTCxphumASEl9b
zspjoGttRweSQu2C8z2aOGXGNdXb+NL0tcnNvSAYEqvvb4pwAKaKo5RxsiRC4wXuo4F6kzg0Jt9R
EWOeXUxq48WwNmWQYdeqT2YIk/TZ71A5iXjjLk43tFDFJ0PjfpsigL/r5mKKY1GpAwj19fg0LK65
oVfBDVYB5iPT4qorS3cQ7Eex89FUi/Wuv9jw8JMDvb6Y88yLUU9dTHuq1+0Hfg2sfD7tyQrn+2Lx
qy92v4r+KjP7PEbNVYYRcr5KsFesEnLDi21wsQ0idkGlOk0Zg33DiNz4EEYB/EjeQLWvXBXH5zDT
5Vk05IOsURsRWyVBMDzA6rUqxm0VY9aoi2W7b2ZjSg5mZGp53TC+/+C5jVPsujKdos3/kHcmyZEr
2dXeikxzyABH43AzSYMAIoJdss9kkhMYmWSi73vsRgv4V6GN/R/4XlklIylSOdakysqySBCtX7/3
nO+U2epnbSf6sT12/3ZTh4UgGqlNGA+14AnivSEbw9jg4meBaw2dzK6Qr+gt8GSG2TZEl4hYn4Hk
D8IiMWYwTL1IQfMg5uYjkdE2zLQYtQwYVj53wzp10rvobkTzoZiT9RLChWkDrHdGNile2pnJjSGS
9MWYEpcZZb/mpfTd2Bi+3sQziZbVaj6nWWv5JJMgKW+chUxLSC9f0aUzyLA0BOQbuuVdsOW1a+5E
mscQgPsQq/kMNJSMD8flH0N9jB6iZCbJQBoaatWuA1/fW01k+PmS2vPpULapvUXSi1ymC4SVnRBs
Z9LPhxjyXTQO6fYYU4V7tCinQQNTtN1yix5T3fItyk0sjXHVewzy1DO9efMHLQOt5XynIN0IAqaT
DUpD85zaIZZeI1r9Ccl3esVjL+1tYI9tfUQjjK+wxpirPGIs0KKOHchX3oi8j66htM75prVr9HKC
XsJtg+fkhTbQ8jO21jdoITXK2Ddi7nLK8MQJff6g9spi6UM4CyJrJrzJwXDbZY54AVyrrJ0gSNnw
giXMUdxZUfjsOjYD+DDrgws0AkG2G8wCY1BLEKaxkcbkfO3yCoV5j42TvFP+YjzOemt9DRtKZHrV
nX40TKtojaXPPSfTITSOQ+5JsrNboe+doC/2yKw6bcfWYvphxjV54KnpEndclfS2fTPssMcYCICb
vaVFeAYGwRCXP09OrAfBOjVKM42ZuCUZ/xMWXZwAqs0YxiOubzwXKmsNvDk3J1YMirUNugFpbaoi
CRdGVKP46jSmWQH5MPInVMkM7oo65HIRdJ5/W4qyRdo5FDFZ7jqkWj4HNZOWKA3y6iKnrUU4MPmp
o2/qbVo/8rvyaasay4l9W58Y11lAOfJd0xiKX0m01dOkCURNkgkoBN+yHw1eFK0W7iYfWqO7W5qZ
SxQURbuHdtA/1qOcb+d+ZdQ32Lobj/JPhV+QMhTjnjQ7GZ7W9hQAL7GRJp3oNJSeu4opidegACSV
Vo7oK8MSWIIWWLqX2EZL9AO3mskxA9dtO+Wh6zWprE77snB+qpJN1ZHRou71EVhD+kYUwoaO+Inl
O04084w2fnVZVpJxa4WfApdfYme2T1SCwn6M+nur51j//dWIjViYPxvQQqvEaRd18Wmqp81pPOV8
vmXmAjlnTTaoGckgumDTPnpCteJoLCKVwjouxNe4CaFfJI2MvydWNV6VDh8wOiWD/mNBTsJkXRvc
x8XAQO1zE8xv7kxr22+7aRh9RxeAAgzYyldmHxQjc55RnjpDGN22BRUzipulOYWqBE1bq5Z2S6pV
6hKqZefw/gttlQSwih2Dag5vYqDsL0GnddcRIV5XyxIYNwBfco8mNfnGDoHg3J+ik9+DPCRGcjC6
lyQrc7EhmdGicFEa0om+WkXrDfaQDW796LaOFFmgQVI8EB5rdLsAmTvEBIz/Dp+R0PnCOcQP/TxZ
d3LSBntT6+Mi9o5ABoKc2C1v5nqMXT+pqvoyQHSRbhyeSJ79VBXIIyuXuSIv/6nVVvbDmMbqha5T
+Sic2rUvDP5+vpaBVmY+CPn2mBkr6VpTPnVXwBgcPHFRFT3YwIKrTZqL+HqhwEBNkMcs+bY236Ie
DvmnZBYdtSY0Gs62w6sRU3KE56PQB3gCSTTTDqh1mxkqA7ZqQ0MBXa8+silBK47uR1nNRLgavjzk
qYKtjFUwCdxQjcmrFtABU/4y0NFDpf0ALT/ALIwClNyQLa5dBoFBMCQsPcRt88FTdUCkYqnVT3E2
toR/8f98TObFPG1VE7+QdDorX5sijB7tuCgdNWDkSuT7JRkaSMCbm5IlMOPDY7bPeTlnd70GFGXj
2K7kV3S1tWf7oxEcR7P7urNd3Et5TyilV6SIQjySH3Ap9qGuX8fxYCE/kUl1Ebao0XyX0LxsSxs+
KbdhLlGJu0FJ5YTSyIICvjTTjcQ9cY3QdXqpW9z8Zk6UNOPHeviWk3weeASn5td92nCtUFgwpETC
IiMv1lyXrBvFk6VrNH0wZ1UrnKzgK6v1CCsY5cYUOwaV5g9NE1F9lusyu+uIERKsrG3+hKgUxV/e
NPLRnCM92ltmyB0tm9K8X3SjTfYRbALpj4z4KQ57O5dbTbdrhKbVZLd+V9UmbT07+daGJh/BGNuI
PNIiqD07nu7ifLDHvj5mmAE1PI/VvJ/cgIDoKtGaGxQ++QmVmjK3mnD4cxtqgNAf7Tm7mclIlV7V
9gNmabeLd4ysW8QccbzqwJvoR+M07d3QiooFYQgK3c8t3KYbLRADy6yW8ZAb8dD4KtSyh1mlC9VL
LBN3w/A5eSb40wGwYcsMzkjbELqEmULF8BuycDppEjNJt3FYlj+IrLcAjGeGDI9yx+T01zTTq7Se
i2SbGmslqjOMeUAYV8XbuHDmJ37z8mgm2G6xxy4i3ow6qboemiX0kLJM0jV8T3PDi1gz2JKyatbd
Zsh7ZFkRk+XbymUP6pNw35CaYcXs0buZ2i2x2QBTK+SxubMHt4t2YxoO0luQ7J2QZz4OZ85UB+xG
86ZYpX2WY5COIdeUckslj1o3oUknuq3xhkxPrxyCntj1TYgX3VZo7lFt1cR5tks0pBubRIKTuc4d
hWIvR+hRvOY/atmYpyfhq3C7qnrX2ZIQFH4N22o6Je0QuYb7l867q/skRuj5lxB8imdee9hJw0TD
ISF3dmoT9x4kvHtHcFLz3WzK7JpIgCWF8VMBHEv7uIuhUK1a82iVnY9ipBqMm4xpcrQUDpKemdJ/
Y+qBSf2cFOZJg1Wf5svUsNkrle5Qhk/NfErnYmyxwqnhek6Edq262JrwZLVsu6JWVd+d2ZpfbI0i
lE3WKO6QwlGPTpbMLvs+tpttWMxQ6jGND/Y2W6X0xRJbP8lioVPUDQuSp8yZh4vUMEYDr1mAW81e
Fu28q7C6IaYjWkOwx5ogy9TLCm2Di7Tj9UlYtepWQ4ZIwZJ45UQE8h6dKDaAEBI8AeWjIBKRuJXw
DkY32WELIzjiEOldzQQLrWaCljXb8NhIrhWkFWi2F2pTVuG+W5AQDGMj8j1mSfU821nNvrCT4n5u
WpFsq3hInuwK8SPbEhOxCXEvcbuJnOARMEL6dcStft1MbI02s1GGhjcg3yEWeRfWRBn7QTCOtGz0
UDXHTrg69gmojXoaXtFwCqUM2RcbqeYHkRG4RZCUXfFCo6JlM+g8LPgfzY0cGnVvlpRA9J5wX2xq
bQ5+6kzv7sD7UOl2MdQeDfEhmX55pLF6567hK9paFP/dyOoW0PX2CdtsvswNr9na36GN6Np68S1X
2Xg/kV/TbKy2I2MnGAsC/aKiW46rqMwfM+qTy9Sa6HJENnMyIluEeY5fEBXVYExmsBswe1RYpxP8
Q6wUIewX1uIzqxv6sPBExDwpWdUg9strU/+PACP/F6zUAkoEHeH/WeBw+dj893+9FTi8/sTfCgdk
DMwEaGgzExCvMe//9FBDElGMKFxwpK+MEWahfyscxL8xrl1N0vghcIa6ayf8HwIHTNmmQpQmpc1/
wxn4E0D9QV+fgZTFNNxgdCaY/AEZedv8HpaFdxb6DQ5AbUCWUw0ePfJu+8sVufxr9vIraeBgYvHX
UbCEMxJ3EXKIg+FXGbQVGiwcf+QdqW3QazauhSl7CKel9uNUaecfH+/3s1q1ISu8BQc6IoeDITN1
gCRNEO1yT39wR2N32pG8ZvzZTJazsnXTxh7vGitC5nCkZ/QuQm4dTWhiReJOj+v8uKum5c+mPX8d
BSGLxG7vWvbhEA/Vqh51EhXaxP5X0tiaVqJIY9NhLtVc4qKsx+j24+t3MBJZj2noNiMYxrE8tvrB
HEYVJh2LYUb7XRfkV2v4J9bx4Bed5fST03vnUKvsxzBop0q4SAd6FFHlOkb7lENl1NCDKpYd9ST9
siTPPhn1/P4UogBRvFGSy8htO3gqbBIMXeKS0SvHbXLc04E4ckhJObNKU12MDWLcj6/iO0/hm+Md
XMUZZxbB1ByvKYylOsoNMte34ETiT47z3iVEmbSihTk9cIFv3+GA2KB5BcYye6mjwUuSJZn9DnjM
gxnCPPn4pN67iMhJXIX0Sne5jm8Ppoi1pSE318ihRer3QyPOI8cJPNvCe+9MruV9fLx3T85F7SV4
z1YU09vjDVYfUFoLHPpZb9GtTsQWmiiK4Zic5I8P9d79chg+rUAUg3bTb4fC7zkCWWVvrhPrghNo
F+PZ9j8+ysGMc323nF+Psp7wL5PUAXgk1CFOyF7KiyiS4d5F8PRNGiZBNFYK/NHtv398yPeu4a+H
XO/pL4c0NNvGDYDifMZr63cic87pqWKpzsPm9uNDvXsNmRPThrNMxBQHrzO1KjlNNMU2Vaz6y7Qk
Z4r9qPmJvOzdo/Cw8zKvCsFDEVtg400n7LnGpcUIjJBO8BZD6ew/Ppf3HnVm0MC/1tUWmsnby9aQ
cNbQ/WPDhmrK8YCrpieZkwc/86qNbhXfq+6Tl+vdG8Xc20JybqI5PHi5Ei3KsE+bNWBj6exxwuDZ
sp5ELeT241N77wJKnaH3unK58FjenhrSkSgcbT4ZUaBJb8xJrIbP2H3yQh2g9x2edYcPu0W94jgs
JObBaD3SUJZkNi2T2qSWbgtzZPAcUddXVbjHzcKcwLH3QZCme9MmvJeEsIK8NJ1W4Z+er8P7Q1eK
cm79sw5eOhXn+jAMrDIk0WbOVYGNrD2OzD7/TOZjrB/1X8Qnr6dsUvChSXVt25Drlf/lXZva0I2M
qWzocEfpiZ6JAW17Zd7iNPkSOhob97Yqt01aooTh+B4pv5HHPWDyro575MmflEK/f26QiBi8kUpf
VRVr1NGvfw+eXcvVBlrhle6CohxDlTsb0Y3AdIGZoL6Mm8G5bvuO5uLH1/zdI6PioHpVJtf94OZD
8CIpa/W5kDMy+H1IfudYB9o+t5jMq3vImLX/8RF/f6o511+OePDCzsKEJ26wNk0mLaWGNoa3QFb7
42eJo3CDuXBIdVGBvL2irgSxQUVZ49JxG09Tk+UNFjzSj8/l94/PKu1BsskEE4nPa3rHL89Rgag+
hWxRb9JQOdelO9c0Fel16X2WPHVxs+w+Pt57d4tHdt1z2Lwn8uDTE6TlEmds/jdOwmDWH2pXOxWB
Hnqum7dfBM1JplYhVeAn5/nZcd23V9Ppw6kmnA4raF40UArKkp1vv3xJ4OicEvGIFyhNjE8+f+9d
3LXa1NGhIvB+DeX55eKi4s7BKBdc3Niwv3eMsfutYJSFW0ZhMYgKrbv7+PL+/mV/RUKuanUqaxxg
b0+zJ15vnZSyaw/awndqIPXQBAdmadOfl52U0lQwiP7QH8PEenuo1FrgGDkWHkho5Vs9XYjn7OzP
iul33jV7zbJnC4oOhGXo7VHGUDjt5PD90OOMqbsJJ9/Bqtgs85/fqzcHOvh009cqS9zHRBvLatyb
KQxKpB5XOjbGTdbon7wG68V5+/le99VSX58ONIuvuUm/PBm8x3EW4YDZZIPeQpbS8n1Z5AA+ctvd
VtIZbieQxXTMSE8a//xVUOz4V0cUfFGWqbeXVKYTCM+O1X/ROnWDk19cAKvtPRyV9XHJZDkhuz6w
P7m+7zyZSOLZKFNhA8NcbRa/LhDsSZzOXE1lthH0mwrg/qYyoB7gANU++XK+864TufdaXTvIQO2D
Z8atEHhY4doBj8rh1Onr/jiHRc8sVK0AeQmDIIP7/8llfeeW0uKg70AhsuryDx6gJkJowPCH73WP
I5JIUAZTY1y2JzbJw9h+S3CLLjihmsTpTw7920uyLrrUccKwBEvG4asIKKWo6povCiqFaiN02Ez0
YoZPHAe/3UGOYut0B3gVKbcOvy1NMCFeWXhmF7x0CCh6vLFscbMjE93PX5am/1HG/N4Z8XWh/ESo
zQEPvmOpteYtrMMyBnlo6WpA8A+DJrLPRNnvnhOmG24ZnQFmWG+fypgOvDvqPXAPAyRzW83WqY4C
6LhGOfXJK//eoSTPv27i82GhPThUNwb4IvOcQ9V09Wl7gORb5ntA/PPRx4vAexePWohXwIBbaByu
sVhro3gSFRJES4+3jUatG5FzsP3jo6zLDK8XFw85/Fqh/vIJa0PJrDGO+YTZCFx0CCebuszdT97l
d64aBfXaz+MYLhrzt0eZjbASCbTYzWiDXKz4UG3LyU2ugjpc7j8+oXcPtX4uiDNyWGvWf//lhKQA
rkfwcbWxQJYRYN5hZMaB4NES+UQw/84NIhb0n0da64ZfjlSUOI+WOYGy5wzfXFmY20IE1SfP2/pL
3iwxiqKDlYXtAd9dwqDeHsToJgK9YUUi6yv1sxpv1E1ujuWxCm0Lbec4TfuPr5+x/sbfjrgaAZCm
G2jwDyrxpQayN640RCtUXEDIeP5UgKQI1MoMiewAa/AE0mmObbUvIOH91GbtpLULcJXmmF5//Oe8
d5G5kc6rhN0Qh38Nwum8Z8BaYj4eFl+rtGRLi+Dlzw+C70zgY2H3CeX27UV26nGJ24oQjSluBHFe
Y+J0fquryvnkPXjvbkrk43zkFd8PdfDIIExBQgcaCqF0MZFoYzooCLSdYRMcTJzCJ0d779q55Mkp
V64k+cMSAV4OZv6hBLXS2cFpOsz1ccVX1P/zi4cmVeFoYt3CUvP24slMNuYc8kVMwFWdMS3LtwSs
x5+0Y985Fy4bmyi+iNyowyuHz0ZDRB6tdaqMzrNRWZ4R29GftoowZjFAoRe1zlNoJL49F3cZtO6V
BJrGZv4FHqXwq6Bwtx9fsd87Heth8GPYklnKuj98e5jcWUpbzyUj8D6Iz8iQAc5UZyflSG6Vow/n
7mhfV5oebOtIBqf0u08cVVWfrC+/1Vf8EZhQ8FzitaHOOlicFyToCqIPhYAzCMLApqgtLkE66sOZ
3Y8jEsBRZfFxMyjxWZv2ndeA3YDLqMVksUYr8fb8tTKy9T5XgLtzkOlepENTGKv4zCQ33uvbgP/8
+Iq/9/TAkaYHbeK649BvD9gLxHaLzlfEipBMIXRudjJfPnsTfl96DG4pHTKeIJCEh9sBes7h1Ehu
qxMRJ4U2rDyeC+JBrEB9Fg/4+xXkUC6mSOSUkoiag1UOu4+jNzZXsExtIr/mMqtdCKGR8VUhzHuO
xnwMPnnP1+fh7bpgUPCz/WVyzIjy0JgVpcj0wtoskR7mmm+p2v5W9+PyVPcSkq9RiCfaINNpFZnl
UY4i9OHjW/j744oRjsLAoeOuABMdfKPzgsn8MCKTR3sS+pkjn7NGPtgFDapaFeiIrM+qyt8fmvWI
bFqZptFlPdz3t2OcxMKoy02hCfaSNbxxXpXik4/BOw+NjfGXPSQ6s7W/+vbRxGcq04J84w0Kn3pn
Q6TvPBUY0W3ZNmbyyXvgvu5ffr2LNNdcRsuMiSl48DAdXEYDXFvboowiy8jKtKOez/WLFhkakv85
aW8mPVDGZlIChuk8uXN1JmZRmXvK+xotqO0S97doilg1i/cHoZqWiDNmf9rgUcGuXpeiLYdjZS5Z
uh8JUAI97LZ2vHNNENuoItsqPqLVFpgnPNRzeILoos2Ol5SQAF92RhgdhX0a2UfrMKnft7Xqi8uI
+KTqGJVcKndGCt8fdl/UuD7iIOO+YvGBXZiFykWlXbrwA+UAqSN1CrO7tkt4mQjp27C9anUMIT5a
pNBwmQglU3Dqogkxj9w8neZ9VGUoi1kB0meAgJgNxSipdXTSyZcTC7SgpKQcoH/V3E0QgXzacFIA
1jweJwIGfSsRED9Cd0LW47ThYHl1QOYWXm03jreGWzbN1imGpCFXALYw8UJ2GG6TdkpgEZH7pGBY
9dQAui714kRzgMLyJ2jRuI8wlDm+Gkng9crQSV8ConXupyXvYd5WVHK+FeWGTr5Y3mHjCJYxBx+C
yXM7LyW9kGksY2eDv8AaPA2iHhRNGoMFTC0Vhye9nKRNDTuapH6OSzDuuAP5AI4IUrGXhU3o7tym
QlidjovjbJ2sRpLN4KFgk8q7T7LgUMYusu4ctroOPdZsls1ScDnhvkZgQKw8XLtnNlCiYzJKXNPT
7CBsvayZYnSPoLbb81XjlWyyom0zNPwlBVGdOfXtpIo+2ZpFDNDMKI1x3ECCInSRDXR83I+TNp8V
Na0lvy16FDFNAbxko9wivgOaNHzJR6tDFZdky7yLUUHSwM6K4LFTuVyN9jGBbYkwA0RCo25BWAmK
n7Kem69zmg0/o0VHcTTLBZaDaRR4IfJUyW0KUazedl3T/jCbeIpRTuvZA5YYdu5lIdQ5ySrleYpD
ztzPDVhZjyDHHPeU3dcpCjDJRD6y3eJkQU+ItQx57n1PrRD6Qz/Kp9lNsu9jp+yzAt/mJXrJVUyL
Mr3EhtRNbAFScOk1ZJ9Liw5r6btG0DQbMRMEmJaKaI7MrtRDVqMN8kAbowSUneNcmNKMMdo4XXKF
+XfuMUlF0C67zLaTXaXcttiWkMJhPAdOCpg17wCRktsSPaJ/j37ay6AbG0bm01kw9Eu6aaIpQfmf
SB0qqImKbgf1Z7qCck6CZdo5k+6RGwZFVuIJuxkMwJcbmbQi9sG2yHbDrNb8GauclpWFhSkkSrAG
8Inujx1VZ/XtdebOkCfZ/IgrB3Lx3cpKTje9rbAxwEzFnViHtah8G7hg6uuJFgqfNyW7mKpKb85M
LSwuob441TbWtUyi4dWMLyiy9Zd0wfy2cuOa5rvD9Hp6pBK381NEzBDbJkTC4wlpYHV1poGxzq4x
KGT1GZ5SO7hEwDjNZ2jmq+8LtrjoW1gg1v0xkC6q34i6yIcdd8iVVzUWBQFhsEpdMO7F6JCfp2EV
k7wnNjmNTrCcFoMQk1+ngd2fNKWyR1/nDnYoXwTnt8lSJzSOWXSmZt/oS+jsUixJwZ5EyuAF1tSo
k8DVRYGvm02b72Sm+tZrEZ4xKQpJV3nqjcLQGPWzYodHAZ6++Mq1mGWfaAnV+k5BqkXxSPDjcqwC
iGCXkWTi8319EMyX2BomfB5a2QiEySjb9ekKdZld3MGsSJObYoZYecIKYNHnt6YgS78FIVmbBY7p
tseES5J2JbuNbjfhZBxN5VgFUINGN2l+Br0bZteLbWUmWvps5s6PoLn4ZtppksJtIuvYK90hHS8s
I0S5NgpsR54+OCjjwwHvGjJTKytCdqnNJL4QGwDzl7QQrDllWFbO1Rg5AOE4Wz7EFCsChLkoK+UN
fVRQ2yZdeWelGId2s5nOy7cUj019EgKqWrY6vT2ajaTK9V8cAyXfDUrsVFibkLRE96xJ9cHcZVSB
Ix4FlTcXi9sy+B3wdU1b+N3o3nWuHCRBtky3oSmnC12O1Y0ZGA5kUNMCK1jmrfPDMVoqlzGwaaNq
WZ6V3oyQ4H4xl3Yk2i7jVe0kYkIKeQyqvIGiOAtkNRi+hqQTxbZtaJcJrX3s41i5QKLHQuvQ4UTj
HfDqTm27deu3hRMfnmdanZxHtBj1DYSL5HsuM2BZWjY1LxM/Df4qL1ddu6Miro9FyCJ7kRrxlQUn
9ZFGS9Z8WVqJXXSY2S97pqyYAbNW9zbWjEldzEliqONCM9zrMhOhflJFQw/CQFfzhQ2WPdsIjOHY
cqt0cE8Ctw4jb26T4tkq0oCUxqKon5M5tC7CAJaoP2QQ530i7yAvEYVN3GQhkMC2AezYrEn6etdk
SXlTapBmN1qvl0yFVJhdGpKYJ1YmDGLokJbWWuc25PjIRAAUl12fviA8iQiUzdxhpKQrO8eLAZOJ
Bzur8JboM5h0FRTwmAUJV5OfwONPPJ2C8CubXeSY5ZyLGzkVIxiUKI8hBKowzbYWms8nF5c9fAS5
TO3GLOvwYdJTG2M3D9aps8zVvcXGB4l3PofKA93X3C+uoX1rplkSKrisSJ/AXrpnvBfmtSnq6Xms
0ugHLRB1Y5tom806jLGRRaH20+yAQtPUyJ4A56wu7tDGIlYt2vhjJlbjh9KyONxzy+J7vBPLEzC6
9MTKEgPtlOW2z2qZyh8Mf9AkW7MobBSloUmUL9DQBlKlW58Kd1LjXp9t+S0O58jYZvCfLW9qS03b
pmjxAXyaIxguZiGL2EZwULWNCEyp7YukT27jsbSJxQ1L+6ntwPm8mo9xsPeqsDzNHKla3B4/yB7s
Zyp95lvxuR0EzniEMVuAFteklWJzClPnLF9mxrN04BXRlG6L3Rw8EHRIBoLZ8DDqc4Y3MZ5tHGrx
jCfvMmKIwU0MZkKDPWz31QW+5EhsrDktB48MWgFEFAig9K1FRvj41EweiZVIqh+n6MWjGlkUQgS9
ky8lYQjYjvQ42GMxxc0kljh5qG054Z2if25vIOzHO6gWVbFF550KD7Zavkuw6QqPyFas2Bg4hwcz
McJvTUqxcQSKfCRLVQ/G06yfxjsS/xRaeiOrLtLMcaOdBM7XrEm3Trczy1Znj6eWVCFDbzFEEaMG
kluzjQjBL3Mne7v0eXVtJwSDJIsTuVd5GiKmHh0t6Tb5JKuWKs12LnuNC3Nsw2+hex2Cy/QsI5H3
UxitPUWdYOLzetGJPwiTHH6+meF+zhFzD34mCSEkgFYV2Pxlx7rQIh3Pdix72oUg4b33ZTS2J0bM
Jn6fjA4VgQvsYGOKiVxQORrhfRTW0vDNFHzolpfU6TY9jtAQ8nxMEYRzTJ4qoEjWPqaxCAVbj6Zs
BVM3jxAPknE3qAYYYdRGOCAyVaQvs10PAKT7JLwyJ10+gpTL6i0CU5JMHQbj38nhsMgNKbAw75Io
jk12AWl3bgZJ+B1FuqLgWEL9Jk/5HrNkzHyq9K4fbA+LfbkGLjd1ACKhsb9FUyRrH5W0fda4RXpV
BAgIvcgcwutFhlS/FdHpp9MQ8AcNWQi+QXR4RoelUsJ3SgswKRoihYI2muLLuRbiYYJqsIYmdMNN
R5Iln29SrWKvCAbk3yMhbF8boc8PUJ2BDqZyMFf0soavSbn41LHKrt/UyRxppIhB6Wcgaeso/pEY
5GN7A8UpiamzG7Njs1pWx6UP7Grrwrp8LshsAF0cYXGFlC4mRV5H0aTYTzL08FzJ/JrNcf2DBOS1
dV8acb2bKwfaDXy9ovEct0gar+oTk4qlabJ5N88FYwqHJOrrRR9Ctg/z1Ls7mZTtMafV/cyEWROH
Y+QXc5l0uDw77PR6oS9PbiurcoNsz5p8M5JO62P2DrclDWjeRoG6gWV8skKMsY26MoBw3Ipu4eNA
pQH8DOmkfdvMLjVIlxjgZKMluNLnFgOAGZT5ESEceYYHPYWf0VeDdl6l7GI3dmzEx3Om3PAoJY/A
Pkpm0gt9nOg6wRRuapzALHccAmWs9dFwO+dyjCb51cUmJD3RVcXLoCfjTV926q7qiVRmXNMOp0mU
kaNC1JS8EXE1/XTSpGex7ALnaqB2/zKPEy7/UfC69gIfF56bidXFAEzPsMy1r6YkKkh1Qu7/Qk7y
cj0UOHpxWgTzHXrbzvSUSIebbOrHB5GrcfJdqpZjdwka94QVcHbx6qaixRSV5OW+1UqWraVK+BQt
XQoNxiVJdSZWT5W3yZIm9RG4DvrSHWEsLHuZIilI4Pxy/crog+/BPNXXYJ0WCz32UMz+jDh3ZqUR
QeC5xH9AFgBGknkmvXyMe7wqsLzxxBPPEKkHQcaKBvVzNrujCffLGVKwKnoiNrkBz2tVa5OAmNdr
hMprbHe7Ghbo1hXuUdPpwDRdqKUKRiYCeXz9KZMPNXsuk/5hwVmO9UnPEe+klOPH4CaCZ8rhZPyi
LX3fHE2YqZq9qeEdv6GeVjqDTtx0O5SiJFRngY6cfcE5cZRPoTbf9WOPfTJU6Gi8WY9ofU6t2SUb
ozP04ZjteJX5lmYPt005injLw2YGXhbYDneERyLxs7iYrEs9NRxts5SQuIh3IUHFp+1vh2cFbuN6
18LEdU5z12IpRRlr92eikrnwegyC5AbhYH/BL71kno0DEOdezJuS5i7R31o0t/dU2untPIakI8QW
b/K2IIuM1oup59+caQDpXCftjHeEjziLN9lOaKhyJ43ZaU3lw2iKhqNECMB4FQr3mwMAM/Ox03S9
Z2TRZEE66SsM4iBLQdi4cyZ2fSJJGbNVHjznIxh5L7NGaZOOVUDqxPcENgqYbAO1eB0mAlhPbI8t
uGl7cB6i763oobOXMdMCFhjWc9dntJMIXJFRSx60S6Jw5VhkDntauZCaAN4+S4rj1x7iH9lQvsCj
K9vyZ/fv64/9IKqsicOo+89/f/O/LoaXpuubl3/58li1/7Lri+fHjhCqw5958yva/3z95/Cl9B+7
xzf/Y1sA/Zmv+pdmvn5p++yvw/39//zf/uPfYba3c/XyH//6+JzHhY+iuIl/dG8NJYjNfmmtrn/L
3z95/pjzk1hQHv/7/z09vvND/+BsWv/GkIopiIn7AhDi2kT8Z9QtmE0F34muM8KXdXr4D84m3hXB
foopJXJURCnrGL4t+y76j3/VwGzCTYIjuUobViWc+hMfChSpt81oJB74w5ggIL1Gwm4dikPSgGeu
yGoy4euo+VYZWfLQGH14C44ikCR043E+NigAvpWV7jyHWTjf5iKhwjaroDsNifj5KQnCOlmqjhR6
PZEGOXyWweKny5YXKAgC6EBzhf4a9pDKMrDNWNy7rE8vXQ27lh+V2LbYyzTx01SUtCDHvoBRqbdN
GW27wMgXX5+D+h6hWnjfspdj6ykzkiFSOn6dR3x7X/uolZrRx/CXnY+lgFZS9K+b4Ia4XdY/MPnE
77a8OXoS0YUcJll8TSu7J7HQcWvF132xv7poONqNTHUb+MzQ69fmMrvGJrOq4izm1Y7OZ0aRqS+n
WDzovOr1EaNfapXI0rJLjMljs2uDoHC2i5jEUV2PReZpKLWQHmDWLxhHdfWNHhguA1hSA38oN1d3
FIn1jRZU5uQHICcgGHVGe95Bw7FumMNYy77OoYxhTyZpfZNrzLhCDWDcsWP0y6XQy/Ge1By8bEtR
O1/Mrowf2aWjLMIAOQ++hV46Oqna0vqKIZxsn1rCwiCevmtHXxFjHuxNmQNP61t3ollpFjQPyObI
z4E6Q4NSYUAJUyz6Fj/RbBA95Fj3sd0TPxv8f/bOY0lua+2yr/JHz6E48MCgBw0gM8uwTJYvThDF
YhHenQP/Tv0U/WK9kKTuL1L3Sn3HfSOkgShWpYH7zN57mX7FsJXBzhoibdbSyNHxFpEbAQcYzWtG
e6RZtf7QWChLIKslso4mOErHwYQISdrxTH46cXSD99QyTa54MaP51tayS89ySYJI6BOf88L2rR/O
jWSqXouyHyCxy8w/h3oxJ+G4LvGzo7XGEIyaXvQ7kzU3lf64pO6BeB6VY7M2ck67Mi4mYO02NT5x
91BgMwU7bUmICAtIA4QHQdeqPbq9yo4MQawh5IaneXi1Z+giUpHdBZYL7lko+q0sXgrNOgx+3F7W
y5xpOymKjC9pVbNGke0Wd2iA8T7qyeJol0vjMWxs8R2TvmrmmTzvdLNhLyk9uus+taZLkrPTmDH0
7H4pcm3dDNcr0HqnJYMytJKSoGhRAoALmnyunkGeTM9zYpu3qNfTCqM/SWfBqFR/RdcZvwBqWr61
qebbYY4R3t35ccwzBI0Z9Vhu1FPOM6hXjxwkMj7mdsr6YO0WKB0sKHCJJn2WfNZKTfLH8VQ8bm7w
OVjdorynEBq7yDZi/4MZNMyDUarxNu7jnv9OsjLyswG6MPgfhl6kmBu38AbSft8i9781sfm/1Fy4
Ns2KYAvlo1E3zylBJqzOTLPsHcxkYJr24Fc1p48LKwc+83KhqYKCYhJQ7YKesQWsAK32+sDLXP0W
NLH7ruqU5JCKAIkocXrtvatU+gw6+UkQRQokIclkisvYUneGktNRZxKIUsHIdftQlAwpQ6ZA+JCF
769mKH26/WiVht3sjJJguSCr/aUnu3dejmTkud+UKWjb0rR2v9Rj0cFYa4oWdhbNaBaUZiVIRRo8
bw2gmxDRRsVVAUYbRY8hupId52JsGkE+2VDlSOEor3wq6w6w9ZR9BgtRLGGV181Fl9MZRTAXaPSX
vLGaSB/Z+jApYqIyM/K5lVDe7J1pl+NjgmmVuyu7ILqPOSaeoWMuW5wxA7gScVa+AiHQr9NlErTz
rUk7XzYcwrBgGD8ESOnkbV1o5DT4NOskwzdcEfVEtlNUzl0uAoLL8/JSQRs+QnUyv1lDt00JtHUh
XmysnGOSAQ2IGjH3E0p3s/gwGBJ8hXfCurgpzZ4TWjdcvuo5d57cJcncPa07cZiLP+LRTsfctA48
TVesEVh9TZI/DOtczWK2ghgHeA8ZQ8GB0twuvjRLhSCJYD1sDswuSI5q6rrF5ZiOhgznwuxeZqu7
jGfLsa+GxPXFLhm13GHO3sHHSrzGWkKFXG8JEAksDxNpad25lejDtUzZOXGK6ubz2FXMnUwkPvVF
Cs95nzNms/dlUtiPjdnp8jwRIKz4yuL5TOsSij86YeOjoxO45rlC8hX25QTiVNdOZ7ZgIHiArsOY
iW2SXpJxbVf3tiK1Ry4a0NpcTfGjj12IHIcBDPWer36QgAeHRO3tMu3OOH08iQeZuJUgXwQzOck8
5npJc9PYjWXOqsjnsB7Jt2OKMc9zxbyhmx4IA6mejNUkpCHN9f5VOkl20Q0zxn9n9lKG6cvYPPpj
i2xS6nFFuk4h6Rp7EKFXSUFTtlNiyN5Am8aPLTs5NA9yyN5NZN0Mx/PUuo8Li+8tU+P4ZiSL9rVz
J+RA/6k+/1R9bvbWv6o+77Lmv75+/NfFW/2RyeanGvT7j/7uhBa/+TgLDBczEOUCleM/alDL+u1k
EmFlbtoEwtuII36vQQ3xG7pkCk2sykhpmbb9dw1qmL+xxUEp7aK+AtHLz52qfsrw2+8rcir4/1dt
K5JMxJKoZvSt4DVOxe4f1X8kGo2525Hp5hPjgVAHdZoXO+vhD1/Oj1f9oxf6F3UARl6c1qgedJNS
G2X7L+oABzNjnJbkr2jcg/a6pYPA04EJpwl40b9+qV/kDttLuQZyP3/Tx7jcnH8WIpSe4czGmFAH
DV162fh1vS8Z/X2/CP7l1/aLjOP0KvQAFkfIx0P+q6qVFh0isqLa7pN0uWF14xJzUapQLEZ1k7dV
9ch9Xb/964/2T75F2ON0DCdPE6fAzx+tYQ2LkcriPqtBfx119qWYcKqj3mvl9xbzX36+U8b/HwQW
2wf00a0bWCiJpYVG8vNrtasjV58KLnTrsfbDrCjVo21DGQ/shccq+xuewXrRqpfaqxgje7aarhZi
dJApZAVRP7CXqtsyX+InG2grCh+/cAtuWDQCEfklxnEhGK3eDczLwEnJDP4Gbq357q+/shMK/efP
YW4yf+ImiWM2+ffnz2E1Wk4QlDuHhLgNMfkR6+K8oO0x+0fyrJI7cpcgo6bK7u6g/TTWJ72iQDwg
ipjh/ubO+CaLdn1PiE/1IsJlyqu1J1ialCeAwX9zUm3f6a/vlbeI5pfW0iPp4Of3qqFXyITeoqik
/rhwCIsNtKmuXpWZsTyaIOxdLC0EmjoDwfbX39OfTy2TA40ykbB8FJam8ctLd51G5tM0g5Py4LON
1WOvD+KmaIbhb7Q7/+SV8AlupmaPfhir6c+vRAAnK3nfYKlPDVIEKVmMEaB4VnYrcS9//an+fC8g
2pgQcIzUiPcJR/jltVwxVw269hBIX7nr5fxV6F3yN5LOk6fvl8MGxQO/A4kVuEp+dWsjderMfB1G
YgZpIWYigIKc3LGAbr26wJHe7FhRlgzyc+sKWWj5YVeL/jd3Pf3PNyT8pgwR2AVtA4pfZW3LOk5J
0/Xsg7xWg2WFTPDS1jpAg3QN+yp28qiKE2c36BgiWa/WFyQ307lM1mx+JmWXXa9UzVnn1egHQA1j
x42l/YksS6qRf/uobPdMTAcELJJV8YuXkNjdymzYiobMtwaioi3eHyyts3//VXA48NQlQwLd8HYe
/kHWnkwAWgk7I5A0ZWvUNiyQ7GYRf/O9/yJg5DZp8fwmOWKTwVrmSSL7h1cp2Lq7vY/FN5va+qok
jzFCHYH9U9FLVMMc7//6U5mnK/Hnsw3/t+B0tnVUyiTZ/Py5xOy7qBekCMFhJlVo+gVTZsvp1JNJ
3l62y3VlYHZtkBXC1u67hxQ0NEwIm9w94pt8jxylFOtfDsb9i6Py1I9IAhOvq1aLOFggWU5hoefD
E3cC7a6ffeI7hzbnB3ApnRX+YH0sw1iySyhqv9ozNIFM7C+6DyaWoTkkF8tFzhP7orwthpmwqQ61
3KvWLB578nFUDzwet01B24jnjhVNARBzzO41UXp3IK8ZobopA4cqnkBMMUpe7hCEkN0qu8F5mJXo
+hC7Gj1qitDNCKqhtw4V6dF4rcexbyE4kH0YCi/2Wbrp9fhq1IIQuHyBBClIA7ODrHDtJeo6ss1J
pUZgxrzfa1+YyagnpEaKAXM+sB1QTm9hj5zq9cpctp6uNflrJEFCNMAkNxEfGM/J5WDnJcDrdFXD
s78sots5rpa/OnUzwoRCbvrkl4ArozrzrLtycfVvVgtgLfKrQahI9v76BJF0qpimlGwOFyJ95UVC
CvK9rjHE2REtABumpZ4w0ANMRLrUUzciZckq71iQVL7yDSbDV1mY64josdLdaFhH/Rq0mkwCP237
184FtxcUnjbIS+mMGkQ3c0ibT0myQD6r517k543eOg0yJlgu2WMTd0JDsGUi3hz6ukP4xt3voIGH
FYzobSZKOdl/TShgWFywNRd02q07Q8crJ+wAulyufAs52j7u3ThhiI6ybGfnjbB2qHKW99R1FxFq
ZbsQwQbFM49UMTFcGOdUZ9fbpPWRy9uV1/riD8jmzEKbzWh0lqV/sxjA1bdEOrLkZHcwSJvpkdVN
5+Q6zw6keGIHPzmyQ+Q1jISvt9OWMuoQ/NMFMYKYcpfZmiL6J0OkG7pEpOSMzTJ2geAM8kdbrPiH
1qxx/SgbehZWy5pvHLLcTr/w+NLpi8XI2kIRcNfuYwIght2EzAN6q8O1Rt6afJPsa770hY1IhoEa
lyTeSfdpUOTIfxrkkn5Rs43lWOXlPdh6/b5ZO8YXKSPHr1TKTcYqsm/EztBTj8kl8bYohseV7PA0
WYEsEqPtBuY6iE/EKhj8MZFGzAxb1IyuSgSQUwFbMXBjybmpz6vjR4nFhcFajrR5Vqm2f0v4qtnv
thBz51AnytutPYrY2PMyYlzz5sVb2+WrQfYoZ45clrcKTg9EDYLGtXCsJWqf1fOap7LM9OfOAAUe
MVDPqt2Y2eUcJigp82iebXkxiykT17hazYtmFBBQuel3BOItRZdjkk+Lo5X7S4E2wMyPqjE6mzBr
LNKftiPW7JcsEdo1QWlFdoETHei15psw75JpIXzXNgvGWXnsVzdt46xeyJ1uWyPVwuUELsUMoZy2
/01bTPOxEiYKiZY0lD408ASh27B7yw/ZUjQ3M9cEaedmP8DqQIJ7nVDvlSHJ+y0hug77MmQCXXGw
2Iy8s9mEqMoqtyCxmEv/lnA/xI2uH7s3XWGwqE5KtxJnkNLdKRyS2J9vO7I1nlBHMI6bXUIhLqox
ac/qoWJmWs2TPkR5KuebHPoh6+eenPn9vCTNHJbz7N57Ms+7yx71FvF2BrpDwljJpY84Spbasety
LjGL0R7otRgfqsFlMzp5E+Ut6OC03FvoFXeQUGuIgJqsbmE0JpzUVZtLMMUTS4bFU3Oo5ra8AprS
vhlmrxoWlMZwTxRfiyrAWsonnVnVyGymr1Ct6Xb1JeVzvwvIqMyyU0U0I1CYLmrpwVApoGMJ0IuX
n61lRuqYpij9QN6OzAKXuuDB6Q+IrBm+raiudbZPDPEhQbtB7k7J9eAO9bDT29y90xCcvGdscds9
rFom34uUTEAYY7p4/TqS8IIEweItM2zNO0zMxh86cuzYOayjnUcWhacXgMNgCcoMjOFpZcoy4Nc7
1w14ntclJlIPQU5f+H9T8f65CsVKwTYJlwOPc/1X17ixCFWuBgY+Z0WnnDfaeh7P/fw3r/Ln5gGV
vIEfxTCBj9HL/1wXNNwkU4MDGLoaGzfSn6EbG0Z+xlBC23mEpzMAn1Eux2xkv7/0f/aRPxaO51//
5/8gjOmvI/H+V/XW/pyJ9+NHfp8EEWHHFAhjL6QphAFbEtePbaTNJOjUomypO+AWbJrUH5Mg6zdG
DPzDUMmhiDW2EJffl5H6b9Scp4yezVjIVNb4dwZBP58/Nm+MOpmhCQ0TmB36wJ/Pn01mnMPOXSCR
DkDiU7bmwJd5a82Osg67q1HX+hKtiOS3WNvJGP+mLfiFIbe9Axw5HoA0HE7Et/xqIWk1Nx6KngxQ
u8s1C51oN8VnSyG1z6ZXxS8pUeVpRCKn/kIZkeWIIVTCHhJN2k4t5hQHJhoEcZCDVtTnOZhjxeLG
jb/8dQX+89V8epe4TqgLXIYiFvvJn78nAdZcItGbmSqL+q7Hc/MAxjX/m4EZIzh+zx/qfP6A347Y
wMCERUv+p/4lS1QBknkFEywJ5nVPGttGuc57znYyUAaZ1NDfNymuB5/+3kI9c9NvSl3PU0WH6ngT
8OZdkyw7TWkIezXJHuamLRZ/IoV2E/8mM7PBT+xxUBnGgASsqwxinnFvNfqy7GKEa0i1Fj8fzhO9
MVEUN3PaXTj5KNYnuCmrsdcHp3lmPIYWGf8Kq1yrSE0/UBIRVEIHwz55Faw0G4FG5jjp6eiHJN93
9eVM1u4ICrigZrVUacV7D1aMsxdzUfoR0sRWRpM0iLi1zJr/2ziqmhDnWjzhYTSXxe14Ulorr3ap
1vp1FmlLYJpeqQvlYTh8qutydsPSIV8CAGsak8OKCfA5VaA0zoEs9HPksEvIzjZ3Sf3SDgSPnycF
CzvW8Rajr0wZvkDHhm0jBNycNgdNNkKGGTk12bmyBs0LJ70vrjhh2RJ6rcdcRk6uS+PRi2nLOFbG
S5XjGg80bIwUIrgX0MN7+kzUNQryF3+tUrCQpU+NlVHOGFeJ3YzFTqlqNULprs51h0T2OZsLo9pI
5X0NqzbxvB0GK8Wlmfc4uwAVzH0A4Qb4biVHXe0NOQn5VPt+559rU27k0VpQfYRUcKJ9ShwXzvow
E5oX5L20HpxeltYO1Zbmn7kItJ3zUls9+3yKq1kP+sFpl8/VWvfVA2d/O0W153mPrTSN5lzFy1SG
mL/MYYdpq/tq92Z7gQaR/OoUG5E8eN6I/qbwdb+7yjSb+cMSp4OFJGDG1CRqdkJBwWMzu2WkylAN
u2/GNizX2RIXLqHZmCeYeAb5KCebsydHMmdZdrpjly+6iMWv5T3BzbOqp3jSqq9J3RIn3aGmLUJr
hILgZGqJQ2TrGhBltvDGJwDnJf3dsHp3sd6kLzkDq3dRdUKez2mLDMGpp/lMmGuqXU/s8AaU2Wn3
4ul49wJljsWrwslHM9fkXx1wK9VZ28zmsZ0m50iGQkKL6o3yNfF0OWPZVwABEt+d75mOL1wSCnYS
y+vCF4dJVk23Q+JB3WY2vrTPVpSiHFJPVU8N/c+3cVm1cykXAWOIPRN6h5bwnpB8SZJ1FJI41LqW
odEnFaQa6/ZsvxFUQNdDlLPrB21vdNauTdV0lud9X+1kpxd7x1t0a29Bqz70fUIMVoudW4TtvExZ
hF7MX8OxL5pIGpYxHIi1H19ZlCFg7eJlVaFdjBzADCdSHo4axQ3behRn54iLQeJYjMDKHfGnLEDb
bJ7GKFs0NV+wqGM7lee1e1ZUkgoIeye5wQh1oQnp20shHTOKOqgp86xQ6o0DeWI2OAUVXcLd3K/G
szIbRLsY+9QjEufk0U7m+FtKFAobZfK8YFjLcd3TH5iPbmO/QNXIvhRCJs9NVjqAWWj94WKe9NhN
ohA5WCedttvO2TUioNyN8J+u0yH+oepWApW63rExliflN2M2+wucbHKJq00arp9U4mWP4y6gKUE9
PpyU5CqxUZX3JaSYfXFSm7PsQHm+biJ0ujf06PRKIBhOKnUQ1yjWeYChXrdPSnabeMt3sF3912TQ
NylHCr/U3OTv2rhmr95JEz+f5PHjNL3D1DlifemA6H7X0JeV8Un6WhWtszvcLn7bPTdCkKu3ye7J
bTJfjfK9jZPpbtyE+a7sXHSBTXoYNsW+v2n3qbDNKehOkv4auN+Tsen8i7FPmZic5P+ARLrXafME
+IgqK8ZOOAUIi8c0UMQDcj9z8xLUS1qWuzRPlre0UqShb46DRDr6PYrN9EvvM6UomLo/4tPCoUB+
XsxCYTWalzYzkiZgvd1d91ycLE5PBoflu9nhZHyYTiYIZ/NDOCdrhIciG5sECll21q4sqgh424Ty
cHNVrFmGwaI+mS3MzKzvi+8WjM2NAXgHYwZp2OUTpjMm7sPJuqH5m42DT2rdTL7ZfjVPNg+C0uuv
/sn84ZyMIPrJFFJ6CrZ2v3lFmpNtpD5ZSKrNTTKfjCWDhsekQL5lh2zisZ64I4caB8lmSVlP9hRz
c6pkVZI4bLU39hvdO2aWNjHUBg7eTC5yTeXHQNI4/e/mgulhZuFX27wxdZ7lt4PISe9PTuaZxF/H
Z8fLtlvoyV6jOSZIlypPk2N8MuD4JzPOMm7GnMItAYp4J8NOU875cTnZeBZ0GSg2N3PPqZ76t5qH
/x8ytbduwPxDqflnQWP2Nvyf//3HVfKPH/m9gRC/gVB1hE9FaFGlO1SMPxqILW8bP7Trw8hlKEYP
+I8GQjN+cymrERb721r0tHr9RwPBcpq4Y9vf0kT5P/6/lapNTMbPJavFNto10FPqrrllpDm/rF5V
KzXfqbkxJmWaYfjbWEOrqoiwbw0IRN/rwWK2rcfKp6CBGtqSW2gXboNtfImdx/4ENMpxyxB043Va
uddQyN0wCwd/RM+RfI1JQCgDNhm1HpZ4wqw9ijjjQ6sdEErZrJtLaJ7QSotpq6POKhs/al0gtzaR
f+mHDGaoG0wbn6kWhfcxoOJ7kHZHqH13QjkhgUrvWkMQd6Z5Sz8gPbPW5gx7DBAoI/f67mxYaOF2
y8aJqhdXfNFP8Citbazryuh1ihkq5yJwBTNGPFa5BeMD/hRbSFBUDMyoldeNUNWeYFXiBK4qThCr
YcXCSDAXbCsGUsw2WZ065UU6uga+uWYs7V3FshN2glFyi0z6FpedSJlAkbqSdFFvp86HtgLVGp2N
rzV/Z22duFv6icEFWFM+L147xDuTPQW3FlQ9Vphu8C7Tjetb80T0mmxntfADbaQvNRnzXd9P8L/q
EwtMnLhgiBKLj3yDhdknbpinKTRMsdDgiUGSpM5vfCd9lifimPJy9FgxLKs8qjlPSx76eLqYSAAr
M/G9oGKa4v5rWeXY0LAlFdi3V1BwaWYJxJF6QkWIz97QA2lrrIqrzjZvoGkVsCfaGGCawbpUBXKG
o9YUFliOHjpRHGXgvMt9a6zyRZnd2H5yUHOnZ4MNER6QlQWkDVUfwLbSN+07qqLWxBYEWCC0lVld
y7HKkmvkrbk60GUNIXtKgCPQmr2jYbXlu8DO/nUSAv0irMT4sz9qXhlpdTa85ZrniJClWgmeRo+z
e9B2CXr/fLRZVYjOOOrAzUA9Sudjdkp0Cl6KyT6qkm48UHO2BweV4rEd1+KmIzX1cWnW9NFpWZVF
+G2L95U8ozRopUVFXaqXecpb4FpD6+p7bFv647Js0VFxkU33k68zUca+U34y+sXhtMQBeqMmG38y
BY5rnHEe1E7gTZKgDzaMgketwSEKhgxQS1AJDDOwhmw571ISvdCYLUbTE2vqo98kzxH/Z42F96b2
CJi4qit7gRw3qxQTBVR4DKFpVmqXBMPOZ2O21O6VJ/xPDaPbC5oLvQrE6Gn37pCmmLWbAkVy7Cbq
zRnT/iYzZTHsMMRXxwZ+BZwOT4B9tfp5OkuyfsJpkhlTcYaBDxOyJlcHwWbZblOKZAbBs3pdM+3L
KgY/0tX1BDgx7dWhAEfKNW6ybgit3nudlsKLSjVNr0KCV73CZizGcFhlcYRcYrEa5UIhn6Oy25uu
0YSAm5LDOCwrSzxtMZdl6FTNOF7KRI4IfxvLfHM03coDVEDbZsLRfJRZjflAt00iUxOnye0y6wWK
5qHkkAh9oudkk4f4Do2z+clm2VMH84xCOnA6v3s2NJ0FAE31kO/BPpZ6iHKHxS5LLSR4tpi6b97q
xFPQIoNjtT4nlrWzXRU/2/BESY7sXO5zOeHzKhikq4Yd4r+VnIyO6LZj4U1Ocd6ic2jOyLSwr5CQ
d+uOhQ9/nb3c8KQVlPG7pS+SKxYUjr1rmHlfWVlZ5ru6XtEMtBnNgWS4MB8c2s7zBIwJe6ERvbem
9aNBh1iuL3k5mp9LWVZLFGdx+Z4ic5vgKo1pF8g2XT6loHXNvaU6/bXRHZ3ZE+qkJ8saXC5dFNUi
TA0TSTt0ZKgpZRJfqlaXDyLR8vt8yzokKwLnOaVRjJO81obqkqyEdIDJ45laYNfufASWY4hwyLXh
yhy9tn3JtDK9arwpSYNc1F1+YAdCJTTmmf/ZyXkg7FZfYnmj6sQObKWmOuvztnMx7k/zvT1y0YSF
xMe94banjrZvEXeM3EhLwH6o5P3ANuyA1mZCrFg7XBo+xv9lRxZf97Vx2bEQJz9F2PPT5jbxNAvS
ERaFPjIAKJfRNuLC4lMN2VVuUVyfG8OKQYx33r/0bFw2QaVrfF5o592A4lR/YAVa3roOO/AIaGRi
BPoq3RuhzxdavS58kHXZpvDIGQFzjtXWhbspxmGUtfrL4FTe86RXKOJxuJDKk9UuQJ0Jw8JtMhAS
vsNmMFyAR2La0aTbbZvUo87CmLegtXbSfvZ2GH2xDo4rXUYwEhUFbrNu7FfOf7+8yKdYHTE7sk8k
BzrnOY39hpvUvEDfYjhTh+CsannQO5bUpA0rk2tZ0aeEfapPxcHHRB8R91FJrP8zFxCRPfaHXzIm
3LXObJU4JV12FIyWljdtGMZX4htZ4uY51X/QdE1Z7o2hbMqDRyDhlUoG1Aid5VrPZlMJDLSOzZFa
iJdoKUaACkVzS1gcFy6+ZMPLUHK7KMD1oB0mlE2oLnL9zJWTrkdJXI3rTjJv6EOvGwcMWj51RjMt
AIx8xNHQrjqtfeIwOiQpMBp5zjXZe5GUYOGAXgjngy06bic3fXBhrn7m1t/xaLCy4V1iWnW5qZTq
wZNEf4SdYbYI+Vd/EqELW22JisHoLqtVh21vjDAb96WP3TDM/Nh/0PE7zYGO7n6A4YEqMEwStV77
rdX0tNla95lnOKkmFmFbxwyMXQejaSuEhqTytYgUrIxnONECz+tkca9hdLYMO1Rido/3SfJsW9J5
0YIGpxn5Kk2xjIE5l9or4gsrCZstOwcZeK26qJkSIEa+aqcl8kuc4dFoV7mKPOicSWCrdmP3yhSo
6eRssxusIfmt8BO5Txzu8BEJ33Lec70o8ImDlsMDs0duMiMIJZswmVh/VzFBKzxiCzhXqKWpC0y3
75/TVFMvYxo3t2Xt9PClANM+KF3qM/RAR28jEvCJSTXKpebjFOSZDUPfX5IOyDTKthNxrnlDf6x0
zRmjOVfiLklJcQ6JbGxQKuhdoYLZUtwikYZOx7YQpgh0T0jv0pGt34cKbFe7pzyDreoZRfPFXgHV
BAv2QYP4GAfbWmo0a4+0WB+PdTdNWggUU0siN16dC8ZqGPiWjnU+9cs0xGxRe32PHIFdpm5MKUtn
ZzWuVsJmUNdlY2uHa5J180448HIZ1dDozdzweby0+UXBK8Jv9BWe7MrQy8+rxs2WympB6o2xI2VY
WWJbaWGc+SyAE/Fl0Vwdjt0ik/t0JF896HrZ3immVMkOawZoRfZ1hR2aVrkSr7jk+h6rMBMrf/QS
99ID8ftJlKyOQ9U1xkEQHUP2TuHm5DIYNkOyvvHWDGTmdrpkzHDfTW4pbxWJ9tbB1MWgYcxsJ2/H
JKfmNIkrwMJVbpOsxzrbJdFo6K56nWrpTK403oEcUxs2GJUom/W6dXckA3MfT9d5hMnZttZhHrIy
DlPbdmVg66oHXz0IiuM8JYq4SDqSMDTHZ54qx0nuVjFzi0qNzvsYs34Qe9OubRCUsyFehVu0Gwww
8VBpQIT7nHp90u9tyt1yr2txtUlY+tY4ZGOXsOnNBqwNLiRDnFiyUl9SVerflINmNnBgikp6CZHE
O7/NrRy7StwzPI3JhAlmd+xImJ/89gOfcjYRMcSoNioQzUO68IYBH1JbD1/cwqMRGjQB8rSxIaza
2D4IySDs6bE5IVhnd8OxYlPl/EtPmFb3hGzVOfVkSDg4KNcG5uqFR83nM7GG9QoKkAKFmwgIWI4f
OFjzhIYlORtMrJH0rrNR4Jk1sNEGJWtknWMe2RgsHMwR2Kx94s4qCLSUmsBo/zNZ+GdWyW1MwJbq
X9O67hrJuOgnp+SPn/kxWrCBcrF1RChJ/647WBL/MVpw2E0iKSRUi4nDdw/lj9Wk/duG9nKRqLvk
oROqxw/9Y7LwG/FF228EFbD5LJEP/6JJ/yuNuv592/Xf2zCbOE6WpjqxfTZquy2C7eetWzLnLUQ9
2YQF4/YyLNA/PPZFB/5ZOp6MmJ/PbaB8kb/lrnK/YcumdJvHD6eb907DkLkn9zqgrATaM64eXucu
xuyDLJ2SuxP6ZSFJpRjaduA0nw15RSNfmmE+64x5sfceFVEyRwyTTHm9NcVERJTTceDJs6fdznZV
sVgfPlovPIK+lp3rtMqMLLVn302zywnnx72lKh0MoVLNW5mkeU4J7rRXMSPQ1xjI7nWGw+UeIXPO
U6RIYmwfieCObtcad3RvccOGqmej47rjhSnS5QI2bPeK0am4MlIzv5GJm9zo/WafJNsJYU81V1AK
h05lV1VsFJfVUE3IbYzBP28ZLD9zxTmftD4m10mrrZFtzRS/J5PZPHRrSUNBoFJP2I0km9fHeny+
SCcnJVhfWdL1/rc0n+agQBZzXiaKv5dktQf9NVtvYHapvYnrE3fNUiAjozxdnrS1dzY6bHbwVJdR
klDGJwMI1sz2KiL1MvLXiblDSy5WdGBq5FGWuFtWXj6Uh1pri8+Vk3Zo9TL9zO+0V7fW1ZVb1S2B
6q3xaTX7xA+s1jHPh7jQXlkGd9HYCP9ADCCEqGIEDOrNy/vEiOfJEVO5/b7nvrE/qtxhylSkGpkU
WqHde5pQ7/SeOMCzlgLNT2jgNIP6MGdFowfNYCeXLeT7u5UCch/7mcWbjvckHpWBXWrDgaA582Lz
kO/wU1o7gbCmoUOLrWiUtfecD+YQVY3tXlDdpQ9m1jsXKLDWvRJlgvGXYLXXFStAKMBRfJJ6bx96
SMwXCRfibl4H/y7OZwc+JFhUVotJzbMKrxMT4LKYDrZbZmd6umYHMt9uGq3KjnZMPjreoOyRbVl/
QNIPYzZN7T0uNedYamk+BvnclCF08epdtWZ9HB12r6Uvy33XeMmnpNOIU0u2aCQasDPSpl5wNOeY
7HxvCrTKmLDx4mReM3qk2pqKqw1xEbZF65w1emq/tkYzggHGDKrPtXVDNg9Dn7Hrfb4xLt5ajsUt
ax8ChXuQZZdEPcgoXvv0UPWzfDLTVt3ZQknJI5YCI6gJzbsiV6RJGHOr/luuTW1DXoejTONIeEBs
tHeotsfbSZtipizV0t2zM/U/JaqdH6Y0nlfksCYXZ7umz1MzTh+i763HUi7JTV3QW1hkyrwipLEe
kQBnl6JN+nOh+d41UiKT5qJBeEtWSnkQyL1moKYksdox439qULkTEo+GNxjyRRRDuyP0I31WlgF9
3TW1y0SK6WNutfpIMd8eJsW4otXN+VKwu4u6RJBrqHE/OWsIEtn55eK9DapJr8lVGvaNtnTHdJrc
hxFMaYcQdEmRzbXtjsnNV2HNDEkaK50fVNumR6Kt2hBpeH2hCkqSiJ+ePpq4SZ+tcaixrfTztTbX
5VuDcChgiMcQaVYqGlghP1mKIdxKuwims8+WxzZu/i9zZ5LdNrKl4a3kBuADINBO3jnFvhcpSpbs
CY5a9H2P3dSpcc1qB7mx+iilnJadzpcvmQNzJpMGgSAQcePe///uPPSd4KFPNQUxodYrBxEb7T4v
hbPVFKcBk8QekT2hK7sTzEvRkXQa6ken01uirSEgXtSUeZPb8qcEm8lezmXzJkK8f8l9JV0DUSNU
L9TqPiosd1aHjXflIZO4KWozOUTgQMxpgq53yVarJ99IK3YkAS/7k06fYdg2N1lKLnKkkiAgh4qh
z7/pM53OB+jbE10lwcc9vyzDKKesPoTTyDgliX0hmpEj4FqaTccmHjlMvfOQuV1UEPw+C+I42BDJ
spSxSNZ10NBN/JQsY99IuVYmBVYsm2zY13Q2A7miUShhs+os7U4prlWpyLCmSv06N2Kvo6NpVU1O
hGYxwuvN3i2Iryx2TB8r30E5EeCh34AbgpyRDNI20waFwL1oZvStxWuZAKUoNHTaOgK3KabZGjeV
Zc8E5cC1lllUU7WwvY3yVlmgiJRnQe8OG7+yq13T8aZfxv4sRQByFVMhGttRxlamqNU5v1+OPdnM
doGIkh0CbMg1he+sIizki9SHE0ii3g2m4I7RD7RDvomC4shnmV6zdG1YES0nsIk20/z0k4SmK6MJ
DNRHwYq8Gsxa+uz6vv1c5idCjEqBdk377mjsx5W1EZ6CEyciJWun0UXTGtEztBkfCXWRXqW9I98M
DvMr/cUverdcEsbGAT3KTXWfKWl4BwZJmUDclWkwnZrLqFXrhd2k9kKpGrZ1iBDXKKmrce27CLeV
wX2krKrvqXZlW6UyommWq1Q/SyHNB1PbhHIJL1NrvHGmlXcOZtmxZUaAFaQELKY9QP8ipbXwTUkd
u3KmrIsI4bhJs/etI/nBEp1rOYm7LOau6N37KPDCnYWKfBRjyVzalV7MwLvkM0qF2m3I+DxmjRZs
rUZxrzIgsztCAWcJ+AgW5TCi8xv1Eqmpp9iT0DjBDFyaDbpd39fUiTCHE0AzKXgWWeW8BNYgeT6A
JDN4U9kjvamZllhVtIEOPJbEem6kM5AtiFY8Scx6RRlkNmKRO6OPJLt5pWuXRFtkTywMqOhVI9Sy
NsrmjJ3yeIjoJQ4+wD+IpsnXJDmNqd4oVHHQDKytpMRCFFTUY9TSOdIY3B5TED0Zp6Vy4ig0B1Nr
gRfAA5Km9m24dr3sEwr2/JMnF8qitOp2mrSZfohQIU3UPA32bVb3m16O4kUhK96U6xtWtp7LY+gZ
dBfD9sqzLuTmQAEFIXoq0nbqFkODEslJ2tt2sJKdz3w+0+h8vXIVPVwi3a5vmlKS90rvGhctWtR7
aYiNiaMJ7dJtjGba5iaIA2OY9G4SzwXctznbdm8rwvZj5vRwZMJO29AIBORraGvZsqgjbab0MU1f
K4UtM+4Mr7kaFF9c1ajR8eN7frZOPY0cFrywnjrRqifVCVpVEvvIVCtjA8JMLAy1aJZ0xa7WnfFZ
f9l2deRRko7eamN1UGOB7EJnvuqcZE1+K5j4mYo0JINCMafrMzI+XVPiQxYNLEpSW0UwUx2r2ADk
lJbgVt2pRLT00LVaJI+gKARTUuk1DAB6jS1FQIvakYkngdxtlXubzKYPPYAvHx96PcwscoP3emlr
c8Tpn3u28ouBvp+HoQmzKRGgv1OM6l42arEQdk0E3Rn1tZG7yYwSfvcsVxIzgKZnCLExxCOPH5pV
rCbxRxdny02bxeV155EHH+fwh++4DpX26hFcSF3Ruiu/FOWsU+L8rh60dO2DtibxAkQD/qMsDuje
AI5Bhotu6BHuTehDnNxUquJMe8QmlHuQBFAoAndWRhlVJlJG85jeUdsG/dkp7O/nAB/ZBbvwYj8N
YaIi6cKGN6pbVc6ACjpRPfG8XPmoWfTTUwZ0dFTz8ZbYVrSh05WzNoAI7CigOXd21UuHquu9x0hS
1aVfhy0JnEQ6aRwzZ+LFtbqxYwtRUVQ7AWhcgq5VLKtiRQCC/lJRJNIGdVLvrIFMXT2oyUPiVcXE
zLCZ5LJW7mN0DjOpjeBwoeyxN/S0SGV6DzbDJlSzejLQCfi6y2NvMbS+eDDI8850qa8emopq5Qzc
AFQlFH3zQKnpoOpVgKDJli20mmcKBp//3DuSeiVEcWs70VrKErGz26sGxz5lJZ9m6F0wtdVizZ2D
DEQt5CWbBz8eUYhRpy4g+wnpTOGT7VbshyYsxX3bksmHppiln/ukYDYrAI4qwGN3hTuIfQh0e4YI
TlroCL2PaqDKzyp7l53fW8YhI+5eGnmpsEJrIStBepNH1pYAZ4ZHAyQE3erti1pVnc0QlPECZJaY
83QkU6iEZNVIs67AEdb3EQD4OcaX8sZpYzQ6MHxnfs8qgnCRRKcj9fEywsXWTzqftldK17MfgI0T
AfOo+wPoTTGvmF1GJp0NZhnY3mU59P2xN6OuByswDHupasvnlHzRWvh1sGhKB6CpLiCzBh9Vih0e
tE2jjkhoy6vTWltn5XVvO3vHSvYp+8UpTINLp4bBo6vxZZ8IWnDZoMzNY5T6E91yLiNfesJtdFTp
hB6Yzi4KJQNnGGnLJsUszBLbGjPIohIzZU6dsSVXK/tCv4jzCt9QSTF1mXVRvQZ2UUwy0IVj20YS
n6dkc5RQOFdQ1cu1aFr6tjZxuMr02J3XyMn2PmXgedM69mValTT/wB80J3NrX+PNQUVMsTTvWkRf
jmztHFCHy9rsN0GcdZRDY1HuNLPQVw4F1LWrB1Nqk9kS6mVKKKi4zy5CKJ5IVSeiFsCJO3aishaO
M9SimdWzTLPYGywXFGez4ODFcKY8MopFre8qP6xwRufklSZk0fUrwhaLch2CvVYO7ZXmyvZUG1z3
Mq4jC+VNzfawcIS2NnWbqmxs5HPPQk+KO6dvmKR6X772g1ZkE56A7qPp+Jh8hBkGnxgChGVGL++F
HIZi4tFPy5tizoL7mvjDXMJdRTl7cI8kycyAuw9DmXwK8Zy4JK9Xyg2C1zg+RJ76jLujwZyQaN7B
9nXjLokweKdxV66xMCgz3zOzw0Cy2ZxZ+qBRl4kiIk29tz8OuRdPWjtpa7ZRSb4j4zmMKeOkH3Fp
gIWlYCQ9k0RGOqGy4s5y2CDzFhffXi+BBsetIMwydF+fEvVoa7fJpY2Zgx2p8YgsfDs7cYYqCIy1
D2bIK80eGqufjCmyWgt8NoXPTj1IgNFJysbvg+HQ0Xx3I4O6n2KkU+ZK7/fxxKLIwCLm9mFIdrgL
N8g9IfE1Qzs1KtHIYw3iz8oMFXMTOJbClrZINl4rJdDkHcVd9n0L/8rEP9QgJDDGgyGqQ2nDmGGj
6LjzrkhYbDJLMqekE9oLWbTGNCs8f4FcGOc6KQC+o8X1xMzSZFNDcdxpSxkKJpFdIMM00iCbBOVJ
dNsCJh5Z+G4moYvcOi6iblHnJJUiKVGKmU2eYOTkjeGCZYeApcYuUpas0YenquVRL3I12nsYCDlz
ndW/K9JNIIxgpBWydKXmfjJPfL+8N1xHrKMMp2PWpP1HIitr1aDOWJeR6S6bLh2OoHCSZV9r5dyj
PR56lBSccz14922G5BmJiEquV3Jz0gHIw2Oomuzlq1hQ/0pV9L0B6wKN5irrCBEBjCTllqOvRPEc
SLY41jF8/VizqnaM9SVes8NPlnkv2fNUr5gL2SgngCybYMYGoVwiqnjO5QGl51Cys8Knxb5WX9S2
EFeJSaVRRYxx4yBG22uSKT+3ZqGuoKvHU8MVEvkJ+OkLTE4Q4WW9mYoqzrYRgc/S9uL4GU6Rfcic
lgkH2/Ct5HgOJU94p6BYNKTwupTaz32FV2tax2k47qVBou7pgn9JIbDvB4wxF3AoqR5hcCg2Qyri
faKV3YWBNpCQlrZ/n6RIk5dJBTV9lLGnWsZ5aF7iZTQu3bzrjuCv6oUe6MqWBwKzJN6lDd4afcLj
iRiccG3stUpz4wKZIIKTh03pxdWjnDbe50TL+3VqdcksaDOZnZloFnDylaUss8m22iZ9lAE+7Ys6
i+/p+Bmv0s6XZ2GMYFiKG2dp+i1JqkHuV7EGl6k3gngRUeC+hMNjQjKsPXOByqHeRhYB5UgDl/+k
Zi0oxqKhXqg1mrfAv0ZNP85BBdEGQh/ssWGmzky1kgyvoJ58BroaH+WoLK5CVS8vnSi1p6ovKF5W
fbDVO01sO8lsjnif29u+lNWD7Gke7V8M7yBZhVjXaojcPU7BjKHmtm+FJE1yRe7HRg1Qp7dca1nH
QbS1lLheCKORV5EfaowYuGJCWOeSqj/baooFYyCZ1E6LzqTCXLVVxXYzxBguoSopJJUT6dJmbjqU
wkZAYaUHfVBdDAtDLkbmkFz7Xp7PB9zsI7oHKI+ohJvLZEijhe5nylwP4dQaWN83Ks80XV77Ehip
KpGdlNohmrOL1fbkOs0JbMh0jmGyOAEi53pO9qO69h3JPhrIvy+pBDtXbEzlWd+l/ietN/EVYNub
1pQ0joObSiMi1XbqUdqZJbXS7Ay3fg7INh1zEzzUSCklbxud4CpD4ym3RWWqrH+xPo4ToGmdJVtT
MGnGxKhchzy2NtCnDP/ciEq7CXpZwqfnO0W8FgGbP4TAwa3jBAlKpTZe2lQXR0asdpgRLZMMVXvs
K1ceV6LyOApVKnBYKCAAfdZ7yNjetvZZAONTfrCGl3tRQuf/aImyufBaEd3abnetUYhUF11ZWRdk
Cn16ixhGr4/YRINbcgt6n5BIaceKHGLetx2A6wBVT/GRmzW0U4mTk5KUoBkik0Z4qktKYS5EFELz
JI6vb0sNFDYoNlXHAlJ3Ma0b0DrtHZBp3EWdrhhzolWiZGoPpALlWP1kWi7ukCKpoODlUK3bkZYW
i8AmXSVza0/buEqN2zp0FBptxC0QwsYJ6GcCZYT/8QpjxRAtPgUKOTlKIP6alba7sqqSpBigC3zI
hVx4B1MhaZYYyO6ZWcpO3VqVRpVWcpu0WZRD4gs2BIUnJkUWJuiguu5+UDUSC4Uk8h0hg7TWNHR2
Y8Jasn2grAokfSwAUBHr7h4WhLUrHIOvewESCo9tNzlNb7AWOLOwh5QF2l/q0LU/VlhLiUcjX6aK
OXTDQuAEDglQT1Zov0lWrhVaU56p9snVyd6dQgvme7S+wLVRD60ax2ADD8WVKnirkbaUasXavqQy
G4KASVs6aBF8xV7YIc2AqZFH2IAbLkyzcu+GR4lLxFW8qqSum5qoTy4JQcifqBDGBMA7zPS1vXfx
26yYd+vLcmAPKOnduM+tbEcXKWWa6lJ0ldQi2Lq1uIis7kAVNR8roYx8zXbIbsipXtAoJSU2S7xw
g6rQ3SBLS9aGI32OT/bqkaSw/Ry5HTOla+jeyAG+el+Am5kouSEd9FKpJr5h3FreJtGMa8vGRkCQ
DL6pcvy5pAIwqDXbXCR9BOXZavSbEqsTUh/HjGc0RnZmJ5AmO/pMGXeWc6wFG3RXsGDqIZw8hmlY
WBDisC6b8eembKJNnDfmhOa/sJNa272QJaec9W4csp9RazQHNu5xyOirLGjQn/ogCiY6Qd/KjPrg
zsT3vykI1O4URHW3MY1gPg5djDFJaryblHSXM6WVEXNAjcAhGXfGYKMMaTx6OCknOQYum3Tncs9t
U27ug2PY8ZbpJ9zZNes+2EDd92Y5CtEjiMJuX7hlOadNGY5ZpPysD1XKg4O7+LHAgGaMG5FFl/1A
np9Az7gYMsGNRfaMtntJWejda0vV/0j1/bMgbH876ZMg+zuG7Zcy5endPfdLdZX+vQ+91T//+EDv
oLgPaZ1UBYhdF1bvO0E4iut3Zd6XM3rh8f7ZASKgv1X9CDRXUhCRv7xkDhWlySmr8/KGLj7QmJOX
iQX19Hr9qq/G5kdX/+cX9j0n+PvjvDv3HxOBaWgMKuavXP83x/jq+oGn6aQcaMRsvV4mR/x6GFDS
GyruXOSnry/snXzjzzQMNJ79ttr/g9vgx8OgfzjJ/lVZAQ7x8qJ2//UwCIr7tGynuyPKktPrdeB/
omGAzUzI+62h4j8eCPEBYYFgFPTX6zxd6LuBsD7o6HNlRf/pngca28q6CdLqzCdC/6AJJN74T3+7
F96PgGZ/AIeNVRe41Ovrp3siuJW5f88cBhmnPXg4GQray+ubGwGPPp1ueV6Alr29/3NNDIr6Qgc4
bxgU5j9aNeNN+X0Z+Pp5ON0NNOxkQ4Jy+fT66eZHMg0Q39AHnTcQFgBOaqY/nBgM8cGW+QT4x5/0
flBZKM4eBiF/gFwCAovf+ev7QAc+AW1d8Obr5f900yMQUTAa590E4gMPFRxMZGxfrvLrUTAYHYqb
Koa3L+//1UnhL6ylX4LPMe6Yx5ew039CEw+J+DWs+rcfeIvNvj/AbzHXC9rkd27Iy+dOnRlej/z0
0u/h9Pe/3sUSL/HQV2++xUdf//ffru/7b/7Dc3r7x4X/BBrrwetfrrb/7SxfOz7810Px9HU0jLDw
7c/TKX7XTOLLb/+nB43u3PSufDvQaTz4sbnbf7+8v3ng+G5Ik2+O/HJPnnvk0Z3n372d4OmEVcSW
b3///ZGYPT0y9tEvfyQxPbGLzv+GaZn9+r+FX6W/HO9Avr4d8HXMtZOd9Nyhmaf+r//9/sd8XRXP
PfCWbiOJ9+v/vDtpOKb/xElv7xiROd1cSpjSjE0dvQ3Ey4/7Gt2cfwFfvuT90Vm+3v7h7987NGN5
zz5SdeWESzr3rDnuD5u8fJmb/t7zuX8qkrv4vn54/5MC9CGWPPe8/z0e/MyzP33BnFsSBjm3zC4t
qndT42ntZ5P4T1zG79/y7Y35Gl+c+x2nqeDulzHplcJP3k9r0LL+gTnhyFP7y/4OIe7bgLw8Vq/Z
hLPP/qlw/ezd2BMT6Wwezj3yVfrAyPjJu9lMnEjx5x/7x6yyM2/LLT9h+cucdcR/f95YFP6Bn3L/
Q0TCmef9Jw6Js4+cPP76f8n7BfvLHuXcm+Q0PybvZ94vaYFzjz1++nZS/5Jz+fND/1Hk9yWF9n08
+JYh/KP/9j7WPX3iIeK0/vX/AAAA//8=</cx:binary>
              </cx:geoCache>
            </cx:geography>
          </cx:layoutPr>
        </cx:series>
      </cx:plotAreaRegion>
    </cx:plotArea>
    <cx:legend pos="r" align="min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alpha val="0"/>
            </a:schemeClr>
          </a:gs>
          <a:gs pos="50000">
            <a:schemeClr val="phClr"/>
          </a:gs>
        </a:gsLst>
        <a:lin ang="5400000" scaled="0"/>
      </a:gradFill>
      <a:sp3d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2" Type="http://schemas.openxmlformats.org/officeDocument/2006/relationships/image" Target="../media/image21.png"/><Relationship Id="rId1" Type="http://schemas.openxmlformats.org/officeDocument/2006/relationships/image" Target="../media/image20.png"/><Relationship Id="rId6" Type="http://schemas.openxmlformats.org/officeDocument/2006/relationships/image" Target="../media/image25.svg"/><Relationship Id="rId5" Type="http://schemas.openxmlformats.org/officeDocument/2006/relationships/image" Target="../media/image24.svg"/><Relationship Id="rId10" Type="http://schemas.openxmlformats.org/officeDocument/2006/relationships/image" Target="../media/image29.emf"/><Relationship Id="rId4" Type="http://schemas.openxmlformats.org/officeDocument/2006/relationships/image" Target="../media/image23.png"/><Relationship Id="rId9" Type="http://schemas.openxmlformats.org/officeDocument/2006/relationships/image" Target="../media/image28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png"/><Relationship Id="rId2" Type="http://schemas.openxmlformats.org/officeDocument/2006/relationships/image" Target="../media/image33.png"/><Relationship Id="rId1" Type="http://schemas.openxmlformats.org/officeDocument/2006/relationships/image" Target="../media/image32.png"/><Relationship Id="rId4" Type="http://schemas.microsoft.com/office/2007/relationships/hdphoto" Target="../media/hdphoto1.wdp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6.svg"/><Relationship Id="rId1" Type="http://schemas.openxmlformats.org/officeDocument/2006/relationships/image" Target="../media/image3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2.png"/><Relationship Id="rId1" Type="http://schemas.openxmlformats.org/officeDocument/2006/relationships/image" Target="../media/image3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svg"/><Relationship Id="rId2" Type="http://schemas.openxmlformats.org/officeDocument/2006/relationships/image" Target="../media/image39.png"/><Relationship Id="rId1" Type="http://schemas.openxmlformats.org/officeDocument/2006/relationships/chart" Target="../charts/chart1.xml"/><Relationship Id="rId4" Type="http://schemas.openxmlformats.org/officeDocument/2006/relationships/chart" Target="../charts/chart2.xml"/></Relationships>
</file>

<file path=xl/drawings/_rels/drawing10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4.emf"/><Relationship Id="rId18" Type="http://schemas.openxmlformats.org/officeDocument/2006/relationships/image" Target="../media/image1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17" Type="http://schemas.openxmlformats.org/officeDocument/2006/relationships/image" Target="../media/image18.emf"/><Relationship Id="rId2" Type="http://schemas.openxmlformats.org/officeDocument/2006/relationships/image" Target="../media/image3.emf"/><Relationship Id="rId16" Type="http://schemas.openxmlformats.org/officeDocument/2006/relationships/image" Target="../media/image17.emf"/><Relationship Id="rId20" Type="http://schemas.openxmlformats.org/officeDocument/2006/relationships/image" Target="../media/image31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5" Type="http://schemas.openxmlformats.org/officeDocument/2006/relationships/image" Target="../media/image16.emf"/><Relationship Id="rId10" Type="http://schemas.openxmlformats.org/officeDocument/2006/relationships/image" Target="../media/image11.emf"/><Relationship Id="rId19" Type="http://schemas.openxmlformats.org/officeDocument/2006/relationships/image" Target="../media/image30.emf"/><Relationship Id="rId4" Type="http://schemas.openxmlformats.org/officeDocument/2006/relationships/image" Target="../media/image5.emf"/><Relationship Id="rId9" Type="http://schemas.openxmlformats.org/officeDocument/2006/relationships/image" Target="../media/image10.emf"/><Relationship Id="rId14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367393</xdr:colOff>
      <xdr:row>0</xdr:row>
      <xdr:rowOff>13607</xdr:rowOff>
    </xdr:from>
    <xdr:to>
      <xdr:col>17</xdr:col>
      <xdr:colOff>13608</xdr:colOff>
      <xdr:row>39</xdr:row>
      <xdr:rowOff>258535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58585DC1-81C3-FEFB-6E9A-C952380D1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6679" y="13607"/>
          <a:ext cx="7511143" cy="7837714"/>
        </a:xfrm>
        <a:prstGeom prst="rect">
          <a:avLst/>
        </a:prstGeom>
      </xdr:spPr>
    </xdr:pic>
    <xdr:clientData/>
  </xdr:twoCellAnchor>
  <xdr:twoCellAnchor>
    <xdr:from>
      <xdr:col>0</xdr:col>
      <xdr:colOff>366384</xdr:colOff>
      <xdr:row>2</xdr:row>
      <xdr:rowOff>66262</xdr:rowOff>
    </xdr:from>
    <xdr:to>
      <xdr:col>1</xdr:col>
      <xdr:colOff>265044</xdr:colOff>
      <xdr:row>4</xdr:row>
      <xdr:rowOff>182218</xdr:rowOff>
    </xdr:to>
    <xdr:sp macro="" textlink="">
      <xdr:nvSpPr>
        <xdr:cNvPr id="11" name="Pentágono 10">
          <a:extLst>
            <a:ext uri="{FF2B5EF4-FFF2-40B4-BE49-F238E27FC236}">
              <a16:creationId xmlns:a16="http://schemas.microsoft.com/office/drawing/2014/main" id="{934F4253-354F-E0F2-7601-A129DCF97CC6}"/>
            </a:ext>
          </a:extLst>
        </xdr:cNvPr>
        <xdr:cNvSpPr>
          <a:spLocks noChangeAspect="1"/>
        </xdr:cNvSpPr>
      </xdr:nvSpPr>
      <xdr:spPr>
        <a:xfrm>
          <a:off x="366384" y="455545"/>
          <a:ext cx="511573" cy="496956"/>
        </a:xfrm>
        <a:prstGeom prst="pentagon">
          <a:avLst/>
        </a:prstGeom>
        <a:noFill/>
        <a:ln w="19050">
          <a:solidFill>
            <a:schemeClr val="bg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389282</xdr:colOff>
      <xdr:row>2</xdr:row>
      <xdr:rowOff>140804</xdr:rowOff>
    </xdr:from>
    <xdr:to>
      <xdr:col>1</xdr:col>
      <xdr:colOff>198782</xdr:colOff>
      <xdr:row>4</xdr:row>
      <xdr:rowOff>149087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7BE4C810-635F-7D59-D65D-6685740C15E1}"/>
            </a:ext>
          </a:extLst>
        </xdr:cNvPr>
        <xdr:cNvSpPr txBox="1"/>
      </xdr:nvSpPr>
      <xdr:spPr>
        <a:xfrm>
          <a:off x="389282" y="530087"/>
          <a:ext cx="422413" cy="3892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W</a:t>
          </a:r>
          <a:endParaRPr lang="pt-BR" sz="12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134702</xdr:colOff>
      <xdr:row>7</xdr:row>
      <xdr:rowOff>97748</xdr:rowOff>
    </xdr:from>
    <xdr:to>
      <xdr:col>7</xdr:col>
      <xdr:colOff>322677</xdr:colOff>
      <xdr:row>30</xdr:row>
      <xdr:rowOff>63013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6AC7782-BC66-4416-9CAD-270BCC07EC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4702" y="1464378"/>
          <a:ext cx="4478366" cy="4413026"/>
        </a:xfrm>
        <a:prstGeom prst="rect">
          <a:avLst/>
        </a:prstGeom>
      </xdr:spPr>
    </xdr:pic>
    <xdr:clientData/>
  </xdr:twoCellAnchor>
  <xdr:twoCellAnchor>
    <xdr:from>
      <xdr:col>1</xdr:col>
      <xdr:colOff>471280</xdr:colOff>
      <xdr:row>7</xdr:row>
      <xdr:rowOff>6061</xdr:rowOff>
    </xdr:from>
    <xdr:to>
      <xdr:col>1</xdr:col>
      <xdr:colOff>578653</xdr:colOff>
      <xdr:row>12</xdr:row>
      <xdr:rowOff>16076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41D2ED6F-6A9B-4AEA-86DF-53BD7A988296}"/>
            </a:ext>
          </a:extLst>
        </xdr:cNvPr>
        <xdr:cNvCxnSpPr>
          <a:endCxn id="6" idx="2"/>
        </xdr:cNvCxnSpPr>
      </xdr:nvCxnSpPr>
      <xdr:spPr>
        <a:xfrm flipH="1" flipV="1">
          <a:off x="1084193" y="1372691"/>
          <a:ext cx="107373" cy="100392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256761</xdr:colOff>
      <xdr:row>13</xdr:row>
      <xdr:rowOff>108927</xdr:rowOff>
    </xdr:from>
    <xdr:to>
      <xdr:col>8</xdr:col>
      <xdr:colOff>69180</xdr:colOff>
      <xdr:row>14</xdr:row>
      <xdr:rowOff>0</xdr:rowOff>
    </xdr:to>
    <xdr:cxnSp macro="">
      <xdr:nvCxnSpPr>
        <xdr:cNvPr id="9" name="Conector de Seta Reta 8">
          <a:extLst>
            <a:ext uri="{FF2B5EF4-FFF2-40B4-BE49-F238E27FC236}">
              <a16:creationId xmlns:a16="http://schemas.microsoft.com/office/drawing/2014/main" id="{6D12E348-BEE1-45F9-8253-F1457A795D0B}"/>
            </a:ext>
          </a:extLst>
        </xdr:cNvPr>
        <xdr:cNvCxnSpPr>
          <a:endCxn id="12" idx="1"/>
        </xdr:cNvCxnSpPr>
      </xdr:nvCxnSpPr>
      <xdr:spPr>
        <a:xfrm flipV="1">
          <a:off x="4547152" y="2668253"/>
          <a:ext cx="425332" cy="8985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74050</xdr:colOff>
      <xdr:row>23</xdr:row>
      <xdr:rowOff>140336</xdr:rowOff>
    </xdr:from>
    <xdr:to>
      <xdr:col>7</xdr:col>
      <xdr:colOff>99392</xdr:colOff>
      <xdr:row>26</xdr:row>
      <xdr:rowOff>33131</xdr:rowOff>
    </xdr:to>
    <xdr:cxnSp macro="">
      <xdr:nvCxnSpPr>
        <xdr:cNvPr id="20" name="Conector de Seta Reta 19">
          <a:extLst>
            <a:ext uri="{FF2B5EF4-FFF2-40B4-BE49-F238E27FC236}">
              <a16:creationId xmlns:a16="http://schemas.microsoft.com/office/drawing/2014/main" id="{633AFFF0-C8D3-4ED0-997A-D3A593882C08}"/>
            </a:ext>
          </a:extLst>
        </xdr:cNvPr>
        <xdr:cNvCxnSpPr/>
      </xdr:nvCxnSpPr>
      <xdr:spPr>
        <a:xfrm>
          <a:off x="3138615" y="4621227"/>
          <a:ext cx="1251168" cy="46429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535669</xdr:colOff>
      <xdr:row>19</xdr:row>
      <xdr:rowOff>2388</xdr:rowOff>
    </xdr:from>
    <xdr:to>
      <xdr:col>7</xdr:col>
      <xdr:colOff>415075</xdr:colOff>
      <xdr:row>19</xdr:row>
      <xdr:rowOff>38795</xdr:rowOff>
    </xdr:to>
    <xdr:cxnSp macro="">
      <xdr:nvCxnSpPr>
        <xdr:cNvPr id="30" name="Conector de Seta Reta 29">
          <a:extLst>
            <a:ext uri="{FF2B5EF4-FFF2-40B4-BE49-F238E27FC236}">
              <a16:creationId xmlns:a16="http://schemas.microsoft.com/office/drawing/2014/main" id="{D5922DAE-0A2E-405F-8A71-6EBC196C0846}"/>
            </a:ext>
          </a:extLst>
        </xdr:cNvPr>
        <xdr:cNvCxnSpPr>
          <a:endCxn id="32" idx="1"/>
        </xdr:cNvCxnSpPr>
      </xdr:nvCxnSpPr>
      <xdr:spPr>
        <a:xfrm>
          <a:off x="2960214" y="3829706"/>
          <a:ext cx="1697816" cy="3640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459382</xdr:colOff>
      <xdr:row>11</xdr:row>
      <xdr:rowOff>16275</xdr:rowOff>
    </xdr:from>
    <xdr:to>
      <xdr:col>10</xdr:col>
      <xdr:colOff>245999</xdr:colOff>
      <xdr:row>16</xdr:row>
      <xdr:rowOff>11079</xdr:rowOff>
    </xdr:to>
    <xdr:grpSp>
      <xdr:nvGrpSpPr>
        <xdr:cNvPr id="45" name="Agrupar 44">
          <a:extLst>
            <a:ext uri="{FF2B5EF4-FFF2-40B4-BE49-F238E27FC236}">
              <a16:creationId xmlns:a16="http://schemas.microsoft.com/office/drawing/2014/main" id="{3316317A-2EA6-6570-7497-F89AA0F3B209}"/>
            </a:ext>
          </a:extLst>
        </xdr:cNvPr>
        <xdr:cNvGrpSpPr/>
      </xdr:nvGrpSpPr>
      <xdr:grpSpPr>
        <a:xfrm>
          <a:off x="4749773" y="2178036"/>
          <a:ext cx="1625356" cy="980434"/>
          <a:chOff x="4782904" y="2045514"/>
          <a:chExt cx="1625356" cy="980434"/>
        </a:xfrm>
      </xdr:grpSpPr>
      <xdr:grpSp>
        <xdr:nvGrpSpPr>
          <xdr:cNvPr id="11" name="Agrupar 10">
            <a:extLst>
              <a:ext uri="{FF2B5EF4-FFF2-40B4-BE49-F238E27FC236}">
                <a16:creationId xmlns:a16="http://schemas.microsoft.com/office/drawing/2014/main" id="{6A99CF54-9B37-ADD3-36AB-298AC11B2F3A}"/>
              </a:ext>
            </a:extLst>
          </xdr:cNvPr>
          <xdr:cNvGrpSpPr/>
        </xdr:nvGrpSpPr>
        <xdr:grpSpPr>
          <a:xfrm>
            <a:off x="5005615" y="2045514"/>
            <a:ext cx="1402645" cy="980434"/>
            <a:chOff x="3178809" y="1532281"/>
            <a:chExt cx="1636674" cy="1126434"/>
          </a:xfrm>
        </xdr:grpSpPr>
        <xdr:sp macro="" textlink="">
          <xdr:nvSpPr>
            <xdr:cNvPr id="12" name="Retângulo: Cantos Arredondados 11">
              <a:extLst>
                <a:ext uri="{FF2B5EF4-FFF2-40B4-BE49-F238E27FC236}">
                  <a16:creationId xmlns:a16="http://schemas.microsoft.com/office/drawing/2014/main" id="{0E78092E-0F2B-95D9-74C2-AB511C332A52}"/>
                </a:ext>
              </a:extLst>
            </xdr:cNvPr>
            <xdr:cNvSpPr/>
          </xdr:nvSpPr>
          <xdr:spPr>
            <a:xfrm>
              <a:off x="3178809" y="1532281"/>
              <a:ext cx="1636674" cy="1126434"/>
            </a:xfrm>
            <a:prstGeom prst="roundRect">
              <a:avLst/>
            </a:prstGeom>
            <a:ln>
              <a:solidFill>
                <a:srgbClr val="00206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13" name="Gráfico 12" descr="Homem com preenchimento sólido">
              <a:extLst>
                <a:ext uri="{FF2B5EF4-FFF2-40B4-BE49-F238E27FC236}">
                  <a16:creationId xmlns:a16="http://schemas.microsoft.com/office/drawing/2014/main" id="{D00AE8C0-A028-85F5-720A-2B85DAC98AF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96DAC541-7B7A-43D3-8B79-37D633B846F1}">
                  <asvg:svgBlip xmlns:asvg="http://schemas.microsoft.com/office/drawing/2016/SVG/main" r:embed="rId3"/>
                </a:ext>
              </a:extLst>
            </a:blip>
            <a:stretch>
              <a:fillRect/>
            </a:stretch>
          </xdr:blipFill>
          <xdr:spPr>
            <a:xfrm>
              <a:off x="3196978" y="1666891"/>
              <a:ext cx="333804" cy="277728"/>
            </a:xfrm>
            <a:prstGeom prst="rect">
              <a:avLst/>
            </a:prstGeom>
          </xdr:spPr>
        </xdr:pic>
        <xdr:pic>
          <xdr:nvPicPr>
            <xdr:cNvPr id="14" name="Gráfico 13" descr="Carro com preenchimento sólido">
              <a:extLst>
                <a:ext uri="{FF2B5EF4-FFF2-40B4-BE49-F238E27FC236}">
                  <a16:creationId xmlns:a16="http://schemas.microsoft.com/office/drawing/2014/main" id="{A8251FE3-D38C-4FA9-F6BF-75DDFF65D44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96DAC541-7B7A-43D3-8B79-37D633B846F1}">
                  <asvg:svgBlip xmlns:asvg="http://schemas.microsoft.com/office/drawing/2016/SVG/main" r:embed="rId5"/>
                </a:ext>
              </a:extLst>
            </a:blip>
            <a:stretch>
              <a:fillRect/>
            </a:stretch>
          </xdr:blipFill>
          <xdr:spPr>
            <a:xfrm>
              <a:off x="3253845" y="2154621"/>
              <a:ext cx="287274" cy="281849"/>
            </a:xfrm>
            <a:prstGeom prst="rect">
              <a:avLst/>
            </a:prstGeom>
          </xdr:spPr>
        </xdr:pic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5" name="Button 3" hidden="1">
                <a:extLst>
                  <a:ext uri="{63B3BB69-23CF-44E3-9099-C40C66FF867C}">
                    <a14:compatExt spid="_x0000_s3075"/>
                  </a:ext>
                  <a:ext uri="{FF2B5EF4-FFF2-40B4-BE49-F238E27FC236}">
                    <a16:creationId xmlns:a16="http://schemas.microsoft.com/office/drawing/2014/main" id="{00000000-0008-0000-0100-0000030C0000}"/>
                  </a:ext>
                </a:extLst>
              </xdr:cNvPr>
              <xdr:cNvSpPr/>
            </xdr:nvSpPr>
            <xdr:spPr bwMode="auto">
              <a:xfrm>
                <a:off x="4782904" y="2196637"/>
                <a:ext cx="175964" cy="18806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8288" tIns="0" rIns="0" bIns="0" anchor="ctr" upright="1"/>
              <a:lstStyle/>
              <a:p>
                <a:pPr algn="ctr" rtl="0">
                  <a:defRPr sz="1000"/>
                </a:pPr>
                <a:endParaRPr lang="pt-BR"/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6" name="LabelResultado3" hidden="1">
                <a:extLst>
                  <a:ext uri="{63B3BB69-23CF-44E3-9099-C40C66FF867C}">
                    <a14:compatExt spid="_x0000_s3076"/>
                  </a:ext>
                  <a:ext uri="{FF2B5EF4-FFF2-40B4-BE49-F238E27FC236}">
                    <a16:creationId xmlns:a16="http://schemas.microsoft.com/office/drawing/2014/main" id="{00000000-0008-0000-0100-0000040C0000}"/>
                  </a:ext>
                </a:extLst>
              </xdr:cNvPr>
              <xdr:cNvSpPr/>
            </xdr:nvSpPr>
            <xdr:spPr bwMode="auto">
              <a:xfrm>
                <a:off x="5374849" y="2117053"/>
                <a:ext cx="961042" cy="39593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7</xdr:col>
      <xdr:colOff>147712</xdr:colOff>
      <xdr:row>22</xdr:row>
      <xdr:rowOff>188473</xdr:rowOff>
    </xdr:from>
    <xdr:to>
      <xdr:col>9</xdr:col>
      <xdr:colOff>513520</xdr:colOff>
      <xdr:row>33</xdr:row>
      <xdr:rowOff>41412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D5371FFA-6394-4F1F-A7FB-52317E351D22}"/>
            </a:ext>
          </a:extLst>
        </xdr:cNvPr>
        <xdr:cNvGrpSpPr>
          <a:grpSpLocks noChangeAspect="1"/>
        </xdr:cNvGrpSpPr>
      </xdr:nvGrpSpPr>
      <xdr:grpSpPr>
        <a:xfrm>
          <a:off x="4438103" y="4478864"/>
          <a:ext cx="1591634" cy="1948439"/>
          <a:chOff x="10877549" y="7455834"/>
          <a:chExt cx="2148882" cy="2670926"/>
        </a:xfrm>
      </xdr:grpSpPr>
      <xdr:sp macro="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62B19C35-A54F-14AB-F330-D16888205F17}"/>
              </a:ext>
            </a:extLst>
          </xdr:cNvPr>
          <xdr:cNvSpPr/>
        </xdr:nvSpPr>
        <xdr:spPr>
          <a:xfrm>
            <a:off x="10877549" y="7455834"/>
            <a:ext cx="1877333" cy="2670926"/>
          </a:xfrm>
          <a:prstGeom prst="roundRect">
            <a:avLst/>
          </a:prstGeom>
          <a:ln>
            <a:solidFill>
              <a:srgbClr val="00206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3" name="Gráfico 22" descr="Homem com preenchimento sólido">
            <a:extLst>
              <a:ext uri="{FF2B5EF4-FFF2-40B4-BE49-F238E27FC236}">
                <a16:creationId xmlns:a16="http://schemas.microsoft.com/office/drawing/2014/main" id="{A86A62A0-C81A-76EB-2199-36FD751EED6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0892762" y="7647018"/>
            <a:ext cx="336552" cy="297179"/>
          </a:xfrm>
          <a:prstGeom prst="rect">
            <a:avLst/>
          </a:prstGeom>
        </xdr:spPr>
      </xdr:pic>
      <xdr:pic>
        <xdr:nvPicPr>
          <xdr:cNvPr id="24" name="Gráfico 23" descr="Carro com preenchimento sólido">
            <a:extLst>
              <a:ext uri="{FF2B5EF4-FFF2-40B4-BE49-F238E27FC236}">
                <a16:creationId xmlns:a16="http://schemas.microsoft.com/office/drawing/2014/main" id="{000CF94F-BAC1-36FF-74E7-533F1A885A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0903684" y="8609019"/>
            <a:ext cx="311194" cy="389001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9" name="Button 7" hidden="1">
                <a:extLst>
                  <a:ext uri="{63B3BB69-23CF-44E3-9099-C40C66FF867C}">
                    <a14:compatExt spid="_x0000_s3079"/>
                  </a:ext>
                  <a:ext uri="{FF2B5EF4-FFF2-40B4-BE49-F238E27FC236}">
                    <a16:creationId xmlns:a16="http://schemas.microsoft.com/office/drawing/2014/main" id="{00000000-0008-0000-0100-0000070C0000}"/>
                  </a:ext>
                </a:extLst>
              </xdr:cNvPr>
              <xdr:cNvSpPr/>
            </xdr:nvSpPr>
            <xdr:spPr bwMode="auto">
              <a:xfrm>
                <a:off x="12811071" y="7903797"/>
                <a:ext cx="215360" cy="22469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endPara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  <a:p>
                <a:pPr algn="ctr" rtl="0">
                  <a:defRPr sz="1000"/>
                </a:pPr>
                <a:endPara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80" name="LabelResultado5" hidden="1">
                <a:extLst>
                  <a:ext uri="{63B3BB69-23CF-44E3-9099-C40C66FF867C}">
                    <a14:compatExt spid="_x0000_s3080"/>
                  </a:ext>
                  <a:ext uri="{FF2B5EF4-FFF2-40B4-BE49-F238E27FC236}">
                    <a16:creationId xmlns:a16="http://schemas.microsoft.com/office/drawing/2014/main" id="{00000000-0008-0000-0100-0000080C0000}"/>
                  </a:ext>
                </a:extLst>
              </xdr:cNvPr>
              <xdr:cNvSpPr/>
            </xdr:nvSpPr>
            <xdr:spPr bwMode="auto">
              <a:xfrm>
                <a:off x="11277783" y="7488051"/>
                <a:ext cx="1278988" cy="143520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432157</xdr:colOff>
      <xdr:row>27</xdr:row>
      <xdr:rowOff>66551</xdr:rowOff>
    </xdr:from>
    <xdr:to>
      <xdr:col>7</xdr:col>
      <xdr:colOff>91245</xdr:colOff>
      <xdr:row>35</xdr:row>
      <xdr:rowOff>24846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1D1A856E-B289-4768-9A9D-A25988119E91}"/>
            </a:ext>
          </a:extLst>
        </xdr:cNvPr>
        <xdr:cNvGrpSpPr>
          <a:grpSpLocks noChangeAspect="1"/>
        </xdr:cNvGrpSpPr>
      </xdr:nvGrpSpPr>
      <xdr:grpSpPr>
        <a:xfrm>
          <a:off x="2883809" y="5309442"/>
          <a:ext cx="1497827" cy="1482295"/>
          <a:chOff x="10857901" y="7601809"/>
          <a:chExt cx="1816829" cy="1566133"/>
        </a:xfrm>
      </xdr:grpSpPr>
      <xdr:sp macro="" textlink="">
        <xdr:nvSpPr>
          <xdr:cNvPr id="26" name="Retângulo: Cantos Arredondados 25">
            <a:extLst>
              <a:ext uri="{FF2B5EF4-FFF2-40B4-BE49-F238E27FC236}">
                <a16:creationId xmlns:a16="http://schemas.microsoft.com/office/drawing/2014/main" id="{52FAD5DF-22DB-4544-FEE4-EC5A63F7D210}"/>
              </a:ext>
            </a:extLst>
          </xdr:cNvPr>
          <xdr:cNvSpPr/>
        </xdr:nvSpPr>
        <xdr:spPr>
          <a:xfrm>
            <a:off x="10877550" y="7601809"/>
            <a:ext cx="1561771" cy="1566133"/>
          </a:xfrm>
          <a:prstGeom prst="roundRect">
            <a:avLst/>
          </a:prstGeom>
          <a:ln>
            <a:solidFill>
              <a:srgbClr val="00206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7" name="Gráfico 26" descr="Homem com preenchimento sólido">
            <a:extLst>
              <a:ext uri="{FF2B5EF4-FFF2-40B4-BE49-F238E27FC236}">
                <a16:creationId xmlns:a16="http://schemas.microsoft.com/office/drawing/2014/main" id="{6EA4AE2E-4BB7-9AB1-1220-AEA4D24AF8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0857901" y="7805339"/>
            <a:ext cx="357040" cy="297179"/>
          </a:xfrm>
          <a:prstGeom prst="rect">
            <a:avLst/>
          </a:prstGeom>
        </xdr:spPr>
      </xdr:pic>
      <xdr:pic>
        <xdr:nvPicPr>
          <xdr:cNvPr id="28" name="Gráfico 27" descr="Carro com preenchimento sólido">
            <a:extLst>
              <a:ext uri="{FF2B5EF4-FFF2-40B4-BE49-F238E27FC236}">
                <a16:creationId xmlns:a16="http://schemas.microsoft.com/office/drawing/2014/main" id="{515A40CC-B618-ACA3-6F86-28F4978B177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0896517" y="8418546"/>
            <a:ext cx="281102" cy="30370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81" name="Button 9" hidden="1">
                <a:extLst>
                  <a:ext uri="{63B3BB69-23CF-44E3-9099-C40C66FF867C}">
                    <a14:compatExt spid="_x0000_s3081"/>
                  </a:ext>
                  <a:ext uri="{FF2B5EF4-FFF2-40B4-BE49-F238E27FC236}">
                    <a16:creationId xmlns:a16="http://schemas.microsoft.com/office/drawing/2014/main" id="{00000000-0008-0000-0100-0000090C0000}"/>
                  </a:ext>
                </a:extLst>
              </xdr:cNvPr>
              <xdr:cNvSpPr/>
            </xdr:nvSpPr>
            <xdr:spPr bwMode="auto">
              <a:xfrm>
                <a:off x="12493757" y="7888551"/>
                <a:ext cx="180973" cy="1714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endPara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  <a:p>
                <a:pPr algn="ctr" rtl="0">
                  <a:defRPr sz="1000"/>
                </a:pPr>
                <a:endPara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82" name="LabelResultado6" hidden="1">
                <a:extLst>
                  <a:ext uri="{63B3BB69-23CF-44E3-9099-C40C66FF867C}">
                    <a14:compatExt spid="_x0000_s3082"/>
                  </a:ext>
                  <a:ext uri="{FF2B5EF4-FFF2-40B4-BE49-F238E27FC236}">
                    <a16:creationId xmlns:a16="http://schemas.microsoft.com/office/drawing/2014/main" id="{00000000-0008-0000-0100-00000A0C0000}"/>
                  </a:ext>
                </a:extLst>
              </xdr:cNvPr>
              <xdr:cNvSpPr/>
            </xdr:nvSpPr>
            <xdr:spPr bwMode="auto">
              <a:xfrm>
                <a:off x="11175118" y="7629894"/>
                <a:ext cx="886601" cy="86421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93760</xdr:colOff>
      <xdr:row>22</xdr:row>
      <xdr:rowOff>115731</xdr:rowOff>
    </xdr:from>
    <xdr:to>
      <xdr:col>2</xdr:col>
      <xdr:colOff>306458</xdr:colOff>
      <xdr:row>29</xdr:row>
      <xdr:rowOff>8283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CB2C5CCE-19AB-479C-96EF-2022DFDD00DF}"/>
            </a:ext>
          </a:extLst>
        </xdr:cNvPr>
        <xdr:cNvGrpSpPr>
          <a:grpSpLocks noChangeAspect="1"/>
        </xdr:cNvGrpSpPr>
      </xdr:nvGrpSpPr>
      <xdr:grpSpPr>
        <a:xfrm>
          <a:off x="93760" y="4406122"/>
          <a:ext cx="1438524" cy="1226052"/>
          <a:chOff x="10639529" y="7600969"/>
          <a:chExt cx="2459070" cy="1825727"/>
        </a:xfrm>
      </xdr:grpSpPr>
      <xdr:sp macro="" textlink="">
        <xdr:nvSpPr>
          <xdr:cNvPr id="37" name="Retângulo: Cantos Arredondados 36">
            <a:extLst>
              <a:ext uri="{FF2B5EF4-FFF2-40B4-BE49-F238E27FC236}">
                <a16:creationId xmlns:a16="http://schemas.microsoft.com/office/drawing/2014/main" id="{197277E9-2F5B-E947-5ABC-42712AAD81C5}"/>
              </a:ext>
            </a:extLst>
          </xdr:cNvPr>
          <xdr:cNvSpPr/>
        </xdr:nvSpPr>
        <xdr:spPr>
          <a:xfrm>
            <a:off x="10920887" y="7600969"/>
            <a:ext cx="2177712" cy="1825727"/>
          </a:xfrm>
          <a:prstGeom prst="roundRect">
            <a:avLst/>
          </a:prstGeom>
          <a:ln>
            <a:solidFill>
              <a:srgbClr val="00206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8" name="Gráfico 37" descr="Homem com preenchimento sólido">
            <a:extLst>
              <a:ext uri="{FF2B5EF4-FFF2-40B4-BE49-F238E27FC236}">
                <a16:creationId xmlns:a16="http://schemas.microsoft.com/office/drawing/2014/main" id="{62894455-6EDC-4F33-6827-B27792DEAC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0892762" y="7696493"/>
            <a:ext cx="357039" cy="317869"/>
          </a:xfrm>
          <a:prstGeom prst="rect">
            <a:avLst/>
          </a:prstGeom>
        </xdr:spPr>
      </xdr:pic>
      <xdr:pic>
        <xdr:nvPicPr>
          <xdr:cNvPr id="39" name="Gráfico 38" descr="Carro com preenchimento sólido">
            <a:extLst>
              <a:ext uri="{FF2B5EF4-FFF2-40B4-BE49-F238E27FC236}">
                <a16:creationId xmlns:a16="http://schemas.microsoft.com/office/drawing/2014/main" id="{9EFB6437-FBF7-9555-707C-2F1776EA36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0936719" y="8665061"/>
            <a:ext cx="309429" cy="30370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85" name="Button 13" hidden="1">
                <a:extLst>
                  <a:ext uri="{63B3BB69-23CF-44E3-9099-C40C66FF867C}">
                    <a14:compatExt spid="_x0000_s3085"/>
                  </a:ext>
                  <a:ext uri="{FF2B5EF4-FFF2-40B4-BE49-F238E27FC236}">
                    <a16:creationId xmlns:a16="http://schemas.microsoft.com/office/drawing/2014/main" id="{00000000-0008-0000-0100-00000D0C0000}"/>
                  </a:ext>
                </a:extLst>
              </xdr:cNvPr>
              <xdr:cNvSpPr/>
            </xdr:nvSpPr>
            <xdr:spPr bwMode="auto">
              <a:xfrm>
                <a:off x="10639529" y="7862165"/>
                <a:ext cx="236544" cy="19361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endPara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  <a:p>
                <a:pPr algn="ctr" rtl="0">
                  <a:defRPr sz="1000"/>
                </a:pPr>
                <a:endPara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86" name="LabelResultado8" hidden="1">
                <a:extLst>
                  <a:ext uri="{63B3BB69-23CF-44E3-9099-C40C66FF867C}">
                    <a14:compatExt spid="_x0000_s3086"/>
                  </a:ext>
                  <a:ext uri="{FF2B5EF4-FFF2-40B4-BE49-F238E27FC236}">
                    <a16:creationId xmlns:a16="http://schemas.microsoft.com/office/drawing/2014/main" id="{00000000-0008-0000-0100-00000E0C0000}"/>
                  </a:ext>
                </a:extLst>
              </xdr:cNvPr>
              <xdr:cNvSpPr/>
            </xdr:nvSpPr>
            <xdr:spPr bwMode="auto">
              <a:xfrm>
                <a:off x="11268073" y="7677707"/>
                <a:ext cx="1703099" cy="102129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184925</xdr:colOff>
      <xdr:row>18</xdr:row>
      <xdr:rowOff>28883</xdr:rowOff>
    </xdr:from>
    <xdr:to>
      <xdr:col>2</xdr:col>
      <xdr:colOff>237172</xdr:colOff>
      <xdr:row>22</xdr:row>
      <xdr:rowOff>18047</xdr:rowOff>
    </xdr:to>
    <xdr:grpSp>
      <xdr:nvGrpSpPr>
        <xdr:cNvPr id="41" name="Agrupar 40">
          <a:extLst>
            <a:ext uri="{FF2B5EF4-FFF2-40B4-BE49-F238E27FC236}">
              <a16:creationId xmlns:a16="http://schemas.microsoft.com/office/drawing/2014/main" id="{D32FA2E9-C174-42E0-B211-A3DC5D728059}"/>
            </a:ext>
          </a:extLst>
        </xdr:cNvPr>
        <xdr:cNvGrpSpPr>
          <a:grpSpLocks noChangeAspect="1"/>
        </xdr:cNvGrpSpPr>
      </xdr:nvGrpSpPr>
      <xdr:grpSpPr>
        <a:xfrm>
          <a:off x="184925" y="3557274"/>
          <a:ext cx="1278073" cy="751164"/>
          <a:chOff x="10672779" y="7584435"/>
          <a:chExt cx="1551667" cy="793648"/>
        </a:xfrm>
      </xdr:grpSpPr>
      <xdr:sp macro="" textlink="">
        <xdr:nvSpPr>
          <xdr:cNvPr id="42" name="Retângulo: Cantos Arredondados 41">
            <a:extLst>
              <a:ext uri="{FF2B5EF4-FFF2-40B4-BE49-F238E27FC236}">
                <a16:creationId xmlns:a16="http://schemas.microsoft.com/office/drawing/2014/main" id="{903ECDA3-9B1D-0168-794B-D9B2469C02CD}"/>
              </a:ext>
            </a:extLst>
          </xdr:cNvPr>
          <xdr:cNvSpPr/>
        </xdr:nvSpPr>
        <xdr:spPr>
          <a:xfrm>
            <a:off x="10869551" y="7584435"/>
            <a:ext cx="1354895" cy="793648"/>
          </a:xfrm>
          <a:prstGeom prst="roundRect">
            <a:avLst/>
          </a:prstGeom>
          <a:ln>
            <a:solidFill>
              <a:srgbClr val="00206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3" name="Gráfico 42" descr="Homem com preenchimento sólido">
            <a:extLst>
              <a:ext uri="{FF2B5EF4-FFF2-40B4-BE49-F238E27FC236}">
                <a16:creationId xmlns:a16="http://schemas.microsoft.com/office/drawing/2014/main" id="{0CCA9D1A-C99E-EAB6-84E4-B7B37F984EB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0868769" y="7701613"/>
            <a:ext cx="296212" cy="246551"/>
          </a:xfrm>
          <a:prstGeom prst="rect">
            <a:avLst/>
          </a:prstGeom>
        </xdr:spPr>
      </xdr:pic>
      <xdr:pic>
        <xdr:nvPicPr>
          <xdr:cNvPr id="44" name="Gráfico 43" descr="Carro com preenchimento sólido">
            <a:extLst>
              <a:ext uri="{FF2B5EF4-FFF2-40B4-BE49-F238E27FC236}">
                <a16:creationId xmlns:a16="http://schemas.microsoft.com/office/drawing/2014/main" id="{84711FEB-54B8-DF66-7FD7-198DF27AFA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0890821" y="8015516"/>
            <a:ext cx="253626" cy="248937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87" name="Button 15" hidden="1">
                <a:extLst>
                  <a:ext uri="{63B3BB69-23CF-44E3-9099-C40C66FF867C}">
                    <a14:compatExt spid="_x0000_s3087"/>
                  </a:ext>
                  <a:ext uri="{FF2B5EF4-FFF2-40B4-BE49-F238E27FC236}">
                    <a16:creationId xmlns:a16="http://schemas.microsoft.com/office/drawing/2014/main" id="{00000000-0008-0000-0100-00000F0C0000}"/>
                  </a:ext>
                </a:extLst>
              </xdr:cNvPr>
              <xdr:cNvSpPr/>
            </xdr:nvSpPr>
            <xdr:spPr bwMode="auto">
              <a:xfrm>
                <a:off x="10672779" y="7722956"/>
                <a:ext cx="163700" cy="14391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endPara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  <a:p>
                <a:pPr algn="ctr" rtl="0">
                  <a:defRPr sz="1000"/>
                </a:pPr>
                <a:endPara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88" name="LabelResultado9" hidden="1">
                <a:extLst>
                  <a:ext uri="{63B3BB69-23CF-44E3-9099-C40C66FF867C}">
                    <a14:compatExt spid="_x0000_s3088"/>
                  </a:ext>
                  <a:ext uri="{FF2B5EF4-FFF2-40B4-BE49-F238E27FC236}">
                    <a16:creationId xmlns:a16="http://schemas.microsoft.com/office/drawing/2014/main" id="{00000000-0008-0000-0100-0000100C0000}"/>
                  </a:ext>
                </a:extLst>
              </xdr:cNvPr>
              <xdr:cNvSpPr/>
            </xdr:nvSpPr>
            <xdr:spPr bwMode="auto">
              <a:xfrm>
                <a:off x="11160481" y="7622288"/>
                <a:ext cx="1031981" cy="31519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</xdr:col>
      <xdr:colOff>527616</xdr:colOff>
      <xdr:row>30</xdr:row>
      <xdr:rowOff>89615</xdr:rowOff>
    </xdr:from>
    <xdr:to>
      <xdr:col>3</xdr:col>
      <xdr:colOff>546372</xdr:colOff>
      <xdr:row>36</xdr:row>
      <xdr:rowOff>149085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1E6CFDB3-2FF9-4A45-B0FD-CC2200098539}"/>
            </a:ext>
          </a:extLst>
        </xdr:cNvPr>
        <xdr:cNvGrpSpPr>
          <a:grpSpLocks noChangeAspect="1"/>
        </xdr:cNvGrpSpPr>
      </xdr:nvGrpSpPr>
      <xdr:grpSpPr>
        <a:xfrm>
          <a:off x="1140529" y="5904006"/>
          <a:ext cx="1244582" cy="1202470"/>
          <a:chOff x="10691998" y="7556003"/>
          <a:chExt cx="1761480" cy="1481700"/>
        </a:xfrm>
      </xdr:grpSpPr>
      <xdr:sp macro="" textlink="">
        <xdr:nvSpPr>
          <xdr:cNvPr id="47" name="Retângulo: Cantos Arredondados 46">
            <a:extLst>
              <a:ext uri="{FF2B5EF4-FFF2-40B4-BE49-F238E27FC236}">
                <a16:creationId xmlns:a16="http://schemas.microsoft.com/office/drawing/2014/main" id="{55D62703-F2BC-C45C-5E72-F9B831698826}"/>
              </a:ext>
            </a:extLst>
          </xdr:cNvPr>
          <xdr:cNvSpPr/>
        </xdr:nvSpPr>
        <xdr:spPr>
          <a:xfrm>
            <a:off x="10914839" y="7556003"/>
            <a:ext cx="1538639" cy="1481700"/>
          </a:xfrm>
          <a:prstGeom prst="roundRect">
            <a:avLst/>
          </a:prstGeom>
          <a:ln>
            <a:solidFill>
              <a:srgbClr val="00206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8" name="Gráfico 47" descr="Homem com preenchimento sólido">
            <a:extLst>
              <a:ext uri="{FF2B5EF4-FFF2-40B4-BE49-F238E27FC236}">
                <a16:creationId xmlns:a16="http://schemas.microsoft.com/office/drawing/2014/main" id="{5E7B8995-B74A-ECC1-230C-041ACA815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0892762" y="7647018"/>
            <a:ext cx="357039" cy="297179"/>
          </a:xfrm>
          <a:prstGeom prst="rect">
            <a:avLst/>
          </a:prstGeom>
        </xdr:spPr>
      </xdr:pic>
      <xdr:pic>
        <xdr:nvPicPr>
          <xdr:cNvPr id="49" name="Gráfico 48" descr="Carro com preenchimento sólido">
            <a:extLst>
              <a:ext uri="{FF2B5EF4-FFF2-40B4-BE49-F238E27FC236}">
                <a16:creationId xmlns:a16="http://schemas.microsoft.com/office/drawing/2014/main" id="{23445599-E39E-B5E3-30A0-FAD5C2871F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0914730" y="8220273"/>
            <a:ext cx="273116" cy="26806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89" name="Button 17" hidden="1">
                <a:extLst>
                  <a:ext uri="{63B3BB69-23CF-44E3-9099-C40C66FF867C}">
                    <a14:compatExt spid="_x0000_s3089"/>
                  </a:ext>
                  <a:ext uri="{FF2B5EF4-FFF2-40B4-BE49-F238E27FC236}">
                    <a16:creationId xmlns:a16="http://schemas.microsoft.com/office/drawing/2014/main" id="{00000000-0008-0000-0100-0000110C0000}"/>
                  </a:ext>
                </a:extLst>
              </xdr:cNvPr>
              <xdr:cNvSpPr/>
            </xdr:nvSpPr>
            <xdr:spPr bwMode="auto">
              <a:xfrm>
                <a:off x="10691998" y="7797771"/>
                <a:ext cx="180974" cy="1714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endPara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  <a:p>
                <a:pPr algn="ctr" rtl="0">
                  <a:defRPr sz="1000"/>
                </a:pPr>
                <a:endPara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90" name="LabelResultado7" hidden="1">
                <a:extLst>
                  <a:ext uri="{63B3BB69-23CF-44E3-9099-C40C66FF867C}">
                    <a14:compatExt spid="_x0000_s3090"/>
                  </a:ext>
                  <a:ext uri="{FF2B5EF4-FFF2-40B4-BE49-F238E27FC236}">
                    <a16:creationId xmlns:a16="http://schemas.microsoft.com/office/drawing/2014/main" id="{00000000-0008-0000-0100-0000120C0000}"/>
                  </a:ext>
                </a:extLst>
              </xdr:cNvPr>
              <xdr:cNvSpPr/>
            </xdr:nvSpPr>
            <xdr:spPr bwMode="auto">
              <a:xfrm>
                <a:off x="11186120" y="7598964"/>
                <a:ext cx="1113123" cy="63886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479228</xdr:colOff>
      <xdr:row>2</xdr:row>
      <xdr:rowOff>104393</xdr:rowOff>
    </xdr:from>
    <xdr:to>
      <xdr:col>3</xdr:col>
      <xdr:colOff>368998</xdr:colOff>
      <xdr:row>6</xdr:row>
      <xdr:rowOff>122342</xdr:rowOff>
    </xdr:to>
    <xdr:grpSp>
      <xdr:nvGrpSpPr>
        <xdr:cNvPr id="52" name="Agrupar 51">
          <a:extLst>
            <a:ext uri="{FF2B5EF4-FFF2-40B4-BE49-F238E27FC236}">
              <a16:creationId xmlns:a16="http://schemas.microsoft.com/office/drawing/2014/main" id="{D22862DD-C085-F218-8B1C-DDFF43EF05B5}"/>
            </a:ext>
          </a:extLst>
        </xdr:cNvPr>
        <xdr:cNvGrpSpPr/>
      </xdr:nvGrpSpPr>
      <xdr:grpSpPr>
        <a:xfrm>
          <a:off x="479228" y="485393"/>
          <a:ext cx="1728509" cy="804797"/>
          <a:chOff x="3537796" y="992488"/>
          <a:chExt cx="1689256" cy="906574"/>
        </a:xfrm>
      </xdr:grpSpPr>
      <xdr:grpSp>
        <xdr:nvGrpSpPr>
          <xdr:cNvPr id="4" name="Agrupar 3">
            <a:extLst>
              <a:ext uri="{FF2B5EF4-FFF2-40B4-BE49-F238E27FC236}">
                <a16:creationId xmlns:a16="http://schemas.microsoft.com/office/drawing/2014/main" id="{2440F407-82E9-4202-9D5C-070E08F5DA67}"/>
              </a:ext>
            </a:extLst>
          </xdr:cNvPr>
          <xdr:cNvGrpSpPr/>
        </xdr:nvGrpSpPr>
        <xdr:grpSpPr>
          <a:xfrm>
            <a:off x="3537796" y="992488"/>
            <a:ext cx="1682421" cy="906574"/>
            <a:chOff x="3414532" y="1706217"/>
            <a:chExt cx="1984703" cy="873654"/>
          </a:xfrm>
        </xdr:grpSpPr>
        <xdr:grpSp>
          <xdr:nvGrpSpPr>
            <xdr:cNvPr id="5" name="Agrupar 4">
              <a:extLst>
                <a:ext uri="{FF2B5EF4-FFF2-40B4-BE49-F238E27FC236}">
                  <a16:creationId xmlns:a16="http://schemas.microsoft.com/office/drawing/2014/main" id="{80758744-9054-5BD3-14A9-913F00304A90}"/>
                </a:ext>
              </a:extLst>
            </xdr:cNvPr>
            <xdr:cNvGrpSpPr/>
          </xdr:nvGrpSpPr>
          <xdr:grpSpPr>
            <a:xfrm>
              <a:off x="3414532" y="1706217"/>
              <a:ext cx="1738711" cy="873654"/>
              <a:chOff x="3178808" y="1532283"/>
              <a:chExt cx="2095977" cy="1012247"/>
            </a:xfrm>
          </xdr:grpSpPr>
          <xdr:sp macro="" textlink="">
            <xdr:nvSpPr>
              <xdr:cNvPr id="6" name="Retângulo: Cantos Arredondados 5">
                <a:extLst>
                  <a:ext uri="{FF2B5EF4-FFF2-40B4-BE49-F238E27FC236}">
                    <a16:creationId xmlns:a16="http://schemas.microsoft.com/office/drawing/2014/main" id="{BC24AAD7-1BAE-B62F-D8AD-64FBFB509F7C}"/>
                  </a:ext>
                </a:extLst>
              </xdr:cNvPr>
              <xdr:cNvSpPr/>
            </xdr:nvSpPr>
            <xdr:spPr>
              <a:xfrm>
                <a:off x="3178808" y="1532283"/>
                <a:ext cx="2095977" cy="1012247"/>
              </a:xfrm>
              <a:prstGeom prst="roundRect">
                <a:avLst/>
              </a:prstGeom>
              <a:ln>
                <a:solidFill>
                  <a:srgbClr val="002060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pic>
            <xdr:nvPicPr>
              <xdr:cNvPr id="7" name="Gráfico 6" descr="Homem com preenchimento sólido">
                <a:extLst>
                  <a:ext uri="{FF2B5EF4-FFF2-40B4-BE49-F238E27FC236}">
                    <a16:creationId xmlns:a16="http://schemas.microsoft.com/office/drawing/2014/main" id="{3FC103A3-E750-5BA8-FC2B-1D37214DD8FA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>
                <a:extLs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3215375" y="1680108"/>
                <a:ext cx="426454" cy="315598"/>
              </a:xfrm>
              <a:prstGeom prst="rect">
                <a:avLst/>
              </a:prstGeom>
            </xdr:spPr>
          </xdr:pic>
          <xdr:pic>
            <xdr:nvPicPr>
              <xdr:cNvPr id="8" name="Gráfico 7" descr="Carro com preenchimento sólido">
                <a:extLst>
                  <a:ext uri="{FF2B5EF4-FFF2-40B4-BE49-F238E27FC236}">
                    <a16:creationId xmlns:a16="http://schemas.microsoft.com/office/drawing/2014/main" id="{EF7FF402-3905-081B-1627-10C90A5534B6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extLs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3253845" y="2154620"/>
                <a:ext cx="369587" cy="362607"/>
              </a:xfrm>
              <a:prstGeom prst="rect">
                <a:avLst/>
              </a:prstGeom>
            </xdr:spPr>
          </xdr:pic>
        </xdr:grp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3073" name="Button 1" hidden="1">
                  <a:extLst>
                    <a:ext uri="{63B3BB69-23CF-44E3-9099-C40C66FF867C}">
                      <a14:compatExt spid="_x0000_s3073"/>
                    </a:ext>
                    <a:ext uri="{FF2B5EF4-FFF2-40B4-BE49-F238E27FC236}">
                      <a16:creationId xmlns:a16="http://schemas.microsoft.com/office/drawing/2014/main" id="{00000000-0008-0000-0100-0000010C0000}"/>
                    </a:ext>
                  </a:extLst>
                </xdr:cNvPr>
                <xdr:cNvSpPr/>
              </xdr:nvSpPr>
              <xdr:spPr bwMode="auto">
                <a:xfrm>
                  <a:off x="5199212" y="1898082"/>
                  <a:ext cx="200023" cy="180974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endParaRPr lang="pt-BR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endParaRPr>
                </a:p>
                <a:p>
                  <a:pPr algn="ctr" rtl="0">
                    <a:defRPr sz="1000"/>
                  </a:pPr>
                  <a:endParaRPr lang="pt-BR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endParaRPr>
                </a:p>
              </xdr:txBody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3074" name="LabelResultado1" hidden="1">
                  <a:extLst>
                    <a:ext uri="{63B3BB69-23CF-44E3-9099-C40C66FF867C}">
                      <a14:compatExt spid="_x0000_s3074"/>
                    </a:ext>
                    <a:ext uri="{FF2B5EF4-FFF2-40B4-BE49-F238E27FC236}">
                      <a16:creationId xmlns:a16="http://schemas.microsoft.com/office/drawing/2014/main" id="{00000000-0008-0000-0100-0000020C0000}"/>
                    </a:ext>
                  </a:extLst>
                </xdr:cNvPr>
                <xdr:cNvSpPr/>
              </xdr:nvSpPr>
              <xdr:spPr bwMode="auto">
                <a:xfrm>
                  <a:off x="3855431" y="1740763"/>
                  <a:ext cx="1195060" cy="415329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91" name="AtualizarArt1" hidden="1">
                <a:extLst>
                  <a:ext uri="{63B3BB69-23CF-44E3-9099-C40C66FF867C}">
                    <a14:compatExt spid="_x0000_s3091"/>
                  </a:ext>
                  <a:ext uri="{FF2B5EF4-FFF2-40B4-BE49-F238E27FC236}">
                    <a16:creationId xmlns:a16="http://schemas.microsoft.com/office/drawing/2014/main" id="{00000000-0008-0000-0100-0000130C0000}"/>
                  </a:ext>
                </a:extLst>
              </xdr:cNvPr>
              <xdr:cNvSpPr/>
            </xdr:nvSpPr>
            <xdr:spPr bwMode="auto">
              <a:xfrm>
                <a:off x="3914076" y="1484528"/>
                <a:ext cx="1012378" cy="38612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92" name="Button 20" hidden="1">
                <a:extLst>
                  <a:ext uri="{63B3BB69-23CF-44E3-9099-C40C66FF867C}">
                    <a14:compatExt spid="_x0000_s3092"/>
                  </a:ext>
                  <a:ext uri="{FF2B5EF4-FFF2-40B4-BE49-F238E27FC236}">
                    <a16:creationId xmlns:a16="http://schemas.microsoft.com/office/drawing/2014/main" id="{00000000-0008-0000-0100-0000140C0000}"/>
                  </a:ext>
                </a:extLst>
              </xdr:cNvPr>
              <xdr:cNvSpPr/>
            </xdr:nvSpPr>
            <xdr:spPr bwMode="auto">
              <a:xfrm>
                <a:off x="5055602" y="1553317"/>
                <a:ext cx="171450" cy="17877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endPara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  <a:p>
                <a:pPr algn="ctr" rtl="0">
                  <a:defRPr sz="1000"/>
                </a:pPr>
                <a:endPara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6</xdr:col>
      <xdr:colOff>47883</xdr:colOff>
      <xdr:row>3</xdr:row>
      <xdr:rowOff>188350</xdr:rowOff>
    </xdr:from>
    <xdr:to>
      <xdr:col>9</xdr:col>
      <xdr:colOff>58659</xdr:colOff>
      <xdr:row>9</xdr:row>
      <xdr:rowOff>152596</xdr:rowOff>
    </xdr:to>
    <xdr:grpSp>
      <xdr:nvGrpSpPr>
        <xdr:cNvPr id="56" name="Agrupar 55">
          <a:extLst>
            <a:ext uri="{FF2B5EF4-FFF2-40B4-BE49-F238E27FC236}">
              <a16:creationId xmlns:a16="http://schemas.microsoft.com/office/drawing/2014/main" id="{46FE0058-64B0-CB91-2C55-105D51433A51}"/>
            </a:ext>
          </a:extLst>
        </xdr:cNvPr>
        <xdr:cNvGrpSpPr>
          <a:grpSpLocks noChangeAspect="1"/>
        </xdr:cNvGrpSpPr>
      </xdr:nvGrpSpPr>
      <xdr:grpSpPr>
        <a:xfrm>
          <a:off x="3725361" y="759850"/>
          <a:ext cx="1849515" cy="1156942"/>
          <a:chOff x="8311244" y="1355422"/>
          <a:chExt cx="1844438" cy="1367414"/>
        </a:xfrm>
      </xdr:grpSpPr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id="{ED04710C-867A-40B0-B3D5-110983442EFB}"/>
              </a:ext>
            </a:extLst>
          </xdr:cNvPr>
          <xdr:cNvGrpSpPr/>
        </xdr:nvGrpSpPr>
        <xdr:grpSpPr>
          <a:xfrm>
            <a:off x="8311244" y="1355422"/>
            <a:ext cx="1831194" cy="1367414"/>
            <a:chOff x="7673069" y="791766"/>
            <a:chExt cx="1831194" cy="1525495"/>
          </a:xfrm>
        </xdr:grpSpPr>
        <xdr:sp macro="" textlink="">
          <xdr:nvSpPr>
            <xdr:cNvPr id="17" name="Retângulo: Cantos Arredondados 16">
              <a:extLst>
                <a:ext uri="{FF2B5EF4-FFF2-40B4-BE49-F238E27FC236}">
                  <a16:creationId xmlns:a16="http://schemas.microsoft.com/office/drawing/2014/main" id="{19188F77-2528-E852-65E3-6969A6677E77}"/>
                </a:ext>
              </a:extLst>
            </xdr:cNvPr>
            <xdr:cNvSpPr/>
          </xdr:nvSpPr>
          <xdr:spPr>
            <a:xfrm>
              <a:off x="7673069" y="791766"/>
              <a:ext cx="1594118" cy="1525495"/>
            </a:xfrm>
            <a:prstGeom prst="roundRect">
              <a:avLst/>
            </a:prstGeom>
            <a:ln>
              <a:solidFill>
                <a:srgbClr val="00206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18" name="Gráfico 17" descr="Homem com preenchimento sólido">
              <a:extLst>
                <a:ext uri="{FF2B5EF4-FFF2-40B4-BE49-F238E27FC236}">
                  <a16:creationId xmlns:a16="http://schemas.microsoft.com/office/drawing/2014/main" id="{9F56751A-AB34-B51C-1CBA-1CCD034B8C0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96DAC541-7B7A-43D3-8B79-37D633B846F1}">
                  <asvg:svgBlip xmlns:asvg="http://schemas.microsoft.com/office/drawing/2016/SVG/main" r:embed="rId3"/>
                </a:ext>
              </a:extLst>
            </a:blip>
            <a:stretch>
              <a:fillRect/>
            </a:stretch>
          </xdr:blipFill>
          <xdr:spPr>
            <a:xfrm>
              <a:off x="7694241" y="970359"/>
              <a:ext cx="306570" cy="305018"/>
            </a:xfrm>
            <a:prstGeom prst="rect">
              <a:avLst/>
            </a:prstGeom>
          </xdr:spPr>
        </xdr:pic>
        <xdr:pic>
          <xdr:nvPicPr>
            <xdr:cNvPr id="19" name="Gráfico 18" descr="Carro com preenchimento sólido">
              <a:extLst>
                <a:ext uri="{FF2B5EF4-FFF2-40B4-BE49-F238E27FC236}">
                  <a16:creationId xmlns:a16="http://schemas.microsoft.com/office/drawing/2014/main" id="{2B67BFE7-EDF4-8C5D-5242-FFE8F112B46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96DAC541-7B7A-43D3-8B79-37D633B846F1}">
                  <asvg:svgBlip xmlns:asvg="http://schemas.microsoft.com/office/drawing/2016/SVG/main" r:embed="rId5"/>
                </a:ext>
              </a:extLst>
            </a:blip>
            <a:stretch>
              <a:fillRect/>
            </a:stretch>
          </xdr:blipFill>
          <xdr:spPr>
            <a:xfrm>
              <a:off x="7707272" y="1681161"/>
              <a:ext cx="309212" cy="348691"/>
            </a:xfrm>
            <a:prstGeom prst="rect">
              <a:avLst/>
            </a:prstGeom>
          </xdr:spPr>
        </xdr:pic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3077" name="Button 5" hidden="1">
                  <a:extLst>
                    <a:ext uri="{63B3BB69-23CF-44E3-9099-C40C66FF867C}">
                      <a14:compatExt spid="_x0000_s3077"/>
                    </a:ext>
                    <a:ext uri="{FF2B5EF4-FFF2-40B4-BE49-F238E27FC236}">
                      <a16:creationId xmlns:a16="http://schemas.microsoft.com/office/drawing/2014/main" id="{00000000-0008-0000-0100-0000050C0000}"/>
                    </a:ext>
                  </a:extLst>
                </xdr:cNvPr>
                <xdr:cNvSpPr/>
              </xdr:nvSpPr>
              <xdr:spPr bwMode="auto">
                <a:xfrm>
                  <a:off x="9313761" y="1109800"/>
                  <a:ext cx="190502" cy="212304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18288" tIns="0" rIns="0" bIns="0" anchor="ctr" upright="1"/>
                <a:lstStyle/>
                <a:p>
                  <a:pPr algn="ctr" rtl="0">
                    <a:defRPr sz="1000"/>
                  </a:pPr>
                  <a:endParaRPr lang="pt-BR"/>
                </a:p>
              </xdr:txBody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3078" name="LabelResultado2" hidden="1">
                  <a:extLst>
                    <a:ext uri="{63B3BB69-23CF-44E3-9099-C40C66FF867C}">
                      <a14:compatExt spid="_x0000_s3078"/>
                    </a:ext>
                    <a:ext uri="{FF2B5EF4-FFF2-40B4-BE49-F238E27FC236}">
                      <a16:creationId xmlns:a16="http://schemas.microsoft.com/office/drawing/2014/main" id="{00000000-0008-0000-0100-0000060C0000}"/>
                    </a:ext>
                  </a:extLst>
                </xdr:cNvPr>
                <xdr:cNvSpPr/>
              </xdr:nvSpPr>
              <xdr:spPr bwMode="auto">
                <a:xfrm>
                  <a:off x="8028065" y="845946"/>
                  <a:ext cx="1083543" cy="83326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93" name="AtualizarArt2" hidden="1">
                <a:extLst>
                  <a:ext uri="{63B3BB69-23CF-44E3-9099-C40C66FF867C}">
                    <a14:compatExt spid="_x0000_s3093"/>
                  </a:ext>
                  <a:ext uri="{FF2B5EF4-FFF2-40B4-BE49-F238E27FC236}">
                    <a16:creationId xmlns:a16="http://schemas.microsoft.com/office/drawing/2014/main" id="{00000000-0008-0000-0100-0000150C0000}"/>
                  </a:ext>
                </a:extLst>
              </xdr:cNvPr>
              <xdr:cNvSpPr/>
            </xdr:nvSpPr>
            <xdr:spPr bwMode="auto">
              <a:xfrm>
                <a:off x="8677276" y="2188168"/>
                <a:ext cx="1087325" cy="48157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94" name="Button 22" hidden="1">
                <a:extLst>
                  <a:ext uri="{63B3BB69-23CF-44E3-9099-C40C66FF867C}">
                    <a14:compatExt spid="_x0000_s3094"/>
                  </a:ext>
                  <a:ext uri="{FF2B5EF4-FFF2-40B4-BE49-F238E27FC236}">
                    <a16:creationId xmlns:a16="http://schemas.microsoft.com/office/drawing/2014/main" id="{00000000-0008-0000-0100-0000160C0000}"/>
                  </a:ext>
                </a:extLst>
              </xdr:cNvPr>
              <xdr:cNvSpPr/>
            </xdr:nvSpPr>
            <xdr:spPr bwMode="auto">
              <a:xfrm>
                <a:off x="9965181" y="2279302"/>
                <a:ext cx="190501" cy="1905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8288" tIns="0" rIns="0" bIns="0" anchor="ctr" upright="1"/>
              <a:lstStyle/>
              <a:p>
                <a:pPr algn="ctr" rtl="0">
                  <a:defRPr sz="1000"/>
                </a:pPr>
                <a:endParaRPr lang="pt-BR"/>
              </a:p>
            </xdr:txBody>
          </xdr:sp>
        </mc:Choice>
        <mc:Fallback/>
      </mc:AlternateContent>
    </xdr:grpSp>
    <xdr:clientData/>
  </xdr:twoCellAnchor>
  <xdr:twoCellAnchor>
    <xdr:from>
      <xdr:col>1</xdr:col>
      <xdr:colOff>291660</xdr:colOff>
      <xdr:row>15</xdr:row>
      <xdr:rowOff>158330</xdr:rowOff>
    </xdr:from>
    <xdr:to>
      <xdr:col>2</xdr:col>
      <xdr:colOff>118891</xdr:colOff>
      <xdr:row>17</xdr:row>
      <xdr:rowOff>162936</xdr:rowOff>
    </xdr:to>
    <xdr:cxnSp macro="">
      <xdr:nvCxnSpPr>
        <xdr:cNvPr id="3099" name="Conector de Seta Reta 3098">
          <a:extLst>
            <a:ext uri="{FF2B5EF4-FFF2-40B4-BE49-F238E27FC236}">
              <a16:creationId xmlns:a16="http://schemas.microsoft.com/office/drawing/2014/main" id="{ADB78E01-F8D7-AED1-B2C0-AD3C2DCA4F9E}"/>
            </a:ext>
          </a:extLst>
        </xdr:cNvPr>
        <xdr:cNvCxnSpPr>
          <a:endCxn id="42" idx="0"/>
        </xdr:cNvCxnSpPr>
      </xdr:nvCxnSpPr>
      <xdr:spPr>
        <a:xfrm flipH="1">
          <a:off x="904573" y="3115221"/>
          <a:ext cx="440144" cy="38560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306456</xdr:colOff>
      <xdr:row>22</xdr:row>
      <xdr:rowOff>35233</xdr:rowOff>
    </xdr:from>
    <xdr:to>
      <xdr:col>3</xdr:col>
      <xdr:colOff>417428</xdr:colOff>
      <xdr:row>25</xdr:row>
      <xdr:rowOff>157257</xdr:rowOff>
    </xdr:to>
    <xdr:cxnSp macro="">
      <xdr:nvCxnSpPr>
        <xdr:cNvPr id="3103" name="Conector de Seta Reta 3102">
          <a:extLst>
            <a:ext uri="{FF2B5EF4-FFF2-40B4-BE49-F238E27FC236}">
              <a16:creationId xmlns:a16="http://schemas.microsoft.com/office/drawing/2014/main" id="{5F89E0E7-D0CA-CDF5-F676-8F3ECDEA0B49}"/>
            </a:ext>
          </a:extLst>
        </xdr:cNvPr>
        <xdr:cNvCxnSpPr>
          <a:endCxn id="37" idx="3"/>
        </xdr:cNvCxnSpPr>
      </xdr:nvCxnSpPr>
      <xdr:spPr>
        <a:xfrm flipH="1">
          <a:off x="1532282" y="4325624"/>
          <a:ext cx="723885" cy="69352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546372</xdr:colOff>
      <xdr:row>27</xdr:row>
      <xdr:rowOff>107674</xdr:rowOff>
    </xdr:from>
    <xdr:to>
      <xdr:col>4</xdr:col>
      <xdr:colOff>207065</xdr:colOff>
      <xdr:row>33</xdr:row>
      <xdr:rowOff>119350</xdr:rowOff>
    </xdr:to>
    <xdr:cxnSp macro="">
      <xdr:nvCxnSpPr>
        <xdr:cNvPr id="3109" name="Conector de Seta Reta 3108">
          <a:extLst>
            <a:ext uri="{FF2B5EF4-FFF2-40B4-BE49-F238E27FC236}">
              <a16:creationId xmlns:a16="http://schemas.microsoft.com/office/drawing/2014/main" id="{53360FBF-4C84-ECF8-8185-963FEEA1C39F}"/>
            </a:ext>
          </a:extLst>
        </xdr:cNvPr>
        <xdr:cNvCxnSpPr>
          <a:endCxn id="47" idx="3"/>
        </xdr:cNvCxnSpPr>
      </xdr:nvCxnSpPr>
      <xdr:spPr>
        <a:xfrm flipH="1">
          <a:off x="2385111" y="5350565"/>
          <a:ext cx="273606" cy="115467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316923</xdr:colOff>
      <xdr:row>24</xdr:row>
      <xdr:rowOff>135082</xdr:rowOff>
    </xdr:from>
    <xdr:to>
      <xdr:col>5</xdr:col>
      <xdr:colOff>479221</xdr:colOff>
      <xdr:row>27</xdr:row>
      <xdr:rowOff>66553</xdr:rowOff>
    </xdr:to>
    <xdr:cxnSp macro="">
      <xdr:nvCxnSpPr>
        <xdr:cNvPr id="3113" name="Conector de Seta Reta 3112">
          <a:extLst>
            <a:ext uri="{FF2B5EF4-FFF2-40B4-BE49-F238E27FC236}">
              <a16:creationId xmlns:a16="http://schemas.microsoft.com/office/drawing/2014/main" id="{BA532137-CE93-C649-F189-12996AE3E0C0}"/>
            </a:ext>
          </a:extLst>
        </xdr:cNvPr>
        <xdr:cNvCxnSpPr>
          <a:endCxn id="26" idx="0"/>
        </xdr:cNvCxnSpPr>
      </xdr:nvCxnSpPr>
      <xdr:spPr>
        <a:xfrm>
          <a:off x="2768575" y="4806473"/>
          <a:ext cx="775211" cy="50297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324826</xdr:colOff>
      <xdr:row>10</xdr:row>
      <xdr:rowOff>90725</xdr:rowOff>
    </xdr:from>
    <xdr:to>
      <xdr:col>6</xdr:col>
      <xdr:colOff>372718</xdr:colOff>
      <xdr:row>13</xdr:row>
      <xdr:rowOff>8283</xdr:rowOff>
    </xdr:to>
    <xdr:cxnSp macro="">
      <xdr:nvCxnSpPr>
        <xdr:cNvPr id="3117" name="Conector de Seta Reta 3116">
          <a:extLst>
            <a:ext uri="{FF2B5EF4-FFF2-40B4-BE49-F238E27FC236}">
              <a16:creationId xmlns:a16="http://schemas.microsoft.com/office/drawing/2014/main" id="{B5D3F111-7C4E-18FA-05CB-A7D15896EABD}"/>
            </a:ext>
          </a:extLst>
        </xdr:cNvPr>
        <xdr:cNvCxnSpPr>
          <a:endCxn id="17" idx="2"/>
        </xdr:cNvCxnSpPr>
      </xdr:nvCxnSpPr>
      <xdr:spPr>
        <a:xfrm flipH="1" flipV="1">
          <a:off x="4002304" y="2053703"/>
          <a:ext cx="47892" cy="51390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562701</xdr:colOff>
          <xdr:row>21</xdr:row>
          <xdr:rowOff>165653</xdr:rowOff>
        </xdr:from>
        <xdr:to>
          <xdr:col>14</xdr:col>
          <xdr:colOff>1175072</xdr:colOff>
          <xdr:row>37</xdr:row>
          <xdr:rowOff>52758</xdr:rowOff>
        </xdr:to>
        <xdr:pic>
          <xdr:nvPicPr>
            <xdr:cNvPr id="3127" name="Imagem 3126">
              <a:extLst>
                <a:ext uri="{FF2B5EF4-FFF2-40B4-BE49-F238E27FC236}">
                  <a16:creationId xmlns:a16="http://schemas.microsoft.com/office/drawing/2014/main" id="{0C4FEDBC-8C23-C684-9B14-58A29A6082D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Helexia!$P$66:$AE$81" spid="_x0000_s3894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8918" y="4265544"/>
              <a:ext cx="3801176" cy="293510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309525</xdr:colOff>
          <xdr:row>2</xdr:row>
          <xdr:rowOff>8283</xdr:rowOff>
        </xdr:from>
        <xdr:to>
          <xdr:col>14</xdr:col>
          <xdr:colOff>1184994</xdr:colOff>
          <xdr:row>11</xdr:row>
          <xdr:rowOff>107674</xdr:rowOff>
        </xdr:to>
        <xdr:pic>
          <xdr:nvPicPr>
            <xdr:cNvPr id="3128" name="Imagem 3127">
              <a:extLst>
                <a:ext uri="{FF2B5EF4-FFF2-40B4-BE49-F238E27FC236}">
                  <a16:creationId xmlns:a16="http://schemas.microsoft.com/office/drawing/2014/main" id="{8FBD4682-88A8-4976-FFA5-E8F613C15A5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MWp!$B$94:$E$106" spid="_x0000_s3895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6438655" y="389283"/>
              <a:ext cx="3451361" cy="188015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438150</xdr:colOff>
          <xdr:row>13</xdr:row>
          <xdr:rowOff>95250</xdr:rowOff>
        </xdr:from>
        <xdr:to>
          <xdr:col>10</xdr:col>
          <xdr:colOff>161925</xdr:colOff>
          <xdr:row>15</xdr:row>
          <xdr:rowOff>95250</xdr:rowOff>
        </xdr:to>
        <xdr:sp macro="" textlink="">
          <xdr:nvSpPr>
            <xdr:cNvPr id="3263" name="AtualizarArt3" hidden="1">
              <a:extLst>
                <a:ext uri="{63B3BB69-23CF-44E3-9099-C40C66FF867C}">
                  <a14:compatExt spid="_x0000_s3263"/>
                </a:ext>
                <a:ext uri="{FF2B5EF4-FFF2-40B4-BE49-F238E27FC236}">
                  <a16:creationId xmlns:a16="http://schemas.microsoft.com/office/drawing/2014/main" id="{00000000-0008-0000-0100-0000B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415439</xdr:colOff>
      <xdr:row>16</xdr:row>
      <xdr:rowOff>45564</xdr:rowOff>
    </xdr:from>
    <xdr:to>
      <xdr:col>9</xdr:col>
      <xdr:colOff>602816</xdr:colOff>
      <xdr:row>22</xdr:row>
      <xdr:rowOff>136587</xdr:rowOff>
    </xdr:to>
    <xdr:grpSp>
      <xdr:nvGrpSpPr>
        <xdr:cNvPr id="53" name="Agrupar 52">
          <a:extLst>
            <a:ext uri="{FF2B5EF4-FFF2-40B4-BE49-F238E27FC236}">
              <a16:creationId xmlns:a16="http://schemas.microsoft.com/office/drawing/2014/main" id="{5180C92D-421A-EE8F-5227-2C8C90F37611}"/>
            </a:ext>
          </a:extLst>
        </xdr:cNvPr>
        <xdr:cNvGrpSpPr/>
      </xdr:nvGrpSpPr>
      <xdr:grpSpPr>
        <a:xfrm>
          <a:off x="4705830" y="3192955"/>
          <a:ext cx="1413203" cy="1234023"/>
          <a:chOff x="4705830" y="3192955"/>
          <a:chExt cx="1413203" cy="1234023"/>
        </a:xfrm>
      </xdr:grpSpPr>
      <xdr:grpSp>
        <xdr:nvGrpSpPr>
          <xdr:cNvPr id="31" name="Agrupar 30">
            <a:extLst>
              <a:ext uri="{FF2B5EF4-FFF2-40B4-BE49-F238E27FC236}">
                <a16:creationId xmlns:a16="http://schemas.microsoft.com/office/drawing/2014/main" id="{59E45717-7C8D-4E56-9B73-D2AA0BFC12F8}"/>
              </a:ext>
            </a:extLst>
          </xdr:cNvPr>
          <xdr:cNvGrpSpPr>
            <a:grpSpLocks noChangeAspect="1"/>
          </xdr:cNvGrpSpPr>
        </xdr:nvGrpSpPr>
        <xdr:grpSpPr>
          <a:xfrm>
            <a:off x="4705830" y="3192955"/>
            <a:ext cx="1413203" cy="1234023"/>
            <a:chOff x="10877550" y="7534276"/>
            <a:chExt cx="2268332" cy="1724024"/>
          </a:xfrm>
        </xdr:grpSpPr>
        <xdr:sp macro="" textlink="">
          <xdr:nvSpPr>
            <xdr:cNvPr id="32" name="Retângulo: Cantos Arredondados 31">
              <a:extLst>
                <a:ext uri="{FF2B5EF4-FFF2-40B4-BE49-F238E27FC236}">
                  <a16:creationId xmlns:a16="http://schemas.microsoft.com/office/drawing/2014/main" id="{47D9DBC0-AC66-E996-0E0E-D0569C3D4247}"/>
                </a:ext>
              </a:extLst>
            </xdr:cNvPr>
            <xdr:cNvSpPr/>
          </xdr:nvSpPr>
          <xdr:spPr>
            <a:xfrm>
              <a:off x="10877550" y="7534276"/>
              <a:ext cx="1948816" cy="1724024"/>
            </a:xfrm>
            <a:prstGeom prst="roundRect">
              <a:avLst/>
            </a:prstGeom>
            <a:ln>
              <a:solidFill>
                <a:srgbClr val="00206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33" name="Gráfico 32" descr="Homem com preenchimento sólido">
              <a:extLst>
                <a:ext uri="{FF2B5EF4-FFF2-40B4-BE49-F238E27FC236}">
                  <a16:creationId xmlns:a16="http://schemas.microsoft.com/office/drawing/2014/main" id="{F800B0AF-1BEF-3B8D-86EE-8E79FB4D6FF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10892760" y="7692137"/>
              <a:ext cx="395621" cy="329294"/>
            </a:xfrm>
            <a:prstGeom prst="rect">
              <a:avLst/>
            </a:prstGeom>
          </xdr:spPr>
        </xdr:pic>
        <xdr:pic>
          <xdr:nvPicPr>
            <xdr:cNvPr id="34" name="Gráfico 33" descr="Carro com preenchimento sólido">
              <a:extLst>
                <a:ext uri="{FF2B5EF4-FFF2-40B4-BE49-F238E27FC236}">
                  <a16:creationId xmlns:a16="http://schemas.microsoft.com/office/drawing/2014/main" id="{9BF3A644-4413-AD8C-5DD4-55B2E9B37F6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>
              <a:off x="10897538" y="8579167"/>
              <a:ext cx="309429" cy="303706"/>
            </a:xfrm>
            <a:prstGeom prst="rect">
              <a:avLst/>
            </a:prstGeom>
          </xdr:spPr>
        </xdr:pic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3083" name="Button 11" hidden="1">
                  <a:extLst>
                    <a:ext uri="{63B3BB69-23CF-44E3-9099-C40C66FF867C}">
                      <a14:compatExt spid="_x0000_s3083"/>
                    </a:ext>
                    <a:ext uri="{FF2B5EF4-FFF2-40B4-BE49-F238E27FC236}">
                      <a16:creationId xmlns:a16="http://schemas.microsoft.com/office/drawing/2014/main" id="{00000000-0008-0000-0100-00000B0C0000}"/>
                    </a:ext>
                  </a:extLst>
                </xdr:cNvPr>
                <xdr:cNvSpPr/>
              </xdr:nvSpPr>
              <xdr:spPr bwMode="auto">
                <a:xfrm>
                  <a:off x="12912683" y="7812004"/>
                  <a:ext cx="233199" cy="209426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endParaRPr lang="pt-BR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endParaRPr>
                </a:p>
                <a:p>
                  <a:pPr algn="ctr" rtl="0">
                    <a:defRPr sz="1000"/>
                  </a:pPr>
                  <a:endParaRPr lang="pt-BR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endParaRPr>
                </a:p>
              </xdr:txBody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3084" name="LabelResultado4" hidden="1">
                  <a:extLst>
                    <a:ext uri="{63B3BB69-23CF-44E3-9099-C40C66FF867C}">
                      <a14:compatExt spid="_x0000_s3084"/>
                    </a:ext>
                    <a:ext uri="{FF2B5EF4-FFF2-40B4-BE49-F238E27FC236}">
                      <a16:creationId xmlns:a16="http://schemas.microsoft.com/office/drawing/2014/main" id="{00000000-0008-0000-0100-00000C0C0000}"/>
                    </a:ext>
                  </a:extLst>
                </xdr:cNvPr>
                <xdr:cNvSpPr/>
              </xdr:nvSpPr>
              <xdr:spPr bwMode="auto">
                <a:xfrm>
                  <a:off x="11236327" y="7601952"/>
                  <a:ext cx="1454522" cy="906748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266" name="AtualizarArt4" hidden="1">
                <a:extLst>
                  <a:ext uri="{63B3BB69-23CF-44E3-9099-C40C66FF867C}">
                    <a14:compatExt spid="_x0000_s3266"/>
                  </a:ext>
                  <a:ext uri="{FF2B5EF4-FFF2-40B4-BE49-F238E27FC236}">
                    <a16:creationId xmlns:a16="http://schemas.microsoft.com/office/drawing/2014/main" id="{00000000-0008-0000-0100-0000C20C0000}"/>
                  </a:ext>
                </a:extLst>
              </xdr:cNvPr>
              <xdr:cNvSpPr/>
            </xdr:nvSpPr>
            <xdr:spPr bwMode="auto">
              <a:xfrm>
                <a:off x="4914900" y="3921814"/>
                <a:ext cx="924339" cy="45968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28</xdr:row>
          <xdr:rowOff>123825</xdr:rowOff>
        </xdr:from>
        <xdr:to>
          <xdr:col>9</xdr:col>
          <xdr:colOff>161925</xdr:colOff>
          <xdr:row>32</xdr:row>
          <xdr:rowOff>161925</xdr:rowOff>
        </xdr:to>
        <xdr:sp macro="" textlink="">
          <xdr:nvSpPr>
            <xdr:cNvPr id="3267" name="AtualizarArt5" hidden="1">
              <a:extLst>
                <a:ext uri="{63B3BB69-23CF-44E3-9099-C40C66FF867C}">
                  <a14:compatExt spid="_x0000_s3267"/>
                </a:ext>
                <a:ext uri="{FF2B5EF4-FFF2-40B4-BE49-F238E27FC236}">
                  <a16:creationId xmlns:a16="http://schemas.microsoft.com/office/drawing/2014/main" id="{00000000-0008-0000-0100-0000C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31</xdr:row>
          <xdr:rowOff>161925</xdr:rowOff>
        </xdr:from>
        <xdr:to>
          <xdr:col>6</xdr:col>
          <xdr:colOff>209550</xdr:colOff>
          <xdr:row>34</xdr:row>
          <xdr:rowOff>171450</xdr:rowOff>
        </xdr:to>
        <xdr:sp macro="" textlink="">
          <xdr:nvSpPr>
            <xdr:cNvPr id="3268" name="AtualizarArt6" hidden="1">
              <a:extLst>
                <a:ext uri="{63B3BB69-23CF-44E3-9099-C40C66FF867C}">
                  <a14:compatExt spid="_x0000_s3268"/>
                </a:ext>
                <a:ext uri="{FF2B5EF4-FFF2-40B4-BE49-F238E27FC236}">
                  <a16:creationId xmlns:a16="http://schemas.microsoft.com/office/drawing/2014/main" id="{00000000-0008-0000-0100-0000C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33</xdr:row>
          <xdr:rowOff>85725</xdr:rowOff>
        </xdr:from>
        <xdr:to>
          <xdr:col>3</xdr:col>
          <xdr:colOff>428625</xdr:colOff>
          <xdr:row>36</xdr:row>
          <xdr:rowOff>66675</xdr:rowOff>
        </xdr:to>
        <xdr:sp macro="" textlink="">
          <xdr:nvSpPr>
            <xdr:cNvPr id="3269" name="AtualizarArt7" hidden="1">
              <a:extLst>
                <a:ext uri="{63B3BB69-23CF-44E3-9099-C40C66FF867C}">
                  <a14:compatExt spid="_x0000_s3269"/>
                </a:ext>
                <a:ext uri="{FF2B5EF4-FFF2-40B4-BE49-F238E27FC236}">
                  <a16:creationId xmlns:a16="http://schemas.microsoft.com/office/drawing/2014/main" id="{00000000-0008-0000-0100-0000C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447675</xdr:colOff>
          <xdr:row>26</xdr:row>
          <xdr:rowOff>123825</xdr:rowOff>
        </xdr:from>
        <xdr:to>
          <xdr:col>2</xdr:col>
          <xdr:colOff>104775</xdr:colOff>
          <xdr:row>28</xdr:row>
          <xdr:rowOff>142875</xdr:rowOff>
        </xdr:to>
        <xdr:sp macro="" textlink="">
          <xdr:nvSpPr>
            <xdr:cNvPr id="3270" name="AtualizarArt8" hidden="1">
              <a:extLst>
                <a:ext uri="{63B3BB69-23CF-44E3-9099-C40C66FF867C}">
                  <a14:compatExt spid="_x0000_s3270"/>
                </a:ext>
                <a:ext uri="{FF2B5EF4-FFF2-40B4-BE49-F238E27FC236}">
                  <a16:creationId xmlns:a16="http://schemas.microsoft.com/office/drawing/2014/main" id="{00000000-0008-0000-0100-0000C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19</xdr:row>
          <xdr:rowOff>171450</xdr:rowOff>
        </xdr:from>
        <xdr:to>
          <xdr:col>2</xdr:col>
          <xdr:colOff>209550</xdr:colOff>
          <xdr:row>21</xdr:row>
          <xdr:rowOff>161925</xdr:rowOff>
        </xdr:to>
        <xdr:sp macro="" textlink="">
          <xdr:nvSpPr>
            <xdr:cNvPr id="3271" name="AtualizarArt9" hidden="1">
              <a:extLst>
                <a:ext uri="{63B3BB69-23CF-44E3-9099-C40C66FF867C}">
                  <a14:compatExt spid="_x0000_s3271"/>
                </a:ext>
                <a:ext uri="{FF2B5EF4-FFF2-40B4-BE49-F238E27FC236}">
                  <a16:creationId xmlns:a16="http://schemas.microsoft.com/office/drawing/2014/main" id="{00000000-0008-0000-0100-0000C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33</xdr:row>
          <xdr:rowOff>133350</xdr:rowOff>
        </xdr:from>
        <xdr:to>
          <xdr:col>2</xdr:col>
          <xdr:colOff>28575</xdr:colOff>
          <xdr:row>34</xdr:row>
          <xdr:rowOff>85725</xdr:rowOff>
        </xdr:to>
        <xdr:sp macro="" textlink="">
          <xdr:nvSpPr>
            <xdr:cNvPr id="3272" name="Button 200" hidden="1">
              <a:extLst>
                <a:ext uri="{63B3BB69-23CF-44E3-9099-C40C66FF867C}">
                  <a14:compatExt spid="_x0000_s3272"/>
                </a:ext>
                <a:ext uri="{FF2B5EF4-FFF2-40B4-BE49-F238E27FC236}">
                  <a16:creationId xmlns:a16="http://schemas.microsoft.com/office/drawing/2014/main" id="{00000000-0008-0000-0100-0000C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561975</xdr:colOff>
          <xdr:row>32</xdr:row>
          <xdr:rowOff>9525</xdr:rowOff>
        </xdr:from>
        <xdr:to>
          <xdr:col>7</xdr:col>
          <xdr:colOff>104775</xdr:colOff>
          <xdr:row>32</xdr:row>
          <xdr:rowOff>161925</xdr:rowOff>
        </xdr:to>
        <xdr:sp macro="" textlink="">
          <xdr:nvSpPr>
            <xdr:cNvPr id="3273" name="Button 201" hidden="1">
              <a:extLst>
                <a:ext uri="{63B3BB69-23CF-44E3-9099-C40C66FF867C}">
                  <a14:compatExt spid="_x0000_s3273"/>
                </a:ext>
                <a:ext uri="{FF2B5EF4-FFF2-40B4-BE49-F238E27FC236}">
                  <a16:creationId xmlns:a16="http://schemas.microsoft.com/office/drawing/2014/main" id="{00000000-0008-0000-0100-0000C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447675</xdr:colOff>
          <xdr:row>20</xdr:row>
          <xdr:rowOff>95250</xdr:rowOff>
        </xdr:from>
        <xdr:to>
          <xdr:col>9</xdr:col>
          <xdr:colOff>581025</xdr:colOff>
          <xdr:row>21</xdr:row>
          <xdr:rowOff>47625</xdr:rowOff>
        </xdr:to>
        <xdr:sp macro="" textlink="">
          <xdr:nvSpPr>
            <xdr:cNvPr id="3275" name="Button 203" hidden="1">
              <a:extLst>
                <a:ext uri="{63B3BB69-23CF-44E3-9099-C40C66FF867C}">
                  <a14:compatExt spid="_x0000_s3275"/>
                </a:ext>
                <a:ext uri="{FF2B5EF4-FFF2-40B4-BE49-F238E27FC236}">
                  <a16:creationId xmlns:a16="http://schemas.microsoft.com/office/drawing/2014/main" id="{00000000-0008-0000-0100-0000C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466725</xdr:colOff>
          <xdr:row>14</xdr:row>
          <xdr:rowOff>0</xdr:rowOff>
        </xdr:from>
        <xdr:to>
          <xdr:col>8</xdr:col>
          <xdr:colOff>19050</xdr:colOff>
          <xdr:row>14</xdr:row>
          <xdr:rowOff>180975</xdr:rowOff>
        </xdr:to>
        <xdr:sp macro="" textlink="">
          <xdr:nvSpPr>
            <xdr:cNvPr id="3276" name="Button 204" hidden="1">
              <a:extLst>
                <a:ext uri="{63B3BB69-23CF-44E3-9099-C40C66FF867C}">
                  <a14:compatExt spid="_x0000_s3276"/>
                </a:ext>
                <a:ext uri="{FF2B5EF4-FFF2-40B4-BE49-F238E27FC236}">
                  <a16:creationId xmlns:a16="http://schemas.microsoft.com/office/drawing/2014/main" id="{00000000-0008-0000-0100-0000C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26</xdr:row>
          <xdr:rowOff>161925</xdr:rowOff>
        </xdr:from>
        <xdr:to>
          <xdr:col>0</xdr:col>
          <xdr:colOff>209550</xdr:colOff>
          <xdr:row>27</xdr:row>
          <xdr:rowOff>114300</xdr:rowOff>
        </xdr:to>
        <xdr:sp macro="" textlink="">
          <xdr:nvSpPr>
            <xdr:cNvPr id="3277" name="Button 205" hidden="1">
              <a:extLst>
                <a:ext uri="{63B3BB69-23CF-44E3-9099-C40C66FF867C}">
                  <a14:compatExt spid="_x0000_s3277"/>
                </a:ext>
                <a:ext uri="{FF2B5EF4-FFF2-40B4-BE49-F238E27FC236}">
                  <a16:creationId xmlns:a16="http://schemas.microsoft.com/office/drawing/2014/main" id="{00000000-0008-0000-0100-0000C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20</xdr:row>
          <xdr:rowOff>76200</xdr:rowOff>
        </xdr:from>
        <xdr:to>
          <xdr:col>0</xdr:col>
          <xdr:colOff>323850</xdr:colOff>
          <xdr:row>21</xdr:row>
          <xdr:rowOff>28575</xdr:rowOff>
        </xdr:to>
        <xdr:sp macro="" textlink="">
          <xdr:nvSpPr>
            <xdr:cNvPr id="3278" name="Button 206" hidden="1">
              <a:extLst>
                <a:ext uri="{63B3BB69-23CF-44E3-9099-C40C66FF867C}">
                  <a14:compatExt spid="_x0000_s3278"/>
                </a:ext>
                <a:ext uri="{FF2B5EF4-FFF2-40B4-BE49-F238E27FC236}">
                  <a16:creationId xmlns:a16="http://schemas.microsoft.com/office/drawing/2014/main" id="{00000000-0008-0000-0100-0000C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361950</xdr:colOff>
          <xdr:row>28</xdr:row>
          <xdr:rowOff>85725</xdr:rowOff>
        </xdr:from>
        <xdr:to>
          <xdr:col>9</xdr:col>
          <xdr:colOff>495300</xdr:colOff>
          <xdr:row>29</xdr:row>
          <xdr:rowOff>38100</xdr:rowOff>
        </xdr:to>
        <xdr:sp macro="" textlink="">
          <xdr:nvSpPr>
            <xdr:cNvPr id="3295" name="Button 223" hidden="1">
              <a:extLst>
                <a:ext uri="{63B3BB69-23CF-44E3-9099-C40C66FF867C}">
                  <a14:compatExt spid="_x0000_s3295"/>
                </a:ext>
                <a:ext uri="{FF2B5EF4-FFF2-40B4-BE49-F238E27FC236}">
                  <a16:creationId xmlns:a16="http://schemas.microsoft.com/office/drawing/2014/main" id="{00000000-0008-0000-0100-0000D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241205</xdr:colOff>
      <xdr:row>0</xdr:row>
      <xdr:rowOff>180287</xdr:rowOff>
    </xdr:from>
    <xdr:to>
      <xdr:col>4</xdr:col>
      <xdr:colOff>347839</xdr:colOff>
      <xdr:row>0</xdr:row>
      <xdr:rowOff>1295399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1B5A1B2-8E6D-45AD-B125-CD585F2E58B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775" t="32631" r="15307" b="33427"/>
        <a:stretch/>
      </xdr:blipFill>
      <xdr:spPr>
        <a:xfrm>
          <a:off x="736505" y="180287"/>
          <a:ext cx="4526233" cy="1115112"/>
        </a:xfrm>
        <a:prstGeom prst="rect">
          <a:avLst/>
        </a:prstGeom>
      </xdr:spPr>
    </xdr:pic>
    <xdr:clientData/>
  </xdr:twoCellAnchor>
  <xdr:twoCellAnchor editAs="oneCell">
    <xdr:from>
      <xdr:col>16</xdr:col>
      <xdr:colOff>96612</xdr:colOff>
      <xdr:row>67</xdr:row>
      <xdr:rowOff>107496</xdr:rowOff>
    </xdr:from>
    <xdr:to>
      <xdr:col>16</xdr:col>
      <xdr:colOff>391008</xdr:colOff>
      <xdr:row>67</xdr:row>
      <xdr:rowOff>395496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A1B338E7-67E3-4046-8B30-FFFA4CB85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schemeClr val="accent1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20956362" y="23758071"/>
          <a:ext cx="294396" cy="288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16</xdr:col>
      <xdr:colOff>94128</xdr:colOff>
      <xdr:row>68</xdr:row>
      <xdr:rowOff>65315</xdr:rowOff>
    </xdr:from>
    <xdr:to>
      <xdr:col>16</xdr:col>
      <xdr:colOff>390614</xdr:colOff>
      <xdr:row>68</xdr:row>
      <xdr:rowOff>353315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34FE2C14-23FE-4F81-9C79-B3C829E2B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schemeClr val="accent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20953878" y="24173090"/>
          <a:ext cx="296486" cy="288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16</xdr:col>
      <xdr:colOff>114300</xdr:colOff>
      <xdr:row>69</xdr:row>
      <xdr:rowOff>57150</xdr:rowOff>
    </xdr:from>
    <xdr:to>
      <xdr:col>16</xdr:col>
      <xdr:colOff>408696</xdr:colOff>
      <xdr:row>69</xdr:row>
      <xdr:rowOff>345150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466AD049-4B5F-45E5-8AF2-B3EB3F4F8E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schemeClr val="accent6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20974050" y="24603075"/>
          <a:ext cx="294396" cy="288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16</xdr:col>
      <xdr:colOff>114300</xdr:colOff>
      <xdr:row>69</xdr:row>
      <xdr:rowOff>447676</xdr:rowOff>
    </xdr:from>
    <xdr:to>
      <xdr:col>16</xdr:col>
      <xdr:colOff>408696</xdr:colOff>
      <xdr:row>70</xdr:row>
      <xdr:rowOff>285401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F6BDE0BC-2F20-4CD2-BD1B-054C9717AC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schemeClr val="accent4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20974050" y="24993601"/>
          <a:ext cx="294396" cy="294928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16</xdr:col>
      <xdr:colOff>112059</xdr:colOff>
      <xdr:row>70</xdr:row>
      <xdr:rowOff>330575</xdr:rowOff>
    </xdr:from>
    <xdr:to>
      <xdr:col>16</xdr:col>
      <xdr:colOff>406455</xdr:colOff>
      <xdr:row>71</xdr:row>
      <xdr:rowOff>169537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87AEC5CF-7A29-46C2-8D38-0D248D58D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schemeClr val="bg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20971809" y="25333700"/>
          <a:ext cx="294396" cy="286637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16</xdr:col>
      <xdr:colOff>123265</xdr:colOff>
      <xdr:row>76</xdr:row>
      <xdr:rowOff>56030</xdr:rowOff>
    </xdr:from>
    <xdr:to>
      <xdr:col>16</xdr:col>
      <xdr:colOff>411193</xdr:colOff>
      <xdr:row>76</xdr:row>
      <xdr:rowOff>321808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AAF63B20-E0CD-460C-8DEA-FBDA0AC835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rightnessContrast contrast="-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819" t="13048" r="8823" b="11136"/>
        <a:stretch/>
      </xdr:blipFill>
      <xdr:spPr>
        <a:xfrm>
          <a:off x="20983015" y="26821280"/>
          <a:ext cx="287928" cy="265778"/>
        </a:xfrm>
        <a:prstGeom prst="rect">
          <a:avLst/>
        </a:prstGeom>
        <a:ln>
          <a:noFill/>
        </a:ln>
      </xdr:spPr>
    </xdr:pic>
    <xdr:clientData/>
  </xdr:twoCellAnchor>
  <xdr:oneCellAnchor>
    <xdr:from>
      <xdr:col>16</xdr:col>
      <xdr:colOff>123265</xdr:colOff>
      <xdr:row>77</xdr:row>
      <xdr:rowOff>56030</xdr:rowOff>
    </xdr:from>
    <xdr:ext cx="287129" cy="265778"/>
    <xdr:pic>
      <xdr:nvPicPr>
        <xdr:cNvPr id="9" name="Imagem 8">
          <a:extLst>
            <a:ext uri="{FF2B5EF4-FFF2-40B4-BE49-F238E27FC236}">
              <a16:creationId xmlns:a16="http://schemas.microsoft.com/office/drawing/2014/main" id="{3090EFD7-2B3F-4BCB-98B9-24DE8625B60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rightnessContrast contrast="-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819" t="13048" r="8823" b="11136"/>
        <a:stretch/>
      </xdr:blipFill>
      <xdr:spPr>
        <a:xfrm>
          <a:off x="20983015" y="27202280"/>
          <a:ext cx="287129" cy="265778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16</xdr:col>
      <xdr:colOff>123265</xdr:colOff>
      <xdr:row>78</xdr:row>
      <xdr:rowOff>56030</xdr:rowOff>
    </xdr:from>
    <xdr:ext cx="287129" cy="265778"/>
    <xdr:pic>
      <xdr:nvPicPr>
        <xdr:cNvPr id="10" name="Imagem 9">
          <a:extLst>
            <a:ext uri="{FF2B5EF4-FFF2-40B4-BE49-F238E27FC236}">
              <a16:creationId xmlns:a16="http://schemas.microsoft.com/office/drawing/2014/main" id="{65BFDAAE-677F-4B81-9B3B-7FF7B42FE23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duotone>
            <a:schemeClr val="accent6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rightnessContrast contrast="-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819" t="13048" r="8823" b="11136"/>
        <a:stretch/>
      </xdr:blipFill>
      <xdr:spPr>
        <a:xfrm>
          <a:off x="20983015" y="27583280"/>
          <a:ext cx="287129" cy="265778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16</xdr:col>
      <xdr:colOff>123265</xdr:colOff>
      <xdr:row>79</xdr:row>
      <xdr:rowOff>56030</xdr:rowOff>
    </xdr:from>
    <xdr:ext cx="287129" cy="265778"/>
    <xdr:pic>
      <xdr:nvPicPr>
        <xdr:cNvPr id="11" name="Imagem 10">
          <a:extLst>
            <a:ext uri="{FF2B5EF4-FFF2-40B4-BE49-F238E27FC236}">
              <a16:creationId xmlns:a16="http://schemas.microsoft.com/office/drawing/2014/main" id="{C893E338-5597-43BD-8F82-0F129EF0693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rightnessContrast contrast="-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819" t="13048" r="8823" b="11136"/>
        <a:stretch/>
      </xdr:blipFill>
      <xdr:spPr>
        <a:xfrm>
          <a:off x="20983015" y="27964280"/>
          <a:ext cx="287129" cy="265778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9</xdr:col>
      <xdr:colOff>163285</xdr:colOff>
      <xdr:row>71</xdr:row>
      <xdr:rowOff>40820</xdr:rowOff>
    </xdr:from>
    <xdr:to>
      <xdr:col>9</xdr:col>
      <xdr:colOff>630114</xdr:colOff>
      <xdr:row>72</xdr:row>
      <xdr:rowOff>14653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A8649703-3869-F807-B0E9-90A38835F6E3}"/>
            </a:ext>
          </a:extLst>
        </xdr:cNvPr>
        <xdr:cNvSpPr/>
      </xdr:nvSpPr>
      <xdr:spPr>
        <a:xfrm>
          <a:off x="12780247" y="29062762"/>
          <a:ext cx="466829" cy="22294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Link</a:t>
          </a:r>
        </a:p>
      </xdr:txBody>
    </xdr:sp>
    <xdr:clientData/>
  </xdr:twoCellAnchor>
  <xdr:twoCellAnchor>
    <xdr:from>
      <xdr:col>9</xdr:col>
      <xdr:colOff>153865</xdr:colOff>
      <xdr:row>72</xdr:row>
      <xdr:rowOff>36634</xdr:rowOff>
    </xdr:from>
    <xdr:to>
      <xdr:col>9</xdr:col>
      <xdr:colOff>630115</xdr:colOff>
      <xdr:row>72</xdr:row>
      <xdr:rowOff>234461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525B376E-3E9C-CF14-1C95-DA39FD123416}"/>
            </a:ext>
          </a:extLst>
        </xdr:cNvPr>
        <xdr:cNvSpPr/>
      </xdr:nvSpPr>
      <xdr:spPr>
        <a:xfrm>
          <a:off x="12770827" y="29307692"/>
          <a:ext cx="476250" cy="197827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Link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174625</xdr:colOff>
      <xdr:row>0</xdr:row>
      <xdr:rowOff>206376</xdr:rowOff>
    </xdr:from>
    <xdr:to>
      <xdr:col>10</xdr:col>
      <xdr:colOff>234121</xdr:colOff>
      <xdr:row>1</xdr:row>
      <xdr:rowOff>285750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B35203FC-ACAF-41D9-AB02-FACD4AB6D303}"/>
            </a:ext>
          </a:extLst>
        </xdr:cNvPr>
        <xdr:cNvGrpSpPr>
          <a:grpSpLocks noChangeAspect="1"/>
        </xdr:cNvGrpSpPr>
      </xdr:nvGrpSpPr>
      <xdr:grpSpPr>
        <a:xfrm>
          <a:off x="11064875" y="206376"/>
          <a:ext cx="1869246" cy="825499"/>
          <a:chOff x="9848022" y="256761"/>
          <a:chExt cx="795130" cy="364435"/>
        </a:xfrm>
      </xdr:grpSpPr>
      <xdr:sp macro="[0]!ImportarDadosTI" textlink="">
        <xdr:nvSpPr>
          <xdr:cNvPr id="3" name="Retângulo: Cantos Arredondados 2">
            <a:extLst>
              <a:ext uri="{FF2B5EF4-FFF2-40B4-BE49-F238E27FC236}">
                <a16:creationId xmlns:a16="http://schemas.microsoft.com/office/drawing/2014/main" id="{CF12C38C-ADB4-3E32-A08D-C7CE5B56A57D}"/>
              </a:ext>
            </a:extLst>
          </xdr:cNvPr>
          <xdr:cNvSpPr/>
        </xdr:nvSpPr>
        <xdr:spPr>
          <a:xfrm>
            <a:off x="9848022" y="256761"/>
            <a:ext cx="795130" cy="364435"/>
          </a:xfrm>
          <a:prstGeom prst="roundRect">
            <a:avLst/>
          </a:prstGeom>
          <a:ln w="1905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2800">
                <a:latin typeface="Times New Roman" panose="02020603050405020304" pitchFamily="18" charset="0"/>
                <a:cs typeface="Times New Roman" panose="02020603050405020304" pitchFamily="18" charset="0"/>
              </a:rPr>
              <a:t>Atualizar</a:t>
            </a:r>
          </a:p>
        </xdr:txBody>
      </xdr:sp>
      <xdr:pic macro="[0]!ImportarDadosTI">
        <xdr:nvPicPr>
          <xdr:cNvPr id="4" name="Gráfico 3" descr="Seta circular com preenchimento sólido">
            <a:extLst>
              <a:ext uri="{FF2B5EF4-FFF2-40B4-BE49-F238E27FC236}">
                <a16:creationId xmlns:a16="http://schemas.microsoft.com/office/drawing/2014/main" id="{77692C92-26AC-2D74-903F-6EA849E9E3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9848022" y="356152"/>
            <a:ext cx="190500" cy="19050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122464</xdr:colOff>
      <xdr:row>0</xdr:row>
      <xdr:rowOff>0</xdr:rowOff>
    </xdr:from>
    <xdr:to>
      <xdr:col>27</xdr:col>
      <xdr:colOff>442623</xdr:colOff>
      <xdr:row>26</xdr:row>
      <xdr:rowOff>176892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AC7CB6DB-43E5-9769-9DAE-C42CDA0A6F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464" y="0"/>
          <a:ext cx="19193266" cy="51298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139155</xdr:colOff>
      <xdr:row>0</xdr:row>
      <xdr:rowOff>81642</xdr:rowOff>
    </xdr:from>
    <xdr:to>
      <xdr:col>2</xdr:col>
      <xdr:colOff>347206</xdr:colOff>
      <xdr:row>1</xdr:row>
      <xdr:rowOff>-1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88588627-ACE8-42FA-B310-90CFBF42FC4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775" t="32631" r="15307" b="33427"/>
        <a:stretch/>
      </xdr:blipFill>
      <xdr:spPr>
        <a:xfrm>
          <a:off x="139155" y="81642"/>
          <a:ext cx="2147687" cy="5764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42</xdr:row>
      <xdr:rowOff>68710</xdr:rowOff>
    </xdr:from>
    <xdr:to>
      <xdr:col>2</xdr:col>
      <xdr:colOff>156123</xdr:colOff>
      <xdr:row>42</xdr:row>
      <xdr:rowOff>642638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EEAFA192-604C-4097-BC5A-86F8E91C741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775" t="32631" r="15307" b="33427"/>
        <a:stretch/>
      </xdr:blipFill>
      <xdr:spPr>
        <a:xfrm>
          <a:off x="0" y="12503165"/>
          <a:ext cx="2095759" cy="57392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5</xdr:row>
      <xdr:rowOff>51955</xdr:rowOff>
    </xdr:from>
    <xdr:to>
      <xdr:col>12</xdr:col>
      <xdr:colOff>17319</xdr:colOff>
      <xdr:row>18</xdr:row>
      <xdr:rowOff>17318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4F243720-DBCD-4B93-8E73-B93F7B6B5413}"/>
            </a:ext>
          </a:extLst>
        </xdr:cNvPr>
        <xdr:cNvCxnSpPr/>
      </xdr:nvCxnSpPr>
      <xdr:spPr>
        <a:xfrm flipH="1">
          <a:off x="2362200" y="480580"/>
          <a:ext cx="0" cy="3308638"/>
        </a:xfrm>
        <a:prstGeom prst="straightConnector1">
          <a:avLst/>
        </a:prstGeom>
        <a:ln w="285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922688</xdr:colOff>
      <xdr:row>17</xdr:row>
      <xdr:rowOff>180603</xdr:rowOff>
    </xdr:from>
    <xdr:to>
      <xdr:col>12</xdr:col>
      <xdr:colOff>748393</xdr:colOff>
      <xdr:row>20</xdr:row>
      <xdr:rowOff>128650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7270E74D-B9B5-4659-9DA2-001384B21755}"/>
            </a:ext>
          </a:extLst>
        </xdr:cNvPr>
        <xdr:cNvSpPr txBox="1"/>
      </xdr:nvSpPr>
      <xdr:spPr>
        <a:xfrm>
          <a:off x="2362200" y="3762003"/>
          <a:ext cx="0" cy="5195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000">
              <a:solidFill>
                <a:srgbClr val="FF0000"/>
              </a:solidFill>
            </a:rPr>
            <a:t>IPCA</a:t>
          </a:r>
        </a:p>
      </xdr:txBody>
    </xdr:sp>
    <xdr:clientData/>
  </xdr:twoCellAnchor>
  <xdr:twoCellAnchor>
    <xdr:from>
      <xdr:col>17</xdr:col>
      <xdr:colOff>884465</xdr:colOff>
      <xdr:row>16</xdr:row>
      <xdr:rowOff>68036</xdr:rowOff>
    </xdr:from>
    <xdr:to>
      <xdr:col>17</xdr:col>
      <xdr:colOff>886939</xdr:colOff>
      <xdr:row>18</xdr:row>
      <xdr:rowOff>174420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8053FA61-A098-453A-A8C6-B8FDA7F937FE}"/>
            </a:ext>
          </a:extLst>
        </xdr:cNvPr>
        <xdr:cNvCxnSpPr/>
      </xdr:nvCxnSpPr>
      <xdr:spPr>
        <a:xfrm>
          <a:off x="7361465" y="3458936"/>
          <a:ext cx="2474" cy="487384"/>
        </a:xfrm>
        <a:prstGeom prst="straightConnector1">
          <a:avLst/>
        </a:prstGeom>
        <a:ln w="285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689017</xdr:colOff>
      <xdr:row>18</xdr:row>
      <xdr:rowOff>127658</xdr:rowOff>
    </xdr:from>
    <xdr:to>
      <xdr:col>17</xdr:col>
      <xdr:colOff>1472046</xdr:colOff>
      <xdr:row>23</xdr:row>
      <xdr:rowOff>183076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3D11AB3B-986B-433E-A61F-437CD7D4C850}"/>
            </a:ext>
          </a:extLst>
        </xdr:cNvPr>
        <xdr:cNvSpPr txBox="1"/>
      </xdr:nvSpPr>
      <xdr:spPr>
        <a:xfrm>
          <a:off x="5603917" y="3899558"/>
          <a:ext cx="2345129" cy="10079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pt-BR" sz="2000" i="1">
              <a:solidFill>
                <a:srgbClr val="FF0000"/>
              </a:solidFill>
            </a:rPr>
            <a:t>Pouco</a:t>
          </a:r>
          <a:r>
            <a:rPr lang="pt-BR" sz="2000" i="1" baseline="0">
              <a:solidFill>
                <a:srgbClr val="FF0000"/>
              </a:solidFill>
            </a:rPr>
            <a:t> saldo contratual</a:t>
          </a:r>
          <a:endParaRPr lang="pt-BR" sz="2000" i="1">
            <a:solidFill>
              <a:srgbClr val="FF0000"/>
            </a:solidFill>
          </a:endParaRPr>
        </a:p>
      </xdr:txBody>
    </xdr:sp>
    <xdr:clientData/>
  </xdr:twoCellAnchor>
  <xdr:twoCellAnchor>
    <xdr:from>
      <xdr:col>15</xdr:col>
      <xdr:colOff>697676</xdr:colOff>
      <xdr:row>13</xdr:row>
      <xdr:rowOff>143494</xdr:rowOff>
    </xdr:from>
    <xdr:to>
      <xdr:col>15</xdr:col>
      <xdr:colOff>714994</xdr:colOff>
      <xdr:row>22</xdr:row>
      <xdr:rowOff>71746</xdr:rowOff>
    </xdr:to>
    <xdr:cxnSp macro="">
      <xdr:nvCxnSpPr>
        <xdr:cNvPr id="7" name="Conector de Seta Reta 6">
          <a:extLst>
            <a:ext uri="{FF2B5EF4-FFF2-40B4-BE49-F238E27FC236}">
              <a16:creationId xmlns:a16="http://schemas.microsoft.com/office/drawing/2014/main" id="{9070B788-F659-4F04-ACBD-02142714069A}"/>
            </a:ext>
          </a:extLst>
        </xdr:cNvPr>
        <xdr:cNvCxnSpPr/>
      </xdr:nvCxnSpPr>
      <xdr:spPr>
        <a:xfrm>
          <a:off x="19568382" y="3370788"/>
          <a:ext cx="17318" cy="2068576"/>
        </a:xfrm>
        <a:prstGeom prst="straightConnector1">
          <a:avLst/>
        </a:prstGeom>
        <a:ln w="285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280147</xdr:colOff>
      <xdr:row>21</xdr:row>
      <xdr:rowOff>84539</xdr:rowOff>
    </xdr:from>
    <xdr:to>
      <xdr:col>17</xdr:col>
      <xdr:colOff>857643</xdr:colOff>
      <xdr:row>26</xdr:row>
      <xdr:rowOff>139957</xdr:rowOff>
    </xdr:to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25D14E8D-00A3-4CBC-AC02-EDD0899F1C52}"/>
            </a:ext>
          </a:extLst>
        </xdr:cNvPr>
        <xdr:cNvSpPr txBox="1"/>
      </xdr:nvSpPr>
      <xdr:spPr>
        <a:xfrm>
          <a:off x="3880597" y="4427939"/>
          <a:ext cx="3454046" cy="10079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000" i="1">
              <a:solidFill>
                <a:srgbClr val="002060"/>
              </a:solidFill>
            </a:rPr>
            <a:t>Crescimento significativo</a:t>
          </a:r>
          <a:r>
            <a:rPr lang="pt-BR" sz="2000" i="1" baseline="0">
              <a:solidFill>
                <a:srgbClr val="002060"/>
              </a:solidFill>
            </a:rPr>
            <a:t> </a:t>
          </a:r>
          <a:r>
            <a:rPr lang="pt-BR" sz="2000" i="1">
              <a:solidFill>
                <a:srgbClr val="002060"/>
              </a:solidFill>
            </a:rPr>
            <a:t>após absorver contratos XXXX</a:t>
          </a:r>
        </a:p>
      </xdr:txBody>
    </xdr:sp>
    <xdr:clientData/>
  </xdr:twoCellAnchor>
  <xdr:twoCellAnchor>
    <xdr:from>
      <xdr:col>18</xdr:col>
      <xdr:colOff>683559</xdr:colOff>
      <xdr:row>16</xdr:row>
      <xdr:rowOff>44824</xdr:rowOff>
    </xdr:from>
    <xdr:to>
      <xdr:col>18</xdr:col>
      <xdr:colOff>686033</xdr:colOff>
      <xdr:row>18</xdr:row>
      <xdr:rowOff>151208</xdr:rowOff>
    </xdr:to>
    <xdr:cxnSp macro="">
      <xdr:nvCxnSpPr>
        <xdr:cNvPr id="9" name="Conector de Seta Reta 8">
          <a:extLst>
            <a:ext uri="{FF2B5EF4-FFF2-40B4-BE49-F238E27FC236}">
              <a16:creationId xmlns:a16="http://schemas.microsoft.com/office/drawing/2014/main" id="{5E4B42A1-C76C-4A3A-8369-E783A6C96940}"/>
            </a:ext>
          </a:extLst>
        </xdr:cNvPr>
        <xdr:cNvCxnSpPr/>
      </xdr:nvCxnSpPr>
      <xdr:spPr>
        <a:xfrm>
          <a:off x="8722659" y="3435724"/>
          <a:ext cx="2474" cy="487384"/>
        </a:xfrm>
        <a:prstGeom prst="straightConnector1">
          <a:avLst/>
        </a:prstGeom>
        <a:ln w="285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89647</xdr:colOff>
      <xdr:row>18</xdr:row>
      <xdr:rowOff>123264</xdr:rowOff>
    </xdr:from>
    <xdr:to>
      <xdr:col>19</xdr:col>
      <xdr:colOff>302558</xdr:colOff>
      <xdr:row>23</xdr:row>
      <xdr:rowOff>145676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6F34F41A-3E6C-4D3B-B628-5D0B9D87A328}"/>
            </a:ext>
          </a:extLst>
        </xdr:cNvPr>
        <xdr:cNvSpPr txBox="1"/>
      </xdr:nvSpPr>
      <xdr:spPr>
        <a:xfrm>
          <a:off x="5849471" y="4684058"/>
          <a:ext cx="1344705" cy="974912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800" b="1">
              <a:solidFill>
                <a:srgbClr val="FF0000"/>
              </a:solidFill>
            </a:rPr>
            <a:t>Saldo Contratual</a:t>
          </a:r>
          <a:r>
            <a:rPr lang="pt-BR" sz="1800" b="1" baseline="0">
              <a:solidFill>
                <a:srgbClr val="FF0000"/>
              </a:solidFill>
            </a:rPr>
            <a:t> Exedido</a:t>
          </a:r>
        </a:p>
        <a:p>
          <a:endParaRPr lang="pt-BR" sz="1100"/>
        </a:p>
      </xdr:txBody>
    </xdr:sp>
    <xdr:clientData/>
  </xdr:twoCellAnchor>
  <xdr:twoCellAnchor editAs="oneCell">
    <xdr:from>
      <xdr:col>0</xdr:col>
      <xdr:colOff>33618</xdr:colOff>
      <xdr:row>4</xdr:row>
      <xdr:rowOff>246529</xdr:rowOff>
    </xdr:from>
    <xdr:to>
      <xdr:col>0</xdr:col>
      <xdr:colOff>2338909</xdr:colOff>
      <xdr:row>5</xdr:row>
      <xdr:rowOff>342388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90970F15-CAC6-4522-B886-5CB7406F1C0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775" t="32631" r="15307" b="33427"/>
        <a:stretch/>
      </xdr:blipFill>
      <xdr:spPr>
        <a:xfrm>
          <a:off x="33618" y="1288676"/>
          <a:ext cx="2305291" cy="521683"/>
        </a:xfrm>
        <a:prstGeom prst="rect">
          <a:avLst/>
        </a:prstGeom>
      </xdr:spPr>
    </xdr:pic>
    <xdr:clientData/>
  </xdr:twoCellAnchor>
  <xdr:twoCellAnchor>
    <xdr:from>
      <xdr:col>23</xdr:col>
      <xdr:colOff>1355912</xdr:colOff>
      <xdr:row>7</xdr:row>
      <xdr:rowOff>11205</xdr:rowOff>
    </xdr:from>
    <xdr:to>
      <xdr:col>24</xdr:col>
      <xdr:colOff>22412</xdr:colOff>
      <xdr:row>17</xdr:row>
      <xdr:rowOff>123264</xdr:rowOff>
    </xdr:to>
    <xdr:cxnSp macro="">
      <xdr:nvCxnSpPr>
        <xdr:cNvPr id="12" name="Conector de Seta Reta 11">
          <a:extLst>
            <a:ext uri="{FF2B5EF4-FFF2-40B4-BE49-F238E27FC236}">
              <a16:creationId xmlns:a16="http://schemas.microsoft.com/office/drawing/2014/main" id="{8542A685-3231-934A-E506-BE1D4D8D6F8F}"/>
            </a:ext>
          </a:extLst>
        </xdr:cNvPr>
        <xdr:cNvCxnSpPr/>
      </xdr:nvCxnSpPr>
      <xdr:spPr>
        <a:xfrm>
          <a:off x="14466794" y="2241176"/>
          <a:ext cx="33618" cy="2297206"/>
        </a:xfrm>
        <a:prstGeom prst="straightConnector1">
          <a:avLst/>
        </a:prstGeom>
        <a:ln w="38100" cap="flat" cmpd="sng" algn="ctr">
          <a:solidFill>
            <a:srgbClr val="FF0000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23</xdr:col>
      <xdr:colOff>627528</xdr:colOff>
      <xdr:row>17</xdr:row>
      <xdr:rowOff>112057</xdr:rowOff>
    </xdr:from>
    <xdr:to>
      <xdr:col>24</xdr:col>
      <xdr:colOff>874059</xdr:colOff>
      <xdr:row>21</xdr:row>
      <xdr:rowOff>145677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C657B46B-46BD-4E3C-9C10-2FB7E2BA59F5}"/>
            </a:ext>
          </a:extLst>
        </xdr:cNvPr>
        <xdr:cNvSpPr txBox="1"/>
      </xdr:nvSpPr>
      <xdr:spPr>
        <a:xfrm>
          <a:off x="12046322" y="4482351"/>
          <a:ext cx="1378325" cy="79562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 b="1">
              <a:solidFill>
                <a:srgbClr val="FF0000"/>
              </a:solidFill>
            </a:rPr>
            <a:t>Renovação</a:t>
          </a:r>
          <a:r>
            <a:rPr lang="pt-BR" sz="1400" b="1" baseline="0">
              <a:solidFill>
                <a:srgbClr val="FF0000"/>
              </a:solidFill>
            </a:rPr>
            <a:t>  de contrato para todas as UFVS.</a:t>
          </a:r>
          <a:endParaRPr lang="pt-BR" sz="1400" b="1">
            <a:solidFill>
              <a:srgbClr val="FF0000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35297</xdr:colOff>
      <xdr:row>2</xdr:row>
      <xdr:rowOff>128795</xdr:rowOff>
    </xdr:from>
    <xdr:to>
      <xdr:col>6</xdr:col>
      <xdr:colOff>504263</xdr:colOff>
      <xdr:row>16</xdr:row>
      <xdr:rowOff>123265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658FB50-444C-75B8-DC2F-1A1008196E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78442</xdr:colOff>
      <xdr:row>9</xdr:row>
      <xdr:rowOff>78442</xdr:rowOff>
    </xdr:from>
    <xdr:to>
      <xdr:col>18</xdr:col>
      <xdr:colOff>600075</xdr:colOff>
      <xdr:row>10</xdr:row>
      <xdr:rowOff>123265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2BD80799-B54B-43CA-2F01-729108A46A3C}"/>
            </a:ext>
          </a:extLst>
        </xdr:cNvPr>
        <xdr:cNvGrpSpPr/>
      </xdr:nvGrpSpPr>
      <xdr:grpSpPr>
        <a:xfrm>
          <a:off x="14802971" y="2375648"/>
          <a:ext cx="521633" cy="235323"/>
          <a:chOff x="13736464" y="1792942"/>
          <a:chExt cx="453594" cy="235323"/>
        </a:xfrm>
      </xdr:grpSpPr>
      <xdr:sp macro="" textlink="">
        <xdr:nvSpPr>
          <xdr:cNvPr id="10" name="Retângulo: Cantos Arredondados 9">
            <a:extLst>
              <a:ext uri="{FF2B5EF4-FFF2-40B4-BE49-F238E27FC236}">
                <a16:creationId xmlns:a16="http://schemas.microsoft.com/office/drawing/2014/main" id="{367A5268-44B0-5E3D-0DA1-031BFA57869E}"/>
              </a:ext>
            </a:extLst>
          </xdr:cNvPr>
          <xdr:cNvSpPr/>
        </xdr:nvSpPr>
        <xdr:spPr>
          <a:xfrm>
            <a:off x="13736464" y="1792942"/>
            <a:ext cx="453594" cy="235323"/>
          </a:xfrm>
          <a:prstGeom prst="roundRect">
            <a:avLst/>
          </a:prstGeom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/>
              <a:t>Link</a:t>
            </a:r>
          </a:p>
          <a:p>
            <a:pPr algn="l"/>
            <a:endParaRPr lang="pt-BR" sz="1100"/>
          </a:p>
        </xdr:txBody>
      </xdr:sp>
      <xdr:pic>
        <xdr:nvPicPr>
          <xdr:cNvPr id="12" name="Gráfico 11" descr="Gráfico de barras com preenchimento sólido">
            <a:extLst>
              <a:ext uri="{FF2B5EF4-FFF2-40B4-BE49-F238E27FC236}">
                <a16:creationId xmlns:a16="http://schemas.microsoft.com/office/drawing/2014/main" id="{C1B04453-14DA-D675-F952-49FFA32E87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4061030" y="1801586"/>
            <a:ext cx="112059" cy="112059"/>
          </a:xfrm>
          <a:prstGeom prst="rect">
            <a:avLst/>
          </a:prstGeom>
        </xdr:spPr>
      </xdr:pic>
    </xdr:grpSp>
    <xdr:clientData/>
  </xdr:twoCellAnchor>
  <xdr:twoCellAnchor>
    <xdr:from>
      <xdr:col>18</xdr:col>
      <xdr:colOff>66675</xdr:colOff>
      <xdr:row>6</xdr:row>
      <xdr:rowOff>28575</xdr:rowOff>
    </xdr:from>
    <xdr:to>
      <xdr:col>18</xdr:col>
      <xdr:colOff>619125</xdr:colOff>
      <xdr:row>7</xdr:row>
      <xdr:rowOff>73398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159A67CB-6AC8-4A12-9F76-E125B151BE4B}"/>
            </a:ext>
          </a:extLst>
        </xdr:cNvPr>
        <xdr:cNvGrpSpPr/>
      </xdr:nvGrpSpPr>
      <xdr:grpSpPr>
        <a:xfrm>
          <a:off x="14791204" y="1171575"/>
          <a:ext cx="552450" cy="616323"/>
          <a:chOff x="13736464" y="1792942"/>
          <a:chExt cx="453594" cy="235323"/>
        </a:xfrm>
      </xdr:grpSpPr>
      <xdr:sp macro="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DBAFFD66-B054-8686-60D0-BC9E0CFDC7D7}"/>
              </a:ext>
            </a:extLst>
          </xdr:cNvPr>
          <xdr:cNvSpPr/>
        </xdr:nvSpPr>
        <xdr:spPr>
          <a:xfrm>
            <a:off x="13736464" y="1792942"/>
            <a:ext cx="453594" cy="235323"/>
          </a:xfrm>
          <a:prstGeom prst="roundRect">
            <a:avLst/>
          </a:prstGeom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/>
              <a:t>Link</a:t>
            </a:r>
          </a:p>
          <a:p>
            <a:pPr algn="l"/>
            <a:endParaRPr lang="pt-BR" sz="1100"/>
          </a:p>
        </xdr:txBody>
      </xdr:sp>
      <xdr:pic>
        <xdr:nvPicPr>
          <xdr:cNvPr id="23" name="Gráfico 22" descr="Gráfico de barras com preenchimento sólido">
            <a:extLst>
              <a:ext uri="{FF2B5EF4-FFF2-40B4-BE49-F238E27FC236}">
                <a16:creationId xmlns:a16="http://schemas.microsoft.com/office/drawing/2014/main" id="{60FABF92-20E9-0563-8D2D-4B0C249F5D3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4061030" y="1801586"/>
            <a:ext cx="112059" cy="112059"/>
          </a:xfrm>
          <a:prstGeom prst="rect">
            <a:avLst/>
          </a:prstGeom>
        </xdr:spPr>
      </xdr:pic>
    </xdr:grpSp>
    <xdr:clientData/>
  </xdr:twoCellAnchor>
  <xdr:twoCellAnchor>
    <xdr:from>
      <xdr:col>18</xdr:col>
      <xdr:colOff>53788</xdr:colOff>
      <xdr:row>8</xdr:row>
      <xdr:rowOff>44823</xdr:rowOff>
    </xdr:from>
    <xdr:to>
      <xdr:col>18</xdr:col>
      <xdr:colOff>587188</xdr:colOff>
      <xdr:row>8</xdr:row>
      <xdr:rowOff>310962</xdr:rowOff>
    </xdr:to>
    <xdr:grpSp>
      <xdr:nvGrpSpPr>
        <xdr:cNvPr id="30" name="Agrupar 29">
          <a:extLst>
            <a:ext uri="{FF2B5EF4-FFF2-40B4-BE49-F238E27FC236}">
              <a16:creationId xmlns:a16="http://schemas.microsoft.com/office/drawing/2014/main" id="{241D670F-3CEE-4ADB-8C5F-C656609691FE}"/>
            </a:ext>
          </a:extLst>
        </xdr:cNvPr>
        <xdr:cNvGrpSpPr/>
      </xdr:nvGrpSpPr>
      <xdr:grpSpPr>
        <a:xfrm>
          <a:off x="14778317" y="1949823"/>
          <a:ext cx="533400" cy="266139"/>
          <a:chOff x="13736464" y="1792942"/>
          <a:chExt cx="453594" cy="235323"/>
        </a:xfrm>
      </xdr:grpSpPr>
      <xdr:sp macro="" textlink="">
        <xdr:nvSpPr>
          <xdr:cNvPr id="31" name="Retângulo: Cantos Arredondados 30">
            <a:extLst>
              <a:ext uri="{FF2B5EF4-FFF2-40B4-BE49-F238E27FC236}">
                <a16:creationId xmlns:a16="http://schemas.microsoft.com/office/drawing/2014/main" id="{F17630D6-DECB-AE65-3265-20B4BA91783E}"/>
              </a:ext>
            </a:extLst>
          </xdr:cNvPr>
          <xdr:cNvSpPr/>
        </xdr:nvSpPr>
        <xdr:spPr>
          <a:xfrm>
            <a:off x="13736464" y="1792942"/>
            <a:ext cx="453594" cy="235323"/>
          </a:xfrm>
          <a:prstGeom prst="roundRect">
            <a:avLst/>
          </a:prstGeom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/>
              <a:t>Link</a:t>
            </a:r>
          </a:p>
          <a:p>
            <a:pPr algn="l"/>
            <a:endParaRPr lang="pt-BR" sz="1100"/>
          </a:p>
        </xdr:txBody>
      </xdr:sp>
      <xdr:pic>
        <xdr:nvPicPr>
          <xdr:cNvPr id="32" name="Gráfico 31" descr="Gráfico de barras com preenchimento sólido">
            <a:extLst>
              <a:ext uri="{FF2B5EF4-FFF2-40B4-BE49-F238E27FC236}">
                <a16:creationId xmlns:a16="http://schemas.microsoft.com/office/drawing/2014/main" id="{0A6C592D-E860-AC6C-EF10-BD74C61498E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4061030" y="1801586"/>
            <a:ext cx="112059" cy="112059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571500</xdr:colOff>
      <xdr:row>2</xdr:row>
      <xdr:rowOff>123266</xdr:rowOff>
    </xdr:from>
    <xdr:to>
      <xdr:col>13</xdr:col>
      <xdr:colOff>1165412</xdr:colOff>
      <xdr:row>16</xdr:row>
      <xdr:rowOff>145677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19E08AA2-7E70-E9E6-0BDD-07E244BAD7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66675</xdr:colOff>
      <xdr:row>1</xdr:row>
      <xdr:rowOff>0</xdr:rowOff>
    </xdr:from>
    <xdr:to>
      <xdr:col>18</xdr:col>
      <xdr:colOff>549089</xdr:colOff>
      <xdr:row>2</xdr:row>
      <xdr:rowOff>89647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9BD601F-3739-409B-BAB1-8CF69A8567FD}"/>
            </a:ext>
          </a:extLst>
        </xdr:cNvPr>
        <xdr:cNvGrpSpPr/>
      </xdr:nvGrpSpPr>
      <xdr:grpSpPr>
        <a:xfrm>
          <a:off x="14791204" y="190500"/>
          <a:ext cx="482414" cy="280147"/>
          <a:chOff x="13736464" y="1792942"/>
          <a:chExt cx="453594" cy="235323"/>
        </a:xfrm>
      </xdr:grpSpPr>
      <xdr:sp macro="" textlink="">
        <xdr:nvSpPr>
          <xdr:cNvPr id="3" name="Retângulo: Cantos Arredondados 2">
            <a:extLst>
              <a:ext uri="{FF2B5EF4-FFF2-40B4-BE49-F238E27FC236}">
                <a16:creationId xmlns:a16="http://schemas.microsoft.com/office/drawing/2014/main" id="{E30BF053-F877-8DCB-D075-D575A5AAA5AD}"/>
              </a:ext>
            </a:extLst>
          </xdr:cNvPr>
          <xdr:cNvSpPr/>
        </xdr:nvSpPr>
        <xdr:spPr>
          <a:xfrm>
            <a:off x="13736464" y="1792942"/>
            <a:ext cx="453594" cy="235323"/>
          </a:xfrm>
          <a:prstGeom prst="roundRect">
            <a:avLst/>
          </a:prstGeom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/>
              <a:t>Link</a:t>
            </a:r>
          </a:p>
          <a:p>
            <a:pPr algn="l"/>
            <a:endParaRPr lang="pt-BR" sz="1100"/>
          </a:p>
        </xdr:txBody>
      </xdr:sp>
      <xdr:pic>
        <xdr:nvPicPr>
          <xdr:cNvPr id="4" name="Gráfico 3" descr="Gráfico de barras com preenchimento sólido">
            <a:extLst>
              <a:ext uri="{FF2B5EF4-FFF2-40B4-BE49-F238E27FC236}">
                <a16:creationId xmlns:a16="http://schemas.microsoft.com/office/drawing/2014/main" id="{06E18E99-2012-52F6-03FA-5AB1DC8659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4061030" y="1801586"/>
            <a:ext cx="112059" cy="112059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306480</xdr:colOff>
      <xdr:row>5</xdr:row>
      <xdr:rowOff>324972</xdr:rowOff>
    </xdr:from>
    <xdr:to>
      <xdr:col>0</xdr:col>
      <xdr:colOff>308161</xdr:colOff>
      <xdr:row>6</xdr:row>
      <xdr:rowOff>1367119</xdr:rowOff>
    </xdr:to>
    <xdr:cxnSp macro="">
      <xdr:nvCxnSpPr>
        <xdr:cNvPr id="2" name="Straight Arrow Connector 15">
          <a:extLst>
            <a:ext uri="{FF2B5EF4-FFF2-40B4-BE49-F238E27FC236}">
              <a16:creationId xmlns:a16="http://schemas.microsoft.com/office/drawing/2014/main" id="{2F71503F-67DD-4E2B-8B8F-496E6260AC1D}"/>
            </a:ext>
          </a:extLst>
        </xdr:cNvPr>
        <xdr:cNvCxnSpPr/>
      </xdr:nvCxnSpPr>
      <xdr:spPr>
        <a:xfrm flipH="1" flipV="1">
          <a:off x="306480" y="324972"/>
          <a:ext cx="1681" cy="2842372"/>
        </a:xfrm>
        <a:prstGeom prst="straightConnector1">
          <a:avLst/>
        </a:prstGeom>
        <a:ln w="57150">
          <a:gradFill>
            <a:gsLst>
              <a:gs pos="49600">
                <a:schemeClr val="bg1"/>
              </a:gs>
              <a:gs pos="0">
                <a:srgbClr val="00B050"/>
              </a:gs>
              <a:gs pos="100000">
                <a:srgbClr val="FF0000"/>
              </a:gs>
            </a:gsLst>
            <a:lin ang="5400000" scaled="1"/>
          </a:gra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93013</xdr:colOff>
      <xdr:row>5</xdr:row>
      <xdr:rowOff>1266266</xdr:rowOff>
    </xdr:from>
    <xdr:to>
      <xdr:col>0</xdr:col>
      <xdr:colOff>526676</xdr:colOff>
      <xdr:row>6</xdr:row>
      <xdr:rowOff>431986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7A26ACAF-77BC-4117-BED4-76DA371C3F27}"/>
            </a:ext>
          </a:extLst>
        </xdr:cNvPr>
        <xdr:cNvSpPr txBox="1"/>
      </xdr:nvSpPr>
      <xdr:spPr>
        <a:xfrm rot="16200000">
          <a:off x="-173128" y="1532407"/>
          <a:ext cx="965945" cy="433663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IMPACTO NA </a:t>
          </a:r>
        </a:p>
        <a:p>
          <a:pPr algn="ctr"/>
          <a:r>
            <a:rPr lang="pt-BR" sz="1100"/>
            <a:t>GERAÇÃO</a:t>
          </a:r>
        </a:p>
      </xdr:txBody>
    </xdr:sp>
    <xdr:clientData/>
  </xdr:twoCellAnchor>
  <xdr:twoCellAnchor>
    <xdr:from>
      <xdr:col>1</xdr:col>
      <xdr:colOff>561699</xdr:colOff>
      <xdr:row>7</xdr:row>
      <xdr:rowOff>188959</xdr:rowOff>
    </xdr:from>
    <xdr:to>
      <xdr:col>2</xdr:col>
      <xdr:colOff>2409265</xdr:colOff>
      <xdr:row>7</xdr:row>
      <xdr:rowOff>215852</xdr:rowOff>
    </xdr:to>
    <xdr:cxnSp macro="">
      <xdr:nvCxnSpPr>
        <xdr:cNvPr id="4" name="Straight Arrow Connector 15">
          <a:extLst>
            <a:ext uri="{FF2B5EF4-FFF2-40B4-BE49-F238E27FC236}">
              <a16:creationId xmlns:a16="http://schemas.microsoft.com/office/drawing/2014/main" id="{4251E1A9-DF18-4084-B8D0-30D3C4AF9923}"/>
            </a:ext>
          </a:extLst>
        </xdr:cNvPr>
        <xdr:cNvCxnSpPr>
          <a:stCxn id="6" idx="3"/>
          <a:endCxn id="5" idx="1"/>
        </xdr:cNvCxnSpPr>
      </xdr:nvCxnSpPr>
      <xdr:spPr>
        <a:xfrm>
          <a:off x="1095099" y="3751309"/>
          <a:ext cx="4562191" cy="26893"/>
        </a:xfrm>
        <a:prstGeom prst="straightConnector1">
          <a:avLst/>
        </a:prstGeom>
        <a:ln w="57150">
          <a:gradFill flip="none" rotWithShape="1">
            <a:gsLst>
              <a:gs pos="49600">
                <a:schemeClr val="bg1"/>
              </a:gs>
              <a:gs pos="0">
                <a:srgbClr val="FF0000"/>
              </a:gs>
              <a:gs pos="100000">
                <a:schemeClr val="accent2"/>
              </a:gs>
            </a:gsLst>
            <a:path path="circle">
              <a:fillToRect l="100000" t="100000"/>
            </a:path>
            <a:tileRect r="-100000" b="-100000"/>
          </a:gra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2409265</xdr:colOff>
      <xdr:row>7</xdr:row>
      <xdr:rowOff>117940</xdr:rowOff>
    </xdr:from>
    <xdr:to>
      <xdr:col>2</xdr:col>
      <xdr:colOff>2986651</xdr:colOff>
      <xdr:row>7</xdr:row>
      <xdr:rowOff>313763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3576F238-57E0-4D81-A796-3EE408A9C41D}"/>
            </a:ext>
          </a:extLst>
        </xdr:cNvPr>
        <xdr:cNvSpPr txBox="1"/>
      </xdr:nvSpPr>
      <xdr:spPr>
        <a:xfrm>
          <a:off x="5657290" y="3680290"/>
          <a:ext cx="577386" cy="195823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FF0000"/>
              </a:solidFill>
            </a:rPr>
            <a:t>ALTA</a:t>
          </a:r>
        </a:p>
      </xdr:txBody>
    </xdr:sp>
    <xdr:clientData/>
  </xdr:twoCellAnchor>
  <xdr:twoCellAnchor>
    <xdr:from>
      <xdr:col>0</xdr:col>
      <xdr:colOff>1026460</xdr:colOff>
      <xdr:row>7</xdr:row>
      <xdr:rowOff>91047</xdr:rowOff>
    </xdr:from>
    <xdr:to>
      <xdr:col>1</xdr:col>
      <xdr:colOff>561699</xdr:colOff>
      <xdr:row>7</xdr:row>
      <xdr:rowOff>286870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7482ECEB-7F01-4091-9010-833101EF28D0}"/>
            </a:ext>
          </a:extLst>
        </xdr:cNvPr>
        <xdr:cNvSpPr txBox="1"/>
      </xdr:nvSpPr>
      <xdr:spPr>
        <a:xfrm>
          <a:off x="531160" y="3653397"/>
          <a:ext cx="563939" cy="195823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accent2"/>
              </a:solidFill>
            </a:rPr>
            <a:t>BAIXA</a:t>
          </a:r>
        </a:p>
      </xdr:txBody>
    </xdr:sp>
    <xdr:clientData/>
  </xdr:twoCellAnchor>
  <xdr:twoCellAnchor>
    <xdr:from>
      <xdr:col>1</xdr:col>
      <xdr:colOff>2229969</xdr:colOff>
      <xdr:row>7</xdr:row>
      <xdr:rowOff>73117</xdr:rowOff>
    </xdr:from>
    <xdr:to>
      <xdr:col>2</xdr:col>
      <xdr:colOff>454122</xdr:colOff>
      <xdr:row>7</xdr:row>
      <xdr:rowOff>336176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AA163AB9-49C1-4714-B812-E1DA1612F8C3}"/>
            </a:ext>
          </a:extLst>
        </xdr:cNvPr>
        <xdr:cNvSpPr txBox="1"/>
      </xdr:nvSpPr>
      <xdr:spPr>
        <a:xfrm>
          <a:off x="2763369" y="3635467"/>
          <a:ext cx="938778" cy="263059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0"/>
            <a:t>URGENCIA</a:t>
          </a:r>
        </a:p>
      </xdr:txBody>
    </xdr:sp>
    <xdr:clientData/>
  </xdr:twoCellAnchor>
  <xdr:twoCellAnchor>
    <xdr:from>
      <xdr:col>0</xdr:col>
      <xdr:colOff>306480</xdr:colOff>
      <xdr:row>5</xdr:row>
      <xdr:rowOff>324972</xdr:rowOff>
    </xdr:from>
    <xdr:to>
      <xdr:col>0</xdr:col>
      <xdr:colOff>308161</xdr:colOff>
      <xdr:row>6</xdr:row>
      <xdr:rowOff>1367119</xdr:rowOff>
    </xdr:to>
    <xdr:cxnSp macro="">
      <xdr:nvCxnSpPr>
        <xdr:cNvPr id="10" name="Straight Arrow Connector 15">
          <a:extLst>
            <a:ext uri="{FF2B5EF4-FFF2-40B4-BE49-F238E27FC236}">
              <a16:creationId xmlns:a16="http://schemas.microsoft.com/office/drawing/2014/main" id="{A57A1FFE-DD49-486E-B7E5-5A92B1DEECC7}"/>
            </a:ext>
          </a:extLst>
        </xdr:cNvPr>
        <xdr:cNvCxnSpPr/>
      </xdr:nvCxnSpPr>
      <xdr:spPr>
        <a:xfrm flipH="1" flipV="1">
          <a:off x="306480" y="324972"/>
          <a:ext cx="1681" cy="2842372"/>
        </a:xfrm>
        <a:prstGeom prst="straightConnector1">
          <a:avLst/>
        </a:prstGeom>
        <a:ln w="57150">
          <a:gradFill>
            <a:gsLst>
              <a:gs pos="49600">
                <a:schemeClr val="bg1"/>
              </a:gs>
              <a:gs pos="0">
                <a:srgbClr val="00B050"/>
              </a:gs>
              <a:gs pos="100000">
                <a:srgbClr val="FF0000"/>
              </a:gs>
            </a:gsLst>
            <a:lin ang="5400000" scaled="1"/>
          </a:gra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93013</xdr:colOff>
      <xdr:row>5</xdr:row>
      <xdr:rowOff>1266266</xdr:rowOff>
    </xdr:from>
    <xdr:to>
      <xdr:col>0</xdr:col>
      <xdr:colOff>526676</xdr:colOff>
      <xdr:row>6</xdr:row>
      <xdr:rowOff>431986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63BFEA8B-763D-4D1D-A528-FE9897DFBF6A}"/>
            </a:ext>
          </a:extLst>
        </xdr:cNvPr>
        <xdr:cNvSpPr txBox="1"/>
      </xdr:nvSpPr>
      <xdr:spPr>
        <a:xfrm rot="16200000">
          <a:off x="-173128" y="1532407"/>
          <a:ext cx="965945" cy="433663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IMPACTO NA </a:t>
          </a:r>
        </a:p>
        <a:p>
          <a:pPr algn="ctr"/>
          <a:r>
            <a:rPr lang="pt-BR" sz="1100"/>
            <a:t>GERAÇÃO</a:t>
          </a:r>
        </a:p>
      </xdr:txBody>
    </xdr:sp>
    <xdr:clientData/>
  </xdr:twoCellAnchor>
  <xdr:twoCellAnchor>
    <xdr:from>
      <xdr:col>1</xdr:col>
      <xdr:colOff>561699</xdr:colOff>
      <xdr:row>7</xdr:row>
      <xdr:rowOff>188959</xdr:rowOff>
    </xdr:from>
    <xdr:to>
      <xdr:col>2</xdr:col>
      <xdr:colOff>2409265</xdr:colOff>
      <xdr:row>7</xdr:row>
      <xdr:rowOff>215852</xdr:rowOff>
    </xdr:to>
    <xdr:cxnSp macro="">
      <xdr:nvCxnSpPr>
        <xdr:cNvPr id="12" name="Straight Arrow Connector 15">
          <a:extLst>
            <a:ext uri="{FF2B5EF4-FFF2-40B4-BE49-F238E27FC236}">
              <a16:creationId xmlns:a16="http://schemas.microsoft.com/office/drawing/2014/main" id="{DF1E610B-ED49-4A66-8E4A-D253A65E9D55}"/>
            </a:ext>
          </a:extLst>
        </xdr:cNvPr>
        <xdr:cNvCxnSpPr>
          <a:stCxn id="14" idx="3"/>
          <a:endCxn id="13" idx="1"/>
        </xdr:cNvCxnSpPr>
      </xdr:nvCxnSpPr>
      <xdr:spPr>
        <a:xfrm>
          <a:off x="1095099" y="3751309"/>
          <a:ext cx="4562191" cy="26893"/>
        </a:xfrm>
        <a:prstGeom prst="straightConnector1">
          <a:avLst/>
        </a:prstGeom>
        <a:ln w="57150">
          <a:gradFill flip="none" rotWithShape="1">
            <a:gsLst>
              <a:gs pos="49600">
                <a:schemeClr val="bg1"/>
              </a:gs>
              <a:gs pos="0">
                <a:srgbClr val="FF0000"/>
              </a:gs>
              <a:gs pos="100000">
                <a:schemeClr val="accent2"/>
              </a:gs>
            </a:gsLst>
            <a:path path="circle">
              <a:fillToRect l="100000" t="100000"/>
            </a:path>
            <a:tileRect r="-100000" b="-100000"/>
          </a:gra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2409265</xdr:colOff>
      <xdr:row>7</xdr:row>
      <xdr:rowOff>117940</xdr:rowOff>
    </xdr:from>
    <xdr:to>
      <xdr:col>2</xdr:col>
      <xdr:colOff>2986651</xdr:colOff>
      <xdr:row>7</xdr:row>
      <xdr:rowOff>313763</xdr:rowOff>
    </xdr:to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77555765-5ECD-424E-BEB4-A6901D9A4C32}"/>
            </a:ext>
          </a:extLst>
        </xdr:cNvPr>
        <xdr:cNvSpPr txBox="1"/>
      </xdr:nvSpPr>
      <xdr:spPr>
        <a:xfrm>
          <a:off x="5657290" y="3680290"/>
          <a:ext cx="577386" cy="195823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FF0000"/>
              </a:solidFill>
            </a:rPr>
            <a:t>ALTA</a:t>
          </a:r>
        </a:p>
      </xdr:txBody>
    </xdr:sp>
    <xdr:clientData/>
  </xdr:twoCellAnchor>
  <xdr:twoCellAnchor>
    <xdr:from>
      <xdr:col>0</xdr:col>
      <xdr:colOff>1026460</xdr:colOff>
      <xdr:row>7</xdr:row>
      <xdr:rowOff>91047</xdr:rowOff>
    </xdr:from>
    <xdr:to>
      <xdr:col>1</xdr:col>
      <xdr:colOff>561699</xdr:colOff>
      <xdr:row>7</xdr:row>
      <xdr:rowOff>286870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104C15C7-0BCA-42B1-9C56-32E1BACCB774}"/>
            </a:ext>
          </a:extLst>
        </xdr:cNvPr>
        <xdr:cNvSpPr txBox="1"/>
      </xdr:nvSpPr>
      <xdr:spPr>
        <a:xfrm>
          <a:off x="531160" y="3653397"/>
          <a:ext cx="563939" cy="195823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accent2"/>
              </a:solidFill>
            </a:rPr>
            <a:t>BAIXA</a:t>
          </a:r>
        </a:p>
      </xdr:txBody>
    </xdr:sp>
    <xdr:clientData/>
  </xdr:twoCellAnchor>
  <xdr:twoCellAnchor>
    <xdr:from>
      <xdr:col>1</xdr:col>
      <xdr:colOff>2229969</xdr:colOff>
      <xdr:row>7</xdr:row>
      <xdr:rowOff>73117</xdr:rowOff>
    </xdr:from>
    <xdr:to>
      <xdr:col>2</xdr:col>
      <xdr:colOff>454122</xdr:colOff>
      <xdr:row>7</xdr:row>
      <xdr:rowOff>336176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25CA788B-49B6-4FC3-A9E8-82C578CC5D2A}"/>
            </a:ext>
          </a:extLst>
        </xdr:cNvPr>
        <xdr:cNvSpPr txBox="1"/>
      </xdr:nvSpPr>
      <xdr:spPr>
        <a:xfrm>
          <a:off x="2763369" y="3635467"/>
          <a:ext cx="938778" cy="263059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0"/>
            <a:t>URGENCIA</a:t>
          </a:r>
        </a:p>
      </xdr:txBody>
    </xdr:sp>
    <xdr:clientData/>
  </xdr:twoCellAnchor>
  <xdr:twoCellAnchor>
    <xdr:from>
      <xdr:col>0</xdr:col>
      <xdr:colOff>306480</xdr:colOff>
      <xdr:row>5</xdr:row>
      <xdr:rowOff>324972</xdr:rowOff>
    </xdr:from>
    <xdr:to>
      <xdr:col>0</xdr:col>
      <xdr:colOff>308161</xdr:colOff>
      <xdr:row>6</xdr:row>
      <xdr:rowOff>1367119</xdr:rowOff>
    </xdr:to>
    <xdr:cxnSp macro="">
      <xdr:nvCxnSpPr>
        <xdr:cNvPr id="18" name="Straight Arrow Connector 15">
          <a:extLst>
            <a:ext uri="{FF2B5EF4-FFF2-40B4-BE49-F238E27FC236}">
              <a16:creationId xmlns:a16="http://schemas.microsoft.com/office/drawing/2014/main" id="{A0E63F99-8872-446A-AE1B-C1F3C70185E3}"/>
            </a:ext>
          </a:extLst>
        </xdr:cNvPr>
        <xdr:cNvCxnSpPr/>
      </xdr:nvCxnSpPr>
      <xdr:spPr>
        <a:xfrm flipH="1" flipV="1">
          <a:off x="306480" y="324972"/>
          <a:ext cx="1681" cy="2842372"/>
        </a:xfrm>
        <a:prstGeom prst="straightConnector1">
          <a:avLst/>
        </a:prstGeom>
        <a:ln w="57150">
          <a:gradFill>
            <a:gsLst>
              <a:gs pos="49600">
                <a:schemeClr val="bg1"/>
              </a:gs>
              <a:gs pos="0">
                <a:srgbClr val="00B050"/>
              </a:gs>
              <a:gs pos="100000">
                <a:srgbClr val="FF0000"/>
              </a:gs>
            </a:gsLst>
            <a:lin ang="5400000" scaled="1"/>
          </a:gra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93013</xdr:colOff>
      <xdr:row>5</xdr:row>
      <xdr:rowOff>1266266</xdr:rowOff>
    </xdr:from>
    <xdr:to>
      <xdr:col>0</xdr:col>
      <xdr:colOff>526676</xdr:colOff>
      <xdr:row>6</xdr:row>
      <xdr:rowOff>431986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ED504B5D-3CB1-4FCC-B622-34C3527F8516}"/>
            </a:ext>
          </a:extLst>
        </xdr:cNvPr>
        <xdr:cNvSpPr txBox="1"/>
      </xdr:nvSpPr>
      <xdr:spPr>
        <a:xfrm rot="16200000">
          <a:off x="-173128" y="1532407"/>
          <a:ext cx="965945" cy="433663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IMPACTO NA </a:t>
          </a:r>
        </a:p>
        <a:p>
          <a:pPr algn="ctr"/>
          <a:r>
            <a:rPr lang="pt-BR" sz="1100"/>
            <a:t>GERAÇÃO</a:t>
          </a:r>
        </a:p>
      </xdr:txBody>
    </xdr:sp>
    <xdr:clientData/>
  </xdr:twoCellAnchor>
  <xdr:twoCellAnchor>
    <xdr:from>
      <xdr:col>1</xdr:col>
      <xdr:colOff>561699</xdr:colOff>
      <xdr:row>7</xdr:row>
      <xdr:rowOff>188959</xdr:rowOff>
    </xdr:from>
    <xdr:to>
      <xdr:col>2</xdr:col>
      <xdr:colOff>2409265</xdr:colOff>
      <xdr:row>7</xdr:row>
      <xdr:rowOff>215852</xdr:rowOff>
    </xdr:to>
    <xdr:cxnSp macro="">
      <xdr:nvCxnSpPr>
        <xdr:cNvPr id="20" name="Straight Arrow Connector 15">
          <a:extLst>
            <a:ext uri="{FF2B5EF4-FFF2-40B4-BE49-F238E27FC236}">
              <a16:creationId xmlns:a16="http://schemas.microsoft.com/office/drawing/2014/main" id="{F5907434-ACDB-49FC-8D2A-25EACEA67E70}"/>
            </a:ext>
          </a:extLst>
        </xdr:cNvPr>
        <xdr:cNvCxnSpPr>
          <a:stCxn id="22" idx="3"/>
          <a:endCxn id="21" idx="1"/>
        </xdr:cNvCxnSpPr>
      </xdr:nvCxnSpPr>
      <xdr:spPr>
        <a:xfrm>
          <a:off x="1095099" y="3751309"/>
          <a:ext cx="4562191" cy="26893"/>
        </a:xfrm>
        <a:prstGeom prst="straightConnector1">
          <a:avLst/>
        </a:prstGeom>
        <a:ln w="57150">
          <a:gradFill flip="none" rotWithShape="1">
            <a:gsLst>
              <a:gs pos="49600">
                <a:schemeClr val="bg1"/>
              </a:gs>
              <a:gs pos="0">
                <a:srgbClr val="FF0000"/>
              </a:gs>
              <a:gs pos="100000">
                <a:schemeClr val="accent2"/>
              </a:gs>
            </a:gsLst>
            <a:path path="circle">
              <a:fillToRect l="100000" t="100000"/>
            </a:path>
            <a:tileRect r="-100000" b="-100000"/>
          </a:gra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2409265</xdr:colOff>
      <xdr:row>7</xdr:row>
      <xdr:rowOff>117940</xdr:rowOff>
    </xdr:from>
    <xdr:to>
      <xdr:col>2</xdr:col>
      <xdr:colOff>2986651</xdr:colOff>
      <xdr:row>7</xdr:row>
      <xdr:rowOff>313763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86E2F304-4883-4C4B-BDE6-CAB88F29D398}"/>
            </a:ext>
          </a:extLst>
        </xdr:cNvPr>
        <xdr:cNvSpPr txBox="1"/>
      </xdr:nvSpPr>
      <xdr:spPr>
        <a:xfrm>
          <a:off x="5657290" y="3680290"/>
          <a:ext cx="577386" cy="195823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FF0000"/>
              </a:solidFill>
            </a:rPr>
            <a:t>ALTA</a:t>
          </a:r>
        </a:p>
      </xdr:txBody>
    </xdr:sp>
    <xdr:clientData/>
  </xdr:twoCellAnchor>
  <xdr:twoCellAnchor>
    <xdr:from>
      <xdr:col>0</xdr:col>
      <xdr:colOff>1026460</xdr:colOff>
      <xdr:row>7</xdr:row>
      <xdr:rowOff>91047</xdr:rowOff>
    </xdr:from>
    <xdr:to>
      <xdr:col>1</xdr:col>
      <xdr:colOff>561699</xdr:colOff>
      <xdr:row>7</xdr:row>
      <xdr:rowOff>286870</xdr:rowOff>
    </xdr:to>
    <xdr:sp macro="" textlink="">
      <xdr:nvSpPr>
        <xdr:cNvPr id="22" name="CaixaDeTexto 21">
          <a:extLst>
            <a:ext uri="{FF2B5EF4-FFF2-40B4-BE49-F238E27FC236}">
              <a16:creationId xmlns:a16="http://schemas.microsoft.com/office/drawing/2014/main" id="{5692AF13-09F4-4773-A31E-9A9BD77C9B9F}"/>
            </a:ext>
          </a:extLst>
        </xdr:cNvPr>
        <xdr:cNvSpPr txBox="1"/>
      </xdr:nvSpPr>
      <xdr:spPr>
        <a:xfrm>
          <a:off x="531160" y="3653397"/>
          <a:ext cx="563939" cy="195823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accent2"/>
              </a:solidFill>
            </a:rPr>
            <a:t>BAIXA</a:t>
          </a:r>
        </a:p>
      </xdr:txBody>
    </xdr:sp>
    <xdr:clientData/>
  </xdr:twoCellAnchor>
  <xdr:twoCellAnchor>
    <xdr:from>
      <xdr:col>1</xdr:col>
      <xdr:colOff>2229969</xdr:colOff>
      <xdr:row>7</xdr:row>
      <xdr:rowOff>73117</xdr:rowOff>
    </xdr:from>
    <xdr:to>
      <xdr:col>2</xdr:col>
      <xdr:colOff>454122</xdr:colOff>
      <xdr:row>7</xdr:row>
      <xdr:rowOff>336176</xdr:rowOff>
    </xdr:to>
    <xdr:sp macro="" textlink="">
      <xdr:nvSpPr>
        <xdr:cNvPr id="23" name="CaixaDeTexto 22">
          <a:extLst>
            <a:ext uri="{FF2B5EF4-FFF2-40B4-BE49-F238E27FC236}">
              <a16:creationId xmlns:a16="http://schemas.microsoft.com/office/drawing/2014/main" id="{8BB73515-FE85-4811-B836-1E8AE4B7175C}"/>
            </a:ext>
          </a:extLst>
        </xdr:cNvPr>
        <xdr:cNvSpPr txBox="1"/>
      </xdr:nvSpPr>
      <xdr:spPr>
        <a:xfrm>
          <a:off x="2763369" y="3635467"/>
          <a:ext cx="938778" cy="263059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0"/>
            <a:t>URGÊNCIA</a:t>
          </a:r>
        </a:p>
      </xdr:txBody>
    </xdr:sp>
    <xdr:clientData/>
  </xdr:twoCellAnchor>
  <xdr:twoCellAnchor>
    <xdr:from>
      <xdr:col>0</xdr:col>
      <xdr:colOff>1</xdr:colOff>
      <xdr:row>6</xdr:row>
      <xdr:rowOff>1311024</xdr:rowOff>
    </xdr:from>
    <xdr:to>
      <xdr:col>0</xdr:col>
      <xdr:colOff>527539</xdr:colOff>
      <xdr:row>6</xdr:row>
      <xdr:rowOff>1663211</xdr:rowOff>
    </xdr:to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13EED6E8-991C-4EF1-8190-A1D817EE3222}"/>
            </a:ext>
          </a:extLst>
        </xdr:cNvPr>
        <xdr:cNvSpPr txBox="1"/>
      </xdr:nvSpPr>
      <xdr:spPr>
        <a:xfrm>
          <a:off x="1" y="3113447"/>
          <a:ext cx="527538" cy="352187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000" b="1">
              <a:solidFill>
                <a:srgbClr val="00B050"/>
              </a:solidFill>
            </a:rPr>
            <a:t>BAIXA</a:t>
          </a:r>
        </a:p>
      </xdr:txBody>
    </xdr:sp>
    <xdr:clientData/>
  </xdr:twoCellAnchor>
  <xdr:twoCellAnchor>
    <xdr:from>
      <xdr:col>0</xdr:col>
      <xdr:colOff>62433</xdr:colOff>
      <xdr:row>5</xdr:row>
      <xdr:rowOff>108013</xdr:rowOff>
    </xdr:from>
    <xdr:to>
      <xdr:col>1</xdr:col>
      <xdr:colOff>8084</xdr:colOff>
      <xdr:row>5</xdr:row>
      <xdr:rowOff>319527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545ADC64-E172-4377-87E3-F9CCFDDAA52D}"/>
            </a:ext>
          </a:extLst>
        </xdr:cNvPr>
        <xdr:cNvSpPr txBox="1"/>
      </xdr:nvSpPr>
      <xdr:spPr>
        <a:xfrm>
          <a:off x="62433" y="1501384"/>
          <a:ext cx="479051" cy="211514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050" b="1">
              <a:solidFill>
                <a:srgbClr val="FF0000"/>
              </a:solidFill>
            </a:rPr>
            <a:t>ALTA</a:t>
          </a:r>
          <a:endParaRPr lang="pt-BR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5</xdr:col>
      <xdr:colOff>561699</xdr:colOff>
      <xdr:row>7</xdr:row>
      <xdr:rowOff>188959</xdr:rowOff>
    </xdr:from>
    <xdr:to>
      <xdr:col>6</xdr:col>
      <xdr:colOff>2409265</xdr:colOff>
      <xdr:row>7</xdr:row>
      <xdr:rowOff>215852</xdr:rowOff>
    </xdr:to>
    <xdr:cxnSp macro="">
      <xdr:nvCxnSpPr>
        <xdr:cNvPr id="26" name="Straight Arrow Connector 15">
          <a:extLst>
            <a:ext uri="{FF2B5EF4-FFF2-40B4-BE49-F238E27FC236}">
              <a16:creationId xmlns:a16="http://schemas.microsoft.com/office/drawing/2014/main" id="{9132C067-0473-4B37-8953-C7C6B4EE36A9}"/>
            </a:ext>
          </a:extLst>
        </xdr:cNvPr>
        <xdr:cNvCxnSpPr>
          <a:stCxn id="28" idx="3"/>
          <a:endCxn id="27" idx="1"/>
        </xdr:cNvCxnSpPr>
      </xdr:nvCxnSpPr>
      <xdr:spPr>
        <a:xfrm>
          <a:off x="1092378" y="5141959"/>
          <a:ext cx="4568994" cy="26893"/>
        </a:xfrm>
        <a:prstGeom prst="straightConnector1">
          <a:avLst/>
        </a:prstGeom>
        <a:ln w="57150">
          <a:gradFill flip="none" rotWithShape="1">
            <a:gsLst>
              <a:gs pos="49600">
                <a:schemeClr val="bg1"/>
              </a:gs>
              <a:gs pos="0">
                <a:srgbClr val="FF0000"/>
              </a:gs>
              <a:gs pos="100000">
                <a:schemeClr val="accent2"/>
              </a:gs>
            </a:gsLst>
            <a:path path="circle">
              <a:fillToRect l="100000" t="100000"/>
            </a:path>
            <a:tileRect r="-100000" b="-100000"/>
          </a:gra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2409265</xdr:colOff>
      <xdr:row>7</xdr:row>
      <xdr:rowOff>117940</xdr:rowOff>
    </xdr:from>
    <xdr:to>
      <xdr:col>6</xdr:col>
      <xdr:colOff>2986651</xdr:colOff>
      <xdr:row>7</xdr:row>
      <xdr:rowOff>313763</xdr:rowOff>
    </xdr:to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1798B596-8C69-48FE-AD23-A47FDB16C381}"/>
            </a:ext>
          </a:extLst>
        </xdr:cNvPr>
        <xdr:cNvSpPr txBox="1"/>
      </xdr:nvSpPr>
      <xdr:spPr>
        <a:xfrm>
          <a:off x="5661372" y="5070940"/>
          <a:ext cx="577386" cy="195823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FF0000"/>
              </a:solidFill>
            </a:rPr>
            <a:t>ALTA</a:t>
          </a:r>
        </a:p>
      </xdr:txBody>
    </xdr:sp>
    <xdr:clientData/>
  </xdr:twoCellAnchor>
  <xdr:twoCellAnchor>
    <xdr:from>
      <xdr:col>3</xdr:col>
      <xdr:colOff>1026460</xdr:colOff>
      <xdr:row>7</xdr:row>
      <xdr:rowOff>91047</xdr:rowOff>
    </xdr:from>
    <xdr:to>
      <xdr:col>5</xdr:col>
      <xdr:colOff>561699</xdr:colOff>
      <xdr:row>7</xdr:row>
      <xdr:rowOff>286870</xdr:rowOff>
    </xdr:to>
    <xdr:sp macro="" textlink="">
      <xdr:nvSpPr>
        <xdr:cNvPr id="28" name="CaixaDeTexto 27">
          <a:extLst>
            <a:ext uri="{FF2B5EF4-FFF2-40B4-BE49-F238E27FC236}">
              <a16:creationId xmlns:a16="http://schemas.microsoft.com/office/drawing/2014/main" id="{326A8837-E8BB-48C2-80AE-4E93FF008142}"/>
            </a:ext>
          </a:extLst>
        </xdr:cNvPr>
        <xdr:cNvSpPr txBox="1"/>
      </xdr:nvSpPr>
      <xdr:spPr>
        <a:xfrm>
          <a:off x="531160" y="5044047"/>
          <a:ext cx="561218" cy="195823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accent2"/>
              </a:solidFill>
            </a:rPr>
            <a:t>BAIXA</a:t>
          </a:r>
        </a:p>
      </xdr:txBody>
    </xdr:sp>
    <xdr:clientData/>
  </xdr:twoCellAnchor>
  <xdr:twoCellAnchor>
    <xdr:from>
      <xdr:col>5</xdr:col>
      <xdr:colOff>2229969</xdr:colOff>
      <xdr:row>7</xdr:row>
      <xdr:rowOff>73117</xdr:rowOff>
    </xdr:from>
    <xdr:to>
      <xdr:col>6</xdr:col>
      <xdr:colOff>454122</xdr:colOff>
      <xdr:row>7</xdr:row>
      <xdr:rowOff>336176</xdr:rowOff>
    </xdr:to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EF0A357F-5ADA-487C-B322-3910EAA13F32}"/>
            </a:ext>
          </a:extLst>
        </xdr:cNvPr>
        <xdr:cNvSpPr txBox="1"/>
      </xdr:nvSpPr>
      <xdr:spPr>
        <a:xfrm>
          <a:off x="2760648" y="5026117"/>
          <a:ext cx="945581" cy="263059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0"/>
            <a:t>URGENCIA</a:t>
          </a:r>
        </a:p>
      </xdr:txBody>
    </xdr:sp>
    <xdr:clientData/>
  </xdr:twoCellAnchor>
  <xdr:twoCellAnchor>
    <xdr:from>
      <xdr:col>5</xdr:col>
      <xdr:colOff>561699</xdr:colOff>
      <xdr:row>7</xdr:row>
      <xdr:rowOff>188959</xdr:rowOff>
    </xdr:from>
    <xdr:to>
      <xdr:col>6</xdr:col>
      <xdr:colOff>2409265</xdr:colOff>
      <xdr:row>7</xdr:row>
      <xdr:rowOff>215852</xdr:rowOff>
    </xdr:to>
    <xdr:cxnSp macro="">
      <xdr:nvCxnSpPr>
        <xdr:cNvPr id="30" name="Straight Arrow Connector 15">
          <a:extLst>
            <a:ext uri="{FF2B5EF4-FFF2-40B4-BE49-F238E27FC236}">
              <a16:creationId xmlns:a16="http://schemas.microsoft.com/office/drawing/2014/main" id="{6C4C19BC-8177-4493-9B48-C7D74EA4A181}"/>
            </a:ext>
          </a:extLst>
        </xdr:cNvPr>
        <xdr:cNvCxnSpPr>
          <a:stCxn id="32" idx="3"/>
          <a:endCxn id="31" idx="1"/>
        </xdr:cNvCxnSpPr>
      </xdr:nvCxnSpPr>
      <xdr:spPr>
        <a:xfrm>
          <a:off x="1092378" y="5141959"/>
          <a:ext cx="4568994" cy="26893"/>
        </a:xfrm>
        <a:prstGeom prst="straightConnector1">
          <a:avLst/>
        </a:prstGeom>
        <a:ln w="57150">
          <a:gradFill flip="none" rotWithShape="1">
            <a:gsLst>
              <a:gs pos="49600">
                <a:schemeClr val="bg1"/>
              </a:gs>
              <a:gs pos="0">
                <a:srgbClr val="FF0000"/>
              </a:gs>
              <a:gs pos="100000">
                <a:schemeClr val="accent2"/>
              </a:gs>
            </a:gsLst>
            <a:path path="circle">
              <a:fillToRect l="100000" t="100000"/>
            </a:path>
            <a:tileRect r="-100000" b="-100000"/>
          </a:gra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2409265</xdr:colOff>
      <xdr:row>7</xdr:row>
      <xdr:rowOff>117940</xdr:rowOff>
    </xdr:from>
    <xdr:to>
      <xdr:col>6</xdr:col>
      <xdr:colOff>2986651</xdr:colOff>
      <xdr:row>7</xdr:row>
      <xdr:rowOff>313763</xdr:rowOff>
    </xdr:to>
    <xdr:sp macro="" textlink="">
      <xdr:nvSpPr>
        <xdr:cNvPr id="31" name="CaixaDeTexto 30">
          <a:extLst>
            <a:ext uri="{FF2B5EF4-FFF2-40B4-BE49-F238E27FC236}">
              <a16:creationId xmlns:a16="http://schemas.microsoft.com/office/drawing/2014/main" id="{A4332254-07C2-41A5-BFEE-A2021E82F772}"/>
            </a:ext>
          </a:extLst>
        </xdr:cNvPr>
        <xdr:cNvSpPr txBox="1"/>
      </xdr:nvSpPr>
      <xdr:spPr>
        <a:xfrm>
          <a:off x="5661372" y="5070940"/>
          <a:ext cx="577386" cy="195823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FF0000"/>
              </a:solidFill>
            </a:rPr>
            <a:t>ALTA</a:t>
          </a:r>
        </a:p>
      </xdr:txBody>
    </xdr:sp>
    <xdr:clientData/>
  </xdr:twoCellAnchor>
  <xdr:twoCellAnchor>
    <xdr:from>
      <xdr:col>3</xdr:col>
      <xdr:colOff>1026460</xdr:colOff>
      <xdr:row>7</xdr:row>
      <xdr:rowOff>91047</xdr:rowOff>
    </xdr:from>
    <xdr:to>
      <xdr:col>5</xdr:col>
      <xdr:colOff>561699</xdr:colOff>
      <xdr:row>7</xdr:row>
      <xdr:rowOff>286870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A858A8B4-012A-42EE-8278-FA70BB22E781}"/>
            </a:ext>
          </a:extLst>
        </xdr:cNvPr>
        <xdr:cNvSpPr txBox="1"/>
      </xdr:nvSpPr>
      <xdr:spPr>
        <a:xfrm>
          <a:off x="531160" y="5044047"/>
          <a:ext cx="561218" cy="195823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accent2"/>
              </a:solidFill>
            </a:rPr>
            <a:t>BAIXA</a:t>
          </a:r>
        </a:p>
      </xdr:txBody>
    </xdr:sp>
    <xdr:clientData/>
  </xdr:twoCellAnchor>
  <xdr:twoCellAnchor>
    <xdr:from>
      <xdr:col>5</xdr:col>
      <xdr:colOff>2229969</xdr:colOff>
      <xdr:row>7</xdr:row>
      <xdr:rowOff>73117</xdr:rowOff>
    </xdr:from>
    <xdr:to>
      <xdr:col>6</xdr:col>
      <xdr:colOff>454122</xdr:colOff>
      <xdr:row>7</xdr:row>
      <xdr:rowOff>336176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F88651EC-710D-4B78-A456-5766484BAAAC}"/>
            </a:ext>
          </a:extLst>
        </xdr:cNvPr>
        <xdr:cNvSpPr txBox="1"/>
      </xdr:nvSpPr>
      <xdr:spPr>
        <a:xfrm>
          <a:off x="2760648" y="5026117"/>
          <a:ext cx="945581" cy="263059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0"/>
            <a:t>URGENCIA</a:t>
          </a:r>
        </a:p>
      </xdr:txBody>
    </xdr:sp>
    <xdr:clientData/>
  </xdr:twoCellAnchor>
  <xdr:twoCellAnchor>
    <xdr:from>
      <xdr:col>5</xdr:col>
      <xdr:colOff>561699</xdr:colOff>
      <xdr:row>7</xdr:row>
      <xdr:rowOff>188959</xdr:rowOff>
    </xdr:from>
    <xdr:to>
      <xdr:col>6</xdr:col>
      <xdr:colOff>2409265</xdr:colOff>
      <xdr:row>7</xdr:row>
      <xdr:rowOff>215852</xdr:rowOff>
    </xdr:to>
    <xdr:cxnSp macro="">
      <xdr:nvCxnSpPr>
        <xdr:cNvPr id="34" name="Straight Arrow Connector 15">
          <a:extLst>
            <a:ext uri="{FF2B5EF4-FFF2-40B4-BE49-F238E27FC236}">
              <a16:creationId xmlns:a16="http://schemas.microsoft.com/office/drawing/2014/main" id="{F5C68DEE-2F96-42B7-A6C2-C66ED6DA2666}"/>
            </a:ext>
          </a:extLst>
        </xdr:cNvPr>
        <xdr:cNvCxnSpPr>
          <a:stCxn id="36" idx="3"/>
          <a:endCxn id="35" idx="1"/>
        </xdr:cNvCxnSpPr>
      </xdr:nvCxnSpPr>
      <xdr:spPr>
        <a:xfrm>
          <a:off x="1092378" y="5141959"/>
          <a:ext cx="4568994" cy="26893"/>
        </a:xfrm>
        <a:prstGeom prst="straightConnector1">
          <a:avLst/>
        </a:prstGeom>
        <a:ln w="57150">
          <a:gradFill flip="none" rotWithShape="1">
            <a:gsLst>
              <a:gs pos="49600">
                <a:schemeClr val="bg1"/>
              </a:gs>
              <a:gs pos="0">
                <a:srgbClr val="FF0000"/>
              </a:gs>
              <a:gs pos="100000">
                <a:schemeClr val="accent2"/>
              </a:gs>
            </a:gsLst>
            <a:path path="circle">
              <a:fillToRect l="100000" t="100000"/>
            </a:path>
            <a:tileRect r="-100000" b="-100000"/>
          </a:gra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2409265</xdr:colOff>
      <xdr:row>7</xdr:row>
      <xdr:rowOff>117940</xdr:rowOff>
    </xdr:from>
    <xdr:to>
      <xdr:col>6</xdr:col>
      <xdr:colOff>2986651</xdr:colOff>
      <xdr:row>7</xdr:row>
      <xdr:rowOff>313763</xdr:rowOff>
    </xdr:to>
    <xdr:sp macro="" textlink="">
      <xdr:nvSpPr>
        <xdr:cNvPr id="35" name="CaixaDeTexto 34">
          <a:extLst>
            <a:ext uri="{FF2B5EF4-FFF2-40B4-BE49-F238E27FC236}">
              <a16:creationId xmlns:a16="http://schemas.microsoft.com/office/drawing/2014/main" id="{271E51D1-70B5-4807-8C11-288E37B83E86}"/>
            </a:ext>
          </a:extLst>
        </xdr:cNvPr>
        <xdr:cNvSpPr txBox="1"/>
      </xdr:nvSpPr>
      <xdr:spPr>
        <a:xfrm>
          <a:off x="5661372" y="5070940"/>
          <a:ext cx="577386" cy="195823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FF0000"/>
              </a:solidFill>
            </a:rPr>
            <a:t>ALTA</a:t>
          </a:r>
        </a:p>
      </xdr:txBody>
    </xdr:sp>
    <xdr:clientData/>
  </xdr:twoCellAnchor>
  <xdr:twoCellAnchor>
    <xdr:from>
      <xdr:col>3</xdr:col>
      <xdr:colOff>1026460</xdr:colOff>
      <xdr:row>7</xdr:row>
      <xdr:rowOff>91047</xdr:rowOff>
    </xdr:from>
    <xdr:to>
      <xdr:col>5</xdr:col>
      <xdr:colOff>561699</xdr:colOff>
      <xdr:row>7</xdr:row>
      <xdr:rowOff>286870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9407F7A5-DA68-46C4-87AA-D6C2ADBB41E0}"/>
            </a:ext>
          </a:extLst>
        </xdr:cNvPr>
        <xdr:cNvSpPr txBox="1"/>
      </xdr:nvSpPr>
      <xdr:spPr>
        <a:xfrm>
          <a:off x="531160" y="5044047"/>
          <a:ext cx="561218" cy="195823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accent2"/>
              </a:solidFill>
            </a:rPr>
            <a:t>BAIXA</a:t>
          </a:r>
        </a:p>
      </xdr:txBody>
    </xdr:sp>
    <xdr:clientData/>
  </xdr:twoCellAnchor>
  <xdr:twoCellAnchor>
    <xdr:from>
      <xdr:col>5</xdr:col>
      <xdr:colOff>2229969</xdr:colOff>
      <xdr:row>7</xdr:row>
      <xdr:rowOff>73117</xdr:rowOff>
    </xdr:from>
    <xdr:to>
      <xdr:col>6</xdr:col>
      <xdr:colOff>454122</xdr:colOff>
      <xdr:row>7</xdr:row>
      <xdr:rowOff>336176</xdr:rowOff>
    </xdr:to>
    <xdr:sp macro="" textlink="">
      <xdr:nvSpPr>
        <xdr:cNvPr id="37" name="CaixaDeTexto 36">
          <a:extLst>
            <a:ext uri="{FF2B5EF4-FFF2-40B4-BE49-F238E27FC236}">
              <a16:creationId xmlns:a16="http://schemas.microsoft.com/office/drawing/2014/main" id="{6AC253E3-142F-4E0D-B675-3EFF926B67EB}"/>
            </a:ext>
          </a:extLst>
        </xdr:cNvPr>
        <xdr:cNvSpPr txBox="1"/>
      </xdr:nvSpPr>
      <xdr:spPr>
        <a:xfrm>
          <a:off x="2760648" y="5026117"/>
          <a:ext cx="945581" cy="263059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0"/>
            <a:t>URGÊNCIA</a:t>
          </a:r>
        </a:p>
      </xdr:txBody>
    </xdr:sp>
    <xdr:clientData/>
  </xdr:twoCellAnchor>
  <xdr:twoCellAnchor>
    <xdr:from>
      <xdr:col>4</xdr:col>
      <xdr:colOff>306480</xdr:colOff>
      <xdr:row>5</xdr:row>
      <xdr:rowOff>324972</xdr:rowOff>
    </xdr:from>
    <xdr:to>
      <xdr:col>4</xdr:col>
      <xdr:colOff>308161</xdr:colOff>
      <xdr:row>6</xdr:row>
      <xdr:rowOff>1367119</xdr:rowOff>
    </xdr:to>
    <xdr:cxnSp macro="">
      <xdr:nvCxnSpPr>
        <xdr:cNvPr id="38" name="Straight Arrow Connector 15">
          <a:extLst>
            <a:ext uri="{FF2B5EF4-FFF2-40B4-BE49-F238E27FC236}">
              <a16:creationId xmlns:a16="http://schemas.microsoft.com/office/drawing/2014/main" id="{CB38CB73-5039-48A4-AB6E-DCD739A0DED5}"/>
            </a:ext>
          </a:extLst>
        </xdr:cNvPr>
        <xdr:cNvCxnSpPr/>
      </xdr:nvCxnSpPr>
      <xdr:spPr>
        <a:xfrm flipH="1" flipV="1">
          <a:off x="306480" y="1712901"/>
          <a:ext cx="1681" cy="2838289"/>
        </a:xfrm>
        <a:prstGeom prst="straightConnector1">
          <a:avLst/>
        </a:prstGeom>
        <a:ln w="57150">
          <a:gradFill>
            <a:gsLst>
              <a:gs pos="49600">
                <a:schemeClr val="bg1"/>
              </a:gs>
              <a:gs pos="0">
                <a:srgbClr val="00B050"/>
              </a:gs>
              <a:gs pos="100000">
                <a:srgbClr val="FF0000"/>
              </a:gs>
            </a:gsLst>
            <a:lin ang="5400000" scaled="1"/>
          </a:gra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93013</xdr:colOff>
      <xdr:row>5</xdr:row>
      <xdr:rowOff>1266266</xdr:rowOff>
    </xdr:from>
    <xdr:to>
      <xdr:col>4</xdr:col>
      <xdr:colOff>526676</xdr:colOff>
      <xdr:row>6</xdr:row>
      <xdr:rowOff>431986</xdr:rowOff>
    </xdr:to>
    <xdr:sp macro="" textlink="">
      <xdr:nvSpPr>
        <xdr:cNvPr id="39" name="CaixaDeTexto 38">
          <a:extLst>
            <a:ext uri="{FF2B5EF4-FFF2-40B4-BE49-F238E27FC236}">
              <a16:creationId xmlns:a16="http://schemas.microsoft.com/office/drawing/2014/main" id="{46088793-23B4-47E2-8C22-3F2659D1D93E}"/>
            </a:ext>
          </a:extLst>
        </xdr:cNvPr>
        <xdr:cNvSpPr txBox="1"/>
      </xdr:nvSpPr>
      <xdr:spPr>
        <a:xfrm rot="16200000">
          <a:off x="-171086" y="2918294"/>
          <a:ext cx="961862" cy="433663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IMPACTO NA </a:t>
          </a:r>
        </a:p>
        <a:p>
          <a:pPr algn="ctr"/>
          <a:r>
            <a:rPr lang="pt-BR" sz="1100"/>
            <a:t>GERAÇÃO</a:t>
          </a:r>
        </a:p>
      </xdr:txBody>
    </xdr:sp>
    <xdr:clientData/>
  </xdr:twoCellAnchor>
  <xdr:twoCellAnchor>
    <xdr:from>
      <xdr:col>4</xdr:col>
      <xdr:colOff>51548</xdr:colOff>
      <xdr:row>5</xdr:row>
      <xdr:rowOff>113457</xdr:rowOff>
    </xdr:from>
    <xdr:to>
      <xdr:col>4</xdr:col>
      <xdr:colOff>616324</xdr:colOff>
      <xdr:row>5</xdr:row>
      <xdr:rowOff>324971</xdr:rowOff>
    </xdr:to>
    <xdr:sp macro="" textlink="">
      <xdr:nvSpPr>
        <xdr:cNvPr id="40" name="CaixaDeTexto 39">
          <a:extLst>
            <a:ext uri="{FF2B5EF4-FFF2-40B4-BE49-F238E27FC236}">
              <a16:creationId xmlns:a16="http://schemas.microsoft.com/office/drawing/2014/main" id="{2226C54E-96E5-4311-8605-73EA246523C6}"/>
            </a:ext>
          </a:extLst>
        </xdr:cNvPr>
        <xdr:cNvSpPr txBox="1"/>
      </xdr:nvSpPr>
      <xdr:spPr>
        <a:xfrm>
          <a:off x="51548" y="1501386"/>
          <a:ext cx="479051" cy="211514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FF0000"/>
              </a:solidFill>
            </a:rPr>
            <a:t>ALTA</a:t>
          </a:r>
        </a:p>
      </xdr:txBody>
    </xdr:sp>
    <xdr:clientData/>
  </xdr:twoCellAnchor>
  <xdr:twoCellAnchor>
    <xdr:from>
      <xdr:col>4</xdr:col>
      <xdr:colOff>306480</xdr:colOff>
      <xdr:row>5</xdr:row>
      <xdr:rowOff>324972</xdr:rowOff>
    </xdr:from>
    <xdr:to>
      <xdr:col>4</xdr:col>
      <xdr:colOff>308161</xdr:colOff>
      <xdr:row>6</xdr:row>
      <xdr:rowOff>1367119</xdr:rowOff>
    </xdr:to>
    <xdr:cxnSp macro="">
      <xdr:nvCxnSpPr>
        <xdr:cNvPr id="41" name="Straight Arrow Connector 15">
          <a:extLst>
            <a:ext uri="{FF2B5EF4-FFF2-40B4-BE49-F238E27FC236}">
              <a16:creationId xmlns:a16="http://schemas.microsoft.com/office/drawing/2014/main" id="{9B6D67E8-85C5-493C-BC93-91FCCC3C67E2}"/>
            </a:ext>
          </a:extLst>
        </xdr:cNvPr>
        <xdr:cNvCxnSpPr/>
      </xdr:nvCxnSpPr>
      <xdr:spPr>
        <a:xfrm flipH="1" flipV="1">
          <a:off x="306480" y="1712901"/>
          <a:ext cx="1681" cy="2838289"/>
        </a:xfrm>
        <a:prstGeom prst="straightConnector1">
          <a:avLst/>
        </a:prstGeom>
        <a:ln w="57150">
          <a:gradFill>
            <a:gsLst>
              <a:gs pos="49600">
                <a:schemeClr val="bg1"/>
              </a:gs>
              <a:gs pos="0">
                <a:srgbClr val="00B050"/>
              </a:gs>
              <a:gs pos="100000">
                <a:srgbClr val="FF0000"/>
              </a:gs>
            </a:gsLst>
            <a:lin ang="5400000" scaled="1"/>
          </a:gra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93013</xdr:colOff>
      <xdr:row>5</xdr:row>
      <xdr:rowOff>1266266</xdr:rowOff>
    </xdr:from>
    <xdr:to>
      <xdr:col>4</xdr:col>
      <xdr:colOff>526676</xdr:colOff>
      <xdr:row>6</xdr:row>
      <xdr:rowOff>431986</xdr:rowOff>
    </xdr:to>
    <xdr:sp macro="" textlink="">
      <xdr:nvSpPr>
        <xdr:cNvPr id="42" name="CaixaDeTexto 41">
          <a:extLst>
            <a:ext uri="{FF2B5EF4-FFF2-40B4-BE49-F238E27FC236}">
              <a16:creationId xmlns:a16="http://schemas.microsoft.com/office/drawing/2014/main" id="{AEEFA7DC-63AE-44E9-BB79-7D6C750F3BBD}"/>
            </a:ext>
          </a:extLst>
        </xdr:cNvPr>
        <xdr:cNvSpPr txBox="1"/>
      </xdr:nvSpPr>
      <xdr:spPr>
        <a:xfrm rot="16200000">
          <a:off x="-171086" y="2918294"/>
          <a:ext cx="961862" cy="433663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IMPACTO NA </a:t>
          </a:r>
        </a:p>
        <a:p>
          <a:pPr algn="ctr"/>
          <a:r>
            <a:rPr lang="pt-BR" sz="1100"/>
            <a:t>GERAÇÃO</a:t>
          </a:r>
        </a:p>
      </xdr:txBody>
    </xdr:sp>
    <xdr:clientData/>
  </xdr:twoCellAnchor>
  <xdr:twoCellAnchor>
    <xdr:from>
      <xdr:col>4</xdr:col>
      <xdr:colOff>51548</xdr:colOff>
      <xdr:row>5</xdr:row>
      <xdr:rowOff>113457</xdr:rowOff>
    </xdr:from>
    <xdr:to>
      <xdr:col>4</xdr:col>
      <xdr:colOff>616324</xdr:colOff>
      <xdr:row>5</xdr:row>
      <xdr:rowOff>324971</xdr:rowOff>
    </xdr:to>
    <xdr:sp macro="" textlink="">
      <xdr:nvSpPr>
        <xdr:cNvPr id="43" name="CaixaDeTexto 42">
          <a:extLst>
            <a:ext uri="{FF2B5EF4-FFF2-40B4-BE49-F238E27FC236}">
              <a16:creationId xmlns:a16="http://schemas.microsoft.com/office/drawing/2014/main" id="{4FE43C0D-23EC-4523-96CB-8D863D9811DA}"/>
            </a:ext>
          </a:extLst>
        </xdr:cNvPr>
        <xdr:cNvSpPr txBox="1"/>
      </xdr:nvSpPr>
      <xdr:spPr>
        <a:xfrm>
          <a:off x="51548" y="1501386"/>
          <a:ext cx="479051" cy="211514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FF0000"/>
              </a:solidFill>
            </a:rPr>
            <a:t>ALTA</a:t>
          </a:r>
        </a:p>
      </xdr:txBody>
    </xdr:sp>
    <xdr:clientData/>
  </xdr:twoCellAnchor>
  <xdr:twoCellAnchor>
    <xdr:from>
      <xdr:col>4</xdr:col>
      <xdr:colOff>306480</xdr:colOff>
      <xdr:row>5</xdr:row>
      <xdr:rowOff>324972</xdr:rowOff>
    </xdr:from>
    <xdr:to>
      <xdr:col>4</xdr:col>
      <xdr:colOff>308161</xdr:colOff>
      <xdr:row>6</xdr:row>
      <xdr:rowOff>1367119</xdr:rowOff>
    </xdr:to>
    <xdr:cxnSp macro="">
      <xdr:nvCxnSpPr>
        <xdr:cNvPr id="44" name="Straight Arrow Connector 15">
          <a:extLst>
            <a:ext uri="{FF2B5EF4-FFF2-40B4-BE49-F238E27FC236}">
              <a16:creationId xmlns:a16="http://schemas.microsoft.com/office/drawing/2014/main" id="{A88AE4EB-D33B-4DC1-8127-F20CB9237C79}"/>
            </a:ext>
          </a:extLst>
        </xdr:cNvPr>
        <xdr:cNvCxnSpPr/>
      </xdr:nvCxnSpPr>
      <xdr:spPr>
        <a:xfrm flipH="1" flipV="1">
          <a:off x="306480" y="1712901"/>
          <a:ext cx="1681" cy="2838289"/>
        </a:xfrm>
        <a:prstGeom prst="straightConnector1">
          <a:avLst/>
        </a:prstGeom>
        <a:ln w="57150">
          <a:gradFill>
            <a:gsLst>
              <a:gs pos="49600">
                <a:schemeClr val="bg1"/>
              </a:gs>
              <a:gs pos="0">
                <a:srgbClr val="00B050"/>
              </a:gs>
              <a:gs pos="100000">
                <a:srgbClr val="FF0000"/>
              </a:gs>
            </a:gsLst>
            <a:lin ang="5400000" scaled="1"/>
          </a:gra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93013</xdr:colOff>
      <xdr:row>5</xdr:row>
      <xdr:rowOff>1266266</xdr:rowOff>
    </xdr:from>
    <xdr:to>
      <xdr:col>4</xdr:col>
      <xdr:colOff>526676</xdr:colOff>
      <xdr:row>6</xdr:row>
      <xdr:rowOff>431986</xdr:rowOff>
    </xdr:to>
    <xdr:sp macro="" textlink="">
      <xdr:nvSpPr>
        <xdr:cNvPr id="45" name="CaixaDeTexto 44">
          <a:extLst>
            <a:ext uri="{FF2B5EF4-FFF2-40B4-BE49-F238E27FC236}">
              <a16:creationId xmlns:a16="http://schemas.microsoft.com/office/drawing/2014/main" id="{0C8CAE1D-892D-49D1-BAC2-7C783BB97D73}"/>
            </a:ext>
          </a:extLst>
        </xdr:cNvPr>
        <xdr:cNvSpPr txBox="1"/>
      </xdr:nvSpPr>
      <xdr:spPr>
        <a:xfrm rot="16200000">
          <a:off x="-171086" y="2918294"/>
          <a:ext cx="961862" cy="433663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IMPACTO NA </a:t>
          </a:r>
        </a:p>
        <a:p>
          <a:pPr algn="ctr"/>
          <a:r>
            <a:rPr lang="pt-BR" sz="1100"/>
            <a:t>GERAÇÃO</a:t>
          </a:r>
        </a:p>
      </xdr:txBody>
    </xdr:sp>
    <xdr:clientData/>
  </xdr:twoCellAnchor>
  <xdr:twoCellAnchor>
    <xdr:from>
      <xdr:col>4</xdr:col>
      <xdr:colOff>1</xdr:colOff>
      <xdr:row>6</xdr:row>
      <xdr:rowOff>1311024</xdr:rowOff>
    </xdr:from>
    <xdr:to>
      <xdr:col>4</xdr:col>
      <xdr:colOff>527539</xdr:colOff>
      <xdr:row>6</xdr:row>
      <xdr:rowOff>1663211</xdr:rowOff>
    </xdr:to>
    <xdr:sp macro="" textlink="">
      <xdr:nvSpPr>
        <xdr:cNvPr id="46" name="CaixaDeTexto 45">
          <a:extLst>
            <a:ext uri="{FF2B5EF4-FFF2-40B4-BE49-F238E27FC236}">
              <a16:creationId xmlns:a16="http://schemas.microsoft.com/office/drawing/2014/main" id="{0BEC6217-E030-455E-BFB8-4FE5E8C03C3F}"/>
            </a:ext>
          </a:extLst>
        </xdr:cNvPr>
        <xdr:cNvSpPr txBox="1"/>
      </xdr:nvSpPr>
      <xdr:spPr>
        <a:xfrm>
          <a:off x="1" y="4495095"/>
          <a:ext cx="527538" cy="352187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000" b="1">
              <a:solidFill>
                <a:srgbClr val="00B050"/>
              </a:solidFill>
            </a:rPr>
            <a:t>BAIXA</a:t>
          </a:r>
        </a:p>
      </xdr:txBody>
    </xdr:sp>
    <xdr:clientData/>
  </xdr:twoCellAnchor>
  <xdr:twoCellAnchor>
    <xdr:from>
      <xdr:col>4</xdr:col>
      <xdr:colOff>51548</xdr:colOff>
      <xdr:row>5</xdr:row>
      <xdr:rowOff>113457</xdr:rowOff>
    </xdr:from>
    <xdr:to>
      <xdr:col>4</xdr:col>
      <xdr:colOff>616324</xdr:colOff>
      <xdr:row>5</xdr:row>
      <xdr:rowOff>324971</xdr:rowOff>
    </xdr:to>
    <xdr:sp macro="" textlink="">
      <xdr:nvSpPr>
        <xdr:cNvPr id="47" name="CaixaDeTexto 46">
          <a:extLst>
            <a:ext uri="{FF2B5EF4-FFF2-40B4-BE49-F238E27FC236}">
              <a16:creationId xmlns:a16="http://schemas.microsoft.com/office/drawing/2014/main" id="{6282FD37-EA69-4D95-BFE6-77AF5B6B7618}"/>
            </a:ext>
          </a:extLst>
        </xdr:cNvPr>
        <xdr:cNvSpPr txBox="1"/>
      </xdr:nvSpPr>
      <xdr:spPr>
        <a:xfrm>
          <a:off x="51548" y="1501386"/>
          <a:ext cx="479051" cy="211514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FF0000"/>
              </a:solidFill>
            </a:rPr>
            <a:t>ALTA</a:t>
          </a:r>
        </a:p>
      </xdr:txBody>
    </xdr:sp>
    <xdr:clientData/>
  </xdr:twoCellAnchor>
  <xdr:twoCellAnchor>
    <xdr:from>
      <xdr:col>2</xdr:col>
      <xdr:colOff>1636059</xdr:colOff>
      <xdr:row>5</xdr:row>
      <xdr:rowOff>156882</xdr:rowOff>
    </xdr:from>
    <xdr:to>
      <xdr:col>2</xdr:col>
      <xdr:colOff>2955589</xdr:colOff>
      <xdr:row>5</xdr:row>
      <xdr:rowOff>603287</xdr:rowOff>
    </xdr:to>
    <xdr:sp macro="" textlink="">
      <xdr:nvSpPr>
        <xdr:cNvPr id="48" name="Caixa de Texto 20">
          <a:extLst>
            <a:ext uri="{FF2B5EF4-FFF2-40B4-BE49-F238E27FC236}">
              <a16:creationId xmlns:a16="http://schemas.microsoft.com/office/drawing/2014/main" id="{C2FBD743-C02B-72D6-A1B3-36CEC4801F61}"/>
            </a:ext>
          </a:extLst>
        </xdr:cNvPr>
        <xdr:cNvSpPr txBox="1"/>
      </xdr:nvSpPr>
      <xdr:spPr>
        <a:xfrm>
          <a:off x="4885765" y="1546411"/>
          <a:ext cx="1319530" cy="446405"/>
        </a:xfrm>
        <a:prstGeom prst="rect">
          <a:avLst/>
        </a:prstGeom>
        <a:solidFill>
          <a:srgbClr val="9ED561"/>
        </a:solidFill>
        <a:ln>
          <a:noFill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pt-BR" sz="1100" b="1">
              <a:solidFill>
                <a:srgbClr val="000000"/>
              </a:solidFill>
              <a:effectLst/>
              <a:ea typeface="Calibri" panose="020F0502020204030204" pitchFamily="34" charset="0"/>
              <a:cs typeface="Times New Roman" panose="02020603050405020304" pitchFamily="18" charset="0"/>
            </a:rPr>
            <a:t>ACIONAMENTO DAS EQUIPES</a:t>
          </a:r>
          <a:endParaRPr lang="pt-BR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ctr"/>
          <a:r>
            <a:rPr lang="pt-BR" sz="1100" b="1">
              <a:solidFill>
                <a:srgbClr val="000000"/>
              </a:solidFill>
              <a:effectLst/>
              <a:ea typeface="Calibri" panose="020F0502020204030204" pitchFamily="34" charset="0"/>
              <a:cs typeface="Times New Roman" panose="02020603050405020304" pitchFamily="18" charset="0"/>
            </a:rPr>
            <a:t> </a:t>
          </a:r>
          <a:endParaRPr lang="pt-BR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1669677</xdr:colOff>
      <xdr:row>5</xdr:row>
      <xdr:rowOff>1367117</xdr:rowOff>
    </xdr:from>
    <xdr:to>
      <xdr:col>1</xdr:col>
      <xdr:colOff>2677422</xdr:colOff>
      <xdr:row>5</xdr:row>
      <xdr:rowOff>1636992</xdr:rowOff>
    </xdr:to>
    <xdr:sp macro="" textlink="">
      <xdr:nvSpPr>
        <xdr:cNvPr id="49" name="Caixa de Texto 20">
          <a:extLst>
            <a:ext uri="{FF2B5EF4-FFF2-40B4-BE49-F238E27FC236}">
              <a16:creationId xmlns:a16="http://schemas.microsoft.com/office/drawing/2014/main" id="{822C64CF-4FDA-19E2-B57F-506B83E5BB43}"/>
            </a:ext>
          </a:extLst>
        </xdr:cNvPr>
        <xdr:cNvSpPr txBox="1"/>
      </xdr:nvSpPr>
      <xdr:spPr>
        <a:xfrm>
          <a:off x="2207559" y="2756646"/>
          <a:ext cx="1007745" cy="269875"/>
        </a:xfrm>
        <a:prstGeom prst="rect">
          <a:avLst/>
        </a:prstGeom>
        <a:solidFill>
          <a:srgbClr val="9ED561"/>
        </a:solidFill>
        <a:ln>
          <a:noFill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pt-BR" sz="1100" b="1">
              <a:solidFill>
                <a:srgbClr val="000000"/>
              </a:solidFill>
              <a:effectLst/>
              <a:ea typeface="Calibri" panose="020F0502020204030204" pitchFamily="34" charset="0"/>
              <a:cs typeface="Times New Roman" panose="02020603050405020304" pitchFamily="18" charset="0"/>
            </a:rPr>
            <a:t>SUPRIMENTO</a:t>
          </a:r>
          <a:endParaRPr lang="pt-BR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1848971</xdr:colOff>
      <xdr:row>5</xdr:row>
      <xdr:rowOff>1725705</xdr:rowOff>
    </xdr:from>
    <xdr:to>
      <xdr:col>1</xdr:col>
      <xdr:colOff>2342366</xdr:colOff>
      <xdr:row>6</xdr:row>
      <xdr:rowOff>222548</xdr:rowOff>
    </xdr:to>
    <xdr:sp macro="" textlink="">
      <xdr:nvSpPr>
        <xdr:cNvPr id="50" name="Caixa de Texto 20">
          <a:extLst>
            <a:ext uri="{FF2B5EF4-FFF2-40B4-BE49-F238E27FC236}">
              <a16:creationId xmlns:a16="http://schemas.microsoft.com/office/drawing/2014/main" id="{1B483873-5D31-440D-BBEA-E73523ED8DDA}"/>
            </a:ext>
          </a:extLst>
        </xdr:cNvPr>
        <xdr:cNvSpPr txBox="1"/>
      </xdr:nvSpPr>
      <xdr:spPr>
        <a:xfrm>
          <a:off x="2386853" y="3115234"/>
          <a:ext cx="493395" cy="30099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pt-BR" sz="1100" b="1">
              <a:solidFill>
                <a:srgbClr val="000000"/>
              </a:solidFill>
              <a:effectLst/>
              <a:ea typeface="Calibri" panose="020F0502020204030204" pitchFamily="34" charset="0"/>
              <a:cs typeface="Times New Roman" panose="02020603050405020304" pitchFamily="18" charset="0"/>
            </a:rPr>
            <a:t>CFTV</a:t>
          </a:r>
          <a:endParaRPr lang="pt-BR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493059</xdr:colOff>
      <xdr:row>6</xdr:row>
      <xdr:rowOff>0</xdr:rowOff>
    </xdr:from>
    <xdr:to>
      <xdr:col>2</xdr:col>
      <xdr:colOff>1355389</xdr:colOff>
      <xdr:row>6</xdr:row>
      <xdr:rowOff>446405</xdr:rowOff>
    </xdr:to>
    <xdr:sp macro="" textlink="">
      <xdr:nvSpPr>
        <xdr:cNvPr id="51" name="Caixa de Texto 20">
          <a:extLst>
            <a:ext uri="{FF2B5EF4-FFF2-40B4-BE49-F238E27FC236}">
              <a16:creationId xmlns:a16="http://schemas.microsoft.com/office/drawing/2014/main" id="{8A11F60C-DE77-C319-96B3-413B94CAD939}"/>
            </a:ext>
          </a:extLst>
        </xdr:cNvPr>
        <xdr:cNvSpPr txBox="1"/>
      </xdr:nvSpPr>
      <xdr:spPr>
        <a:xfrm>
          <a:off x="3742765" y="3193676"/>
          <a:ext cx="862330" cy="446405"/>
        </a:xfrm>
        <a:prstGeom prst="rect">
          <a:avLst/>
        </a:prstGeom>
        <a:solidFill>
          <a:srgbClr val="FF9900"/>
        </a:solidFill>
        <a:ln>
          <a:noFill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pt-BR" sz="1100" b="1">
              <a:solidFill>
                <a:srgbClr val="000000"/>
              </a:solidFill>
              <a:effectLst/>
              <a:ea typeface="Calibri" panose="020F0502020204030204" pitchFamily="34" charset="0"/>
              <a:cs typeface="Times New Roman" panose="02020603050405020304" pitchFamily="18" charset="0"/>
            </a:rPr>
            <a:t>PARADAS ANUAIS</a:t>
          </a:r>
          <a:endParaRPr lang="pt-BR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1815353</xdr:colOff>
      <xdr:row>6</xdr:row>
      <xdr:rowOff>33618</xdr:rowOff>
    </xdr:from>
    <xdr:to>
      <xdr:col>2</xdr:col>
      <xdr:colOff>2999628</xdr:colOff>
      <xdr:row>6</xdr:row>
      <xdr:rowOff>334608</xdr:rowOff>
    </xdr:to>
    <xdr:sp macro="" textlink="">
      <xdr:nvSpPr>
        <xdr:cNvPr id="52" name="Caixa de Texto 20">
          <a:extLst>
            <a:ext uri="{FF2B5EF4-FFF2-40B4-BE49-F238E27FC236}">
              <a16:creationId xmlns:a16="http://schemas.microsoft.com/office/drawing/2014/main" id="{4CC5EEE6-7A0C-6646-EBD6-D31A12CC8BB0}"/>
            </a:ext>
          </a:extLst>
        </xdr:cNvPr>
        <xdr:cNvSpPr txBox="1"/>
      </xdr:nvSpPr>
      <xdr:spPr>
        <a:xfrm>
          <a:off x="5065059" y="3227294"/>
          <a:ext cx="1184275" cy="30099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pt-BR" sz="1100" b="1">
              <a:solidFill>
                <a:srgbClr val="000000"/>
              </a:solidFill>
              <a:effectLst/>
              <a:ea typeface="Calibri" panose="020F0502020204030204" pitchFamily="34" charset="0"/>
              <a:cs typeface="Times New Roman" panose="02020603050405020304" pitchFamily="18" charset="0"/>
            </a:rPr>
            <a:t>PREVENTIVAS</a:t>
          </a:r>
          <a:endParaRPr lang="pt-BR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2229971</xdr:colOff>
      <xdr:row>6</xdr:row>
      <xdr:rowOff>750795</xdr:rowOff>
    </xdr:from>
    <xdr:to>
      <xdr:col>2</xdr:col>
      <xdr:colOff>702422</xdr:colOff>
      <xdr:row>6</xdr:row>
      <xdr:rowOff>1207995</xdr:rowOff>
    </xdr:to>
    <xdr:sp macro="" textlink="">
      <xdr:nvSpPr>
        <xdr:cNvPr id="53" name="Caixa de Texto 20">
          <a:extLst>
            <a:ext uri="{FF2B5EF4-FFF2-40B4-BE49-F238E27FC236}">
              <a16:creationId xmlns:a16="http://schemas.microsoft.com/office/drawing/2014/main" id="{BAB29015-3A4B-8D89-9DE6-EF8288F01426}"/>
            </a:ext>
          </a:extLst>
        </xdr:cNvPr>
        <xdr:cNvSpPr txBox="1"/>
      </xdr:nvSpPr>
      <xdr:spPr>
        <a:xfrm>
          <a:off x="2767853" y="3944471"/>
          <a:ext cx="1184275" cy="457200"/>
        </a:xfrm>
        <a:prstGeom prst="rect">
          <a:avLst/>
        </a:prstGeom>
        <a:solidFill>
          <a:srgbClr val="FF9900"/>
        </a:solidFill>
        <a:ln>
          <a:noFill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pt-BR" sz="1100" b="1">
              <a:solidFill>
                <a:srgbClr val="000000"/>
              </a:solidFill>
              <a:effectLst/>
              <a:ea typeface="Calibri" panose="020F0502020204030204" pitchFamily="34" charset="0"/>
              <a:cs typeface="Times New Roman" panose="02020603050405020304" pitchFamily="18" charset="0"/>
            </a:rPr>
            <a:t>RELATÓRIOS</a:t>
          </a:r>
          <a:endParaRPr lang="pt-BR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ctr"/>
          <a:r>
            <a:rPr lang="pt-BR" sz="1100" b="1">
              <a:solidFill>
                <a:srgbClr val="000000"/>
              </a:solidFill>
              <a:effectLst/>
              <a:ea typeface="Calibri" panose="020F0502020204030204" pitchFamily="34" charset="0"/>
              <a:cs typeface="Times New Roman" panose="02020603050405020304" pitchFamily="18" charset="0"/>
            </a:rPr>
            <a:t>DE ENGENHARIA</a:t>
          </a:r>
          <a:endParaRPr lang="pt-BR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784412</xdr:colOff>
      <xdr:row>6</xdr:row>
      <xdr:rowOff>257736</xdr:rowOff>
    </xdr:from>
    <xdr:to>
      <xdr:col>1</xdr:col>
      <xdr:colOff>1968687</xdr:colOff>
      <xdr:row>6</xdr:row>
      <xdr:rowOff>714936</xdr:rowOff>
    </xdr:to>
    <xdr:sp macro="" textlink="">
      <xdr:nvSpPr>
        <xdr:cNvPr id="54" name="Caixa de Texto 20">
          <a:extLst>
            <a:ext uri="{FF2B5EF4-FFF2-40B4-BE49-F238E27FC236}">
              <a16:creationId xmlns:a16="http://schemas.microsoft.com/office/drawing/2014/main" id="{81E92A06-60E4-4AFD-05E5-6AA9346B5D29}"/>
            </a:ext>
          </a:extLst>
        </xdr:cNvPr>
        <xdr:cNvSpPr txBox="1"/>
      </xdr:nvSpPr>
      <xdr:spPr>
        <a:xfrm>
          <a:off x="1322294" y="3451412"/>
          <a:ext cx="1184275" cy="457200"/>
        </a:xfrm>
        <a:prstGeom prst="rect">
          <a:avLst/>
        </a:prstGeom>
        <a:solidFill>
          <a:srgbClr val="FF9900"/>
        </a:solidFill>
        <a:ln>
          <a:noFill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pt-BR" sz="1100" b="1">
              <a:solidFill>
                <a:srgbClr val="000000"/>
              </a:solidFill>
              <a:effectLst/>
              <a:ea typeface="Calibri" panose="020F0502020204030204" pitchFamily="34" charset="0"/>
              <a:cs typeface="Times New Roman" panose="02020603050405020304" pitchFamily="18" charset="0"/>
            </a:rPr>
            <a:t>ESTUDOS DE EFICIÊNCIA</a:t>
          </a:r>
          <a:endParaRPr lang="pt-BR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403412</xdr:colOff>
      <xdr:row>5</xdr:row>
      <xdr:rowOff>414617</xdr:rowOff>
    </xdr:from>
    <xdr:to>
      <xdr:col>5</xdr:col>
      <xdr:colOff>870137</xdr:colOff>
      <xdr:row>5</xdr:row>
      <xdr:rowOff>666077</xdr:rowOff>
    </xdr:to>
    <xdr:sp macro="" textlink="">
      <xdr:nvSpPr>
        <xdr:cNvPr id="55" name="Caixa de Texto 20">
          <a:extLst>
            <a:ext uri="{FF2B5EF4-FFF2-40B4-BE49-F238E27FC236}">
              <a16:creationId xmlns:a16="http://schemas.microsoft.com/office/drawing/2014/main" id="{33B6E85D-C781-4C19-008C-E72456D514D1}"/>
            </a:ext>
          </a:extLst>
        </xdr:cNvPr>
        <xdr:cNvSpPr txBox="1"/>
      </xdr:nvSpPr>
      <xdr:spPr>
        <a:xfrm>
          <a:off x="8012206" y="1804146"/>
          <a:ext cx="466725" cy="251460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pt-BR" sz="1100" b="1">
              <a:solidFill>
                <a:srgbClr val="000000"/>
              </a:solidFill>
              <a:effectLst/>
              <a:ea typeface="Calibri" panose="020F0502020204030204" pitchFamily="34" charset="0"/>
              <a:cs typeface="Times New Roman" panose="02020603050405020304" pitchFamily="18" charset="0"/>
            </a:rPr>
            <a:t>HSE</a:t>
          </a:r>
          <a:endParaRPr lang="pt-BR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403412</xdr:colOff>
      <xdr:row>5</xdr:row>
      <xdr:rowOff>750794</xdr:rowOff>
    </xdr:from>
    <xdr:to>
      <xdr:col>5</xdr:col>
      <xdr:colOff>1411157</xdr:colOff>
      <xdr:row>5</xdr:row>
      <xdr:rowOff>1188944</xdr:rowOff>
    </xdr:to>
    <xdr:sp macro="" textlink="">
      <xdr:nvSpPr>
        <xdr:cNvPr id="56" name="Caixa de Texto 20">
          <a:extLst>
            <a:ext uri="{FF2B5EF4-FFF2-40B4-BE49-F238E27FC236}">
              <a16:creationId xmlns:a16="http://schemas.microsoft.com/office/drawing/2014/main" id="{0B813113-EB40-2760-D2E1-6326DD1200E9}"/>
            </a:ext>
          </a:extLst>
        </xdr:cNvPr>
        <xdr:cNvSpPr txBox="1"/>
      </xdr:nvSpPr>
      <xdr:spPr>
        <a:xfrm>
          <a:off x="8012206" y="2140323"/>
          <a:ext cx="1007745" cy="438150"/>
        </a:xfrm>
        <a:prstGeom prst="rect">
          <a:avLst/>
        </a:prstGeom>
        <a:solidFill>
          <a:srgbClr val="9ED561"/>
        </a:solidFill>
        <a:ln>
          <a:noFill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pt-BR" sz="1100" b="1">
              <a:solidFill>
                <a:srgbClr val="000000"/>
              </a:solidFill>
              <a:effectLst/>
              <a:ea typeface="Calibri" panose="020F0502020204030204" pitchFamily="34" charset="0"/>
              <a:cs typeface="Times New Roman" panose="02020603050405020304" pitchFamily="18" charset="0"/>
            </a:rPr>
            <a:t>LOGÍSTICA</a:t>
          </a:r>
          <a:endParaRPr lang="pt-BR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ctr"/>
          <a:r>
            <a:rPr lang="pt-BR" sz="1100">
              <a:solidFill>
                <a:srgbClr val="000000"/>
              </a:solidFill>
              <a:effectLst/>
              <a:ea typeface="Calibri" panose="020F0502020204030204" pitchFamily="34" charset="0"/>
              <a:cs typeface="Times New Roman" panose="02020603050405020304" pitchFamily="18" charset="0"/>
            </a:rPr>
            <a:t>VEÍCULOS</a:t>
          </a:r>
          <a:endParaRPr lang="pt-BR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1322294</xdr:colOff>
      <xdr:row>5</xdr:row>
      <xdr:rowOff>1624853</xdr:rowOff>
    </xdr:from>
    <xdr:to>
      <xdr:col>5</xdr:col>
      <xdr:colOff>2557369</xdr:colOff>
      <xdr:row>6</xdr:row>
      <xdr:rowOff>251871</xdr:rowOff>
    </xdr:to>
    <xdr:sp macro="" textlink="">
      <xdr:nvSpPr>
        <xdr:cNvPr id="57" name="Caixa de Texto 20">
          <a:extLst>
            <a:ext uri="{FF2B5EF4-FFF2-40B4-BE49-F238E27FC236}">
              <a16:creationId xmlns:a16="http://schemas.microsoft.com/office/drawing/2014/main" id="{0B4FBFEB-E61B-2297-40E6-AD23EB34D73E}"/>
            </a:ext>
          </a:extLst>
        </xdr:cNvPr>
        <xdr:cNvSpPr txBox="1"/>
      </xdr:nvSpPr>
      <xdr:spPr>
        <a:xfrm>
          <a:off x="8931088" y="3014382"/>
          <a:ext cx="1235075" cy="431165"/>
        </a:xfrm>
        <a:prstGeom prst="rect">
          <a:avLst/>
        </a:prstGeom>
        <a:solidFill>
          <a:schemeClr val="accent4"/>
        </a:solidFill>
        <a:ln>
          <a:noFill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pt-BR" sz="1100" b="1">
              <a:solidFill>
                <a:srgbClr val="000000"/>
              </a:solidFill>
              <a:effectLst/>
              <a:ea typeface="Calibri" panose="020F0502020204030204" pitchFamily="34" charset="0"/>
              <a:cs typeface="Times New Roman" panose="02020603050405020304" pitchFamily="18" charset="0"/>
            </a:rPr>
            <a:t>RH</a:t>
          </a:r>
          <a:endParaRPr lang="pt-BR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ctr"/>
          <a:r>
            <a:rPr lang="pt-BR" sz="1100">
              <a:solidFill>
                <a:srgbClr val="000000"/>
              </a:solidFill>
              <a:effectLst/>
              <a:ea typeface="Calibri" panose="020F0502020204030204" pitchFamily="34" charset="0"/>
              <a:cs typeface="Times New Roman" panose="02020603050405020304" pitchFamily="18" charset="0"/>
            </a:rPr>
            <a:t>FOLHA DE PONTO</a:t>
          </a:r>
          <a:endParaRPr lang="pt-BR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313765</xdr:colOff>
      <xdr:row>5</xdr:row>
      <xdr:rowOff>1692088</xdr:rowOff>
    </xdr:from>
    <xdr:to>
      <xdr:col>5</xdr:col>
      <xdr:colOff>1264995</xdr:colOff>
      <xdr:row>6</xdr:row>
      <xdr:rowOff>148926</xdr:rowOff>
    </xdr:to>
    <xdr:sp macro="" textlink="">
      <xdr:nvSpPr>
        <xdr:cNvPr id="58" name="Caixa de Texto 20">
          <a:extLst>
            <a:ext uri="{FF2B5EF4-FFF2-40B4-BE49-F238E27FC236}">
              <a16:creationId xmlns:a16="http://schemas.microsoft.com/office/drawing/2014/main" id="{0DD591CC-3EA9-9589-28BC-58C80CE48E6F}"/>
            </a:ext>
          </a:extLst>
        </xdr:cNvPr>
        <xdr:cNvSpPr txBox="1"/>
      </xdr:nvSpPr>
      <xdr:spPr>
        <a:xfrm>
          <a:off x="7922559" y="3081617"/>
          <a:ext cx="951230" cy="260985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pt-BR" sz="1100" b="1">
              <a:solidFill>
                <a:srgbClr val="000000"/>
              </a:solidFill>
              <a:effectLst/>
              <a:ea typeface="Calibri" panose="020F0502020204030204" pitchFamily="34" charset="0"/>
              <a:cs typeface="Times New Roman" panose="02020603050405020304" pitchFamily="18" charset="0"/>
            </a:rPr>
            <a:t>FINANCEIRO</a:t>
          </a:r>
          <a:endParaRPr lang="pt-BR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56029</xdr:colOff>
      <xdr:row>6</xdr:row>
      <xdr:rowOff>425824</xdr:rowOff>
    </xdr:from>
    <xdr:to>
      <xdr:col>6</xdr:col>
      <xdr:colOff>1008529</xdr:colOff>
      <xdr:row>6</xdr:row>
      <xdr:rowOff>733164</xdr:rowOff>
    </xdr:to>
    <xdr:sp macro="" textlink="">
      <xdr:nvSpPr>
        <xdr:cNvPr id="59" name="Caixa de Texto 20">
          <a:extLst>
            <a:ext uri="{FF2B5EF4-FFF2-40B4-BE49-F238E27FC236}">
              <a16:creationId xmlns:a16="http://schemas.microsoft.com/office/drawing/2014/main" id="{3C4D0502-A7CA-D2D3-1DDD-DDC75096DCB7}"/>
            </a:ext>
          </a:extLst>
        </xdr:cNvPr>
        <xdr:cNvSpPr txBox="1"/>
      </xdr:nvSpPr>
      <xdr:spPr>
        <a:xfrm>
          <a:off x="10376647" y="3619500"/>
          <a:ext cx="952500" cy="307340"/>
        </a:xfrm>
        <a:prstGeom prst="rect">
          <a:avLst/>
        </a:prstGeom>
        <a:solidFill>
          <a:schemeClr val="accent4"/>
        </a:solidFill>
        <a:ln>
          <a:noFill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pt-BR" sz="1100" b="1">
              <a:solidFill>
                <a:srgbClr val="000000"/>
              </a:solidFill>
              <a:effectLst/>
              <a:ea typeface="Calibri" panose="020F0502020204030204" pitchFamily="34" charset="0"/>
              <a:cs typeface="Times New Roman" panose="02020603050405020304" pitchFamily="18" charset="0"/>
            </a:rPr>
            <a:t>JURIDICO</a:t>
          </a:r>
          <a:endParaRPr lang="pt-BR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44823</xdr:colOff>
      <xdr:row>6</xdr:row>
      <xdr:rowOff>795618</xdr:rowOff>
    </xdr:from>
    <xdr:to>
      <xdr:col>6</xdr:col>
      <xdr:colOff>1229098</xdr:colOff>
      <xdr:row>6</xdr:row>
      <xdr:rowOff>1252818</xdr:rowOff>
    </xdr:to>
    <xdr:sp macro="" textlink="">
      <xdr:nvSpPr>
        <xdr:cNvPr id="60" name="Caixa de Texto 20">
          <a:extLst>
            <a:ext uri="{FF2B5EF4-FFF2-40B4-BE49-F238E27FC236}">
              <a16:creationId xmlns:a16="http://schemas.microsoft.com/office/drawing/2014/main" id="{1ED8397E-E6DB-B2E0-2BAC-FF41DB99D02A}"/>
            </a:ext>
          </a:extLst>
        </xdr:cNvPr>
        <xdr:cNvSpPr txBox="1"/>
      </xdr:nvSpPr>
      <xdr:spPr>
        <a:xfrm>
          <a:off x="10365441" y="3989294"/>
          <a:ext cx="1184275" cy="457200"/>
        </a:xfrm>
        <a:prstGeom prst="rect">
          <a:avLst/>
        </a:prstGeom>
        <a:solidFill>
          <a:schemeClr val="accent4"/>
        </a:solidFill>
        <a:ln>
          <a:noFill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pt-BR" sz="1100" b="1">
              <a:solidFill>
                <a:srgbClr val="000000"/>
              </a:solidFill>
              <a:effectLst/>
              <a:ea typeface="Calibri" panose="020F0502020204030204" pitchFamily="34" charset="0"/>
              <a:cs typeface="Times New Roman" panose="02020603050405020304" pitchFamily="18" charset="0"/>
            </a:rPr>
            <a:t>RH</a:t>
          </a:r>
          <a:endParaRPr lang="pt-BR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ctr"/>
          <a:r>
            <a:rPr lang="pt-BR" sz="1100">
              <a:solidFill>
                <a:srgbClr val="000000"/>
              </a:solidFill>
              <a:effectLst/>
              <a:ea typeface="Calibri" panose="020F0502020204030204" pitchFamily="34" charset="0"/>
              <a:cs typeface="Times New Roman" panose="02020603050405020304" pitchFamily="18" charset="0"/>
            </a:rPr>
            <a:t>RECRUTAMENTO</a:t>
          </a:r>
          <a:endParaRPr lang="pt-BR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74545</xdr:colOff>
      <xdr:row>2</xdr:row>
      <xdr:rowOff>28158</xdr:rowOff>
    </xdr:from>
    <xdr:to>
      <xdr:col>9</xdr:col>
      <xdr:colOff>629479</xdr:colOff>
      <xdr:row>19</xdr:row>
      <xdr:rowOff>165651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2" name="Gráfico 1">
              <a:extLst>
                <a:ext uri="{FF2B5EF4-FFF2-40B4-BE49-F238E27FC236}">
                  <a16:creationId xmlns:a16="http://schemas.microsoft.com/office/drawing/2014/main" id="{93CC45A9-483B-438B-9C12-92F864520E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32495" y="409158"/>
              <a:ext cx="4031559" cy="337599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9B50DFD-CBF3-4EB1-9A39-552A75668B95}" name="Tabela1" displayName="Tabela1" ref="B3:F52" totalsRowShown="0" headerRowDxfId="102">
  <autoFilter ref="B3:F52" xr:uid="{125BF3E1-4C64-4CAB-9287-25D8B18F5E25}"/>
  <tableColumns count="5">
    <tableColumn id="1" xr3:uid="{7C6FDAE3-930C-4C95-9055-2F1318B2CE52}" name="Nome" dataDxfId="101">
      <calculatedColumnFormula>IF(Helexia!C3="","",LEFT(Helexia!C3,FIND(" ",Helexia!C3&amp;" ")-1)
&amp;" "&amp;
LEFT(
    MID(
        Helexia!C3,
        FIND(" ",Helexia!C3)+1,
        FIND(" ",Helexia!C3&amp;" ",FIND(" ",Helexia!C3)+1)-FIND(" ",Helexia!C3)-1
    ),
1
)&amp;".")</calculatedColumnFormula>
    </tableColumn>
    <tableColumn id="2" xr3:uid="{68BF8E2F-09DB-4E84-B515-89CD085DBA99}" name="Cidade" dataDxfId="0">
      <calculatedColumnFormula>TRIM(
IF(Helexia!E3="",
"",
IFERROR(LEFT(Helexia!E3,FIND(" -",Helexia!E3)-1),
IFERROR(LEFT(Helexia!E3,FIND("–",Helexia!E3)-1),
IFERROR(LEFT(Helexia!E3,FIND("-",Helexia!E3)-1),
IFERROR(LEFT(Helexia!E3,FIND("/",Helexia!E3)-1),
Helexia!E3))))
))</calculatedColumnFormula>
    </tableColumn>
    <tableColumn id="5" xr3:uid="{0E4CA67B-F8E3-4EE0-9277-4B6C220B8055}" name="Estado" dataDxfId="100">
      <calculatedColumnFormula>TRIM(Helexia!F3)</calculatedColumnFormula>
    </tableColumn>
    <tableColumn id="6" xr3:uid="{B47340F8-CF21-419B-B1CE-B0BEC4D38963}" name="País" dataDxfId="99"/>
    <tableColumn id="3" xr3:uid="{6708E6C5-D70D-4D10-8192-3191376497B1}" name="Carros" dataDxfId="98">
      <calculatedColumnFormula>CONCATENATE(Helexia!J3," ",Helexia!K3)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6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9.emf"/><Relationship Id="rId21" Type="http://schemas.openxmlformats.org/officeDocument/2006/relationships/image" Target="../media/image10.emf"/><Relationship Id="rId34" Type="http://schemas.openxmlformats.org/officeDocument/2006/relationships/control" Target="../activeX/activeX16.xml"/><Relationship Id="rId42" Type="http://schemas.openxmlformats.org/officeDocument/2006/relationships/ctrlProp" Target="../ctrlProps/ctrlProp3.xml"/><Relationship Id="rId47" Type="http://schemas.openxmlformats.org/officeDocument/2006/relationships/ctrlProp" Target="../ctrlProps/ctrlProp8.xml"/><Relationship Id="rId50" Type="http://schemas.openxmlformats.org/officeDocument/2006/relationships/ctrlProp" Target="../ctrlProps/ctrlProp11.xml"/><Relationship Id="rId55" Type="http://schemas.openxmlformats.org/officeDocument/2006/relationships/ctrlProp" Target="../ctrlProps/ctrlProp16.x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9" Type="http://schemas.openxmlformats.org/officeDocument/2006/relationships/image" Target="../media/image14.emf"/><Relationship Id="rId11" Type="http://schemas.openxmlformats.org/officeDocument/2006/relationships/image" Target="../media/image5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8.emf"/><Relationship Id="rId40" Type="http://schemas.openxmlformats.org/officeDocument/2006/relationships/ctrlProp" Target="../ctrlProps/ctrlProp1.xml"/><Relationship Id="rId45" Type="http://schemas.openxmlformats.org/officeDocument/2006/relationships/ctrlProp" Target="../ctrlProps/ctrlProp6.xml"/><Relationship Id="rId53" Type="http://schemas.openxmlformats.org/officeDocument/2006/relationships/ctrlProp" Target="../ctrlProps/ctrlProp14.xml"/><Relationship Id="rId5" Type="http://schemas.openxmlformats.org/officeDocument/2006/relationships/image" Target="../media/image2.emf"/><Relationship Id="rId19" Type="http://schemas.openxmlformats.org/officeDocument/2006/relationships/image" Target="../media/image9.emf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3.emf"/><Relationship Id="rId30" Type="http://schemas.openxmlformats.org/officeDocument/2006/relationships/control" Target="../activeX/activeX14.xml"/><Relationship Id="rId35" Type="http://schemas.openxmlformats.org/officeDocument/2006/relationships/image" Target="../media/image17.emf"/><Relationship Id="rId43" Type="http://schemas.openxmlformats.org/officeDocument/2006/relationships/ctrlProp" Target="../ctrlProps/ctrlProp4.xml"/><Relationship Id="rId48" Type="http://schemas.openxmlformats.org/officeDocument/2006/relationships/ctrlProp" Target="../ctrlProps/ctrlProp9.xml"/><Relationship Id="rId56" Type="http://schemas.openxmlformats.org/officeDocument/2006/relationships/ctrlProp" Target="../ctrlProps/ctrlProp17.xml"/><Relationship Id="rId8" Type="http://schemas.openxmlformats.org/officeDocument/2006/relationships/control" Target="../activeX/activeX3.xml"/><Relationship Id="rId51" Type="http://schemas.openxmlformats.org/officeDocument/2006/relationships/ctrlProp" Target="../ctrlProps/ctrlProp12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8.emf"/><Relationship Id="rId25" Type="http://schemas.openxmlformats.org/officeDocument/2006/relationships/image" Target="../media/image12.emf"/><Relationship Id="rId33" Type="http://schemas.openxmlformats.org/officeDocument/2006/relationships/image" Target="../media/image16.emf"/><Relationship Id="rId38" Type="http://schemas.openxmlformats.org/officeDocument/2006/relationships/control" Target="../activeX/activeX18.xml"/><Relationship Id="rId46" Type="http://schemas.openxmlformats.org/officeDocument/2006/relationships/ctrlProp" Target="../ctrlProps/ctrlProp7.xml"/><Relationship Id="rId20" Type="http://schemas.openxmlformats.org/officeDocument/2006/relationships/control" Target="../activeX/activeX9.xml"/><Relationship Id="rId41" Type="http://schemas.openxmlformats.org/officeDocument/2006/relationships/ctrlProp" Target="../ctrlProps/ctrlProp2.xml"/><Relationship Id="rId54" Type="http://schemas.openxmlformats.org/officeDocument/2006/relationships/ctrlProp" Target="../ctrlProps/ctrlProp1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ctrlProp" Target="../ctrlProps/ctrlProp10.xml"/><Relationship Id="rId57" Type="http://schemas.openxmlformats.org/officeDocument/2006/relationships/ctrlProp" Target="../ctrlProps/ctrlProp18.xml"/><Relationship Id="rId10" Type="http://schemas.openxmlformats.org/officeDocument/2006/relationships/control" Target="../activeX/activeX4.xml"/><Relationship Id="rId31" Type="http://schemas.openxmlformats.org/officeDocument/2006/relationships/image" Target="../media/image15.emf"/><Relationship Id="rId44" Type="http://schemas.openxmlformats.org/officeDocument/2006/relationships/ctrlProp" Target="../ctrlProps/ctrlProp5.xml"/><Relationship Id="rId52" Type="http://schemas.openxmlformats.org/officeDocument/2006/relationships/ctrlProp" Target="../ctrlProps/ctrlProp1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3" tint="0.39997558519241921"/>
    <pageSetUpPr fitToPage="1"/>
  </sheetPr>
  <dimension ref="A1:AC45"/>
  <sheetViews>
    <sheetView view="pageBreakPreview" zoomScale="70" zoomScaleNormal="100" zoomScaleSheetLayoutView="70" workbookViewId="0">
      <selection activeCell="C15" sqref="C15"/>
    </sheetView>
  </sheetViews>
  <sheetFormatPr defaultRowHeight="15" x14ac:dyDescent="0.25"/>
  <cols>
    <col min="1" max="1" width="9.140625" customWidth="1"/>
    <col min="5" max="5" width="5.85546875" customWidth="1"/>
    <col min="17" max="17" width="11" customWidth="1"/>
    <col min="18" max="18" width="9.140625" customWidth="1"/>
  </cols>
  <sheetData>
    <row r="1" spans="1:17" ht="15.75" customHeight="1" x14ac:dyDescent="0.25">
      <c r="A1" s="4"/>
      <c r="B1" s="4"/>
      <c r="C1" s="4"/>
      <c r="D1" s="4"/>
      <c r="E1" s="4"/>
      <c r="F1" s="2"/>
      <c r="G1" s="2"/>
      <c r="H1" s="3"/>
      <c r="I1" s="2"/>
      <c r="J1" s="2"/>
      <c r="K1" s="2"/>
      <c r="L1" s="2"/>
      <c r="M1" s="2"/>
      <c r="N1" s="2"/>
      <c r="O1" s="2"/>
      <c r="P1" s="2"/>
      <c r="Q1" s="2"/>
    </row>
    <row r="2" spans="1:17" ht="15" customHeight="1" x14ac:dyDescent="0.35">
      <c r="A2" s="4"/>
      <c r="B2" s="393" t="s">
        <v>0</v>
      </c>
      <c r="C2" s="393"/>
      <c r="D2" s="393"/>
      <c r="E2" s="6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spans="1:17" ht="15" customHeight="1" x14ac:dyDescent="0.35">
      <c r="A3" s="4"/>
      <c r="B3" s="393"/>
      <c r="C3" s="393"/>
      <c r="D3" s="393"/>
      <c r="E3" s="6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</row>
    <row r="4" spans="1:17" ht="15" customHeight="1" x14ac:dyDescent="0.35">
      <c r="A4" s="4"/>
      <c r="B4" s="393"/>
      <c r="C4" s="393"/>
      <c r="D4" s="393"/>
      <c r="E4" s="6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</row>
    <row r="5" spans="1:17" ht="15" customHeight="1" x14ac:dyDescent="0.35">
      <c r="A5" s="4"/>
      <c r="B5" s="393"/>
      <c r="C5" s="393"/>
      <c r="D5" s="393"/>
      <c r="E5" s="6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</row>
    <row r="6" spans="1:17" ht="15" customHeight="1" x14ac:dyDescent="0.4">
      <c r="A6" s="4"/>
      <c r="B6" s="4"/>
      <c r="C6" s="5"/>
      <c r="D6" s="5"/>
      <c r="E6" s="5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ht="15" customHeight="1" x14ac:dyDescent="0.35">
      <c r="A7" s="4"/>
      <c r="B7" s="6"/>
      <c r="C7" s="6"/>
      <c r="D7" s="6"/>
      <c r="E7" s="6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</row>
    <row r="8" spans="1:17" ht="15" customHeight="1" x14ac:dyDescent="0.25">
      <c r="A8" s="394" t="s">
        <v>1</v>
      </c>
      <c r="B8" s="394"/>
      <c r="C8" s="394"/>
      <c r="D8" s="394"/>
      <c r="E8" s="394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</row>
    <row r="9" spans="1:17" ht="26.25" customHeight="1" x14ac:dyDescent="0.25">
      <c r="A9" s="394"/>
      <c r="B9" s="394"/>
      <c r="C9" s="394"/>
      <c r="D9" s="394"/>
      <c r="E9" s="394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</row>
    <row r="10" spans="1:17" ht="15" customHeight="1" x14ac:dyDescent="0.25">
      <c r="A10" s="394"/>
      <c r="B10" s="394"/>
      <c r="C10" s="394"/>
      <c r="D10" s="394"/>
      <c r="E10" s="394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</row>
    <row r="11" spans="1:17" ht="15" customHeight="1" x14ac:dyDescent="0.25">
      <c r="A11" s="394"/>
      <c r="B11" s="394"/>
      <c r="C11" s="394"/>
      <c r="D11" s="394"/>
      <c r="E11" s="394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</row>
    <row r="12" spans="1:17" ht="15" customHeight="1" x14ac:dyDescent="0.25">
      <c r="A12" s="392" t="s">
        <v>2</v>
      </c>
      <c r="B12" s="392"/>
      <c r="C12" s="392"/>
      <c r="D12" s="392"/>
      <c r="E12" s="39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</row>
    <row r="13" spans="1:17" ht="15" customHeight="1" x14ac:dyDescent="0.25">
      <c r="A13" s="392"/>
      <c r="B13" s="392"/>
      <c r="C13" s="392"/>
      <c r="D13" s="392"/>
      <c r="E13" s="39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</row>
    <row r="14" spans="1:17" ht="15" customHeight="1" x14ac:dyDescent="0.25">
      <c r="A14" s="4"/>
      <c r="B14" s="4"/>
      <c r="C14" s="4"/>
      <c r="D14" s="4"/>
      <c r="E14" s="4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</row>
    <row r="15" spans="1:17" ht="15" customHeight="1" x14ac:dyDescent="0.25">
      <c r="A15" s="4"/>
      <c r="B15" s="4"/>
      <c r="C15" s="4"/>
      <c r="D15" s="4"/>
      <c r="E15" s="4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</row>
    <row r="16" spans="1:17" ht="15" customHeight="1" x14ac:dyDescent="0.25">
      <c r="A16" s="4"/>
      <c r="B16" s="4"/>
      <c r="C16" s="4"/>
      <c r="D16" s="4"/>
      <c r="E16" s="4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</row>
    <row r="17" spans="1:29" ht="15" customHeight="1" x14ac:dyDescent="0.25">
      <c r="A17" s="4"/>
      <c r="B17" s="4"/>
      <c r="C17" s="4"/>
      <c r="D17" s="4"/>
      <c r="E17" s="4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</row>
    <row r="18" spans="1:29" ht="15" customHeight="1" x14ac:dyDescent="0.25">
      <c r="A18" s="4"/>
      <c r="B18" s="4"/>
      <c r="C18" s="4"/>
      <c r="D18" s="4"/>
      <c r="E18" s="4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</row>
    <row r="19" spans="1:29" ht="15" customHeight="1" x14ac:dyDescent="0.25">
      <c r="A19" s="4"/>
      <c r="B19" s="4"/>
      <c r="C19" s="4"/>
      <c r="D19" s="4"/>
      <c r="E19" s="4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</row>
    <row r="20" spans="1:29" ht="15" customHeight="1" x14ac:dyDescent="0.25">
      <c r="A20" s="4"/>
      <c r="B20" s="4"/>
      <c r="C20" s="4"/>
      <c r="D20" s="4"/>
      <c r="E20" s="4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</row>
    <row r="21" spans="1:29" ht="15" customHeight="1" x14ac:dyDescent="0.25">
      <c r="A21" s="4"/>
      <c r="B21" s="4"/>
      <c r="C21" s="4"/>
      <c r="D21" s="4"/>
      <c r="E21" s="4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</row>
    <row r="22" spans="1:29" ht="15" customHeight="1" x14ac:dyDescent="0.25">
      <c r="A22" s="4"/>
      <c r="B22" s="4"/>
      <c r="C22" s="4"/>
      <c r="D22" s="4"/>
      <c r="E22" s="4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</row>
    <row r="23" spans="1:29" ht="15" customHeight="1" x14ac:dyDescent="0.25">
      <c r="A23" s="4"/>
      <c r="B23" s="4"/>
      <c r="C23" s="4"/>
      <c r="D23" s="4"/>
      <c r="E23" s="4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AC23" s="1"/>
    </row>
    <row r="24" spans="1:29" ht="15" customHeight="1" x14ac:dyDescent="0.25">
      <c r="A24" s="391" t="s">
        <v>4</v>
      </c>
      <c r="B24" s="391"/>
      <c r="C24" s="8" t="s">
        <v>5</v>
      </c>
      <c r="D24" s="7"/>
      <c r="E24" s="7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</row>
    <row r="25" spans="1:29" ht="15" customHeight="1" x14ac:dyDescent="0.25">
      <c r="A25" s="391" t="s">
        <v>3</v>
      </c>
      <c r="B25" s="391"/>
      <c r="C25" s="8" t="s">
        <v>450</v>
      </c>
      <c r="D25" s="7"/>
      <c r="E25" s="7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</row>
    <row r="26" spans="1:29" ht="15" customHeight="1" x14ac:dyDescent="0.25">
      <c r="A26" s="391" t="s">
        <v>401</v>
      </c>
      <c r="B26" s="391"/>
      <c r="C26" s="8" t="s">
        <v>128</v>
      </c>
      <c r="D26" s="8"/>
      <c r="E26" s="7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</row>
    <row r="27" spans="1:29" ht="15" customHeight="1" x14ac:dyDescent="0.25">
      <c r="A27" s="7"/>
      <c r="B27" s="7"/>
      <c r="C27" s="7"/>
      <c r="D27" s="7"/>
      <c r="E27" s="7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</row>
    <row r="28" spans="1:29" ht="15" customHeight="1" x14ac:dyDescent="0.25">
      <c r="A28" s="4"/>
      <c r="B28" s="4"/>
      <c r="C28" s="4"/>
      <c r="D28" s="4"/>
      <c r="E28" s="4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</row>
    <row r="29" spans="1:29" ht="15" customHeight="1" x14ac:dyDescent="0.25">
      <c r="A29" s="4"/>
      <c r="B29" s="4"/>
      <c r="C29" s="4"/>
      <c r="D29" s="4"/>
      <c r="E29" s="4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</row>
    <row r="30" spans="1:29" ht="15" customHeight="1" x14ac:dyDescent="0.25">
      <c r="A30" s="4"/>
      <c r="B30" s="4"/>
      <c r="C30" s="4"/>
      <c r="D30" s="4"/>
      <c r="E30" s="4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</row>
    <row r="31" spans="1:29" ht="15" customHeight="1" x14ac:dyDescent="0.25">
      <c r="A31" s="4"/>
      <c r="B31" s="4"/>
      <c r="C31" s="4"/>
      <c r="D31" s="4"/>
      <c r="E31" s="4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</row>
    <row r="32" spans="1:29" ht="15" customHeight="1" x14ac:dyDescent="0.25">
      <c r="A32" s="4"/>
      <c r="B32" s="4"/>
      <c r="C32" s="4"/>
      <c r="D32" s="4"/>
      <c r="E32" s="4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</row>
    <row r="33" spans="1:17" ht="15" customHeight="1" x14ac:dyDescent="0.25">
      <c r="A33" s="4"/>
      <c r="B33" s="4"/>
      <c r="C33" s="4"/>
      <c r="D33" s="4"/>
      <c r="E33" s="4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</row>
    <row r="34" spans="1:17" ht="15" customHeight="1" x14ac:dyDescent="0.25">
      <c r="A34" s="4"/>
      <c r="B34" s="4"/>
      <c r="C34" s="4"/>
      <c r="D34" s="4"/>
      <c r="E34" s="4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</row>
    <row r="35" spans="1:17" ht="15" customHeight="1" x14ac:dyDescent="0.25">
      <c r="A35" s="4"/>
      <c r="B35" s="4"/>
      <c r="C35" s="4"/>
      <c r="D35" s="4"/>
      <c r="E35" s="4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</row>
    <row r="36" spans="1:17" ht="15" customHeight="1" x14ac:dyDescent="0.25">
      <c r="A36" s="4"/>
      <c r="B36" s="4"/>
      <c r="C36" s="4"/>
      <c r="D36" s="4"/>
      <c r="E36" s="4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</row>
    <row r="37" spans="1:17" ht="15" customHeight="1" x14ac:dyDescent="0.25">
      <c r="A37" s="4"/>
      <c r="B37" s="4"/>
      <c r="C37" s="4"/>
      <c r="D37" s="4"/>
      <c r="E37" s="4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</row>
    <row r="38" spans="1:17" ht="15" customHeight="1" x14ac:dyDescent="0.25">
      <c r="A38" s="4"/>
      <c r="B38" s="4"/>
      <c r="C38" s="4"/>
      <c r="D38" s="4"/>
      <c r="E38" s="4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</row>
    <row r="39" spans="1:17" ht="15" customHeight="1" x14ac:dyDescent="0.25">
      <c r="A39" s="4"/>
      <c r="B39" s="4"/>
      <c r="C39" s="4"/>
      <c r="D39" s="4"/>
      <c r="E39" s="4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</row>
    <row r="40" spans="1:17" ht="21.75" customHeight="1" x14ac:dyDescent="0.25">
      <c r="A40" s="4"/>
      <c r="B40" s="4"/>
      <c r="C40" s="4"/>
      <c r="D40" s="4"/>
      <c r="E40" s="4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</row>
    <row r="41" spans="1:17" ht="15" customHeight="1" x14ac:dyDescent="0.25">
      <c r="L41" s="87"/>
    </row>
    <row r="42" spans="1:17" ht="15" customHeight="1" x14ac:dyDescent="0.25">
      <c r="L42" s="87"/>
    </row>
    <row r="43" spans="1:17" ht="15" customHeight="1" x14ac:dyDescent="0.25">
      <c r="L43" s="87"/>
    </row>
    <row r="44" spans="1:17" ht="15" customHeight="1" x14ac:dyDescent="0.25">
      <c r="L44" s="87"/>
    </row>
    <row r="45" spans="1:17" ht="15" customHeight="1" x14ac:dyDescent="0.25">
      <c r="J45" s="256"/>
      <c r="K45" s="255"/>
      <c r="L45" s="87"/>
    </row>
  </sheetData>
  <mergeCells count="6">
    <mergeCell ref="A26:B26"/>
    <mergeCell ref="A12:E13"/>
    <mergeCell ref="A24:B24"/>
    <mergeCell ref="A25:B25"/>
    <mergeCell ref="B2:D5"/>
    <mergeCell ref="A8:E11"/>
  </mergeCells>
  <printOptions horizontalCentered="1" verticalCentered="1"/>
  <pageMargins left="0" right="0" top="0" bottom="0" header="0" footer="0"/>
  <pageSetup paperSize="9" scale="95" orientation="landscape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568EC-32D2-4322-8539-A366E67F266F}">
  <sheetPr codeName="Planilha4">
    <tabColor theme="3" tint="0.39997558519241921"/>
    <pageSetUpPr fitToPage="1"/>
  </sheetPr>
  <dimension ref="A1:AE65"/>
  <sheetViews>
    <sheetView view="pageBreakPreview" topLeftCell="A6" zoomScale="115" zoomScaleNormal="40" zoomScaleSheetLayoutView="115" workbookViewId="0">
      <selection activeCell="M19" sqref="M19"/>
    </sheetView>
  </sheetViews>
  <sheetFormatPr defaultColWidth="0" defaultRowHeight="15" customHeight="1" zeroHeight="1" x14ac:dyDescent="0.25"/>
  <cols>
    <col min="1" max="12" width="9.140625" customWidth="1"/>
    <col min="13" max="13" width="11" customWidth="1"/>
    <col min="14" max="14" width="9.140625" customWidth="1"/>
    <col min="15" max="15" width="18.42578125" customWidth="1"/>
    <col min="16" max="16" width="9.140625" customWidth="1"/>
    <col min="17" max="17" width="9.7109375" customWidth="1"/>
    <col min="18" max="18" width="9.140625" customWidth="1"/>
    <col min="19" max="19" width="11" customWidth="1"/>
    <col min="20" max="22" width="9.140625" customWidth="1"/>
    <col min="23" max="23" width="9.7109375" customWidth="1"/>
    <col min="24" max="24" width="9.140625" customWidth="1"/>
    <col min="25" max="25" width="11" customWidth="1"/>
    <col min="26" max="28" width="9.140625" customWidth="1"/>
    <col min="29" max="29" width="9.7109375" customWidth="1"/>
    <col min="30" max="30" width="9.140625" customWidth="1"/>
    <col min="31" max="31" width="11" customWidth="1"/>
    <col min="32" max="16384" width="9.140625" hidden="1"/>
  </cols>
  <sheetData>
    <row r="1" spans="1:31" ht="15" customHeight="1" x14ac:dyDescent="0.25">
      <c r="A1" s="395" t="s">
        <v>175</v>
      </c>
      <c r="B1" s="395"/>
      <c r="C1" s="395"/>
      <c r="D1" s="395"/>
      <c r="E1" s="395"/>
      <c r="F1" s="395"/>
      <c r="G1" s="395"/>
      <c r="H1" s="395"/>
      <c r="I1" s="395"/>
      <c r="J1" s="395"/>
      <c r="K1" s="395"/>
      <c r="L1" s="395"/>
      <c r="M1" s="395"/>
      <c r="N1" s="395"/>
      <c r="O1" s="395"/>
      <c r="P1" s="395"/>
      <c r="Q1" s="88"/>
      <c r="R1" s="88"/>
      <c r="S1" s="88"/>
      <c r="T1" s="88"/>
      <c r="U1" s="88"/>
      <c r="V1" s="88"/>
      <c r="W1" s="88"/>
      <c r="X1" s="88"/>
      <c r="Y1" s="88"/>
      <c r="Z1" s="88"/>
      <c r="AA1" s="88"/>
      <c r="AB1" s="88"/>
      <c r="AC1" s="88"/>
      <c r="AD1" s="88"/>
      <c r="AE1" s="88"/>
    </row>
    <row r="2" spans="1:31" ht="15" customHeight="1" x14ac:dyDescent="0.25">
      <c r="A2" s="395"/>
      <c r="B2" s="395"/>
      <c r="C2" s="395"/>
      <c r="D2" s="395"/>
      <c r="E2" s="395"/>
      <c r="F2" s="395"/>
      <c r="G2" s="395"/>
      <c r="H2" s="395"/>
      <c r="I2" s="395"/>
      <c r="J2" s="395"/>
      <c r="K2" s="395"/>
      <c r="L2" s="395"/>
      <c r="M2" s="395"/>
      <c r="N2" s="395"/>
      <c r="O2" s="395"/>
      <c r="P2" s="395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</row>
    <row r="3" spans="1:31" ht="15" customHeight="1" x14ac:dyDescent="0.25">
      <c r="A3" s="87"/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</row>
    <row r="4" spans="1:31" ht="15.75" customHeight="1" x14ac:dyDescent="0.25">
      <c r="A4" s="87"/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87"/>
      <c r="P4" s="87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</row>
    <row r="5" spans="1:31" ht="15.75" customHeight="1" x14ac:dyDescent="0.25">
      <c r="A5" s="87"/>
      <c r="B5" s="87"/>
      <c r="C5" s="87"/>
      <c r="D5" s="87"/>
      <c r="E5" s="87"/>
      <c r="F5" s="87"/>
      <c r="G5" s="87"/>
      <c r="H5" s="87"/>
      <c r="I5" s="87"/>
      <c r="J5" s="87"/>
      <c r="K5" s="87"/>
      <c r="L5" s="87"/>
      <c r="M5" s="87"/>
      <c r="N5" s="87"/>
      <c r="O5" s="87"/>
      <c r="P5" s="87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</row>
    <row r="6" spans="1:31" ht="15.75" customHeight="1" x14ac:dyDescent="0.25">
      <c r="A6" s="87"/>
      <c r="B6" s="87"/>
      <c r="C6" s="87"/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  <c r="O6" s="87"/>
      <c r="P6" s="87"/>
      <c r="Q6" s="87"/>
      <c r="R6" s="87"/>
      <c r="S6" s="87"/>
      <c r="T6" s="87"/>
      <c r="U6" s="87"/>
      <c r="V6" s="87"/>
      <c r="W6" s="87"/>
      <c r="X6" s="87"/>
      <c r="Y6" s="87"/>
      <c r="Z6" s="87"/>
      <c r="AA6" s="87"/>
      <c r="AB6" s="87"/>
      <c r="AC6" s="87"/>
      <c r="AD6" s="87"/>
      <c r="AE6" s="87"/>
    </row>
    <row r="7" spans="1:31" ht="15.75" customHeight="1" x14ac:dyDescent="0.25">
      <c r="A7" s="87"/>
      <c r="B7" s="87"/>
      <c r="C7" s="87"/>
      <c r="D7" s="87"/>
      <c r="E7" s="87"/>
      <c r="F7" s="87"/>
      <c r="G7" s="87"/>
      <c r="H7" s="87"/>
      <c r="I7" s="87"/>
      <c r="J7" s="87"/>
      <c r="K7" s="87"/>
      <c r="L7" s="87"/>
      <c r="M7" s="87"/>
      <c r="N7" s="87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</row>
    <row r="8" spans="1:31" ht="15.75" customHeight="1" x14ac:dyDescent="0.25">
      <c r="A8" s="87"/>
      <c r="B8" s="87"/>
      <c r="C8" s="87"/>
      <c r="D8" s="87"/>
      <c r="E8" s="87"/>
      <c r="F8" s="87"/>
      <c r="G8" s="87"/>
      <c r="H8" s="87"/>
      <c r="I8" s="87"/>
      <c r="J8" s="87"/>
      <c r="K8" s="87"/>
      <c r="L8" s="87"/>
      <c r="M8" s="87"/>
      <c r="N8" s="87"/>
      <c r="O8" s="87"/>
      <c r="P8" s="87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</row>
    <row r="9" spans="1:31" ht="15.75" customHeight="1" x14ac:dyDescent="0.25">
      <c r="A9" s="87"/>
      <c r="B9" s="87"/>
      <c r="C9" s="87"/>
      <c r="D9" s="87"/>
      <c r="E9" s="87"/>
      <c r="F9" s="87"/>
      <c r="G9" s="87"/>
      <c r="H9" s="87"/>
      <c r="I9" s="87"/>
      <c r="J9" s="87"/>
      <c r="K9" s="87"/>
      <c r="L9" s="87"/>
      <c r="M9" s="87"/>
      <c r="N9" s="87"/>
      <c r="O9" s="87"/>
      <c r="P9" s="87"/>
      <c r="Q9" s="87"/>
      <c r="R9" s="87"/>
      <c r="S9" s="87"/>
      <c r="T9" s="87"/>
      <c r="U9" s="87"/>
      <c r="V9" s="87"/>
      <c r="W9" s="87"/>
      <c r="X9" s="87"/>
      <c r="Y9" s="87"/>
      <c r="Z9" s="87"/>
      <c r="AA9" s="87"/>
      <c r="AB9" s="87"/>
      <c r="AC9" s="87"/>
      <c r="AD9" s="87"/>
      <c r="AE9" s="87"/>
    </row>
    <row r="10" spans="1:31" ht="15.75" customHeight="1" x14ac:dyDescent="0.25">
      <c r="A10" s="87"/>
      <c r="B10" s="87"/>
      <c r="C10" s="87"/>
      <c r="D10" s="87"/>
      <c r="E10" s="87"/>
      <c r="F10" s="87"/>
      <c r="G10" s="87"/>
      <c r="H10" s="87"/>
      <c r="I10" s="87"/>
      <c r="J10" s="87"/>
      <c r="K10" s="87"/>
      <c r="L10" s="87"/>
      <c r="M10" s="87"/>
      <c r="N10" s="87"/>
      <c r="O10" s="87"/>
      <c r="P10" s="87"/>
      <c r="Q10" s="87"/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</row>
    <row r="11" spans="1:31" ht="15.75" customHeight="1" x14ac:dyDescent="0.25">
      <c r="A11" s="87"/>
      <c r="B11" s="87"/>
      <c r="C11" s="87"/>
      <c r="D11" s="87"/>
      <c r="E11" s="87"/>
      <c r="F11" s="87"/>
      <c r="G11" s="87"/>
      <c r="H11" s="87"/>
      <c r="I11" s="87"/>
      <c r="J11" s="87"/>
      <c r="K11" s="87"/>
      <c r="L11" s="87"/>
      <c r="M11" s="87"/>
      <c r="N11" s="87"/>
      <c r="O11" s="87"/>
      <c r="P11" s="87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</row>
    <row r="12" spans="1:31" ht="15.75" customHeight="1" x14ac:dyDescent="0.25">
      <c r="A12" s="87"/>
      <c r="B12" s="87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</row>
    <row r="13" spans="1:31" ht="15.75" customHeight="1" x14ac:dyDescent="0.25">
      <c r="A13" s="87"/>
      <c r="B13" s="87"/>
      <c r="C13" s="87"/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</row>
    <row r="14" spans="1:31" ht="15.75" customHeight="1" x14ac:dyDescent="0.25">
      <c r="A14" s="87"/>
      <c r="B14" s="87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</row>
    <row r="15" spans="1:31" ht="15.75" customHeight="1" x14ac:dyDescent="0.25">
      <c r="A15" s="87"/>
      <c r="B15" s="87"/>
      <c r="C15" s="87"/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87"/>
      <c r="W15" s="87"/>
      <c r="X15" s="87"/>
      <c r="Y15" s="87"/>
      <c r="Z15" s="87"/>
      <c r="AA15" s="87"/>
      <c r="AB15" s="87"/>
      <c r="AC15" s="87"/>
      <c r="AD15" s="87"/>
      <c r="AE15" s="87"/>
    </row>
    <row r="16" spans="1:31" ht="15" customHeight="1" x14ac:dyDescent="0.25">
      <c r="A16" s="87"/>
      <c r="B16" s="87"/>
      <c r="C16" s="87"/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87"/>
      <c r="W16" s="87"/>
      <c r="X16" s="87"/>
      <c r="Y16" s="87"/>
      <c r="Z16" s="87"/>
      <c r="AA16" s="87"/>
      <c r="AB16" s="87"/>
      <c r="AC16" s="87"/>
      <c r="AD16" s="87"/>
      <c r="AE16" s="87"/>
    </row>
    <row r="17" spans="1:31" x14ac:dyDescent="0.25">
      <c r="A17" s="87"/>
      <c r="B17" s="87"/>
      <c r="C17" s="87"/>
      <c r="D17" s="87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7"/>
      <c r="S17" s="87"/>
      <c r="T17" s="87"/>
      <c r="U17" s="87"/>
      <c r="V17" s="87"/>
      <c r="W17" s="87"/>
      <c r="X17" s="87"/>
      <c r="Y17" s="87"/>
      <c r="Z17" s="87"/>
      <c r="AA17" s="87"/>
      <c r="AB17" s="87"/>
      <c r="AC17" s="87"/>
      <c r="AD17" s="87"/>
      <c r="AE17" s="87"/>
    </row>
    <row r="18" spans="1:31" x14ac:dyDescent="0.25">
      <c r="A18" s="87"/>
      <c r="B18" s="87"/>
      <c r="C18" s="87"/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  <c r="Z18" s="87"/>
      <c r="AA18" s="87"/>
      <c r="AB18" s="87"/>
      <c r="AC18" s="87"/>
      <c r="AD18" s="87"/>
      <c r="AE18" s="87"/>
    </row>
    <row r="19" spans="1:31" x14ac:dyDescent="0.25">
      <c r="A19" s="87"/>
      <c r="B19" s="87"/>
      <c r="C19" s="87"/>
      <c r="D19" s="87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87"/>
      <c r="W19" s="87"/>
      <c r="X19" s="87"/>
      <c r="Y19" s="87"/>
      <c r="Z19" s="87"/>
      <c r="AA19" s="87"/>
      <c r="AB19" s="87"/>
      <c r="AC19" s="87"/>
      <c r="AD19" s="87"/>
      <c r="AE19" s="87"/>
    </row>
    <row r="20" spans="1:31" x14ac:dyDescent="0.25">
      <c r="A20" s="87"/>
      <c r="B20" s="87"/>
      <c r="C20" s="87"/>
      <c r="D20" s="87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87"/>
      <c r="W20" s="87"/>
      <c r="X20" s="87"/>
      <c r="Y20" s="87"/>
      <c r="Z20" s="87"/>
      <c r="AA20" s="87"/>
      <c r="AB20" s="87"/>
      <c r="AC20" s="87"/>
      <c r="AD20" s="87"/>
      <c r="AE20" s="87"/>
    </row>
    <row r="21" spans="1:31" x14ac:dyDescent="0.25">
      <c r="A21" s="87"/>
      <c r="B21" s="87"/>
      <c r="C21" s="87"/>
      <c r="D21" s="87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87"/>
      <c r="W21" s="87"/>
      <c r="X21" s="87"/>
      <c r="Y21" s="87"/>
      <c r="Z21" s="87"/>
      <c r="AA21" s="87"/>
      <c r="AB21" s="87"/>
      <c r="AC21" s="87"/>
      <c r="AD21" s="87"/>
      <c r="AE21" s="87"/>
    </row>
    <row r="22" spans="1:31" x14ac:dyDescent="0.25">
      <c r="A22" s="87"/>
      <c r="B22" s="87"/>
      <c r="C22" s="87"/>
      <c r="D22" s="87"/>
      <c r="E22" s="87"/>
      <c r="F22" s="87"/>
      <c r="G22" s="87"/>
      <c r="H22" s="87"/>
      <c r="I22" s="87"/>
      <c r="J22" s="87"/>
      <c r="K22" s="87"/>
      <c r="L22" s="87"/>
      <c r="M22" s="87"/>
      <c r="N22" s="87"/>
      <c r="O22" s="87"/>
      <c r="P22" s="87"/>
      <c r="Q22" s="87"/>
      <c r="R22" s="87"/>
      <c r="S22" s="87"/>
      <c r="T22" s="87"/>
      <c r="U22" s="87"/>
      <c r="V22" s="87"/>
      <c r="W22" s="87"/>
      <c r="X22" s="87"/>
      <c r="Y22" s="87"/>
      <c r="Z22" s="87"/>
      <c r="AA22" s="87"/>
      <c r="AB22" s="87"/>
      <c r="AC22" s="87"/>
      <c r="AD22" s="87"/>
      <c r="AE22" s="87"/>
    </row>
    <row r="23" spans="1:31" x14ac:dyDescent="0.25">
      <c r="A23" s="87"/>
      <c r="B23" s="87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7"/>
      <c r="W23" s="87"/>
      <c r="X23" s="87"/>
      <c r="Y23" s="87"/>
      <c r="Z23" s="87"/>
      <c r="AA23" s="87"/>
      <c r="AB23" s="87"/>
      <c r="AC23" s="87"/>
      <c r="AD23" s="87"/>
      <c r="AE23" s="87"/>
    </row>
    <row r="24" spans="1:31" x14ac:dyDescent="0.25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7"/>
      <c r="S24" s="87"/>
      <c r="T24" s="87"/>
      <c r="U24" s="87"/>
      <c r="V24" s="87"/>
      <c r="W24" s="87"/>
      <c r="X24" s="87"/>
      <c r="Y24" s="87"/>
      <c r="Z24" s="87"/>
      <c r="AA24" s="87"/>
      <c r="AB24" s="87"/>
      <c r="AC24" s="87"/>
      <c r="AD24" s="87"/>
      <c r="AE24" s="87"/>
    </row>
    <row r="25" spans="1:31" x14ac:dyDescent="0.25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7"/>
      <c r="S25" s="87"/>
      <c r="T25" s="87"/>
      <c r="U25" s="87"/>
      <c r="V25" s="87"/>
      <c r="W25" s="87"/>
      <c r="X25" s="87"/>
      <c r="Y25" s="87"/>
      <c r="Z25" s="87"/>
      <c r="AA25" s="87"/>
      <c r="AB25" s="87"/>
      <c r="AC25" s="87"/>
      <c r="AD25" s="87"/>
      <c r="AE25" s="87"/>
    </row>
    <row r="26" spans="1:31" x14ac:dyDescent="0.25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7"/>
      <c r="S26" s="87"/>
      <c r="T26" s="87"/>
      <c r="U26" s="87"/>
      <c r="V26" s="87"/>
      <c r="W26" s="87"/>
      <c r="X26" s="87"/>
      <c r="Y26" s="87"/>
      <c r="Z26" s="87"/>
      <c r="AA26" s="87"/>
      <c r="AB26" s="87"/>
      <c r="AC26" s="87"/>
      <c r="AD26" s="87"/>
      <c r="AE26" s="87"/>
    </row>
    <row r="27" spans="1:31" x14ac:dyDescent="0.25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7"/>
      <c r="S27" s="87"/>
      <c r="T27" s="87"/>
      <c r="U27" s="87"/>
      <c r="V27" s="87"/>
      <c r="W27" s="87"/>
      <c r="X27" s="87"/>
      <c r="Y27" s="87"/>
      <c r="Z27" s="87"/>
      <c r="AA27" s="87"/>
      <c r="AB27" s="87"/>
      <c r="AC27" s="87"/>
      <c r="AD27" s="87"/>
      <c r="AE27" s="87"/>
    </row>
    <row r="28" spans="1:31" x14ac:dyDescent="0.25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255"/>
      <c r="M28" s="87"/>
      <c r="N28" s="87"/>
      <c r="O28" s="87"/>
      <c r="P28" s="87"/>
      <c r="Q28" s="87"/>
      <c r="R28" s="87"/>
      <c r="S28" s="87"/>
      <c r="T28" s="87"/>
      <c r="U28" s="87"/>
      <c r="V28" s="87"/>
      <c r="W28" s="87"/>
      <c r="X28" s="87"/>
      <c r="Y28" s="87"/>
      <c r="Z28" s="87"/>
      <c r="AA28" s="87"/>
      <c r="AB28" s="87"/>
      <c r="AC28" s="87"/>
      <c r="AD28" s="87"/>
      <c r="AE28" s="87"/>
    </row>
    <row r="29" spans="1:31" x14ac:dyDescent="0.25">
      <c r="A29" s="87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7"/>
      <c r="S29" s="87"/>
      <c r="T29" s="87"/>
      <c r="U29" s="87"/>
      <c r="V29" s="87"/>
      <c r="W29" s="87"/>
      <c r="X29" s="87"/>
      <c r="Y29" s="87"/>
      <c r="Z29" s="87"/>
      <c r="AA29" s="87"/>
      <c r="AB29" s="87"/>
      <c r="AC29" s="87"/>
      <c r="AD29" s="87"/>
      <c r="AE29" s="87"/>
    </row>
    <row r="30" spans="1:31" x14ac:dyDescent="0.25">
      <c r="A30" s="87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7"/>
      <c r="S30" s="87"/>
      <c r="T30" s="87"/>
      <c r="U30" s="87"/>
      <c r="V30" s="87"/>
      <c r="W30" s="87"/>
      <c r="X30" s="87"/>
      <c r="Y30" s="87"/>
      <c r="Z30" s="87"/>
      <c r="AA30" s="87"/>
      <c r="AB30" s="87"/>
      <c r="AC30" s="87"/>
      <c r="AD30" s="87"/>
      <c r="AE30" s="87"/>
    </row>
    <row r="31" spans="1:31" x14ac:dyDescent="0.25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7"/>
      <c r="S31" s="87"/>
      <c r="T31" s="87"/>
      <c r="U31" s="87"/>
      <c r="V31" s="87"/>
      <c r="W31" s="87"/>
      <c r="X31" s="87"/>
      <c r="Y31" s="87"/>
      <c r="Z31" s="87"/>
      <c r="AA31" s="87"/>
      <c r="AB31" s="87"/>
      <c r="AC31" s="87"/>
      <c r="AD31" s="87"/>
      <c r="AE31" s="87"/>
    </row>
    <row r="32" spans="1:31" x14ac:dyDescent="0.25">
      <c r="A32" s="87"/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7"/>
      <c r="S32" s="87"/>
      <c r="T32" s="87"/>
      <c r="U32" s="87"/>
      <c r="V32" s="87"/>
      <c r="W32" s="87"/>
      <c r="X32" s="87"/>
      <c r="Y32" s="87"/>
      <c r="Z32" s="87"/>
      <c r="AA32" s="87"/>
      <c r="AB32" s="87"/>
      <c r="AC32" s="87"/>
      <c r="AD32" s="87"/>
      <c r="AE32" s="87"/>
    </row>
    <row r="33" spans="1:31" x14ac:dyDescent="0.25">
      <c r="A33" s="87"/>
      <c r="B33" s="87"/>
      <c r="C33" s="87"/>
      <c r="D33" s="87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7"/>
      <c r="S33" s="87"/>
      <c r="T33" s="87"/>
      <c r="U33" s="87"/>
      <c r="V33" s="87"/>
      <c r="W33" s="87"/>
      <c r="X33" s="87"/>
      <c r="Y33" s="87"/>
      <c r="Z33" s="87"/>
      <c r="AA33" s="87"/>
      <c r="AB33" s="87"/>
      <c r="AC33" s="87"/>
      <c r="AD33" s="87"/>
      <c r="AE33" s="87"/>
    </row>
    <row r="34" spans="1:31" x14ac:dyDescent="0.25">
      <c r="A34" s="87"/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7"/>
      <c r="S34" s="87"/>
      <c r="T34" s="87"/>
      <c r="U34" s="87"/>
      <c r="V34" s="87"/>
      <c r="W34" s="87"/>
      <c r="X34" s="87"/>
      <c r="Y34" s="87"/>
      <c r="Z34" s="87"/>
      <c r="AA34" s="87"/>
      <c r="AB34" s="87"/>
      <c r="AC34" s="87"/>
      <c r="AD34" s="87"/>
      <c r="AE34" s="87"/>
    </row>
    <row r="35" spans="1:31" x14ac:dyDescent="0.25">
      <c r="A35" s="87"/>
      <c r="B35" s="87"/>
      <c r="C35" s="87"/>
      <c r="D35" s="87"/>
      <c r="E35" s="87"/>
      <c r="F35" s="87"/>
      <c r="G35" s="87"/>
      <c r="H35" s="87"/>
      <c r="I35" s="87"/>
      <c r="J35" s="87"/>
      <c r="K35" s="87"/>
      <c r="L35" s="87"/>
      <c r="M35" s="87"/>
      <c r="N35" s="87"/>
      <c r="O35" s="87"/>
      <c r="P35" s="87"/>
      <c r="Q35" s="87"/>
      <c r="R35" s="87"/>
      <c r="S35" s="87"/>
      <c r="T35" s="87"/>
      <c r="U35" s="87"/>
      <c r="V35" s="87"/>
      <c r="W35" s="87"/>
      <c r="X35" s="87"/>
      <c r="Y35" s="87"/>
      <c r="Z35" s="87"/>
      <c r="AA35" s="87"/>
      <c r="AB35" s="87"/>
      <c r="AC35" s="87"/>
      <c r="AD35" s="87"/>
      <c r="AE35" s="87"/>
    </row>
    <row r="36" spans="1:31" x14ac:dyDescent="0.25">
      <c r="A36" s="87"/>
      <c r="B36" s="87"/>
      <c r="C36" s="87"/>
      <c r="D36" s="87"/>
      <c r="E36" s="87"/>
      <c r="F36" s="87"/>
      <c r="G36" s="87"/>
      <c r="H36" s="87"/>
      <c r="I36" s="87"/>
      <c r="J36" s="87"/>
      <c r="K36" s="87"/>
      <c r="L36" s="87"/>
      <c r="M36" s="87"/>
      <c r="N36" s="87"/>
      <c r="O36" s="87"/>
      <c r="P36" s="87"/>
      <c r="Q36" s="87"/>
      <c r="R36" s="87"/>
      <c r="S36" s="87"/>
      <c r="T36" s="87"/>
      <c r="U36" s="87"/>
      <c r="V36" s="87"/>
      <c r="W36" s="87"/>
      <c r="X36" s="87"/>
      <c r="Y36" s="87"/>
      <c r="Z36" s="87"/>
      <c r="AA36" s="87"/>
      <c r="AB36" s="87"/>
      <c r="AC36" s="87"/>
      <c r="AD36" s="87"/>
      <c r="AE36" s="87"/>
    </row>
    <row r="37" spans="1:31" x14ac:dyDescent="0.25">
      <c r="A37" s="87"/>
      <c r="B37" s="87"/>
      <c r="C37" s="87"/>
      <c r="D37" s="87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87"/>
      <c r="Q37" s="87"/>
      <c r="R37" s="87"/>
      <c r="S37" s="87"/>
      <c r="T37" s="87"/>
      <c r="U37" s="87"/>
      <c r="V37" s="87"/>
      <c r="W37" s="87"/>
      <c r="X37" s="87"/>
      <c r="Y37" s="87"/>
      <c r="Z37" s="87"/>
      <c r="AA37" s="87"/>
      <c r="AB37" s="87"/>
      <c r="AC37" s="87"/>
      <c r="AD37" s="87"/>
      <c r="AE37" s="87"/>
    </row>
    <row r="38" spans="1:31" x14ac:dyDescent="0.25">
      <c r="A38" s="87"/>
      <c r="B38" s="87"/>
      <c r="C38" s="87"/>
      <c r="D38" s="87"/>
      <c r="E38" s="87"/>
      <c r="F38" s="87"/>
      <c r="G38" s="87"/>
      <c r="H38" s="87"/>
      <c r="I38" s="87"/>
      <c r="J38" s="87"/>
      <c r="K38" s="87"/>
      <c r="L38" s="87"/>
      <c r="M38" s="87"/>
      <c r="N38" s="87"/>
      <c r="O38" s="87"/>
      <c r="P38" s="87"/>
      <c r="Q38" s="87"/>
      <c r="R38" s="87"/>
      <c r="S38" s="87"/>
      <c r="T38" s="87"/>
      <c r="U38" s="87"/>
      <c r="V38" s="87"/>
      <c r="W38" s="87"/>
      <c r="X38" s="87"/>
      <c r="Y38" s="87"/>
      <c r="Z38" s="87"/>
      <c r="AA38" s="87"/>
      <c r="AB38" s="87"/>
      <c r="AC38" s="87"/>
      <c r="AD38" s="87"/>
      <c r="AE38" s="87"/>
    </row>
    <row r="39" spans="1:31" x14ac:dyDescent="0.25">
      <c r="A39" s="87"/>
      <c r="B39" s="87"/>
      <c r="C39" s="87"/>
      <c r="D39" s="87"/>
      <c r="E39" s="87"/>
      <c r="F39" s="87"/>
      <c r="G39" s="87"/>
      <c r="H39" s="87"/>
      <c r="I39" s="87"/>
      <c r="J39" s="87"/>
      <c r="K39" s="87"/>
      <c r="L39" s="87"/>
      <c r="M39" s="87"/>
      <c r="N39" s="87"/>
      <c r="O39" s="87"/>
      <c r="P39" s="87"/>
      <c r="Q39" s="87"/>
      <c r="R39" s="87"/>
      <c r="S39" s="87"/>
      <c r="T39" s="87"/>
      <c r="U39" s="87"/>
      <c r="V39" s="87"/>
      <c r="W39" s="87"/>
      <c r="X39" s="87"/>
      <c r="Y39" s="87"/>
      <c r="Z39" s="87"/>
      <c r="AA39" s="87"/>
      <c r="AB39" s="87"/>
      <c r="AC39" s="87"/>
      <c r="AD39" s="87"/>
      <c r="AE39" s="87"/>
    </row>
    <row r="40" spans="1:31" x14ac:dyDescent="0.25">
      <c r="A40" s="87"/>
      <c r="B40" s="87"/>
      <c r="C40" s="87"/>
      <c r="D40" s="87"/>
      <c r="E40" s="87"/>
      <c r="F40" s="87"/>
      <c r="G40" s="87"/>
      <c r="H40" s="87"/>
      <c r="I40" s="87"/>
      <c r="J40" s="87"/>
      <c r="K40" s="87"/>
      <c r="L40" s="87"/>
      <c r="M40" s="87"/>
      <c r="N40" s="87"/>
      <c r="O40" s="87"/>
      <c r="P40" s="87"/>
      <c r="Q40" s="87"/>
      <c r="R40" s="87"/>
      <c r="S40" s="87"/>
      <c r="T40" s="87"/>
      <c r="U40" s="87"/>
      <c r="V40" s="87"/>
      <c r="W40" s="87"/>
      <c r="X40" s="87"/>
      <c r="Y40" s="87"/>
      <c r="Z40" s="87"/>
      <c r="AA40" s="87"/>
      <c r="AB40" s="87"/>
      <c r="AC40" s="87"/>
      <c r="AD40" s="87"/>
      <c r="AE40" s="87"/>
    </row>
    <row r="41" spans="1:31" x14ac:dyDescent="0.25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7"/>
      <c r="V41" s="87"/>
      <c r="W41" s="87"/>
      <c r="X41" s="87"/>
      <c r="Y41" s="87"/>
      <c r="Z41" s="87"/>
      <c r="AA41" s="87"/>
      <c r="AB41" s="87"/>
      <c r="AC41" s="87"/>
      <c r="AD41" s="87"/>
      <c r="AE41" s="87"/>
    </row>
    <row r="42" spans="1:31" x14ac:dyDescent="0.25">
      <c r="A42" s="87"/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7"/>
      <c r="V42" s="87"/>
      <c r="W42" s="87"/>
      <c r="X42" s="87"/>
      <c r="Y42" s="87"/>
      <c r="Z42" s="87"/>
      <c r="AA42" s="87"/>
      <c r="AB42" s="87"/>
      <c r="AC42" s="87"/>
      <c r="AD42" s="87"/>
      <c r="AE42" s="87"/>
    </row>
    <row r="43" spans="1:31" x14ac:dyDescent="0.25">
      <c r="A43" s="87"/>
      <c r="B43" s="87"/>
      <c r="C43" s="87"/>
      <c r="D43" s="87"/>
      <c r="E43" s="87"/>
      <c r="F43" s="87"/>
      <c r="G43" s="87"/>
      <c r="H43" s="87"/>
      <c r="I43" s="87"/>
      <c r="J43" s="87"/>
      <c r="K43" s="87"/>
      <c r="L43" s="87"/>
      <c r="M43" s="87"/>
      <c r="N43" s="87"/>
      <c r="O43" s="87"/>
      <c r="P43" s="87"/>
      <c r="Q43" s="87"/>
      <c r="R43" s="87"/>
      <c r="S43" s="87"/>
      <c r="T43" s="87"/>
      <c r="U43" s="87"/>
      <c r="V43" s="87"/>
      <c r="W43" s="87"/>
      <c r="X43" s="87"/>
      <c r="Y43" s="87"/>
      <c r="Z43" s="87"/>
      <c r="AA43" s="87"/>
      <c r="AB43" s="87"/>
      <c r="AC43" s="87"/>
      <c r="AD43" s="87"/>
      <c r="AE43" s="87"/>
    </row>
    <row r="44" spans="1:31" x14ac:dyDescent="0.25">
      <c r="A44" s="87"/>
      <c r="B44" s="87"/>
      <c r="C44" s="87"/>
      <c r="D44" s="87"/>
      <c r="E44" s="87"/>
      <c r="F44" s="87"/>
      <c r="G44" s="87"/>
      <c r="H44" s="87"/>
      <c r="I44" s="87"/>
      <c r="J44" s="87"/>
      <c r="K44" s="87"/>
      <c r="L44" s="87"/>
      <c r="M44" s="87"/>
      <c r="N44" s="87"/>
      <c r="O44" s="87"/>
      <c r="P44" s="87"/>
      <c r="Q44" s="87"/>
      <c r="R44" s="87"/>
      <c r="S44" s="87"/>
      <c r="T44" s="87"/>
      <c r="U44" s="87"/>
      <c r="V44" s="87"/>
      <c r="W44" s="87"/>
      <c r="X44" s="87"/>
      <c r="Y44" s="87"/>
      <c r="Z44" s="87"/>
      <c r="AA44" s="87"/>
      <c r="AB44" s="87"/>
      <c r="AC44" s="87"/>
      <c r="AD44" s="87"/>
      <c r="AE44" s="87"/>
    </row>
    <row r="45" spans="1:31" x14ac:dyDescent="0.25">
      <c r="A45" s="87"/>
      <c r="B45" s="87"/>
      <c r="C45" s="87"/>
      <c r="D45" s="87"/>
      <c r="E45" s="87"/>
      <c r="F45" s="87"/>
      <c r="G45" s="87"/>
      <c r="H45" s="87"/>
      <c r="I45" s="87"/>
      <c r="J45" s="256"/>
      <c r="K45" s="255"/>
      <c r="L45" s="87"/>
      <c r="M45" s="87"/>
      <c r="N45" s="87"/>
      <c r="O45" s="87"/>
      <c r="P45" s="87"/>
      <c r="Q45" s="87"/>
      <c r="R45" s="87"/>
      <c r="S45" s="87"/>
      <c r="T45" s="87"/>
      <c r="U45" s="87"/>
      <c r="V45" s="87"/>
      <c r="W45" s="87"/>
      <c r="X45" s="87"/>
      <c r="Y45" s="87"/>
      <c r="Z45" s="87"/>
      <c r="AA45" s="87"/>
      <c r="AB45" s="87"/>
      <c r="AC45" s="87"/>
      <c r="AD45" s="87"/>
      <c r="AE45" s="87"/>
    </row>
    <row r="46" spans="1:31" x14ac:dyDescent="0.25">
      <c r="A46" s="87"/>
      <c r="B46" s="87"/>
      <c r="C46" s="87"/>
      <c r="D46" s="87"/>
      <c r="E46" s="87"/>
      <c r="F46" s="87"/>
      <c r="G46" s="87"/>
      <c r="H46" s="87"/>
      <c r="I46" s="87"/>
      <c r="J46" s="87"/>
      <c r="K46" s="87"/>
      <c r="L46" s="87"/>
      <c r="M46" s="87"/>
      <c r="N46" s="87"/>
      <c r="O46" s="87"/>
      <c r="P46" s="87"/>
      <c r="Q46" s="87"/>
      <c r="R46" s="87"/>
      <c r="S46" s="87"/>
      <c r="T46" s="87"/>
      <c r="U46" s="87"/>
      <c r="V46" s="87"/>
      <c r="W46" s="87"/>
      <c r="X46" s="87"/>
      <c r="Y46" s="87"/>
      <c r="Z46" s="87"/>
      <c r="AA46" s="87"/>
      <c r="AB46" s="87"/>
      <c r="AC46" s="87"/>
      <c r="AD46" s="87"/>
      <c r="AE46" s="87"/>
    </row>
    <row r="47" spans="1:31" x14ac:dyDescent="0.25">
      <c r="A47" s="87"/>
      <c r="B47" s="87"/>
      <c r="C47" s="87"/>
      <c r="D47" s="87"/>
      <c r="E47" s="87"/>
      <c r="F47" s="87"/>
      <c r="G47" s="87"/>
      <c r="H47" s="87"/>
      <c r="I47" s="87"/>
      <c r="J47" s="87"/>
      <c r="K47" s="87"/>
      <c r="L47" s="87"/>
      <c r="M47" s="87"/>
      <c r="N47" s="87"/>
      <c r="O47" s="87"/>
      <c r="P47" s="87"/>
      <c r="Q47" s="87"/>
      <c r="R47" s="87"/>
      <c r="S47" s="87"/>
      <c r="T47" s="87"/>
      <c r="U47" s="87"/>
      <c r="V47" s="87"/>
      <c r="W47" s="87"/>
      <c r="X47" s="87"/>
      <c r="Y47" s="87"/>
      <c r="Z47" s="87"/>
      <c r="AA47" s="87"/>
      <c r="AB47" s="87"/>
      <c r="AC47" s="87"/>
      <c r="AD47" s="87"/>
      <c r="AE47" s="87"/>
    </row>
    <row r="48" spans="1:31" x14ac:dyDescent="0.25">
      <c r="A48" s="87"/>
      <c r="B48" s="87"/>
      <c r="C48" s="87"/>
      <c r="D48" s="87"/>
      <c r="E48" s="87"/>
      <c r="F48" s="87"/>
      <c r="G48" s="87"/>
      <c r="H48" s="87"/>
      <c r="I48" s="87"/>
      <c r="J48" s="87"/>
      <c r="K48" s="87"/>
      <c r="L48" s="87"/>
      <c r="M48" s="87"/>
      <c r="N48" s="87"/>
      <c r="O48" s="87"/>
      <c r="P48" s="87"/>
      <c r="Q48" s="87"/>
      <c r="R48" s="87"/>
      <c r="S48" s="87"/>
      <c r="T48" s="87"/>
      <c r="U48" s="87"/>
      <c r="V48" s="87"/>
      <c r="W48" s="87"/>
      <c r="X48" s="87"/>
      <c r="Y48" s="87"/>
      <c r="Z48" s="87"/>
      <c r="AA48" s="87"/>
      <c r="AB48" s="87"/>
      <c r="AC48" s="87"/>
      <c r="AD48" s="87"/>
      <c r="AE48" s="87"/>
    </row>
    <row r="49" spans="1:31" x14ac:dyDescent="0.25">
      <c r="A49" s="87"/>
      <c r="B49" s="87"/>
      <c r="C49" s="87"/>
      <c r="D49" s="87"/>
      <c r="E49" s="87"/>
      <c r="F49" s="87"/>
      <c r="G49" s="87"/>
      <c r="H49" s="87"/>
      <c r="I49" s="87"/>
      <c r="J49" s="87"/>
      <c r="K49" s="87"/>
      <c r="L49" s="87"/>
      <c r="M49" s="87"/>
      <c r="N49" s="87"/>
      <c r="O49" s="87"/>
      <c r="P49" s="87"/>
      <c r="Q49" s="87"/>
      <c r="R49" s="87"/>
      <c r="S49" s="87"/>
      <c r="T49" s="87"/>
      <c r="U49" s="87"/>
      <c r="V49" s="87"/>
      <c r="W49" s="87"/>
      <c r="X49" s="87"/>
      <c r="Y49" s="87"/>
      <c r="Z49" s="87"/>
      <c r="AA49" s="87"/>
      <c r="AB49" s="87"/>
      <c r="AC49" s="87"/>
      <c r="AD49" s="87"/>
      <c r="AE49" s="87"/>
    </row>
    <row r="50" spans="1:31" x14ac:dyDescent="0.25">
      <c r="A50" s="87"/>
      <c r="B50" s="87"/>
      <c r="C50" s="87"/>
      <c r="D50" s="87"/>
      <c r="E50" s="87"/>
      <c r="F50" s="87"/>
      <c r="G50" s="87"/>
      <c r="H50" s="87"/>
      <c r="I50" s="87"/>
      <c r="J50" s="87"/>
      <c r="K50" s="87"/>
      <c r="L50" s="87"/>
      <c r="M50" s="87"/>
      <c r="N50" s="87"/>
      <c r="O50" s="87"/>
      <c r="P50" s="87"/>
      <c r="Q50" s="87"/>
      <c r="R50" s="87"/>
      <c r="S50" s="87"/>
      <c r="T50" s="87"/>
      <c r="U50" s="87"/>
      <c r="V50" s="87"/>
      <c r="W50" s="87"/>
      <c r="X50" s="87"/>
      <c r="Y50" s="87"/>
      <c r="Z50" s="87"/>
      <c r="AA50" s="87"/>
      <c r="AB50" s="87"/>
      <c r="AC50" s="87"/>
      <c r="AD50" s="87"/>
      <c r="AE50" s="87"/>
    </row>
    <row r="51" spans="1:31" x14ac:dyDescent="0.25">
      <c r="A51" s="87"/>
      <c r="B51" s="87"/>
      <c r="C51" s="87"/>
      <c r="D51" s="87"/>
      <c r="E51" s="87"/>
      <c r="F51" s="87"/>
      <c r="G51" s="87"/>
      <c r="H51" s="87"/>
      <c r="I51" s="87"/>
      <c r="J51" s="87"/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  <c r="AA51" s="87"/>
      <c r="AB51" s="87"/>
      <c r="AC51" s="87"/>
      <c r="AD51" s="87"/>
      <c r="AE51" s="87"/>
    </row>
    <row r="52" spans="1:31" x14ac:dyDescent="0.25">
      <c r="A52" s="87"/>
      <c r="B52" s="87"/>
      <c r="C52" s="87"/>
      <c r="D52" s="87"/>
      <c r="E52" s="87"/>
      <c r="F52" s="87"/>
      <c r="G52" s="87"/>
      <c r="H52" s="87"/>
      <c r="I52" s="87"/>
      <c r="J52" s="87"/>
      <c r="K52" s="87"/>
      <c r="L52" s="87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7"/>
      <c r="Y52" s="87"/>
      <c r="Z52" s="87"/>
      <c r="AA52" s="87"/>
      <c r="AB52" s="87"/>
      <c r="AC52" s="87"/>
      <c r="AD52" s="87"/>
      <c r="AE52" s="87"/>
    </row>
    <row r="53" spans="1:31" x14ac:dyDescent="0.25">
      <c r="A53" s="87"/>
      <c r="B53" s="87"/>
      <c r="C53" s="87"/>
      <c r="D53" s="87"/>
      <c r="E53" s="87"/>
      <c r="F53" s="87"/>
      <c r="G53" s="87"/>
      <c r="H53" s="87"/>
      <c r="I53" s="87"/>
      <c r="J53" s="87"/>
      <c r="K53" s="87"/>
      <c r="L53" s="87"/>
      <c r="M53" s="87"/>
      <c r="N53" s="87"/>
      <c r="O53" s="87"/>
      <c r="P53" s="87"/>
      <c r="Q53" s="87"/>
      <c r="R53" s="87"/>
      <c r="S53" s="87"/>
      <c r="T53" s="87"/>
      <c r="U53" s="87"/>
      <c r="V53" s="87"/>
      <c r="W53" s="87"/>
      <c r="X53" s="87"/>
      <c r="Y53" s="87"/>
      <c r="Z53" s="87"/>
      <c r="AA53" s="87"/>
      <c r="AB53" s="87"/>
      <c r="AC53" s="87"/>
      <c r="AD53" s="87"/>
      <c r="AE53" s="87"/>
    </row>
    <row r="65" x14ac:dyDescent="0.25"/>
  </sheetData>
  <mergeCells count="1">
    <mergeCell ref="A1:P2"/>
  </mergeCells>
  <printOptions horizontalCentered="1" verticalCentered="1"/>
  <pageMargins left="0" right="0" top="0" bottom="0" header="0" footer="0"/>
  <pageSetup paperSize="9" scale="99" orientation="landscape" r:id="rId1"/>
  <drawing r:id="rId2"/>
  <legacyDrawing r:id="rId3"/>
  <controls>
    <mc:AlternateContent xmlns:mc="http://schemas.openxmlformats.org/markup-compatibility/2006">
      <mc:Choice Requires="x14">
        <control shapeId="3074" r:id="rId4" name="LabelResultado1">
          <controlPr defaultSize="0" autoLine="0" r:id="rId5">
            <anchor moveWithCells="1">
              <from>
                <xdr:col>1</xdr:col>
                <xdr:colOff>247650</xdr:colOff>
                <xdr:row>2</xdr:row>
                <xdr:rowOff>133350</xdr:rowOff>
              </from>
              <to>
                <xdr:col>3</xdr:col>
                <xdr:colOff>57150</xdr:colOff>
                <xdr:row>4</xdr:row>
                <xdr:rowOff>133350</xdr:rowOff>
              </to>
            </anchor>
          </controlPr>
        </control>
      </mc:Choice>
      <mc:Fallback>
        <control shapeId="3074" r:id="rId4" name="LabelResultado1"/>
      </mc:Fallback>
    </mc:AlternateContent>
    <mc:AlternateContent xmlns:mc="http://schemas.openxmlformats.org/markup-compatibility/2006">
      <mc:Choice Requires="x14">
        <control shapeId="3076" r:id="rId6" name="LabelResultado3">
          <controlPr defaultSize="0" autoLine="0" r:id="rId7">
            <anchor moveWithCells="1">
              <from>
                <xdr:col>8</xdr:col>
                <xdr:colOff>438150</xdr:colOff>
                <xdr:row>11</xdr:row>
                <xdr:rowOff>85725</xdr:rowOff>
              </from>
              <to>
                <xdr:col>10</xdr:col>
                <xdr:colOff>171450</xdr:colOff>
                <xdr:row>13</xdr:row>
                <xdr:rowOff>85725</xdr:rowOff>
              </to>
            </anchor>
          </controlPr>
        </control>
      </mc:Choice>
      <mc:Fallback>
        <control shapeId="3076" r:id="rId6" name="LabelResultado3"/>
      </mc:Fallback>
    </mc:AlternateContent>
    <mc:AlternateContent xmlns:mc="http://schemas.openxmlformats.org/markup-compatibility/2006">
      <mc:Choice Requires="x14">
        <control shapeId="3078" r:id="rId8" name="LabelResultado2">
          <controlPr defaultSize="0" autoLine="0" r:id="rId9">
            <anchor moveWithCells="1">
              <from>
                <xdr:col>6</xdr:col>
                <xdr:colOff>400050</xdr:colOff>
                <xdr:row>4</xdr:row>
                <xdr:rowOff>28575</xdr:rowOff>
              </from>
              <to>
                <xdr:col>8</xdr:col>
                <xdr:colOff>266700</xdr:colOff>
                <xdr:row>7</xdr:row>
                <xdr:rowOff>66675</xdr:rowOff>
              </to>
            </anchor>
          </controlPr>
        </control>
      </mc:Choice>
      <mc:Fallback>
        <control shapeId="3078" r:id="rId8" name="LabelResultado2"/>
      </mc:Fallback>
    </mc:AlternateContent>
    <mc:AlternateContent xmlns:mc="http://schemas.openxmlformats.org/markup-compatibility/2006">
      <mc:Choice Requires="x14">
        <control shapeId="3080" r:id="rId10" name="LabelResultado5">
          <controlPr defaultSize="0" autoLine="0" r:id="rId11">
            <anchor moveWithCells="1">
              <from>
                <xdr:col>7</xdr:col>
                <xdr:colOff>447675</xdr:colOff>
                <xdr:row>23</xdr:row>
                <xdr:rowOff>19050</xdr:rowOff>
              </from>
              <to>
                <xdr:col>9</xdr:col>
                <xdr:colOff>161925</xdr:colOff>
                <xdr:row>28</xdr:row>
                <xdr:rowOff>114300</xdr:rowOff>
              </to>
            </anchor>
          </controlPr>
        </control>
      </mc:Choice>
      <mc:Fallback>
        <control shapeId="3080" r:id="rId10" name="LabelResultado5"/>
      </mc:Fallback>
    </mc:AlternateContent>
    <mc:AlternateContent xmlns:mc="http://schemas.openxmlformats.org/markup-compatibility/2006">
      <mc:Choice Requires="x14">
        <control shapeId="3082" r:id="rId12" name="LabelResultado6">
          <controlPr defaultSize="0" autoLine="0" r:id="rId13">
            <anchor moveWithCells="1">
              <from>
                <xdr:col>5</xdr:col>
                <xdr:colOff>76200</xdr:colOff>
                <xdr:row>27</xdr:row>
                <xdr:rowOff>95250</xdr:rowOff>
              </from>
              <to>
                <xdr:col>6</xdr:col>
                <xdr:colOff>200025</xdr:colOff>
                <xdr:row>31</xdr:row>
                <xdr:rowOff>152400</xdr:rowOff>
              </to>
            </anchor>
          </controlPr>
        </control>
      </mc:Choice>
      <mc:Fallback>
        <control shapeId="3082" r:id="rId12" name="LabelResultado6"/>
      </mc:Fallback>
    </mc:AlternateContent>
    <mc:AlternateContent xmlns:mc="http://schemas.openxmlformats.org/markup-compatibility/2006">
      <mc:Choice Requires="x14">
        <control shapeId="3084" r:id="rId14" name="LabelResultado4">
          <controlPr defaultSize="0" autoLine="0" r:id="rId15">
            <anchor moveWithCells="1">
              <from>
                <xdr:col>8</xdr:col>
                <xdr:colOff>28575</xdr:colOff>
                <xdr:row>16</xdr:row>
                <xdr:rowOff>95250</xdr:rowOff>
              </from>
              <to>
                <xdr:col>9</xdr:col>
                <xdr:colOff>323850</xdr:colOff>
                <xdr:row>19</xdr:row>
                <xdr:rowOff>171450</xdr:rowOff>
              </to>
            </anchor>
          </controlPr>
        </control>
      </mc:Choice>
      <mc:Fallback>
        <control shapeId="3084" r:id="rId14" name="LabelResultado4"/>
      </mc:Fallback>
    </mc:AlternateContent>
    <mc:AlternateContent xmlns:mc="http://schemas.openxmlformats.org/markup-compatibility/2006">
      <mc:Choice Requires="x14">
        <control shapeId="3086" r:id="rId16" name="LabelResultado8">
          <controlPr defaultSize="0" autoLine="0" r:id="rId17">
            <anchor moveWithCells="1">
              <from>
                <xdr:col>0</xdr:col>
                <xdr:colOff>457200</xdr:colOff>
                <xdr:row>22</xdr:row>
                <xdr:rowOff>171450</xdr:rowOff>
              </from>
              <to>
                <xdr:col>2</xdr:col>
                <xdr:colOff>228600</xdr:colOff>
                <xdr:row>26</xdr:row>
                <xdr:rowOff>95250</xdr:rowOff>
              </to>
            </anchor>
          </controlPr>
        </control>
      </mc:Choice>
      <mc:Fallback>
        <control shapeId="3086" r:id="rId16" name="LabelResultado8"/>
      </mc:Fallback>
    </mc:AlternateContent>
    <mc:AlternateContent xmlns:mc="http://schemas.openxmlformats.org/markup-compatibility/2006">
      <mc:Choice Requires="x14">
        <control shapeId="3088" r:id="rId18" name="LabelResultado9">
          <controlPr defaultSize="0" autoLine="0" r:id="rId19">
            <anchor moveWithCells="1">
              <from>
                <xdr:col>0</xdr:col>
                <xdr:colOff>590550</xdr:colOff>
                <xdr:row>18</xdr:row>
                <xdr:rowOff>66675</xdr:rowOff>
              </from>
              <to>
                <xdr:col>2</xdr:col>
                <xdr:colOff>209550</xdr:colOff>
                <xdr:row>19</xdr:row>
                <xdr:rowOff>171450</xdr:rowOff>
              </to>
            </anchor>
          </controlPr>
        </control>
      </mc:Choice>
      <mc:Fallback>
        <control shapeId="3088" r:id="rId18" name="LabelResultado9"/>
      </mc:Fallback>
    </mc:AlternateContent>
    <mc:AlternateContent xmlns:mc="http://schemas.openxmlformats.org/markup-compatibility/2006">
      <mc:Choice Requires="x14">
        <control shapeId="3090" r:id="rId20" name="LabelResultado7">
          <controlPr defaultSize="0" autoLine="0" r:id="rId21">
            <anchor moveWithCells="1">
              <from>
                <xdr:col>2</xdr:col>
                <xdr:colOff>266700</xdr:colOff>
                <xdr:row>30</xdr:row>
                <xdr:rowOff>123825</xdr:rowOff>
              </from>
              <to>
                <xdr:col>3</xdr:col>
                <xdr:colOff>438150</xdr:colOff>
                <xdr:row>33</xdr:row>
                <xdr:rowOff>76200</xdr:rowOff>
              </to>
            </anchor>
          </controlPr>
        </control>
      </mc:Choice>
      <mc:Fallback>
        <control shapeId="3090" r:id="rId20" name="LabelResultado7"/>
      </mc:Fallback>
    </mc:AlternateContent>
    <mc:AlternateContent xmlns:mc="http://schemas.openxmlformats.org/markup-compatibility/2006">
      <mc:Choice Requires="x14">
        <control shapeId="3091" r:id="rId22" name="AtualizarArt1">
          <controlPr defaultSize="0" autoLine="0" r:id="rId23">
            <anchor moveWithCells="1">
              <from>
                <xdr:col>1</xdr:col>
                <xdr:colOff>247650</xdr:colOff>
                <xdr:row>4</xdr:row>
                <xdr:rowOff>152400</xdr:rowOff>
              </from>
              <to>
                <xdr:col>3</xdr:col>
                <xdr:colOff>57150</xdr:colOff>
                <xdr:row>6</xdr:row>
                <xdr:rowOff>95250</xdr:rowOff>
              </to>
            </anchor>
          </controlPr>
        </control>
      </mc:Choice>
      <mc:Fallback>
        <control shapeId="3091" r:id="rId22" name="AtualizarArt1"/>
      </mc:Fallback>
    </mc:AlternateContent>
    <mc:AlternateContent xmlns:mc="http://schemas.openxmlformats.org/markup-compatibility/2006">
      <mc:Choice Requires="x14">
        <control shapeId="3093" r:id="rId24" name="AtualizarArt2">
          <controlPr defaultSize="0" autoLine="0" r:id="rId25">
            <anchor moveWithCells="1">
              <from>
                <xdr:col>6</xdr:col>
                <xdr:colOff>419100</xdr:colOff>
                <xdr:row>7</xdr:row>
                <xdr:rowOff>95250</xdr:rowOff>
              </from>
              <to>
                <xdr:col>8</xdr:col>
                <xdr:colOff>276225</xdr:colOff>
                <xdr:row>9</xdr:row>
                <xdr:rowOff>104775</xdr:rowOff>
              </to>
            </anchor>
          </controlPr>
        </control>
      </mc:Choice>
      <mc:Fallback>
        <control shapeId="3093" r:id="rId24" name="AtualizarArt2"/>
      </mc:Fallback>
    </mc:AlternateContent>
    <mc:AlternateContent xmlns:mc="http://schemas.openxmlformats.org/markup-compatibility/2006">
      <mc:Choice Requires="x14">
        <control shapeId="3263" r:id="rId26" name="AtualizarArt3">
          <controlPr defaultSize="0" autoLine="0" r:id="rId27">
            <anchor moveWithCells="1">
              <from>
                <xdr:col>8</xdr:col>
                <xdr:colOff>438150</xdr:colOff>
                <xdr:row>13</xdr:row>
                <xdr:rowOff>95250</xdr:rowOff>
              </from>
              <to>
                <xdr:col>10</xdr:col>
                <xdr:colOff>161925</xdr:colOff>
                <xdr:row>15</xdr:row>
                <xdr:rowOff>95250</xdr:rowOff>
              </to>
            </anchor>
          </controlPr>
        </control>
      </mc:Choice>
      <mc:Fallback>
        <control shapeId="3263" r:id="rId26" name="AtualizarArt3"/>
      </mc:Fallback>
    </mc:AlternateContent>
    <mc:AlternateContent xmlns:mc="http://schemas.openxmlformats.org/markup-compatibility/2006">
      <mc:Choice Requires="x14">
        <control shapeId="3266" r:id="rId28" name="AtualizarArt4">
          <controlPr defaultSize="0" autoLine="0" r:id="rId29">
            <anchor moveWithCells="1">
              <from>
                <xdr:col>8</xdr:col>
                <xdr:colOff>9525</xdr:colOff>
                <xdr:row>20</xdr:row>
                <xdr:rowOff>9525</xdr:rowOff>
              </from>
              <to>
                <xdr:col>9</xdr:col>
                <xdr:colOff>323850</xdr:colOff>
                <xdr:row>22</xdr:row>
                <xdr:rowOff>95250</xdr:rowOff>
              </to>
            </anchor>
          </controlPr>
        </control>
      </mc:Choice>
      <mc:Fallback>
        <control shapeId="3266" r:id="rId28" name="AtualizarArt4"/>
      </mc:Fallback>
    </mc:AlternateContent>
    <mc:AlternateContent xmlns:mc="http://schemas.openxmlformats.org/markup-compatibility/2006">
      <mc:Choice Requires="x14">
        <control shapeId="3267" r:id="rId30" name="AtualizarArt5">
          <controlPr defaultSize="0" autoLine="0" r:id="rId31">
            <anchor moveWithCells="1">
              <from>
                <xdr:col>7</xdr:col>
                <xdr:colOff>447675</xdr:colOff>
                <xdr:row>28</xdr:row>
                <xdr:rowOff>123825</xdr:rowOff>
              </from>
              <to>
                <xdr:col>9</xdr:col>
                <xdr:colOff>161925</xdr:colOff>
                <xdr:row>32</xdr:row>
                <xdr:rowOff>161925</xdr:rowOff>
              </to>
            </anchor>
          </controlPr>
        </control>
      </mc:Choice>
      <mc:Fallback>
        <control shapeId="3267" r:id="rId30" name="AtualizarArt5"/>
      </mc:Fallback>
    </mc:AlternateContent>
    <mc:AlternateContent xmlns:mc="http://schemas.openxmlformats.org/markup-compatibility/2006">
      <mc:Choice Requires="x14">
        <control shapeId="3268" r:id="rId32" name="AtualizarArt6">
          <controlPr defaultSize="0" autoLine="0" autoPict="0" r:id="rId33">
            <anchor moveWithCells="1">
              <from>
                <xdr:col>5</xdr:col>
                <xdr:colOff>85725</xdr:colOff>
                <xdr:row>31</xdr:row>
                <xdr:rowOff>161925</xdr:rowOff>
              </from>
              <to>
                <xdr:col>6</xdr:col>
                <xdr:colOff>209550</xdr:colOff>
                <xdr:row>34</xdr:row>
                <xdr:rowOff>171450</xdr:rowOff>
              </to>
            </anchor>
          </controlPr>
        </control>
      </mc:Choice>
      <mc:Fallback>
        <control shapeId="3268" r:id="rId32" name="AtualizarArt6"/>
      </mc:Fallback>
    </mc:AlternateContent>
    <mc:AlternateContent xmlns:mc="http://schemas.openxmlformats.org/markup-compatibility/2006">
      <mc:Choice Requires="x14">
        <control shapeId="3269" r:id="rId34" name="AtualizarArt7">
          <controlPr defaultSize="0" autoLine="0" autoPict="0" r:id="rId35">
            <anchor moveWithCells="1">
              <from>
                <xdr:col>2</xdr:col>
                <xdr:colOff>266700</xdr:colOff>
                <xdr:row>33</xdr:row>
                <xdr:rowOff>85725</xdr:rowOff>
              </from>
              <to>
                <xdr:col>3</xdr:col>
                <xdr:colOff>428625</xdr:colOff>
                <xdr:row>36</xdr:row>
                <xdr:rowOff>66675</xdr:rowOff>
              </to>
            </anchor>
          </controlPr>
        </control>
      </mc:Choice>
      <mc:Fallback>
        <control shapeId="3269" r:id="rId34" name="AtualizarArt7"/>
      </mc:Fallback>
    </mc:AlternateContent>
    <mc:AlternateContent xmlns:mc="http://schemas.openxmlformats.org/markup-compatibility/2006">
      <mc:Choice Requires="x14">
        <control shapeId="3270" r:id="rId36" name="AtualizarArt8">
          <controlPr defaultSize="0" autoLine="0" autoPict="0" r:id="rId37">
            <anchor moveWithCells="1">
              <from>
                <xdr:col>0</xdr:col>
                <xdr:colOff>447675</xdr:colOff>
                <xdr:row>26</xdr:row>
                <xdr:rowOff>123825</xdr:rowOff>
              </from>
              <to>
                <xdr:col>2</xdr:col>
                <xdr:colOff>104775</xdr:colOff>
                <xdr:row>28</xdr:row>
                <xdr:rowOff>142875</xdr:rowOff>
              </to>
            </anchor>
          </controlPr>
        </control>
      </mc:Choice>
      <mc:Fallback>
        <control shapeId="3270" r:id="rId36" name="AtualizarArt8"/>
      </mc:Fallback>
    </mc:AlternateContent>
    <mc:AlternateContent xmlns:mc="http://schemas.openxmlformats.org/markup-compatibility/2006">
      <mc:Choice Requires="x14">
        <control shapeId="3271" r:id="rId38" name="AtualizarArt9">
          <controlPr defaultSize="0" autoLine="0" r:id="rId39">
            <anchor moveWithCells="1">
              <from>
                <xdr:col>0</xdr:col>
                <xdr:colOff>600075</xdr:colOff>
                <xdr:row>19</xdr:row>
                <xdr:rowOff>171450</xdr:rowOff>
              </from>
              <to>
                <xdr:col>2</xdr:col>
                <xdr:colOff>209550</xdr:colOff>
                <xdr:row>21</xdr:row>
                <xdr:rowOff>161925</xdr:rowOff>
              </to>
            </anchor>
          </controlPr>
        </control>
      </mc:Choice>
      <mc:Fallback>
        <control shapeId="3271" r:id="rId38" name="AtualizarArt9"/>
      </mc:Fallback>
    </mc:AlternateContent>
    <mc:AlternateContent xmlns:mc="http://schemas.openxmlformats.org/markup-compatibility/2006">
      <mc:Choice Requires="x14">
        <control shapeId="3073" r:id="rId40" name="Button 1">
          <controlPr defaultSize="0" autoFill="0" autoPict="0" macro="[0]!AtualizarLabelPorEstado1">
            <anchor moveWithCells="1" sizeWithCells="1">
              <from>
                <xdr:col>3</xdr:col>
                <xdr:colOff>190500</xdr:colOff>
                <xdr:row>3</xdr:row>
                <xdr:rowOff>95250</xdr:rowOff>
              </from>
              <to>
                <xdr:col>3</xdr:col>
                <xdr:colOff>361950</xdr:colOff>
                <xdr:row>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5" r:id="rId41" name="Button 3">
          <controlPr defaultSize="0" autoFill="0" autoPict="0" macro="[0]!AtualizarLabelPorEstado3">
            <anchor moveWithCells="1" sizeWithCells="1">
              <from>
                <xdr:col>7</xdr:col>
                <xdr:colOff>457200</xdr:colOff>
                <xdr:row>11</xdr:row>
                <xdr:rowOff>171450</xdr:rowOff>
              </from>
              <to>
                <xdr:col>8</xdr:col>
                <xdr:colOff>19050</xdr:colOff>
                <xdr:row>12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7" r:id="rId42" name="Button 5">
          <controlPr defaultSize="0" autoFill="0" autoPict="0" macro="[0]!AtualizarLabelPorEstado2">
            <anchor moveWithCells="1" sizeWithCells="1">
              <from>
                <xdr:col>8</xdr:col>
                <xdr:colOff>466725</xdr:colOff>
                <xdr:row>5</xdr:row>
                <xdr:rowOff>28575</xdr:rowOff>
              </from>
              <to>
                <xdr:col>9</xdr:col>
                <xdr:colOff>47625</xdr:colOff>
                <xdr:row>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9" r:id="rId43" name="Button 7">
          <controlPr defaultSize="0" autoFill="0" autoPict="0" macro="[0]!AtualizarLabelPorEstado5">
            <anchor moveWithCells="1" sizeWithCells="1">
              <from>
                <xdr:col>9</xdr:col>
                <xdr:colOff>352425</xdr:colOff>
                <xdr:row>24</xdr:row>
                <xdr:rowOff>133350</xdr:rowOff>
              </from>
              <to>
                <xdr:col>9</xdr:col>
                <xdr:colOff>514350</xdr:colOff>
                <xdr:row>25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1" r:id="rId44" name="Button 9">
          <controlPr defaultSize="0" autoFill="0" autoPict="0" macro="[0]!AtualizarLabelPorEstado6">
            <anchor moveWithCells="1" sizeWithCells="1">
              <from>
                <xdr:col>6</xdr:col>
                <xdr:colOff>552450</xdr:colOff>
                <xdr:row>28</xdr:row>
                <xdr:rowOff>142875</xdr:rowOff>
              </from>
              <to>
                <xdr:col>7</xdr:col>
                <xdr:colOff>95250</xdr:colOff>
                <xdr:row>29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3" r:id="rId45" name="Button 11">
          <controlPr defaultSize="0" autoFill="0" autoPict="0" macro="[0]!AtualizarLabelPorEstado4">
            <anchor moveWithCells="1" sizeWithCells="1">
              <from>
                <xdr:col>9</xdr:col>
                <xdr:colOff>457200</xdr:colOff>
                <xdr:row>17</xdr:row>
                <xdr:rowOff>57150</xdr:rowOff>
              </from>
              <to>
                <xdr:col>9</xdr:col>
                <xdr:colOff>600075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5" r:id="rId46" name="Button 13">
          <controlPr defaultSize="0" autoFill="0" autoPict="0" macro="[0]!AtualizarLabelPorEstado8">
            <anchor moveWithCells="1" sizeWithCells="1">
              <from>
                <xdr:col>0</xdr:col>
                <xdr:colOff>95250</xdr:colOff>
                <xdr:row>23</xdr:row>
                <xdr:rowOff>104775</xdr:rowOff>
              </from>
              <to>
                <xdr:col>0</xdr:col>
                <xdr:colOff>228600</xdr:colOff>
                <xdr:row>24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7" r:id="rId47" name="Button 15">
          <controlPr defaultSize="0" autoFill="0" autoPict="0" macro="[0]!AtualizarLabelPorEstado9">
            <anchor moveWithCells="1" sizeWithCells="1">
              <from>
                <xdr:col>0</xdr:col>
                <xdr:colOff>180975</xdr:colOff>
                <xdr:row>18</xdr:row>
                <xdr:rowOff>161925</xdr:rowOff>
              </from>
              <to>
                <xdr:col>0</xdr:col>
                <xdr:colOff>323850</xdr:colOff>
                <xdr:row>19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9" r:id="rId48" name="Button 17">
          <controlPr defaultSize="0" autoFill="0" autoPict="0" macro="[0]!AtualizarLabelPorEstado7">
            <anchor moveWithCells="1" sizeWithCells="1">
              <from>
                <xdr:col>1</xdr:col>
                <xdr:colOff>523875</xdr:colOff>
                <xdr:row>31</xdr:row>
                <xdr:rowOff>95250</xdr:rowOff>
              </from>
              <to>
                <xdr:col>2</xdr:col>
                <xdr:colOff>38100</xdr:colOff>
                <xdr:row>32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2" r:id="rId49" name="Button 20">
          <controlPr defaultSize="0" autoFill="0" autoPict="0" macro="[0]!AtualizarArt1">
            <anchor moveWithCells="1" sizeWithCells="1">
              <from>
                <xdr:col>3</xdr:col>
                <xdr:colOff>190500</xdr:colOff>
                <xdr:row>5</xdr:row>
                <xdr:rowOff>9525</xdr:rowOff>
              </from>
              <to>
                <xdr:col>3</xdr:col>
                <xdr:colOff>371475</xdr:colOff>
                <xdr:row>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4" r:id="rId50" name="Button 22">
          <controlPr defaultSize="0" autoFill="0" autoPict="0" macro="[0]!AtualizarArt2">
            <anchor moveWithCells="1" sizeWithCells="1">
              <from>
                <xdr:col>8</xdr:col>
                <xdr:colOff>476250</xdr:colOff>
                <xdr:row>7</xdr:row>
                <xdr:rowOff>171450</xdr:rowOff>
              </from>
              <to>
                <xdr:col>9</xdr:col>
                <xdr:colOff>57150</xdr:colOff>
                <xdr:row>8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72" r:id="rId51" name="Button 200">
          <controlPr defaultSize="0" autoFill="0" autoPict="0" macro="[0]!AtualizarArt7">
            <anchor moveWithCells="1" sizeWithCells="1">
              <from>
                <xdr:col>1</xdr:col>
                <xdr:colOff>514350</xdr:colOff>
                <xdr:row>33</xdr:row>
                <xdr:rowOff>133350</xdr:rowOff>
              </from>
              <to>
                <xdr:col>2</xdr:col>
                <xdr:colOff>28575</xdr:colOff>
                <xdr:row>34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73" r:id="rId52" name="Button 201">
          <controlPr defaultSize="0" autoFill="0" autoPict="0" macro="[0]!AtualizarArt6">
            <anchor moveWithCells="1" sizeWithCells="1">
              <from>
                <xdr:col>6</xdr:col>
                <xdr:colOff>561975</xdr:colOff>
                <xdr:row>32</xdr:row>
                <xdr:rowOff>9525</xdr:rowOff>
              </from>
              <to>
                <xdr:col>7</xdr:col>
                <xdr:colOff>104775</xdr:colOff>
                <xdr:row>32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75" r:id="rId53" name="Button 203">
          <controlPr defaultSize="0" autoFill="0" autoPict="0" macro="[0]!AtualizarArt4">
            <anchor moveWithCells="1" sizeWithCells="1">
              <from>
                <xdr:col>9</xdr:col>
                <xdr:colOff>447675</xdr:colOff>
                <xdr:row>20</xdr:row>
                <xdr:rowOff>95250</xdr:rowOff>
              </from>
              <to>
                <xdr:col>9</xdr:col>
                <xdr:colOff>581025</xdr:colOff>
                <xdr:row>21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76" r:id="rId54" name="Button 204">
          <controlPr defaultSize="0" autoFill="0" autoPict="0" macro="[0]!AtualizarArt3">
            <anchor moveWithCells="1" sizeWithCells="1">
              <from>
                <xdr:col>7</xdr:col>
                <xdr:colOff>466725</xdr:colOff>
                <xdr:row>14</xdr:row>
                <xdr:rowOff>0</xdr:rowOff>
              </from>
              <to>
                <xdr:col>8</xdr:col>
                <xdr:colOff>19050</xdr:colOff>
                <xdr:row>14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77" r:id="rId55" name="Button 205">
          <controlPr defaultSize="0" autoFill="0" autoPict="0" macro="[0]!AtualizarArt8">
            <anchor moveWithCells="1" sizeWithCells="1">
              <from>
                <xdr:col>0</xdr:col>
                <xdr:colOff>85725</xdr:colOff>
                <xdr:row>26</xdr:row>
                <xdr:rowOff>161925</xdr:rowOff>
              </from>
              <to>
                <xdr:col>0</xdr:col>
                <xdr:colOff>209550</xdr:colOff>
                <xdr:row>27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78" r:id="rId56" name="Button 206">
          <controlPr defaultSize="0" autoFill="0" autoPict="0" macro="[0]!AtualizarArt9">
            <anchor moveWithCells="1" sizeWithCells="1">
              <from>
                <xdr:col>0</xdr:col>
                <xdr:colOff>200025</xdr:colOff>
                <xdr:row>20</xdr:row>
                <xdr:rowOff>76200</xdr:rowOff>
              </from>
              <to>
                <xdr:col>0</xdr:col>
                <xdr:colOff>323850</xdr:colOff>
                <xdr:row>21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95" r:id="rId57" name="Button 223">
          <controlPr defaultSize="0" autoFill="0" autoPict="0" macro="[0]!AtualizarArt5">
            <anchor moveWithCells="1" sizeWithCells="1">
              <from>
                <xdr:col>9</xdr:col>
                <xdr:colOff>361950</xdr:colOff>
                <xdr:row>28</xdr:row>
                <xdr:rowOff>85725</xdr:rowOff>
              </from>
              <to>
                <xdr:col>9</xdr:col>
                <xdr:colOff>495300</xdr:colOff>
                <xdr:row>29</xdr:row>
                <xdr:rowOff>38100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50396-7D93-4E8E-AF2D-0B23530D2333}">
  <sheetPr codeName="Planilha3">
    <tabColor theme="3" tint="0.39997558519241921"/>
    <pageSetUpPr fitToPage="1"/>
  </sheetPr>
  <dimension ref="A1:AE81"/>
  <sheetViews>
    <sheetView showGridLines="0" tabSelected="1" view="pageBreakPreview" zoomScale="55" zoomScaleNormal="25" zoomScaleSheetLayoutView="55" workbookViewId="0">
      <selection activeCell="H36" sqref="H36"/>
    </sheetView>
  </sheetViews>
  <sheetFormatPr defaultRowHeight="15" x14ac:dyDescent="0.25"/>
  <cols>
    <col min="1" max="1" width="5" customWidth="1"/>
    <col min="2" max="2" width="38.5703125" style="86" bestFit="1" customWidth="1"/>
    <col min="3" max="3" width="40" customWidth="1"/>
    <col min="4" max="4" width="26.140625" customWidth="1"/>
    <col min="5" max="5" width="23" style="86" customWidth="1"/>
    <col min="6" max="6" width="14.140625" customWidth="1"/>
    <col min="7" max="7" width="21.5703125" customWidth="1"/>
    <col min="8" max="8" width="17.28515625" customWidth="1"/>
    <col min="9" max="9" width="22.7109375" customWidth="1"/>
    <col min="10" max="10" width="25.28515625" customWidth="1"/>
    <col min="11" max="11" width="37.28515625" customWidth="1"/>
    <col min="12" max="13" width="26.5703125" customWidth="1"/>
    <col min="14" max="14" width="40.7109375" style="105" customWidth="1"/>
    <col min="15" max="15" width="5.42578125" customWidth="1"/>
    <col min="17" max="17" width="6.85546875" customWidth="1"/>
    <col min="18" max="18" width="16.7109375" bestFit="1" customWidth="1"/>
    <col min="19" max="19" width="17.7109375" bestFit="1" customWidth="1"/>
    <col min="20" max="20" width="6.5703125" customWidth="1"/>
    <col min="21" max="31" width="4.7109375" customWidth="1"/>
  </cols>
  <sheetData>
    <row r="1" spans="1:18" ht="107.25" customHeight="1" x14ac:dyDescent="0.25">
      <c r="A1" s="1"/>
      <c r="B1" s="247"/>
      <c r="C1" s="427" t="s">
        <v>94</v>
      </c>
      <c r="D1" s="427"/>
      <c r="E1" s="427"/>
      <c r="F1" s="427"/>
      <c r="G1" s="427"/>
      <c r="H1" s="427"/>
      <c r="I1" s="427"/>
      <c r="J1" s="427"/>
      <c r="K1" s="427"/>
      <c r="L1" s="427"/>
      <c r="M1" s="427"/>
      <c r="N1" s="427"/>
    </row>
    <row r="2" spans="1:18" ht="39" customHeight="1" x14ac:dyDescent="0.25">
      <c r="A2" s="1"/>
      <c r="B2" s="50" t="s">
        <v>365</v>
      </c>
      <c r="C2" s="48" t="s">
        <v>95</v>
      </c>
      <c r="D2" s="49" t="s">
        <v>96</v>
      </c>
      <c r="E2" s="50" t="s">
        <v>97</v>
      </c>
      <c r="F2" s="48" t="s">
        <v>98</v>
      </c>
      <c r="G2" s="48" t="s">
        <v>99</v>
      </c>
      <c r="H2" s="48" t="s">
        <v>226</v>
      </c>
      <c r="I2" s="188" t="s">
        <v>100</v>
      </c>
      <c r="J2" s="48" t="s">
        <v>101</v>
      </c>
      <c r="K2" s="48" t="s">
        <v>102</v>
      </c>
      <c r="L2" s="51" t="s">
        <v>103</v>
      </c>
      <c r="M2" s="51" t="s">
        <v>385</v>
      </c>
      <c r="N2" s="51" t="s">
        <v>373</v>
      </c>
    </row>
    <row r="3" spans="1:18" ht="33" customHeight="1" x14ac:dyDescent="0.25">
      <c r="A3" s="1"/>
      <c r="B3" s="52" t="s">
        <v>402</v>
      </c>
      <c r="C3" s="52" t="s">
        <v>402</v>
      </c>
      <c r="D3" s="53" t="s">
        <v>104</v>
      </c>
      <c r="E3" s="54" t="s">
        <v>105</v>
      </c>
      <c r="F3" s="55" t="str">
        <f t="shared" ref="F3:F23" si="0">RIGHT(E3,2)</f>
        <v>RN</v>
      </c>
      <c r="G3" s="56" t="s">
        <v>106</v>
      </c>
      <c r="H3" s="181">
        <v>44980</v>
      </c>
      <c r="I3" s="55">
        <f>IF(Salários!C3="CLT", Salários!A3, IF(Salários!C3="PJ", Salários!D3, Salários!D3))</f>
        <v>9572.7075514200187</v>
      </c>
      <c r="J3" s="55"/>
      <c r="K3" s="57"/>
      <c r="L3" s="55"/>
      <c r="M3" s="55"/>
      <c r="N3" s="278"/>
    </row>
    <row r="4" spans="1:18" ht="33" customHeight="1" x14ac:dyDescent="0.25">
      <c r="A4" s="1"/>
      <c r="B4" s="52" t="s">
        <v>403</v>
      </c>
      <c r="C4" s="52" t="s">
        <v>403</v>
      </c>
      <c r="D4" s="53" t="s">
        <v>104</v>
      </c>
      <c r="E4" s="54" t="s">
        <v>108</v>
      </c>
      <c r="F4" s="55" t="str">
        <f t="shared" si="0"/>
        <v>CE</v>
      </c>
      <c r="G4" s="56" t="s">
        <v>106</v>
      </c>
      <c r="H4" s="181">
        <v>45300</v>
      </c>
      <c r="I4" s="55">
        <f>IF(Salários!C4="CLT", Salários!A4, IF(Salários!C4="PJ", Salários!D4, Salários!D4))</f>
        <v>10333.626741802002</v>
      </c>
      <c r="J4" s="55" t="s">
        <v>109</v>
      </c>
      <c r="K4" s="55" t="s">
        <v>367</v>
      </c>
      <c r="L4" s="55">
        <v>2883.89</v>
      </c>
      <c r="M4" s="55" t="s">
        <v>386</v>
      </c>
      <c r="N4" s="278"/>
    </row>
    <row r="5" spans="1:18" ht="33" customHeight="1" x14ac:dyDescent="0.25">
      <c r="A5" s="1"/>
      <c r="B5" s="52" t="s">
        <v>404</v>
      </c>
      <c r="C5" s="52" t="s">
        <v>404</v>
      </c>
      <c r="D5" s="53" t="s">
        <v>104</v>
      </c>
      <c r="E5" s="54" t="s">
        <v>111</v>
      </c>
      <c r="F5" s="55" t="str">
        <f t="shared" si="0"/>
        <v>MS</v>
      </c>
      <c r="G5" s="56" t="s">
        <v>106</v>
      </c>
      <c r="H5" s="181">
        <v>45736</v>
      </c>
      <c r="I5" s="55">
        <f>IF(Salários!C5="CLT", Salários!A5, IF(Salários!C5="PJ", Salários!D5, Salários!D5))</f>
        <v>12490.488575678122</v>
      </c>
      <c r="J5" s="55" t="s">
        <v>109</v>
      </c>
      <c r="K5" s="55" t="s">
        <v>367</v>
      </c>
      <c r="L5" s="55">
        <v>2883.89</v>
      </c>
      <c r="M5" s="55" t="s">
        <v>386</v>
      </c>
      <c r="N5" s="278"/>
      <c r="R5" s="58"/>
    </row>
    <row r="6" spans="1:18" ht="33" customHeight="1" x14ac:dyDescent="0.25">
      <c r="A6" s="1"/>
      <c r="B6" s="52" t="s">
        <v>405</v>
      </c>
      <c r="C6" s="52" t="s">
        <v>405</v>
      </c>
      <c r="D6" s="53" t="s">
        <v>104</v>
      </c>
      <c r="E6" s="54" t="s">
        <v>112</v>
      </c>
      <c r="F6" s="55" t="str">
        <f t="shared" si="0"/>
        <v>SP</v>
      </c>
      <c r="G6" s="56" t="s">
        <v>106</v>
      </c>
      <c r="H6" s="181">
        <v>45444</v>
      </c>
      <c r="I6" s="55">
        <f>IF(Salários!C6="CLT", Salários!A6, IF(Salários!C6="PJ", Salários!D6, Salários!D6))</f>
        <v>12490.488575678122</v>
      </c>
      <c r="J6" s="55" t="s">
        <v>109</v>
      </c>
      <c r="K6" s="55" t="s">
        <v>367</v>
      </c>
      <c r="L6" s="55">
        <v>2883.89</v>
      </c>
      <c r="M6" s="55" t="s">
        <v>387</v>
      </c>
      <c r="N6" s="278" t="s">
        <v>377</v>
      </c>
    </row>
    <row r="7" spans="1:18" ht="33" customHeight="1" x14ac:dyDescent="0.25">
      <c r="A7" s="1"/>
      <c r="B7" s="52" t="s">
        <v>406</v>
      </c>
      <c r="C7" s="52" t="s">
        <v>406</v>
      </c>
      <c r="D7" s="53" t="s">
        <v>376</v>
      </c>
      <c r="E7" s="54" t="s">
        <v>113</v>
      </c>
      <c r="F7" s="55" t="str">
        <f t="shared" si="0"/>
        <v>SP</v>
      </c>
      <c r="G7" s="56" t="s">
        <v>106</v>
      </c>
      <c r="H7" s="181">
        <v>45609</v>
      </c>
      <c r="I7" s="55">
        <f>IF(Salários!C7="CLT", Salários!A7, IF(Salários!C7="PJ", Salários!D7, Salários!D7))</f>
        <v>8187.5285026298807</v>
      </c>
      <c r="J7" s="55" t="s">
        <v>109</v>
      </c>
      <c r="K7" s="55" t="s">
        <v>367</v>
      </c>
      <c r="L7" s="55">
        <v>2883.89</v>
      </c>
      <c r="M7" s="361" t="s">
        <v>386</v>
      </c>
      <c r="N7" s="278" t="s">
        <v>399</v>
      </c>
    </row>
    <row r="8" spans="1:18" ht="33" customHeight="1" x14ac:dyDescent="0.25">
      <c r="A8" s="1"/>
      <c r="B8" s="52" t="s">
        <v>407</v>
      </c>
      <c r="C8" s="52" t="s">
        <v>407</v>
      </c>
      <c r="D8" s="53" t="s">
        <v>107</v>
      </c>
      <c r="E8" s="54" t="s">
        <v>114</v>
      </c>
      <c r="F8" s="55" t="str">
        <f t="shared" si="0"/>
        <v>MS</v>
      </c>
      <c r="G8" s="56" t="s">
        <v>106</v>
      </c>
      <c r="H8" s="181">
        <v>45631</v>
      </c>
      <c r="I8" s="55">
        <f>IF(Salários!C8="CLT", Salários!A8, IF(Salários!C8="PJ", Salários!D8, Salários!D8))</f>
        <v>9572.7075514200187</v>
      </c>
      <c r="J8" s="55"/>
      <c r="K8" s="57"/>
      <c r="L8" s="55"/>
      <c r="M8" s="55"/>
      <c r="N8" s="278"/>
    </row>
    <row r="9" spans="1:18" ht="33" customHeight="1" x14ac:dyDescent="0.25">
      <c r="A9" s="1"/>
      <c r="B9" s="52" t="s">
        <v>408</v>
      </c>
      <c r="C9" s="52" t="s">
        <v>408</v>
      </c>
      <c r="D9" s="53" t="s">
        <v>107</v>
      </c>
      <c r="E9" s="54" t="s">
        <v>115</v>
      </c>
      <c r="F9" s="55" t="str">
        <f t="shared" si="0"/>
        <v>RO</v>
      </c>
      <c r="G9" s="56" t="s">
        <v>106</v>
      </c>
      <c r="H9" s="181">
        <v>45660</v>
      </c>
      <c r="I9" s="55">
        <f>IF(Salários!C9="CLT", Salários!A9, IF(Salários!C9="PJ", Salários!D9, Salários!D9))</f>
        <v>9572.7075514200187</v>
      </c>
      <c r="J9" s="55"/>
      <c r="K9" s="55"/>
      <c r="L9" s="55"/>
      <c r="M9" s="55"/>
      <c r="N9" s="278"/>
    </row>
    <row r="10" spans="1:18" ht="33" customHeight="1" x14ac:dyDescent="0.25">
      <c r="A10" s="1"/>
      <c r="B10" s="52" t="s">
        <v>409</v>
      </c>
      <c r="C10" s="52" t="s">
        <v>409</v>
      </c>
      <c r="D10" s="53" t="s">
        <v>376</v>
      </c>
      <c r="E10" s="54" t="s">
        <v>115</v>
      </c>
      <c r="F10" s="55" t="str">
        <f t="shared" si="0"/>
        <v>RO</v>
      </c>
      <c r="G10" s="56" t="s">
        <v>106</v>
      </c>
      <c r="H10" s="181">
        <v>45660</v>
      </c>
      <c r="I10" s="55">
        <f>IF(Salários!C10="CLT", Salários!A10, IF(Salários!C10="PJ", Salários!D10, Salários!D10))</f>
        <v>9572.7075514200187</v>
      </c>
      <c r="J10" s="55" t="s">
        <v>116</v>
      </c>
      <c r="K10" s="55" t="s">
        <v>368</v>
      </c>
      <c r="L10" s="55">
        <v>2883.89</v>
      </c>
      <c r="M10" s="55" t="s">
        <v>386</v>
      </c>
      <c r="N10" s="278"/>
    </row>
    <row r="11" spans="1:18" ht="33" customHeight="1" x14ac:dyDescent="0.25">
      <c r="A11" s="1"/>
      <c r="B11" s="52" t="s">
        <v>410</v>
      </c>
      <c r="C11" s="52" t="s">
        <v>410</v>
      </c>
      <c r="D11" s="53" t="s">
        <v>104</v>
      </c>
      <c r="E11" s="54" t="s">
        <v>108</v>
      </c>
      <c r="F11" s="55" t="str">
        <f t="shared" si="0"/>
        <v>CE</v>
      </c>
      <c r="G11" s="56" t="s">
        <v>106</v>
      </c>
      <c r="H11" s="181">
        <v>45665</v>
      </c>
      <c r="I11" s="55">
        <f>IF(Salários!C11="CLT", Salários!A11, IF(Salários!C11="PJ", Salários!D11, Salários!D11))</f>
        <v>7132.0222440593952</v>
      </c>
      <c r="J11" s="55" t="s">
        <v>116</v>
      </c>
      <c r="K11" s="57" t="s">
        <v>368</v>
      </c>
      <c r="L11" s="55">
        <v>1915.76</v>
      </c>
      <c r="M11" s="55" t="s">
        <v>386</v>
      </c>
      <c r="N11" s="278" t="s">
        <v>381</v>
      </c>
    </row>
    <row r="12" spans="1:18" ht="33" customHeight="1" x14ac:dyDescent="0.25">
      <c r="A12" s="1"/>
      <c r="B12" s="52" t="s">
        <v>411</v>
      </c>
      <c r="C12" s="52" t="s">
        <v>411</v>
      </c>
      <c r="D12" s="53" t="s">
        <v>104</v>
      </c>
      <c r="E12" s="54" t="s">
        <v>378</v>
      </c>
      <c r="F12" s="55" t="str">
        <f t="shared" si="0"/>
        <v>BR</v>
      </c>
      <c r="G12" s="56" t="s">
        <v>106</v>
      </c>
      <c r="H12" s="181">
        <v>45665</v>
      </c>
      <c r="I12" s="55">
        <f>IF(Salários!C12="CLT", Salários!A12, IF(Salários!C12="PJ", Salários!D12, Salários!D12))</f>
        <v>7132.0222440593952</v>
      </c>
      <c r="J12" s="55" t="s">
        <v>116</v>
      </c>
      <c r="K12" s="57" t="s">
        <v>367</v>
      </c>
      <c r="L12" s="55">
        <v>2672.94</v>
      </c>
      <c r="M12" s="55" t="s">
        <v>386</v>
      </c>
      <c r="N12" s="278"/>
    </row>
    <row r="13" spans="1:18" ht="33" customHeight="1" x14ac:dyDescent="0.25">
      <c r="A13" s="1"/>
      <c r="B13" s="52" t="s">
        <v>412</v>
      </c>
      <c r="C13" s="52" t="s">
        <v>412</v>
      </c>
      <c r="D13" s="53" t="s">
        <v>376</v>
      </c>
      <c r="E13" s="54" t="s">
        <v>119</v>
      </c>
      <c r="F13" s="55" t="str">
        <f t="shared" si="0"/>
        <v>PR</v>
      </c>
      <c r="G13" s="56" t="s">
        <v>106</v>
      </c>
      <c r="H13" s="181">
        <v>45665</v>
      </c>
      <c r="I13" s="55">
        <f>IF(Salários!C13="CLT", Salários!A13, IF(Salários!C13="PJ", Salários!D13, Salários!D13))</f>
        <v>9572.7075514200187</v>
      </c>
      <c r="J13" s="55" t="s">
        <v>116</v>
      </c>
      <c r="K13" s="57" t="s">
        <v>368</v>
      </c>
      <c r="L13" s="55">
        <v>2644.32</v>
      </c>
      <c r="M13" s="55" t="s">
        <v>386</v>
      </c>
      <c r="N13" s="278"/>
    </row>
    <row r="14" spans="1:18" ht="33" customHeight="1" x14ac:dyDescent="0.25">
      <c r="A14" s="1"/>
      <c r="B14" s="52" t="s">
        <v>413</v>
      </c>
      <c r="C14" s="52" t="s">
        <v>413</v>
      </c>
      <c r="D14" s="53" t="s">
        <v>107</v>
      </c>
      <c r="E14" s="54" t="s">
        <v>120</v>
      </c>
      <c r="F14" s="55" t="str">
        <f t="shared" si="0"/>
        <v>GO</v>
      </c>
      <c r="G14" s="56" t="s">
        <v>106</v>
      </c>
      <c r="H14" s="181">
        <v>45666</v>
      </c>
      <c r="I14" s="55">
        <f>IF(Salários!C14="CLT", Salários!A14, IF(Salários!C14="PJ", Salários!D14, Salários!D14))</f>
        <v>9572.7075514200187</v>
      </c>
      <c r="J14" s="55" t="s">
        <v>116</v>
      </c>
      <c r="K14" s="57" t="s">
        <v>367</v>
      </c>
      <c r="L14" s="55">
        <v>2672.94</v>
      </c>
      <c r="M14" s="55" t="s">
        <v>386</v>
      </c>
      <c r="N14" s="278" t="s">
        <v>382</v>
      </c>
    </row>
    <row r="15" spans="1:18" ht="33" customHeight="1" x14ac:dyDescent="0.25">
      <c r="A15" s="1"/>
      <c r="B15" s="52" t="s">
        <v>414</v>
      </c>
      <c r="C15" s="52" t="s">
        <v>414</v>
      </c>
      <c r="D15" s="53" t="s">
        <v>107</v>
      </c>
      <c r="E15" s="54" t="s">
        <v>119</v>
      </c>
      <c r="F15" s="55" t="str">
        <f t="shared" si="0"/>
        <v>PR</v>
      </c>
      <c r="G15" s="56" t="s">
        <v>106</v>
      </c>
      <c r="H15" s="181">
        <v>45691</v>
      </c>
      <c r="I15" s="55">
        <f>IF(Salários!C15="CLT", Salários!A15, IF(Salários!C15="PJ", Salários!D15, Salários!D15))</f>
        <v>12490.488575678122</v>
      </c>
      <c r="J15" s="55"/>
      <c r="K15" s="57"/>
      <c r="L15" s="55"/>
      <c r="M15" s="55"/>
      <c r="N15" s="278"/>
    </row>
    <row r="16" spans="1:18" ht="33" customHeight="1" x14ac:dyDescent="0.25">
      <c r="A16" s="1"/>
      <c r="B16" s="52" t="s">
        <v>415</v>
      </c>
      <c r="C16" s="52" t="s">
        <v>415</v>
      </c>
      <c r="D16" s="53" t="s">
        <v>104</v>
      </c>
      <c r="E16" s="54" t="s">
        <v>384</v>
      </c>
      <c r="F16" s="55" t="str">
        <f t="shared" si="0"/>
        <v>SP</v>
      </c>
      <c r="G16" s="56" t="s">
        <v>106</v>
      </c>
      <c r="H16" s="181">
        <v>45736</v>
      </c>
      <c r="I16" s="55">
        <f>IF(Salários!C16="CLT", Salários!A16, IF(Salários!C16="PJ", Salários!D16, Salários!D16))</f>
        <v>9987.4886733192743</v>
      </c>
      <c r="J16" s="55" t="s">
        <v>116</v>
      </c>
      <c r="K16" s="57" t="s">
        <v>368</v>
      </c>
      <c r="L16" s="55">
        <v>2611.56</v>
      </c>
      <c r="M16" s="55" t="s">
        <v>386</v>
      </c>
      <c r="N16" s="278"/>
    </row>
    <row r="17" spans="1:14" ht="33" customHeight="1" x14ac:dyDescent="0.25">
      <c r="A17" s="1"/>
      <c r="B17" s="52" t="s">
        <v>416</v>
      </c>
      <c r="C17" s="52" t="s">
        <v>416</v>
      </c>
      <c r="D17" s="53" t="s">
        <v>107</v>
      </c>
      <c r="E17" s="54" t="s">
        <v>121</v>
      </c>
      <c r="F17" s="55" t="str">
        <f t="shared" si="0"/>
        <v>PR</v>
      </c>
      <c r="G17" s="56" t="s">
        <v>106</v>
      </c>
      <c r="H17" s="181">
        <v>45740</v>
      </c>
      <c r="I17" s="55">
        <f>IF(Salários!C17="CLT", Salários!A17, IF(Salários!C17="PJ", Salários!D17, Salários!D17))</f>
        <v>7436.3899202121884</v>
      </c>
      <c r="J17" s="55" t="s">
        <v>116</v>
      </c>
      <c r="K17" s="57" t="s">
        <v>368</v>
      </c>
      <c r="L17" s="55">
        <v>2644.32</v>
      </c>
      <c r="M17" s="55" t="s">
        <v>386</v>
      </c>
      <c r="N17" s="278"/>
    </row>
    <row r="18" spans="1:14" ht="33" customHeight="1" x14ac:dyDescent="0.25">
      <c r="A18" s="1"/>
      <c r="B18" s="52" t="s">
        <v>417</v>
      </c>
      <c r="C18" s="52" t="s">
        <v>417</v>
      </c>
      <c r="D18" s="53" t="s">
        <v>107</v>
      </c>
      <c r="E18" s="54" t="s">
        <v>447</v>
      </c>
      <c r="F18" s="55" t="str">
        <f t="shared" si="0"/>
        <v>SP</v>
      </c>
      <c r="G18" s="56" t="s">
        <v>106</v>
      </c>
      <c r="H18" s="181">
        <v>45747</v>
      </c>
      <c r="I18" s="55">
        <f>IF(Salários!C18="CLT", Salários!A18, IF(Salários!C18="PJ", Salários!D18, Salários!D18))</f>
        <v>8203.5401422991363</v>
      </c>
      <c r="J18" s="55"/>
      <c r="K18" s="57"/>
      <c r="L18" s="55"/>
      <c r="M18" s="55"/>
      <c r="N18" s="278"/>
    </row>
    <row r="19" spans="1:14" ht="33" customHeight="1" x14ac:dyDescent="0.25">
      <c r="A19" s="1"/>
      <c r="B19" s="52" t="s">
        <v>418</v>
      </c>
      <c r="C19" s="52" t="s">
        <v>418</v>
      </c>
      <c r="D19" s="53" t="s">
        <v>107</v>
      </c>
      <c r="E19" s="54" t="s">
        <v>108</v>
      </c>
      <c r="F19" s="55" t="str">
        <f t="shared" si="0"/>
        <v>CE</v>
      </c>
      <c r="G19" s="56" t="s">
        <v>106</v>
      </c>
      <c r="H19" s="181">
        <v>45813</v>
      </c>
      <c r="I19" s="55">
        <f>IF(Salários!C19="CLT", Salários!A19, IF(Salários!C19="PJ", Salários!D19, Salários!D19))</f>
        <v>9572.7075514200187</v>
      </c>
      <c r="J19" s="55"/>
      <c r="K19" s="57"/>
      <c r="L19" s="57"/>
      <c r="M19" s="57"/>
      <c r="N19" s="278"/>
    </row>
    <row r="20" spans="1:14" ht="33" customHeight="1" x14ac:dyDescent="0.25">
      <c r="A20" s="1"/>
      <c r="B20" s="52" t="s">
        <v>419</v>
      </c>
      <c r="C20" s="52" t="s">
        <v>419</v>
      </c>
      <c r="D20" s="53" t="s">
        <v>376</v>
      </c>
      <c r="E20" s="54" t="s">
        <v>122</v>
      </c>
      <c r="F20" s="55" t="str">
        <f t="shared" si="0"/>
        <v>RS</v>
      </c>
      <c r="G20" s="56" t="s">
        <v>106</v>
      </c>
      <c r="H20" s="181">
        <v>45849</v>
      </c>
      <c r="I20" s="55">
        <f>IF(Salários!C20="CLT", Salários!A20, IF(Salários!C20="PJ", Salários!D20, Salários!D20))</f>
        <v>12490.488575678122</v>
      </c>
      <c r="J20" s="55" t="s">
        <v>116</v>
      </c>
      <c r="K20" s="57" t="s">
        <v>367</v>
      </c>
      <c r="L20" s="55">
        <v>2672.94</v>
      </c>
      <c r="M20" s="55" t="s">
        <v>386</v>
      </c>
      <c r="N20" s="278"/>
    </row>
    <row r="21" spans="1:14" ht="33" customHeight="1" x14ac:dyDescent="0.25">
      <c r="A21" s="1"/>
      <c r="B21" s="52" t="s">
        <v>420</v>
      </c>
      <c r="C21" s="52" t="s">
        <v>420</v>
      </c>
      <c r="D21" s="53" t="s">
        <v>104</v>
      </c>
      <c r="E21" s="54" t="s">
        <v>117</v>
      </c>
      <c r="F21" s="55" t="str">
        <f t="shared" si="0"/>
        <v>PR</v>
      </c>
      <c r="G21" s="56" t="s">
        <v>106</v>
      </c>
      <c r="H21" s="181">
        <v>45856</v>
      </c>
      <c r="I21" s="55">
        <f>IF(Salários!C21="CLT", Salários!A21, IF(Salários!C21="PJ", Salários!D21, Salários!D21))</f>
        <v>8203.5401422991363</v>
      </c>
      <c r="J21" s="55" t="s">
        <v>116</v>
      </c>
      <c r="K21" s="57" t="s">
        <v>368</v>
      </c>
      <c r="L21" s="55">
        <v>2749.15</v>
      </c>
      <c r="M21" s="55" t="s">
        <v>386</v>
      </c>
      <c r="N21" s="278"/>
    </row>
    <row r="22" spans="1:14" ht="33" customHeight="1" x14ac:dyDescent="0.25">
      <c r="A22" s="1"/>
      <c r="B22" s="52" t="s">
        <v>421</v>
      </c>
      <c r="C22" s="52" t="s">
        <v>421</v>
      </c>
      <c r="D22" s="53" t="s">
        <v>104</v>
      </c>
      <c r="E22" s="54" t="s">
        <v>349</v>
      </c>
      <c r="F22" s="55" t="str">
        <f t="shared" si="0"/>
        <v>GO</v>
      </c>
      <c r="G22" s="56" t="s">
        <v>106</v>
      </c>
      <c r="H22" s="181">
        <v>45882</v>
      </c>
      <c r="I22" s="55">
        <f>IF(Salários!C22="CLT", Salários!A22, IF(Salários!C22="PJ", Salários!D22, Salários!D22))</f>
        <v>8618.7109710517343</v>
      </c>
      <c r="J22" s="55" t="s">
        <v>116</v>
      </c>
      <c r="K22" s="57" t="s">
        <v>368</v>
      </c>
      <c r="L22" s="55">
        <v>2594.2600000000002</v>
      </c>
      <c r="M22" s="55" t="s">
        <v>386</v>
      </c>
      <c r="N22" s="278"/>
    </row>
    <row r="23" spans="1:14" ht="33" customHeight="1" x14ac:dyDescent="0.25">
      <c r="A23" s="1"/>
      <c r="B23" s="52" t="s">
        <v>422</v>
      </c>
      <c r="C23" s="52" t="s">
        <v>422</v>
      </c>
      <c r="D23" s="53" t="s">
        <v>376</v>
      </c>
      <c r="E23" s="54" t="s">
        <v>354</v>
      </c>
      <c r="F23" s="55" t="str">
        <f t="shared" si="0"/>
        <v>SP</v>
      </c>
      <c r="G23" s="56" t="s">
        <v>106</v>
      </c>
      <c r="H23" s="181">
        <v>45889</v>
      </c>
      <c r="I23" s="55">
        <f>IF(Salários!C23="CLT", Salários!A23, IF(Salários!C23="PJ", Salários!D23, Salários!D23))</f>
        <v>7021.4139448862607</v>
      </c>
      <c r="J23" s="55" t="s">
        <v>116</v>
      </c>
      <c r="K23" s="57" t="s">
        <v>368</v>
      </c>
      <c r="L23" s="55">
        <v>2817.4</v>
      </c>
      <c r="M23" s="55" t="s">
        <v>386</v>
      </c>
      <c r="N23" s="278"/>
    </row>
    <row r="24" spans="1:14" ht="33" customHeight="1" x14ac:dyDescent="0.25">
      <c r="A24" s="1"/>
      <c r="B24" s="52" t="s">
        <v>423</v>
      </c>
      <c r="C24" s="52" t="s">
        <v>423</v>
      </c>
      <c r="D24" s="53" t="s">
        <v>107</v>
      </c>
      <c r="E24" s="54" t="s">
        <v>350</v>
      </c>
      <c r="F24" s="55" t="str">
        <f>RIGHT(E24,2)</f>
        <v>GO</v>
      </c>
      <c r="G24" s="56" t="s">
        <v>106</v>
      </c>
      <c r="H24" s="181">
        <v>45885</v>
      </c>
      <c r="I24" s="55">
        <f>IF(Salários!C24="CLT", Salários!A24, IF(Salários!C24="PJ", Salários!D24, Salários!D24))</f>
        <v>11287.525895456949</v>
      </c>
      <c r="J24" s="55" t="s">
        <v>116</v>
      </c>
      <c r="K24" s="57" t="s">
        <v>368</v>
      </c>
      <c r="L24" s="55">
        <v>3158.15</v>
      </c>
      <c r="M24" s="55" t="s">
        <v>386</v>
      </c>
      <c r="N24" s="278"/>
    </row>
    <row r="25" spans="1:14" ht="33" customHeight="1" x14ac:dyDescent="0.25">
      <c r="A25" s="1"/>
      <c r="B25" s="52" t="s">
        <v>424</v>
      </c>
      <c r="C25" s="52" t="s">
        <v>424</v>
      </c>
      <c r="D25" s="53" t="s">
        <v>107</v>
      </c>
      <c r="E25" s="54" t="s">
        <v>124</v>
      </c>
      <c r="F25" s="55" t="str">
        <f>RIGHT(E25,2)</f>
        <v>CE</v>
      </c>
      <c r="G25" s="56" t="s">
        <v>106</v>
      </c>
      <c r="H25" s="181">
        <v>45885</v>
      </c>
      <c r="I25" s="55">
        <f>IF(Salários!C25="CLT", Salários!A25, IF(Salários!C25="PJ", Salários!D25, Salários!D25))</f>
        <v>9987.4886733192743</v>
      </c>
      <c r="J25" s="55"/>
      <c r="K25" s="57"/>
      <c r="L25" s="55"/>
      <c r="M25" s="55"/>
      <c r="N25" s="278"/>
    </row>
    <row r="26" spans="1:14" ht="33" customHeight="1" x14ac:dyDescent="0.25">
      <c r="A26" s="1"/>
      <c r="B26" s="52" t="s">
        <v>425</v>
      </c>
      <c r="C26" s="52" t="s">
        <v>425</v>
      </c>
      <c r="D26" s="53" t="s">
        <v>104</v>
      </c>
      <c r="E26" s="54" t="s">
        <v>124</v>
      </c>
      <c r="F26" s="55" t="str">
        <f>RIGHT(E26,2)</f>
        <v>CE</v>
      </c>
      <c r="G26" s="56" t="s">
        <v>106</v>
      </c>
      <c r="H26" s="181">
        <v>45885</v>
      </c>
      <c r="I26" s="55">
        <f>IF(Salários!C26="CLT", Salários!A26, IF(Salários!C26="PJ", Salários!D26, Salários!D26))</f>
        <v>8009.9756187461498</v>
      </c>
      <c r="J26" s="55" t="s">
        <v>116</v>
      </c>
      <c r="K26" s="57" t="s">
        <v>367</v>
      </c>
      <c r="L26" s="55">
        <v>2672.94</v>
      </c>
      <c r="M26" s="55" t="s">
        <v>386</v>
      </c>
      <c r="N26" s="278"/>
    </row>
    <row r="27" spans="1:14" ht="33" customHeight="1" x14ac:dyDescent="0.25">
      <c r="A27" s="1"/>
      <c r="B27" s="52" t="s">
        <v>426</v>
      </c>
      <c r="C27" s="52" t="s">
        <v>426</v>
      </c>
      <c r="D27" s="53" t="s">
        <v>107</v>
      </c>
      <c r="E27" s="54" t="s">
        <v>351</v>
      </c>
      <c r="F27" s="55" t="str">
        <f>RIGHT(E27,2)</f>
        <v>RS</v>
      </c>
      <c r="G27" s="56" t="s">
        <v>106</v>
      </c>
      <c r="H27" s="181">
        <v>45938</v>
      </c>
      <c r="I27" s="55">
        <f>IF(Salários!C27="CLT", Salários!A27, IF(Salários!C27="PJ", Salários!D27, Salários!D27))</f>
        <v>8009.9756187461498</v>
      </c>
      <c r="J27" s="55"/>
      <c r="K27" s="57"/>
      <c r="L27" s="57"/>
      <c r="M27" s="57"/>
      <c r="N27" s="278"/>
    </row>
    <row r="28" spans="1:14" ht="33" customHeight="1" x14ac:dyDescent="0.25">
      <c r="A28" s="1"/>
      <c r="B28" s="52" t="s">
        <v>427</v>
      </c>
      <c r="C28" s="52" t="s">
        <v>427</v>
      </c>
      <c r="D28" s="53" t="s">
        <v>107</v>
      </c>
      <c r="E28" s="54" t="s">
        <v>349</v>
      </c>
      <c r="F28" s="55" t="str">
        <f t="shared" ref="F28:F31" si="1">RIGHT(E28,2)</f>
        <v>GO</v>
      </c>
      <c r="G28" s="56" t="s">
        <v>106</v>
      </c>
      <c r="H28" s="181">
        <v>45932</v>
      </c>
      <c r="I28" s="55">
        <f>IF(Salários!C28="CLT", Salários!A28, IF(Salários!C28="PJ", Salários!D28, Salários!D28))</f>
        <v>13415.663960693088</v>
      </c>
      <c r="J28" s="55"/>
      <c r="K28" s="57"/>
      <c r="L28" s="55"/>
      <c r="M28" s="55"/>
      <c r="N28" s="278"/>
    </row>
    <row r="29" spans="1:14" ht="33" customHeight="1" x14ac:dyDescent="0.25">
      <c r="A29" s="1"/>
      <c r="B29" s="52" t="s">
        <v>428</v>
      </c>
      <c r="C29" s="52" t="s">
        <v>428</v>
      </c>
      <c r="D29" s="53" t="s">
        <v>376</v>
      </c>
      <c r="E29" s="54" t="s">
        <v>352</v>
      </c>
      <c r="F29" s="55" t="str">
        <f t="shared" si="1"/>
        <v>MS</v>
      </c>
      <c r="G29" s="56" t="s">
        <v>106</v>
      </c>
      <c r="H29" s="181">
        <v>45932</v>
      </c>
      <c r="I29" s="55">
        <f>IF(Salários!C29="CLT", Salários!A29, IF(Salários!C29="PJ", Salários!D29, Salários!D29))</f>
        <v>23785.192008174447</v>
      </c>
      <c r="J29" s="55" t="s">
        <v>116</v>
      </c>
      <c r="K29" s="57" t="s">
        <v>368</v>
      </c>
      <c r="L29" s="55">
        <v>2811.98</v>
      </c>
      <c r="M29" s="55" t="s">
        <v>386</v>
      </c>
      <c r="N29" s="278"/>
    </row>
    <row r="30" spans="1:14" ht="33" customHeight="1" x14ac:dyDescent="0.25">
      <c r="A30" s="1"/>
      <c r="B30" s="52" t="s">
        <v>429</v>
      </c>
      <c r="C30" s="52" t="s">
        <v>429</v>
      </c>
      <c r="D30" s="53" t="s">
        <v>107</v>
      </c>
      <c r="E30" s="54" t="s">
        <v>353</v>
      </c>
      <c r="F30" s="55" t="str">
        <f t="shared" si="1"/>
        <v>PR</v>
      </c>
      <c r="G30" s="56" t="s">
        <v>106</v>
      </c>
      <c r="H30" s="181">
        <v>45937</v>
      </c>
      <c r="I30" s="55">
        <f>IF(Salários!C30="CLT", Salários!A30, IF(Salários!C30="PJ", Salários!D30, Salários!D30))</f>
        <v>12103.164675145481</v>
      </c>
      <c r="J30" s="55"/>
      <c r="K30" s="57"/>
      <c r="L30" s="55"/>
      <c r="M30" s="55"/>
      <c r="N30" s="278"/>
    </row>
    <row r="31" spans="1:14" ht="33" customHeight="1" x14ac:dyDescent="0.25">
      <c r="A31" s="1"/>
      <c r="B31" s="52" t="s">
        <v>430</v>
      </c>
      <c r="C31" s="52" t="s">
        <v>430</v>
      </c>
      <c r="D31" s="53" t="s">
        <v>107</v>
      </c>
      <c r="E31" s="54" t="s">
        <v>354</v>
      </c>
      <c r="F31" s="55" t="str">
        <f t="shared" si="1"/>
        <v>SP</v>
      </c>
      <c r="G31" s="56" t="s">
        <v>106</v>
      </c>
      <c r="H31" s="181">
        <v>45932</v>
      </c>
      <c r="I31" s="55">
        <f>IF(Salários!C31="CLT", Salários!A31, IF(Salários!C31="PJ", Salários!D31, Salários!D31))</f>
        <v>9572.7075514200187</v>
      </c>
      <c r="J31" s="55"/>
      <c r="K31" s="57"/>
      <c r="L31" s="55"/>
      <c r="M31" s="55"/>
      <c r="N31" s="278"/>
    </row>
    <row r="32" spans="1:14" ht="33" customHeight="1" x14ac:dyDescent="0.25">
      <c r="A32" s="1"/>
      <c r="B32" s="52" t="s">
        <v>431</v>
      </c>
      <c r="C32" s="52" t="s">
        <v>431</v>
      </c>
      <c r="D32" s="53" t="s">
        <v>376</v>
      </c>
      <c r="E32" s="54" t="s">
        <v>355</v>
      </c>
      <c r="F32" s="55" t="str">
        <f t="shared" ref="F32:F37" si="2">RIGHT(E32,2)</f>
        <v>AM</v>
      </c>
      <c r="G32" s="56" t="s">
        <v>106</v>
      </c>
      <c r="H32" s="181">
        <v>45930</v>
      </c>
      <c r="I32" s="55">
        <f>IF(Salários!C32="CLT", Salários!A32, IF(Salários!C32="PJ", Salários!D32, Salários!D32))</f>
        <v>6710.5229568884934</v>
      </c>
      <c r="J32" s="55" t="s">
        <v>116</v>
      </c>
      <c r="K32" s="57" t="s">
        <v>368</v>
      </c>
      <c r="L32" s="301">
        <v>6074.15</v>
      </c>
      <c r="M32" s="55" t="s">
        <v>386</v>
      </c>
      <c r="N32" s="278" t="s">
        <v>389</v>
      </c>
    </row>
    <row r="33" spans="1:14" ht="33" customHeight="1" x14ac:dyDescent="0.25">
      <c r="A33" s="1"/>
      <c r="B33" s="52" t="s">
        <v>432</v>
      </c>
      <c r="C33" s="52" t="s">
        <v>432</v>
      </c>
      <c r="D33" s="53" t="s">
        <v>107</v>
      </c>
      <c r="E33" s="54" t="s">
        <v>355</v>
      </c>
      <c r="F33" s="55" t="str">
        <f t="shared" si="2"/>
        <v>AM</v>
      </c>
      <c r="G33" s="56" t="s">
        <v>106</v>
      </c>
      <c r="H33" s="181">
        <v>45930</v>
      </c>
      <c r="I33" s="55">
        <f>IF(Salários!C33="CLT", Salários!A33, IF(Salários!C33="PJ", Salários!D33, Salários!D33))</f>
        <v>4663.9284286888269</v>
      </c>
      <c r="J33" s="55"/>
      <c r="K33" s="57"/>
      <c r="L33" s="55"/>
      <c r="M33" s="55"/>
      <c r="N33" s="278"/>
    </row>
    <row r="34" spans="1:14" ht="33" customHeight="1" x14ac:dyDescent="0.25">
      <c r="A34" s="1"/>
      <c r="B34" s="52" t="s">
        <v>433</v>
      </c>
      <c r="C34" s="52" t="s">
        <v>433</v>
      </c>
      <c r="D34" s="53" t="s">
        <v>376</v>
      </c>
      <c r="E34" s="54" t="s">
        <v>123</v>
      </c>
      <c r="F34" s="55" t="str">
        <f t="shared" si="2"/>
        <v>MS</v>
      </c>
      <c r="G34" s="56" t="s">
        <v>106</v>
      </c>
      <c r="H34" s="181">
        <v>45951</v>
      </c>
      <c r="I34" s="55">
        <f>IF(Salários!C34="CLT", Salários!A34, IF(Salários!C34="PJ", Salários!D34, Salários!D34))</f>
        <v>4224.9517413454505</v>
      </c>
      <c r="J34" s="55"/>
      <c r="K34" s="57"/>
      <c r="L34" s="55"/>
      <c r="M34" s="55"/>
      <c r="N34" s="278"/>
    </row>
    <row r="35" spans="1:14" ht="33" customHeight="1" x14ac:dyDescent="0.25">
      <c r="A35" s="1"/>
      <c r="B35" s="52" t="s">
        <v>434</v>
      </c>
      <c r="C35" s="52" t="s">
        <v>434</v>
      </c>
      <c r="D35" s="53" t="s">
        <v>376</v>
      </c>
      <c r="E35" s="54" t="s">
        <v>366</v>
      </c>
      <c r="F35" s="55" t="str">
        <f t="shared" si="2"/>
        <v>SP</v>
      </c>
      <c r="G35" s="56" t="s">
        <v>106</v>
      </c>
      <c r="H35" s="181">
        <v>45951</v>
      </c>
      <c r="I35" s="55">
        <f>IF(Salários!C35="CLT", Salários!A35, IF(Salários!C35="PJ", Salários!D35, Salários!D35))</f>
        <v>5445.2943950257622</v>
      </c>
      <c r="J35" s="55" t="s">
        <v>116</v>
      </c>
      <c r="K35" s="57" t="s">
        <v>368</v>
      </c>
      <c r="L35" s="55">
        <v>2644.32</v>
      </c>
      <c r="M35" s="55" t="s">
        <v>386</v>
      </c>
      <c r="N35" s="278" t="s">
        <v>388</v>
      </c>
    </row>
    <row r="36" spans="1:14" ht="33" customHeight="1" x14ac:dyDescent="0.25">
      <c r="A36" s="1"/>
      <c r="B36" s="52" t="s">
        <v>435</v>
      </c>
      <c r="C36" s="52" t="s">
        <v>435</v>
      </c>
      <c r="D36" s="59" t="s">
        <v>107</v>
      </c>
      <c r="E36" s="59" t="s">
        <v>117</v>
      </c>
      <c r="F36" s="55" t="str">
        <f t="shared" si="2"/>
        <v>PR</v>
      </c>
      <c r="G36" s="57" t="s">
        <v>106</v>
      </c>
      <c r="H36" s="182" t="s">
        <v>91</v>
      </c>
      <c r="I36" s="55">
        <f>IF(Salários!C36="CLT", Salários!A36, IF(Salários!C36="PJ", Salários!D36, Salários!D36))</f>
        <v>6826.4083615656091</v>
      </c>
      <c r="J36" s="55"/>
      <c r="K36" s="57"/>
      <c r="L36" s="55"/>
      <c r="M36" s="55"/>
      <c r="N36" s="278"/>
    </row>
    <row r="37" spans="1:14" ht="33" customHeight="1" x14ac:dyDescent="0.25">
      <c r="A37" s="1"/>
      <c r="B37" s="52" t="s">
        <v>436</v>
      </c>
      <c r="C37" s="52" t="s">
        <v>436</v>
      </c>
      <c r="D37" s="53" t="s">
        <v>104</v>
      </c>
      <c r="E37" s="54" t="s">
        <v>110</v>
      </c>
      <c r="F37" s="55" t="str">
        <f t="shared" si="2"/>
        <v>SP</v>
      </c>
      <c r="G37" s="56" t="s">
        <v>127</v>
      </c>
      <c r="H37" s="181">
        <v>45979</v>
      </c>
      <c r="I37" s="55">
        <f>IF(Salários!C37="CLT", Salários!A37, IF(Salários!C37="PJ", Salários!D37, Salários!D37))</f>
        <v>6500</v>
      </c>
      <c r="J37" s="55" t="s">
        <v>116</v>
      </c>
      <c r="K37" s="57" t="s">
        <v>368</v>
      </c>
      <c r="L37" s="55">
        <v>2938.55</v>
      </c>
      <c r="M37" s="55" t="s">
        <v>386</v>
      </c>
      <c r="N37" s="278" t="s">
        <v>383</v>
      </c>
    </row>
    <row r="38" spans="1:14" ht="33" hidden="1" customHeight="1" x14ac:dyDescent="0.25">
      <c r="A38" s="1"/>
      <c r="B38" s="52"/>
      <c r="C38" s="52"/>
      <c r="D38" s="53"/>
      <c r="E38" s="54"/>
      <c r="F38" s="55"/>
      <c r="G38" s="56"/>
      <c r="H38" s="181"/>
      <c r="I38" s="55">
        <f>IF(Salários!C38="CLT", Salários!A38, IF(Salários!C38="PJ", Salários!D38, Salários!D38))</f>
        <v>0</v>
      </c>
      <c r="J38" s="55"/>
      <c r="K38" s="57"/>
      <c r="L38" s="55"/>
      <c r="M38" s="55"/>
      <c r="N38" s="278"/>
    </row>
    <row r="39" spans="1:14" ht="33" hidden="1" customHeight="1" x14ac:dyDescent="0.25">
      <c r="A39" s="1"/>
      <c r="B39" s="52"/>
      <c r="C39" s="52"/>
      <c r="D39" s="53"/>
      <c r="E39" s="54"/>
      <c r="F39" s="55"/>
      <c r="G39" s="56"/>
      <c r="H39" s="181"/>
      <c r="I39" s="55">
        <f>IF(Salários!C39="CLT", Salários!A39, IF(Salários!C39="PJ", Salários!D39, Salários!D39))</f>
        <v>0</v>
      </c>
      <c r="J39" s="55"/>
      <c r="K39" s="57"/>
      <c r="L39" s="55"/>
      <c r="M39" s="55"/>
      <c r="N39" s="278"/>
    </row>
    <row r="40" spans="1:14" ht="27" hidden="1" customHeight="1" x14ac:dyDescent="0.25">
      <c r="A40" s="1"/>
      <c r="B40" s="52"/>
      <c r="C40" s="52"/>
      <c r="D40" s="52"/>
      <c r="E40" s="52"/>
      <c r="F40" s="168"/>
      <c r="G40" s="168"/>
      <c r="H40" s="183"/>
      <c r="I40" s="55">
        <f>IF(Salários!C40="CLT", Salários!A40, IF(Salários!C40="PJ", Salários!D40, Salários!D40))</f>
        <v>0</v>
      </c>
      <c r="J40" s="52"/>
      <c r="K40" s="52"/>
      <c r="L40" s="52"/>
      <c r="M40" s="55"/>
      <c r="N40" s="278"/>
    </row>
    <row r="41" spans="1:14" ht="33" hidden="1" customHeight="1" x14ac:dyDescent="0.25">
      <c r="A41" s="1"/>
      <c r="B41" s="52"/>
      <c r="C41" s="59"/>
      <c r="D41" s="59"/>
      <c r="E41" s="59"/>
      <c r="F41" s="168"/>
      <c r="G41" s="57"/>
      <c r="H41" s="182"/>
      <c r="I41" s="55">
        <f>IF(Salários!C41="CLT", Salários!A41, IF(Salários!C41="PJ", Salários!D41, Salários!D41))</f>
        <v>0</v>
      </c>
      <c r="J41" s="55"/>
      <c r="K41" s="57"/>
      <c r="L41" s="55"/>
      <c r="M41" s="55"/>
      <c r="N41" s="278"/>
    </row>
    <row r="42" spans="1:14" ht="33" hidden="1" customHeight="1" x14ac:dyDescent="0.25">
      <c r="A42" s="1"/>
      <c r="B42" s="52"/>
      <c r="C42" s="53"/>
      <c r="D42" s="53"/>
      <c r="E42" s="54"/>
      <c r="F42" s="168"/>
      <c r="G42" s="56"/>
      <c r="H42" s="181"/>
      <c r="I42" s="55">
        <f>IF(Salários!C42="CLT", Salários!A42, IF(Salários!C42="PJ", Salários!D42, Salários!D42))</f>
        <v>0</v>
      </c>
      <c r="J42" s="55"/>
      <c r="K42" s="57"/>
      <c r="L42" s="55"/>
      <c r="M42" s="55"/>
      <c r="N42" s="278"/>
    </row>
    <row r="43" spans="1:14" ht="33" hidden="1" customHeight="1" x14ac:dyDescent="0.25">
      <c r="A43" s="1"/>
      <c r="B43" s="52"/>
      <c r="C43" s="53"/>
      <c r="D43" s="53"/>
      <c r="E43" s="54"/>
      <c r="F43" s="168"/>
      <c r="G43" s="56"/>
      <c r="H43" s="181"/>
      <c r="I43" s="55">
        <f>IF(Salários!C43="CLT", Salários!A43, IF(Salários!C43="PJ", Salários!D43, Salários!D43))</f>
        <v>0</v>
      </c>
      <c r="J43" s="55"/>
      <c r="K43" s="57"/>
      <c r="L43" s="55"/>
      <c r="M43" s="55"/>
      <c r="N43" s="278"/>
    </row>
    <row r="44" spans="1:14" ht="33" hidden="1" customHeight="1" x14ac:dyDescent="0.25">
      <c r="A44" s="1"/>
      <c r="B44" s="52"/>
      <c r="C44" s="53"/>
      <c r="D44" s="53"/>
      <c r="E44" s="54"/>
      <c r="F44" s="168"/>
      <c r="G44" s="56"/>
      <c r="H44" s="181"/>
      <c r="I44" s="55">
        <f>IF(Salários!C44="CLT", Salários!A44, IF(Salários!C44="PJ", Salários!D44, Salários!D44))</f>
        <v>0</v>
      </c>
      <c r="J44" s="55"/>
      <c r="K44" s="57"/>
      <c r="L44" s="55"/>
      <c r="M44" s="55"/>
      <c r="N44" s="278"/>
    </row>
    <row r="45" spans="1:14" ht="33" hidden="1" customHeight="1" x14ac:dyDescent="0.25">
      <c r="A45" s="1"/>
      <c r="B45" s="52"/>
      <c r="C45" s="53"/>
      <c r="D45" s="53"/>
      <c r="E45" s="53"/>
      <c r="F45" s="168"/>
      <c r="G45" s="56"/>
      <c r="H45" s="181"/>
      <c r="I45" s="55">
        <f>IF(Salários!C45="CLT", Salários!A45, IF(Salários!C45="PJ", Salários!D45, Salários!D45))</f>
        <v>0</v>
      </c>
      <c r="J45" s="55"/>
      <c r="K45" s="57"/>
      <c r="L45" s="55"/>
      <c r="M45" s="55"/>
      <c r="N45" s="278"/>
    </row>
    <row r="46" spans="1:14" ht="33" hidden="1" customHeight="1" x14ac:dyDescent="0.25">
      <c r="A46" s="1"/>
      <c r="B46" s="52"/>
      <c r="C46" s="53"/>
      <c r="D46" s="53"/>
      <c r="E46" s="53"/>
      <c r="F46" s="168"/>
      <c r="G46" s="56"/>
      <c r="H46" s="181"/>
      <c r="I46" s="55">
        <f>IF(Salários!C46="CLT", Salários!A46, IF(Salários!C46="PJ", Salários!D46, Salários!D46))</f>
        <v>0</v>
      </c>
      <c r="J46" s="55"/>
      <c r="K46" s="57"/>
      <c r="L46" s="55"/>
      <c r="M46" s="55"/>
      <c r="N46" s="278"/>
    </row>
    <row r="47" spans="1:14" ht="33" hidden="1" customHeight="1" x14ac:dyDescent="0.25">
      <c r="A47" s="1"/>
      <c r="B47" s="247"/>
      <c r="C47" s="53"/>
      <c r="D47" s="53"/>
      <c r="E47" s="54"/>
      <c r="F47" s="168" t="str">
        <f t="shared" ref="F47:F62" si="3">RIGHT(E47,2)</f>
        <v/>
      </c>
      <c r="G47" s="56"/>
      <c r="H47" s="181"/>
      <c r="I47" s="55">
        <f>IF(Salários!C47="CLT", Salários!A47, IF(Salários!C47="PJ", Salários!D47, Salários!D47))</f>
        <v>0</v>
      </c>
      <c r="J47" s="55"/>
      <c r="K47" s="57"/>
      <c r="L47" s="55"/>
      <c r="M47" s="55"/>
      <c r="N47" s="279"/>
    </row>
    <row r="48" spans="1:14" ht="33" hidden="1" customHeight="1" x14ac:dyDescent="0.25">
      <c r="A48" s="1"/>
      <c r="B48" s="247"/>
      <c r="C48" s="53"/>
      <c r="D48" s="53"/>
      <c r="E48" s="54"/>
      <c r="F48" s="168" t="str">
        <f t="shared" si="3"/>
        <v/>
      </c>
      <c r="G48" s="56"/>
      <c r="H48" s="181"/>
      <c r="I48" s="55">
        <f>IF(Salários!C48="CLT", Salários!A48, IF(Salários!C48="PJ", Salários!D48, Salários!D48))</f>
        <v>0</v>
      </c>
      <c r="J48" s="55"/>
      <c r="K48" s="57"/>
      <c r="L48" s="55"/>
      <c r="M48" s="55"/>
      <c r="N48" s="279"/>
    </row>
    <row r="49" spans="1:20" ht="33" hidden="1" customHeight="1" x14ac:dyDescent="0.25">
      <c r="A49" s="1"/>
      <c r="B49" s="247"/>
      <c r="C49" s="53"/>
      <c r="D49" s="53"/>
      <c r="E49" s="54"/>
      <c r="F49" s="168" t="str">
        <f t="shared" si="3"/>
        <v/>
      </c>
      <c r="G49" s="56"/>
      <c r="H49" s="181"/>
      <c r="I49" s="55">
        <f>IF(Salários!C49="CLT", Salários!A49, IF(Salários!C49="PJ", Salários!D49, Salários!D49))</f>
        <v>0</v>
      </c>
      <c r="J49" s="55"/>
      <c r="K49" s="57"/>
      <c r="L49" s="55"/>
      <c r="M49" s="55"/>
      <c r="N49" s="279"/>
    </row>
    <row r="50" spans="1:20" ht="33" hidden="1" customHeight="1" x14ac:dyDescent="0.25">
      <c r="A50" s="1"/>
      <c r="B50" s="247"/>
      <c r="C50" s="53"/>
      <c r="D50" s="53"/>
      <c r="E50" s="54"/>
      <c r="F50" s="168" t="str">
        <f t="shared" si="3"/>
        <v/>
      </c>
      <c r="G50" s="56"/>
      <c r="H50" s="181"/>
      <c r="I50" s="55">
        <f>IF(Salários!C50="CLT", Salários!A50, IF(Salários!C50="PJ", Salários!D50, Salários!D50))</f>
        <v>0</v>
      </c>
      <c r="J50" s="55"/>
      <c r="K50" s="57"/>
      <c r="L50" s="55"/>
      <c r="M50" s="55"/>
      <c r="N50" s="279"/>
    </row>
    <row r="51" spans="1:20" ht="33" hidden="1" customHeight="1" x14ac:dyDescent="0.25">
      <c r="A51" s="1"/>
      <c r="B51" s="247"/>
      <c r="C51" s="53"/>
      <c r="D51" s="53"/>
      <c r="E51" s="54"/>
      <c r="F51" s="168" t="str">
        <f t="shared" si="3"/>
        <v/>
      </c>
      <c r="G51" s="56"/>
      <c r="H51" s="181"/>
      <c r="I51" s="55">
        <f>IF(Salários!C51="CLT", Salários!A51, IF(Salários!C51="PJ", Salários!D51, Salários!D51))</f>
        <v>0</v>
      </c>
      <c r="J51" s="55"/>
      <c r="K51" s="57"/>
      <c r="L51" s="55"/>
      <c r="M51" s="55"/>
      <c r="N51" s="279"/>
    </row>
    <row r="52" spans="1:20" ht="33" hidden="1" customHeight="1" x14ac:dyDescent="0.25">
      <c r="A52" s="1"/>
      <c r="B52" s="247"/>
      <c r="C52" s="53"/>
      <c r="D52" s="53"/>
      <c r="E52" s="54"/>
      <c r="F52" s="168" t="str">
        <f t="shared" si="3"/>
        <v/>
      </c>
      <c r="G52" s="56"/>
      <c r="H52" s="181"/>
      <c r="I52" s="55">
        <f>IF(Salários!C52="CLT", Salários!A52, IF(Salários!C52="PJ", Salários!D52, Salários!D52))</f>
        <v>0</v>
      </c>
      <c r="J52" s="55"/>
      <c r="K52" s="57"/>
      <c r="L52" s="55"/>
      <c r="M52" s="55"/>
      <c r="N52" s="279"/>
    </row>
    <row r="53" spans="1:20" ht="33" hidden="1" customHeight="1" x14ac:dyDescent="0.25">
      <c r="A53" s="1"/>
      <c r="B53" s="247"/>
      <c r="C53" s="57"/>
      <c r="D53" s="57"/>
      <c r="E53" s="59"/>
      <c r="F53" s="168" t="str">
        <f t="shared" si="3"/>
        <v/>
      </c>
      <c r="G53" s="57"/>
      <c r="H53" s="182"/>
      <c r="I53" s="55">
        <f>IF(Salários!C53="CLT", Salários!A53, IF(Salários!C53="PJ", Salários!D53, Salários!D53))</f>
        <v>0</v>
      </c>
      <c r="J53" s="55"/>
      <c r="K53" s="57"/>
      <c r="L53" s="55"/>
      <c r="M53" s="55"/>
      <c r="N53" s="279"/>
    </row>
    <row r="54" spans="1:20" ht="33" customHeight="1" x14ac:dyDescent="0.25">
      <c r="A54" s="1"/>
      <c r="B54" s="312" t="s">
        <v>437</v>
      </c>
      <c r="C54" s="60" t="s">
        <v>437</v>
      </c>
      <c r="D54" s="60" t="s">
        <v>106</v>
      </c>
      <c r="E54" s="61" t="s">
        <v>379</v>
      </c>
      <c r="F54" s="190" t="str">
        <f t="shared" si="3"/>
        <v>RN</v>
      </c>
      <c r="G54" s="62" t="s">
        <v>106</v>
      </c>
      <c r="H54" s="184">
        <v>45210</v>
      </c>
      <c r="I54" s="64">
        <f>IF(Salários!C54="CLT", Salários!A54, IF(Salários!C54="PJ", Salários!D54, Salários!D54))</f>
        <v>7600.3212649288735</v>
      </c>
      <c r="J54" s="64"/>
      <c r="K54" s="62"/>
      <c r="L54" s="63"/>
      <c r="M54" s="63"/>
      <c r="N54" s="280"/>
      <c r="O54" s="65"/>
    </row>
    <row r="55" spans="1:20" ht="27" customHeight="1" x14ac:dyDescent="0.25">
      <c r="A55" s="1"/>
      <c r="B55" s="312" t="s">
        <v>438</v>
      </c>
      <c r="C55" s="283" t="s">
        <v>438</v>
      </c>
      <c r="D55" s="66" t="s">
        <v>127</v>
      </c>
      <c r="E55" s="189" t="s">
        <v>379</v>
      </c>
      <c r="F55" s="191" t="str">
        <f t="shared" si="3"/>
        <v>RN</v>
      </c>
      <c r="G55" s="68" t="s">
        <v>127</v>
      </c>
      <c r="H55" s="185">
        <v>45223</v>
      </c>
      <c r="I55" s="69">
        <f>IF(Salários!C55="CLT", Salários!A55, IF(Salários!C55="PJ", Salários!D55, Salários!D55))</f>
        <v>13718.9</v>
      </c>
      <c r="J55" s="69"/>
      <c r="K55" s="68"/>
      <c r="L55" s="67"/>
      <c r="M55" s="67"/>
      <c r="N55" s="281"/>
      <c r="O55" s="65"/>
    </row>
    <row r="56" spans="1:20" ht="27" customHeight="1" x14ac:dyDescent="0.25">
      <c r="A56" s="1"/>
      <c r="B56" s="312" t="s">
        <v>439</v>
      </c>
      <c r="C56" s="283" t="s">
        <v>439</v>
      </c>
      <c r="D56" s="66" t="s">
        <v>127</v>
      </c>
      <c r="E56" s="189" t="s">
        <v>379</v>
      </c>
      <c r="F56" s="191" t="str">
        <f t="shared" si="3"/>
        <v>RN</v>
      </c>
      <c r="G56" s="68" t="s">
        <v>127</v>
      </c>
      <c r="H56" s="185">
        <v>45461</v>
      </c>
      <c r="I56" s="69">
        <f>IF(Salários!C56="CLT", Salários!A56, IF(Salários!C56="PJ", Salários!D56, Salários!D56))</f>
        <v>1420</v>
      </c>
      <c r="J56" s="69"/>
      <c r="K56" s="68"/>
      <c r="L56" s="67"/>
      <c r="M56" s="67"/>
      <c r="N56" s="281"/>
      <c r="T56" s="65"/>
    </row>
    <row r="57" spans="1:20" ht="33" customHeight="1" x14ac:dyDescent="0.25">
      <c r="A57" s="1"/>
      <c r="B57" s="312" t="s">
        <v>440</v>
      </c>
      <c r="C57" s="283" t="s">
        <v>440</v>
      </c>
      <c r="D57" s="66" t="s">
        <v>127</v>
      </c>
      <c r="E57" s="189" t="s">
        <v>379</v>
      </c>
      <c r="F57" s="191" t="str">
        <f t="shared" si="3"/>
        <v>RN</v>
      </c>
      <c r="G57" s="68" t="s">
        <v>127</v>
      </c>
      <c r="H57" s="185">
        <v>45901</v>
      </c>
      <c r="I57" s="69">
        <f>IF(Salários!C57="CLT", Salários!A57, IF(Salários!C57="PJ", Salários!D57, Salários!D57))</f>
        <v>6500</v>
      </c>
      <c r="J57" s="69"/>
      <c r="K57" s="68"/>
      <c r="L57" s="67"/>
      <c r="M57" s="67"/>
      <c r="N57" s="281"/>
      <c r="R57" s="70"/>
      <c r="S57" s="71"/>
    </row>
    <row r="58" spans="1:20" ht="33" customHeight="1" x14ac:dyDescent="0.25">
      <c r="A58" s="1"/>
      <c r="B58" s="312" t="s">
        <v>441</v>
      </c>
      <c r="C58" s="283" t="s">
        <v>441</v>
      </c>
      <c r="D58" s="72" t="s">
        <v>106</v>
      </c>
      <c r="E58" s="189" t="s">
        <v>379</v>
      </c>
      <c r="F58" s="191" t="str">
        <f t="shared" si="3"/>
        <v>RN</v>
      </c>
      <c r="G58" s="68" t="s">
        <v>106</v>
      </c>
      <c r="H58" s="185">
        <v>45691</v>
      </c>
      <c r="I58" s="69">
        <f>IF(Salários!C58="CLT", Salários!A58, IF(Salários!C58="PJ", Salários!D58, Salários!D58))</f>
        <v>6564.8624306570719</v>
      </c>
      <c r="J58" s="69"/>
      <c r="K58" s="68"/>
      <c r="L58" s="67"/>
      <c r="M58" s="67"/>
      <c r="N58" s="281"/>
      <c r="R58" s="70"/>
      <c r="S58" s="71"/>
    </row>
    <row r="59" spans="1:20" ht="33" customHeight="1" x14ac:dyDescent="0.25">
      <c r="A59" s="1"/>
      <c r="B59" s="312" t="s">
        <v>442</v>
      </c>
      <c r="C59" s="283" t="s">
        <v>442</v>
      </c>
      <c r="D59" s="72" t="s">
        <v>106</v>
      </c>
      <c r="E59" s="189" t="s">
        <v>379</v>
      </c>
      <c r="F59" s="191" t="str">
        <f t="shared" si="3"/>
        <v>RN</v>
      </c>
      <c r="G59" s="68" t="s">
        <v>106</v>
      </c>
      <c r="H59" s="185">
        <v>45736</v>
      </c>
      <c r="I59" s="69">
        <f>IF(Salários!C59="CLT", Salários!A59, IF(Salários!C59="PJ", Salários!D59, Salários!D59))</f>
        <v>6893.579520902088</v>
      </c>
      <c r="J59" s="69"/>
      <c r="K59" s="68"/>
      <c r="L59" s="67"/>
      <c r="M59" s="67"/>
      <c r="N59" s="281"/>
      <c r="R59" s="70"/>
      <c r="S59" s="71"/>
    </row>
    <row r="60" spans="1:20" ht="27" customHeight="1" x14ac:dyDescent="0.25">
      <c r="A60" s="1"/>
      <c r="B60" s="312" t="s">
        <v>443</v>
      </c>
      <c r="C60" s="283" t="s">
        <v>443</v>
      </c>
      <c r="D60" s="66" t="s">
        <v>130</v>
      </c>
      <c r="E60" s="189" t="s">
        <v>379</v>
      </c>
      <c r="F60" s="191" t="str">
        <f t="shared" si="3"/>
        <v>RN</v>
      </c>
      <c r="G60" s="68" t="s">
        <v>130</v>
      </c>
      <c r="H60" s="185">
        <v>45754</v>
      </c>
      <c r="I60" s="69">
        <f>IF(Salários!C60="CLT", Salários!A60, IF(Salários!C60="PJ", Salários!D60, Salários!D60))</f>
        <v>820</v>
      </c>
      <c r="J60" s="69"/>
      <c r="K60" s="68"/>
      <c r="L60" s="67"/>
      <c r="M60" s="67"/>
      <c r="N60" s="281"/>
      <c r="R60" s="70"/>
      <c r="S60" s="71"/>
    </row>
    <row r="61" spans="1:20" ht="27" customHeight="1" x14ac:dyDescent="0.25">
      <c r="A61" s="1"/>
      <c r="B61" s="312" t="s">
        <v>444</v>
      </c>
      <c r="C61" s="283" t="s">
        <v>444</v>
      </c>
      <c r="D61" s="66" t="s">
        <v>130</v>
      </c>
      <c r="E61" s="189" t="s">
        <v>379</v>
      </c>
      <c r="F61" s="191" t="str">
        <f t="shared" si="3"/>
        <v>RN</v>
      </c>
      <c r="G61" s="68" t="s">
        <v>130</v>
      </c>
      <c r="H61" s="185">
        <v>45803</v>
      </c>
      <c r="I61" s="69">
        <f>IF(Salários!C61="CLT", Salários!A61, IF(Salários!C61="PJ", Salários!D61, Salários!D61))</f>
        <v>820</v>
      </c>
      <c r="J61" s="69"/>
      <c r="K61" s="68"/>
      <c r="L61" s="67"/>
      <c r="M61" s="67"/>
      <c r="N61" s="281"/>
    </row>
    <row r="62" spans="1:20" ht="27" customHeight="1" x14ac:dyDescent="0.25">
      <c r="A62" s="1"/>
      <c r="B62" s="312" t="s">
        <v>445</v>
      </c>
      <c r="C62" s="283" t="s">
        <v>445</v>
      </c>
      <c r="D62" s="189" t="s">
        <v>130</v>
      </c>
      <c r="E62" s="189" t="s">
        <v>379</v>
      </c>
      <c r="F62" s="191" t="str">
        <f t="shared" si="3"/>
        <v>RN</v>
      </c>
      <c r="G62" s="284" t="s">
        <v>130</v>
      </c>
      <c r="H62" s="285">
        <v>45957</v>
      </c>
      <c r="I62" s="286">
        <f>IF(Salários!C62="CLT", Salários!A62, IF(Salários!C62="PJ", Salários!D62, Salários!D62))</f>
        <v>820</v>
      </c>
      <c r="J62" s="286"/>
      <c r="K62" s="284"/>
      <c r="L62" s="67"/>
      <c r="M62" s="67"/>
      <c r="N62" s="281"/>
    </row>
    <row r="63" spans="1:20" ht="27" customHeight="1" x14ac:dyDescent="0.25">
      <c r="A63" s="1"/>
      <c r="B63" s="312" t="s">
        <v>446</v>
      </c>
      <c r="C63" s="73" t="s">
        <v>446</v>
      </c>
      <c r="D63" s="74" t="s">
        <v>130</v>
      </c>
      <c r="E63" s="74" t="s">
        <v>379</v>
      </c>
      <c r="F63" s="192" t="str">
        <f t="shared" ref="F63" si="4">RIGHT(E63,2)</f>
        <v>RN</v>
      </c>
      <c r="G63" s="77" t="s">
        <v>130</v>
      </c>
      <c r="H63" s="186">
        <v>45964</v>
      </c>
      <c r="I63" s="76">
        <f>IF(Salários!C63="CLT", Salários!A63, IF(Salários!C63="PJ", Salários!D63, Salários!D63))</f>
        <v>820</v>
      </c>
      <c r="J63" s="76"/>
      <c r="K63" s="77"/>
      <c r="L63" s="75"/>
      <c r="M63" s="75"/>
      <c r="N63" s="282"/>
    </row>
    <row r="64" spans="1:20" ht="35.25" customHeight="1" x14ac:dyDescent="0.25">
      <c r="A64" s="271"/>
      <c r="B64" s="247"/>
      <c r="C64" s="1"/>
      <c r="D64" s="1"/>
      <c r="F64" s="424" t="s">
        <v>375</v>
      </c>
      <c r="G64" s="424"/>
      <c r="H64" s="311">
        <f>IFERROR(SUM(I3:I63)/H65, "Pendente")</f>
        <v>0.62400062643317278</v>
      </c>
      <c r="I64" s="274">
        <f>SUM(I3:I62)</f>
        <v>374927.65379097481</v>
      </c>
      <c r="J64" s="275"/>
      <c r="K64" s="275" t="s">
        <v>131</v>
      </c>
      <c r="L64" s="276">
        <f>SUM(L3:L53)</f>
        <v>60715.130000000012</v>
      </c>
      <c r="M64" s="276"/>
    </row>
    <row r="65" spans="1:31" ht="26.25" customHeight="1" x14ac:dyDescent="0.25">
      <c r="A65" s="271"/>
      <c r="B65" s="247"/>
      <c r="C65" s="1"/>
      <c r="D65" s="1"/>
      <c r="F65" s="425" t="s">
        <v>132</v>
      </c>
      <c r="G65" s="425"/>
      <c r="H65" s="426" cm="1">
        <f t="array" ref="H65">IFERROR(_xlfn.XLOOKUP(TRUE,Faturamento!Z13:ZZ13&lt;&gt;"",Faturamento!Z13:ZZ13,,0,-1),"Pendente")</f>
        <v>602159.09708099533</v>
      </c>
      <c r="I65" s="426"/>
      <c r="J65" s="270"/>
      <c r="K65" s="270" t="s">
        <v>133</v>
      </c>
      <c r="L65" s="293" cm="1">
        <f t="array" ref="L65">IFERROR(_xlfn.XLOOKUP(TRUE,Faturamento!Z10:ZZ10&lt;&gt;"",Faturamento!Z10:ZZ10,,0,-1),"Pendente")</f>
        <v>67520.1315591397</v>
      </c>
      <c r="M65" s="303"/>
    </row>
    <row r="66" spans="1:31" ht="23.25" thickBot="1" x14ac:dyDescent="0.3">
      <c r="A66" s="272"/>
      <c r="B66" s="248"/>
      <c r="C66" s="78"/>
      <c r="D66" s="79"/>
      <c r="E66" s="80"/>
      <c r="F66" s="439"/>
      <c r="G66" s="439"/>
      <c r="H66" s="167"/>
      <c r="I66" s="81"/>
      <c r="J66" s="81"/>
      <c r="K66" s="81"/>
      <c r="L66" s="81"/>
      <c r="M66" s="81"/>
      <c r="P66" s="396" t="s">
        <v>134</v>
      </c>
      <c r="Q66" s="396"/>
      <c r="R66" s="396"/>
      <c r="S66" s="396"/>
      <c r="T66" s="396"/>
      <c r="U66" s="396"/>
      <c r="V66" s="396"/>
      <c r="W66" s="396"/>
      <c r="X66" s="396"/>
      <c r="Y66" s="396"/>
      <c r="Z66" s="396"/>
      <c r="AA66" s="396"/>
      <c r="AB66" s="396"/>
      <c r="AC66" s="396"/>
      <c r="AD66" s="396"/>
      <c r="AE66" s="396"/>
    </row>
    <row r="67" spans="1:31" ht="23.25" thickBot="1" x14ac:dyDescent="0.3">
      <c r="A67" s="273"/>
      <c r="B67" s="249"/>
      <c r="C67" s="82" t="s">
        <v>135</v>
      </c>
      <c r="D67" s="83"/>
      <c r="E67" s="84"/>
      <c r="F67" s="437"/>
      <c r="G67" s="437"/>
      <c r="H67" s="437"/>
      <c r="I67" s="437"/>
      <c r="J67" s="437"/>
      <c r="K67" s="437"/>
      <c r="L67" s="438"/>
      <c r="M67" s="306"/>
      <c r="P67" s="399" t="s">
        <v>136</v>
      </c>
      <c r="Q67" s="399"/>
      <c r="R67" s="399"/>
      <c r="S67" s="399"/>
      <c r="T67" s="106" t="s">
        <v>137</v>
      </c>
      <c r="U67" s="106" t="s">
        <v>70</v>
      </c>
      <c r="V67" s="106" t="s">
        <v>79</v>
      </c>
      <c r="W67" s="106" t="s">
        <v>56</v>
      </c>
      <c r="X67" s="106" t="s">
        <v>44</v>
      </c>
      <c r="Y67" s="106" t="s">
        <v>23</v>
      </c>
      <c r="Z67" s="106" t="s">
        <v>37</v>
      </c>
      <c r="AA67" s="106" t="s">
        <v>77</v>
      </c>
      <c r="AB67" s="106" t="s">
        <v>78</v>
      </c>
      <c r="AC67" s="106" t="s">
        <v>14</v>
      </c>
      <c r="AD67" s="106" t="s">
        <v>19</v>
      </c>
      <c r="AE67" s="106" t="s">
        <v>52</v>
      </c>
    </row>
    <row r="68" spans="1:31" ht="36" customHeight="1" thickTop="1" x14ac:dyDescent="0.25">
      <c r="A68" s="273"/>
      <c r="B68" s="249"/>
      <c r="C68" s="169" t="s">
        <v>134</v>
      </c>
      <c r="D68" s="432"/>
      <c r="E68" s="432"/>
      <c r="F68" s="432"/>
      <c r="G68" s="432"/>
      <c r="H68" s="432"/>
      <c r="I68" s="432"/>
      <c r="J68" s="420" t="s">
        <v>263</v>
      </c>
      <c r="K68" s="420"/>
      <c r="L68" s="421"/>
      <c r="M68" s="307"/>
      <c r="P68" s="418" t="s">
        <v>138</v>
      </c>
      <c r="Q68" s="107"/>
      <c r="R68" s="401" t="s">
        <v>104</v>
      </c>
      <c r="S68" s="401"/>
      <c r="T68" s="118">
        <f t="shared" ref="T68:T69" si="5">SUM(U68:AE68)</f>
        <v>10</v>
      </c>
      <c r="U68" s="108">
        <f t="shared" ref="U68:AE72" si="6">COUNTIFS($D$3:$D$62,$R68,$F$3:$F$62,U$67)</f>
        <v>1</v>
      </c>
      <c r="V68" s="109">
        <f t="shared" si="6"/>
        <v>3</v>
      </c>
      <c r="W68" s="109">
        <f t="shared" si="6"/>
        <v>1</v>
      </c>
      <c r="X68" s="109">
        <f t="shared" si="6"/>
        <v>1</v>
      </c>
      <c r="Y68" s="109">
        <f t="shared" si="6"/>
        <v>3</v>
      </c>
      <c r="Z68" s="109">
        <f t="shared" si="6"/>
        <v>1</v>
      </c>
      <c r="AA68" s="109">
        <f t="shared" si="6"/>
        <v>0</v>
      </c>
      <c r="AB68" s="109">
        <f t="shared" si="6"/>
        <v>0</v>
      </c>
      <c r="AC68" s="108">
        <f t="shared" si="6"/>
        <v>0</v>
      </c>
      <c r="AD68" s="108">
        <f t="shared" si="6"/>
        <v>0</v>
      </c>
      <c r="AE68" s="108">
        <f t="shared" si="6"/>
        <v>0</v>
      </c>
    </row>
    <row r="69" spans="1:31" ht="34.5" customHeight="1" thickBot="1" x14ac:dyDescent="0.3">
      <c r="A69" s="272"/>
      <c r="B69" s="248"/>
      <c r="C69" s="170" t="s">
        <v>139</v>
      </c>
      <c r="D69" s="419"/>
      <c r="E69" s="419"/>
      <c r="F69" s="419"/>
      <c r="G69" s="419"/>
      <c r="H69" s="419"/>
      <c r="I69" s="419"/>
      <c r="J69" s="422"/>
      <c r="K69" s="422"/>
      <c r="L69" s="423"/>
      <c r="M69" s="307"/>
      <c r="P69" s="418"/>
      <c r="Q69" s="107"/>
      <c r="R69" s="401" t="s">
        <v>107</v>
      </c>
      <c r="S69" s="401"/>
      <c r="T69" s="118">
        <f t="shared" si="5"/>
        <v>15</v>
      </c>
      <c r="U69" s="109">
        <f t="shared" si="6"/>
        <v>0</v>
      </c>
      <c r="V69" s="109">
        <f t="shared" si="6"/>
        <v>2</v>
      </c>
      <c r="W69" s="109">
        <f t="shared" si="6"/>
        <v>4</v>
      </c>
      <c r="X69" s="109">
        <f t="shared" si="6"/>
        <v>1</v>
      </c>
      <c r="Y69" s="109">
        <f t="shared" si="6"/>
        <v>2</v>
      </c>
      <c r="Z69" s="109">
        <f t="shared" si="6"/>
        <v>3</v>
      </c>
      <c r="AA69" s="109">
        <f t="shared" si="6"/>
        <v>1</v>
      </c>
      <c r="AB69" s="109">
        <f t="shared" si="6"/>
        <v>1</v>
      </c>
      <c r="AC69" s="108">
        <f t="shared" si="6"/>
        <v>1</v>
      </c>
      <c r="AD69" s="108">
        <f t="shared" si="6"/>
        <v>0</v>
      </c>
      <c r="AE69" s="108">
        <f t="shared" si="6"/>
        <v>0</v>
      </c>
    </row>
    <row r="70" spans="1:31" ht="36" customHeight="1" thickTop="1" thickBot="1" x14ac:dyDescent="0.3">
      <c r="A70" s="272"/>
      <c r="B70" s="248"/>
      <c r="C70" s="171" t="s">
        <v>140</v>
      </c>
      <c r="D70" s="434"/>
      <c r="E70" s="434"/>
      <c r="F70" s="434"/>
      <c r="G70" s="434"/>
      <c r="H70" s="434"/>
      <c r="I70" s="434"/>
      <c r="J70" s="409" t="s">
        <v>141</v>
      </c>
      <c r="K70" s="409"/>
      <c r="L70" s="410"/>
      <c r="M70" s="308"/>
      <c r="P70" s="417" t="s">
        <v>142</v>
      </c>
      <c r="Q70" s="110"/>
      <c r="R70" s="403" t="s">
        <v>125</v>
      </c>
      <c r="S70" s="403"/>
      <c r="T70" s="118">
        <f>SUM(U70:AE70)</f>
        <v>0</v>
      </c>
      <c r="U70" s="111">
        <f t="shared" si="6"/>
        <v>0</v>
      </c>
      <c r="V70" s="112">
        <f t="shared" si="6"/>
        <v>0</v>
      </c>
      <c r="W70" s="112">
        <f t="shared" si="6"/>
        <v>0</v>
      </c>
      <c r="X70" s="112">
        <f t="shared" si="6"/>
        <v>0</v>
      </c>
      <c r="Y70" s="112">
        <f t="shared" si="6"/>
        <v>0</v>
      </c>
      <c r="Z70" s="112">
        <f t="shared" si="6"/>
        <v>0</v>
      </c>
      <c r="AA70" s="112">
        <f t="shared" si="6"/>
        <v>0</v>
      </c>
      <c r="AB70" s="112">
        <f t="shared" si="6"/>
        <v>0</v>
      </c>
      <c r="AC70" s="112">
        <f t="shared" si="6"/>
        <v>0</v>
      </c>
      <c r="AD70" s="112">
        <f t="shared" si="6"/>
        <v>0</v>
      </c>
      <c r="AE70" s="112">
        <f t="shared" si="6"/>
        <v>0</v>
      </c>
    </row>
    <row r="71" spans="1:31" ht="35.25" customHeight="1" thickTop="1" thickBot="1" x14ac:dyDescent="0.3">
      <c r="A71" s="272"/>
      <c r="B71" s="248"/>
      <c r="C71" s="170" t="s">
        <v>143</v>
      </c>
      <c r="D71" s="433" t="s">
        <v>144</v>
      </c>
      <c r="E71" s="433"/>
      <c r="F71" s="433"/>
      <c r="G71" s="433"/>
      <c r="H71" s="433"/>
      <c r="I71" s="433"/>
      <c r="J71" s="411" t="s">
        <v>145</v>
      </c>
      <c r="K71" s="411"/>
      <c r="L71" s="412"/>
      <c r="M71" s="309"/>
      <c r="P71" s="417"/>
      <c r="Q71" s="110"/>
      <c r="R71" s="403" t="s">
        <v>126</v>
      </c>
      <c r="S71" s="403"/>
      <c r="T71" s="118">
        <f>SUM(U71:AE71)</f>
        <v>0</v>
      </c>
      <c r="U71" s="111">
        <f t="shared" si="6"/>
        <v>0</v>
      </c>
      <c r="V71" s="112">
        <f t="shared" si="6"/>
        <v>0</v>
      </c>
      <c r="W71" s="112">
        <f t="shared" si="6"/>
        <v>0</v>
      </c>
      <c r="X71" s="112">
        <f t="shared" si="6"/>
        <v>0</v>
      </c>
      <c r="Y71" s="112">
        <f t="shared" si="6"/>
        <v>0</v>
      </c>
      <c r="Z71" s="112">
        <f t="shared" si="6"/>
        <v>0</v>
      </c>
      <c r="AA71" s="112">
        <f t="shared" si="6"/>
        <v>0</v>
      </c>
      <c r="AB71" s="112">
        <f t="shared" si="6"/>
        <v>0</v>
      </c>
      <c r="AC71" s="112">
        <f t="shared" si="6"/>
        <v>0</v>
      </c>
      <c r="AD71" s="112">
        <f t="shared" si="6"/>
        <v>0</v>
      </c>
      <c r="AE71" s="112">
        <f t="shared" si="6"/>
        <v>0</v>
      </c>
    </row>
    <row r="72" spans="1:31" ht="19.5" customHeight="1" thickTop="1" x14ac:dyDescent="0.25">
      <c r="A72" s="272"/>
      <c r="B72" s="248"/>
      <c r="C72" s="169" t="s">
        <v>146</v>
      </c>
      <c r="D72" s="435" t="s">
        <v>147</v>
      </c>
      <c r="E72" s="435"/>
      <c r="F72" s="435"/>
      <c r="G72" s="435"/>
      <c r="H72" s="435"/>
      <c r="I72" s="435"/>
      <c r="J72" s="413"/>
      <c r="K72" s="413"/>
      <c r="L72" s="414"/>
      <c r="M72" s="309"/>
      <c r="P72" s="417"/>
      <c r="Q72" s="110"/>
      <c r="R72" s="403" t="s">
        <v>129</v>
      </c>
      <c r="S72" s="403"/>
      <c r="T72" s="118">
        <f>SUM(U72:AE72)</f>
        <v>0</v>
      </c>
      <c r="U72" s="111">
        <f t="shared" si="6"/>
        <v>0</v>
      </c>
      <c r="V72" s="112">
        <f t="shared" si="6"/>
        <v>0</v>
      </c>
      <c r="W72" s="112">
        <f t="shared" si="6"/>
        <v>0</v>
      </c>
      <c r="X72" s="112">
        <f t="shared" si="6"/>
        <v>0</v>
      </c>
      <c r="Y72" s="112">
        <f t="shared" si="6"/>
        <v>0</v>
      </c>
      <c r="Z72" s="112">
        <f t="shared" si="6"/>
        <v>0</v>
      </c>
      <c r="AA72" s="112">
        <f t="shared" si="6"/>
        <v>0</v>
      </c>
      <c r="AB72" s="112">
        <f t="shared" si="6"/>
        <v>0</v>
      </c>
      <c r="AC72" s="112">
        <f t="shared" si="6"/>
        <v>0</v>
      </c>
      <c r="AD72" s="112">
        <f t="shared" si="6"/>
        <v>0</v>
      </c>
      <c r="AE72" s="112">
        <f t="shared" si="6"/>
        <v>0</v>
      </c>
    </row>
    <row r="73" spans="1:31" s="47" customFormat="1" ht="19.5" thickBot="1" x14ac:dyDescent="0.3">
      <c r="A73" s="272"/>
      <c r="B73" s="248"/>
      <c r="C73" s="170" t="s">
        <v>148</v>
      </c>
      <c r="D73" s="433" t="s">
        <v>149</v>
      </c>
      <c r="E73" s="433"/>
      <c r="F73" s="433"/>
      <c r="G73" s="433"/>
      <c r="H73" s="433"/>
      <c r="I73" s="433"/>
      <c r="J73" s="415"/>
      <c r="K73" s="415"/>
      <c r="L73" s="416"/>
      <c r="M73" s="309"/>
      <c r="N73" s="105"/>
      <c r="P73" s="398" t="s">
        <v>80</v>
      </c>
      <c r="Q73" s="398"/>
      <c r="R73" s="398"/>
      <c r="S73" s="113"/>
      <c r="T73" s="119">
        <f t="shared" ref="T73:AE73" si="7">SUM(T68:T72)</f>
        <v>25</v>
      </c>
      <c r="U73" s="113">
        <f t="shared" si="7"/>
        <v>1</v>
      </c>
      <c r="V73" s="113">
        <f t="shared" si="7"/>
        <v>5</v>
      </c>
      <c r="W73" s="113">
        <f t="shared" si="7"/>
        <v>5</v>
      </c>
      <c r="X73" s="113">
        <f t="shared" si="7"/>
        <v>2</v>
      </c>
      <c r="Y73" s="113">
        <f t="shared" si="7"/>
        <v>5</v>
      </c>
      <c r="Z73" s="113">
        <f t="shared" si="7"/>
        <v>4</v>
      </c>
      <c r="AA73" s="113">
        <f t="shared" si="7"/>
        <v>1</v>
      </c>
      <c r="AB73" s="113">
        <f t="shared" si="7"/>
        <v>1</v>
      </c>
      <c r="AC73" s="113">
        <f t="shared" si="7"/>
        <v>1</v>
      </c>
      <c r="AD73" s="113">
        <f t="shared" si="7"/>
        <v>0</v>
      </c>
      <c r="AE73" s="113">
        <f t="shared" si="7"/>
        <v>0</v>
      </c>
    </row>
    <row r="74" spans="1:31" s="47" customFormat="1" ht="16.5" thickTop="1" x14ac:dyDescent="0.25">
      <c r="A74" s="272"/>
      <c r="B74" s="248"/>
      <c r="C74" s="169"/>
      <c r="D74" s="432"/>
      <c r="E74" s="432"/>
      <c r="F74" s="432"/>
      <c r="G74" s="432"/>
      <c r="H74" s="432"/>
      <c r="I74" s="432"/>
      <c r="J74" s="428"/>
      <c r="K74" s="428"/>
      <c r="L74" s="429"/>
      <c r="M74" s="308"/>
      <c r="N74" s="105"/>
      <c r="P74" s="114"/>
      <c r="Q74" s="114"/>
      <c r="R74" s="114"/>
      <c r="S74" s="114"/>
      <c r="T74" s="114"/>
      <c r="U74" s="114"/>
      <c r="V74" s="114"/>
      <c r="W74" s="114"/>
      <c r="X74" s="114"/>
      <c r="Y74" s="114"/>
      <c r="Z74" s="114"/>
      <c r="AA74" s="114"/>
      <c r="AB74" s="114"/>
      <c r="AC74" s="114"/>
      <c r="AD74" s="114"/>
      <c r="AE74" s="114"/>
    </row>
    <row r="75" spans="1:31" ht="23.25" thickBot="1" x14ac:dyDescent="0.3">
      <c r="A75" s="272"/>
      <c r="B75" s="248"/>
      <c r="C75" s="170"/>
      <c r="D75" s="436"/>
      <c r="E75" s="436"/>
      <c r="F75" s="436"/>
      <c r="G75" s="436"/>
      <c r="H75" s="436"/>
      <c r="I75" s="436"/>
      <c r="J75" s="430"/>
      <c r="K75" s="430"/>
      <c r="L75" s="431"/>
      <c r="M75" s="308"/>
      <c r="P75" s="396" t="s">
        <v>139</v>
      </c>
      <c r="Q75" s="396"/>
      <c r="R75" s="396"/>
      <c r="S75" s="396"/>
      <c r="T75" s="396"/>
      <c r="U75" s="396"/>
      <c r="V75" s="396"/>
      <c r="W75" s="396"/>
      <c r="X75" s="396"/>
      <c r="Y75" s="396"/>
      <c r="Z75" s="396"/>
      <c r="AA75" s="396"/>
      <c r="AB75" s="396"/>
      <c r="AC75" s="396"/>
      <c r="AD75" s="396"/>
      <c r="AE75" s="396"/>
    </row>
    <row r="76" spans="1:31" ht="30" customHeight="1" thickTop="1" x14ac:dyDescent="0.25">
      <c r="A76" s="272"/>
      <c r="C76" s="169" t="s">
        <v>150</v>
      </c>
      <c r="D76" s="407" t="s">
        <v>151</v>
      </c>
      <c r="E76" s="407"/>
      <c r="F76" s="407"/>
      <c r="G76" s="407"/>
      <c r="H76" s="407"/>
      <c r="I76" s="407"/>
      <c r="J76" s="172"/>
      <c r="K76" s="175"/>
      <c r="L76" s="173"/>
      <c r="M76" s="175"/>
      <c r="P76" s="399" t="s">
        <v>136</v>
      </c>
      <c r="Q76" s="399"/>
      <c r="R76" s="399"/>
      <c r="S76" s="399"/>
      <c r="T76" s="106" t="s">
        <v>137</v>
      </c>
      <c r="U76" s="106" t="s">
        <v>70</v>
      </c>
      <c r="V76" s="106" t="s">
        <v>79</v>
      </c>
      <c r="W76" s="106" t="s">
        <v>56</v>
      </c>
      <c r="X76" s="106" t="s">
        <v>44</v>
      </c>
      <c r="Y76" s="106" t="s">
        <v>23</v>
      </c>
      <c r="Z76" s="106" t="s">
        <v>37</v>
      </c>
      <c r="AA76" s="106" t="s">
        <v>77</v>
      </c>
      <c r="AB76" s="106" t="s">
        <v>78</v>
      </c>
      <c r="AC76" s="106" t="s">
        <v>14</v>
      </c>
      <c r="AD76" s="106" t="s">
        <v>19</v>
      </c>
      <c r="AE76" s="106" t="s">
        <v>52</v>
      </c>
    </row>
    <row r="77" spans="1:31" ht="30" customHeight="1" x14ac:dyDescent="0.25">
      <c r="C77" s="174"/>
      <c r="D77" s="408" t="s">
        <v>152</v>
      </c>
      <c r="E77" s="408"/>
      <c r="F77" s="408"/>
      <c r="G77" s="408"/>
      <c r="H77" s="408"/>
      <c r="I77" s="408"/>
      <c r="J77" s="175"/>
      <c r="L77" s="176"/>
      <c r="M77" s="175"/>
      <c r="P77" s="400" t="s">
        <v>153</v>
      </c>
      <c r="Q77" s="107"/>
      <c r="R77" s="401" t="s">
        <v>116</v>
      </c>
      <c r="S77" s="401"/>
      <c r="T77" s="117">
        <f>SUM(U77:AE77)</f>
        <v>16</v>
      </c>
      <c r="U77" s="108">
        <f t="shared" ref="U77:AE80" si="8">COUNTIFS($J$3:$J$62,$R77,$F$3:$F$62,U$76)</f>
        <v>0</v>
      </c>
      <c r="V77" s="109">
        <f t="shared" si="8"/>
        <v>4</v>
      </c>
      <c r="W77" s="109">
        <f t="shared" si="8"/>
        <v>3</v>
      </c>
      <c r="X77" s="109">
        <f t="shared" si="8"/>
        <v>1</v>
      </c>
      <c r="Y77" s="108">
        <f t="shared" si="8"/>
        <v>2</v>
      </c>
      <c r="Z77" s="109">
        <f t="shared" si="8"/>
        <v>3</v>
      </c>
      <c r="AA77" s="109">
        <f t="shared" si="8"/>
        <v>1</v>
      </c>
      <c r="AB77" s="109">
        <f t="shared" si="8"/>
        <v>1</v>
      </c>
      <c r="AC77" s="108">
        <f t="shared" si="8"/>
        <v>1</v>
      </c>
      <c r="AD77" s="108">
        <f t="shared" si="8"/>
        <v>0</v>
      </c>
      <c r="AE77" s="108">
        <f t="shared" si="8"/>
        <v>0</v>
      </c>
    </row>
    <row r="78" spans="1:31" ht="30" customHeight="1" x14ac:dyDescent="0.25">
      <c r="C78" s="174"/>
      <c r="D78" s="408" t="s">
        <v>154</v>
      </c>
      <c r="E78" s="408"/>
      <c r="F78" s="408"/>
      <c r="G78" s="408"/>
      <c r="H78" s="408"/>
      <c r="I78" s="408"/>
      <c r="J78" s="175"/>
      <c r="K78" s="175"/>
      <c r="L78" s="176"/>
      <c r="M78" s="175"/>
      <c r="P78" s="400"/>
      <c r="Q78" s="107"/>
      <c r="R78" s="401" t="s">
        <v>118</v>
      </c>
      <c r="S78" s="401"/>
      <c r="T78" s="117">
        <f>SUM(U78:AE78)</f>
        <v>0</v>
      </c>
      <c r="U78" s="108">
        <f t="shared" si="8"/>
        <v>0</v>
      </c>
      <c r="V78" s="108">
        <f t="shared" si="8"/>
        <v>0</v>
      </c>
      <c r="W78" s="108">
        <f t="shared" si="8"/>
        <v>0</v>
      </c>
      <c r="X78" s="108">
        <f t="shared" si="8"/>
        <v>0</v>
      </c>
      <c r="Y78" s="108">
        <f t="shared" si="8"/>
        <v>0</v>
      </c>
      <c r="Z78" s="108">
        <f t="shared" si="8"/>
        <v>0</v>
      </c>
      <c r="AA78" s="108">
        <f t="shared" si="8"/>
        <v>0</v>
      </c>
      <c r="AB78" s="108">
        <f t="shared" si="8"/>
        <v>0</v>
      </c>
      <c r="AC78" s="108">
        <f t="shared" si="8"/>
        <v>0</v>
      </c>
      <c r="AD78" s="108">
        <f t="shared" si="8"/>
        <v>0</v>
      </c>
      <c r="AE78" s="108">
        <f t="shared" si="8"/>
        <v>0</v>
      </c>
    </row>
    <row r="79" spans="1:31" ht="30" customHeight="1" thickBot="1" x14ac:dyDescent="0.3">
      <c r="C79" s="170"/>
      <c r="D79" s="404" t="s">
        <v>155</v>
      </c>
      <c r="E79" s="404"/>
      <c r="F79" s="404"/>
      <c r="G79" s="404"/>
      <c r="H79" s="404"/>
      <c r="I79" s="404"/>
      <c r="J79" s="177"/>
      <c r="K79" s="177"/>
      <c r="L79" s="178"/>
      <c r="M79" s="175"/>
      <c r="P79" s="402" t="s">
        <v>156</v>
      </c>
      <c r="Q79" s="115"/>
      <c r="R79" s="403" t="s">
        <v>157</v>
      </c>
      <c r="S79" s="403"/>
      <c r="T79" s="118">
        <f>SUM(U79:AE79)</f>
        <v>0</v>
      </c>
      <c r="U79" s="111">
        <f t="shared" si="8"/>
        <v>0</v>
      </c>
      <c r="V79" s="112">
        <f t="shared" si="8"/>
        <v>0</v>
      </c>
      <c r="W79" s="112">
        <f t="shared" si="8"/>
        <v>0</v>
      </c>
      <c r="X79" s="112">
        <f t="shared" si="8"/>
        <v>0</v>
      </c>
      <c r="Y79" s="112">
        <f t="shared" si="8"/>
        <v>0</v>
      </c>
      <c r="Z79" s="112">
        <f t="shared" si="8"/>
        <v>0</v>
      </c>
      <c r="AA79" s="112">
        <f t="shared" si="8"/>
        <v>0</v>
      </c>
      <c r="AB79" s="112">
        <f t="shared" si="8"/>
        <v>0</v>
      </c>
      <c r="AC79" s="112">
        <f t="shared" si="8"/>
        <v>0</v>
      </c>
      <c r="AD79" s="112">
        <f t="shared" si="8"/>
        <v>0</v>
      </c>
      <c r="AE79" s="112">
        <f t="shared" si="8"/>
        <v>0</v>
      </c>
    </row>
    <row r="80" spans="1:31" ht="30" customHeight="1" thickTop="1" thickBot="1" x14ac:dyDescent="0.3">
      <c r="C80" s="179" t="s">
        <v>158</v>
      </c>
      <c r="D80" s="405" t="s">
        <v>159</v>
      </c>
      <c r="E80" s="405"/>
      <c r="F80" s="405"/>
      <c r="G80" s="405"/>
      <c r="H80" s="405"/>
      <c r="I80" s="405"/>
      <c r="J80" s="405"/>
      <c r="K80" s="405"/>
      <c r="L80" s="406"/>
      <c r="M80" s="310"/>
      <c r="P80" s="402"/>
      <c r="Q80" s="115"/>
      <c r="R80" s="403" t="s">
        <v>109</v>
      </c>
      <c r="S80" s="403"/>
      <c r="T80" s="118">
        <f>SUM(U80:AE80)</f>
        <v>4</v>
      </c>
      <c r="U80" s="112">
        <f t="shared" si="8"/>
        <v>0</v>
      </c>
      <c r="V80" s="111">
        <f t="shared" si="8"/>
        <v>2</v>
      </c>
      <c r="W80" s="112">
        <f t="shared" si="8"/>
        <v>0</v>
      </c>
      <c r="X80" s="111">
        <f t="shared" si="8"/>
        <v>1</v>
      </c>
      <c r="Y80" s="111">
        <f t="shared" si="8"/>
        <v>1</v>
      </c>
      <c r="Z80" s="112">
        <f t="shared" si="8"/>
        <v>0</v>
      </c>
      <c r="AA80" s="112">
        <f t="shared" si="8"/>
        <v>0</v>
      </c>
      <c r="AB80" s="112">
        <f t="shared" si="8"/>
        <v>0</v>
      </c>
      <c r="AC80" s="112">
        <f t="shared" si="8"/>
        <v>0</v>
      </c>
      <c r="AD80" s="112">
        <f t="shared" si="8"/>
        <v>0</v>
      </c>
      <c r="AE80" s="112">
        <f t="shared" si="8"/>
        <v>0</v>
      </c>
    </row>
    <row r="81" spans="2:31" s="47" customFormat="1" ht="30" customHeight="1" x14ac:dyDescent="0.25">
      <c r="B81" s="86"/>
      <c r="C81" s="85"/>
      <c r="D81" s="397"/>
      <c r="E81" s="397"/>
      <c r="F81" s="397"/>
      <c r="G81" s="397"/>
      <c r="H81" s="397"/>
      <c r="I81" s="397"/>
      <c r="J81" s="397"/>
      <c r="K81" s="397"/>
      <c r="L81" s="397"/>
      <c r="M81" s="302"/>
      <c r="N81" s="105"/>
      <c r="P81" s="398" t="s">
        <v>80</v>
      </c>
      <c r="Q81" s="398"/>
      <c r="R81" s="398"/>
      <c r="S81" s="113"/>
      <c r="T81" s="119">
        <f t="shared" ref="T81:AE81" si="9">SUM(T77:T80)</f>
        <v>20</v>
      </c>
      <c r="U81" s="116">
        <f t="shared" si="9"/>
        <v>0</v>
      </c>
      <c r="V81" s="116">
        <f t="shared" si="9"/>
        <v>6</v>
      </c>
      <c r="W81" s="116">
        <f t="shared" si="9"/>
        <v>3</v>
      </c>
      <c r="X81" s="116">
        <f t="shared" si="9"/>
        <v>2</v>
      </c>
      <c r="Y81" s="116">
        <f t="shared" si="9"/>
        <v>3</v>
      </c>
      <c r="Z81" s="116">
        <f t="shared" si="9"/>
        <v>3</v>
      </c>
      <c r="AA81" s="116">
        <f t="shared" si="9"/>
        <v>1</v>
      </c>
      <c r="AB81" s="116">
        <f t="shared" si="9"/>
        <v>1</v>
      </c>
      <c r="AC81" s="116">
        <f t="shared" si="9"/>
        <v>1</v>
      </c>
      <c r="AD81" s="116">
        <f t="shared" si="9"/>
        <v>0</v>
      </c>
      <c r="AE81" s="116">
        <f t="shared" si="9"/>
        <v>0</v>
      </c>
    </row>
  </sheetData>
  <autoFilter ref="C2:L65" xr:uid="{F1C50396-7D93-4E8E-AF2D-0B23530D2333}"/>
  <mergeCells count="46">
    <mergeCell ref="P66:AE66"/>
    <mergeCell ref="F67:J67"/>
    <mergeCell ref="K67:L67"/>
    <mergeCell ref="P67:S67"/>
    <mergeCell ref="F66:G66"/>
    <mergeCell ref="F64:G64"/>
    <mergeCell ref="F65:G65"/>
    <mergeCell ref="H65:I65"/>
    <mergeCell ref="C1:N1"/>
    <mergeCell ref="J74:L75"/>
    <mergeCell ref="D74:I74"/>
    <mergeCell ref="D68:I68"/>
    <mergeCell ref="D73:I73"/>
    <mergeCell ref="D70:I70"/>
    <mergeCell ref="D71:I71"/>
    <mergeCell ref="D72:I72"/>
    <mergeCell ref="D75:I75"/>
    <mergeCell ref="P68:P69"/>
    <mergeCell ref="R68:S68"/>
    <mergeCell ref="D69:I69"/>
    <mergeCell ref="R69:S69"/>
    <mergeCell ref="J68:L69"/>
    <mergeCell ref="P73:R73"/>
    <mergeCell ref="J70:L70"/>
    <mergeCell ref="J71:L71"/>
    <mergeCell ref="J72:L72"/>
    <mergeCell ref="J73:L73"/>
    <mergeCell ref="P70:P72"/>
    <mergeCell ref="R70:S70"/>
    <mergeCell ref="R71:S71"/>
    <mergeCell ref="R72:S72"/>
    <mergeCell ref="P75:AE75"/>
    <mergeCell ref="D81:L81"/>
    <mergeCell ref="P81:R81"/>
    <mergeCell ref="P76:S76"/>
    <mergeCell ref="P77:P78"/>
    <mergeCell ref="R77:S77"/>
    <mergeCell ref="R78:S78"/>
    <mergeCell ref="P79:P80"/>
    <mergeCell ref="R79:S79"/>
    <mergeCell ref="R80:S80"/>
    <mergeCell ref="D79:I79"/>
    <mergeCell ref="D80:L80"/>
    <mergeCell ref="D76:I76"/>
    <mergeCell ref="D77:I77"/>
    <mergeCell ref="D78:I78"/>
  </mergeCells>
  <phoneticPr fontId="89" type="noConversion"/>
  <conditionalFormatting sqref="L65:M65">
    <cfRule type="containsText" dxfId="97" priority="7" operator="containsText" text="Pendente">
      <formula>NOT(ISERROR(SEARCH("Pendente",L65)))</formula>
    </cfRule>
  </conditionalFormatting>
  <conditionalFormatting sqref="H64">
    <cfRule type="containsText" dxfId="96" priority="4" operator="containsText" text="Pendente">
      <formula>NOT(ISERROR(SEARCH("Pendente",H64)))</formula>
    </cfRule>
  </conditionalFormatting>
  <conditionalFormatting sqref="H65">
    <cfRule type="containsText" dxfId="95" priority="3" operator="containsText" text="Pendente">
      <formula>NOT(ISERROR(SEARCH("Pendente",H65)))</formula>
    </cfRule>
  </conditionalFormatting>
  <conditionalFormatting sqref="M4:M53">
    <cfRule type="containsText" dxfId="94" priority="1" operator="containsText" text="NÃO">
      <formula>NOT(ISERROR(SEARCH("NÃO",M4)))</formula>
    </cfRule>
    <cfRule type="containsText" dxfId="93" priority="2" operator="containsText" text="SIM">
      <formula>NOT(ISERROR(SEARCH("SIM",M4)))</formula>
    </cfRule>
  </conditionalFormatting>
  <printOptions horizontalCentered="1" verticalCentered="1"/>
  <pageMargins left="0" right="0" top="0" bottom="0.01" header="0" footer="0"/>
  <pageSetup paperSize="9" scale="32" orientation="portrait" r:id="rId1"/>
  <ignoredErrors>
    <ignoredError sqref="L65" formulaRange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E7A37-1456-4A14-B197-52ECD131E30A}">
  <sheetPr codeName="Planilha5">
    <tabColor theme="3" tint="0.39997558519241921"/>
    <pageSetUpPr fitToPage="1"/>
  </sheetPr>
  <dimension ref="A1:L38"/>
  <sheetViews>
    <sheetView view="pageBreakPreview" topLeftCell="A15" zoomScale="60" zoomScaleNormal="100" workbookViewId="0">
      <selection activeCell="G7" sqref="G7"/>
    </sheetView>
  </sheetViews>
  <sheetFormatPr defaultRowHeight="15" x14ac:dyDescent="0.25"/>
  <cols>
    <col min="1" max="1" width="37" style="86" customWidth="1"/>
    <col min="2" max="2" width="29.85546875" bestFit="1" customWidth="1"/>
    <col min="3" max="3" width="20.7109375" customWidth="1"/>
    <col min="4" max="4" width="7.5703125" bestFit="1" customWidth="1"/>
    <col min="5" max="5" width="20.85546875" bestFit="1" customWidth="1"/>
    <col min="6" max="6" width="28.42578125" bestFit="1" customWidth="1"/>
    <col min="7" max="7" width="19.140625" customWidth="1"/>
    <col min="8" max="8" width="9.140625" customWidth="1"/>
  </cols>
  <sheetData>
    <row r="1" spans="1:12" ht="58.5" customHeight="1" x14ac:dyDescent="0.25">
      <c r="A1" s="440" t="s">
        <v>264</v>
      </c>
      <c r="B1" s="441"/>
      <c r="C1" s="441"/>
      <c r="D1" s="441"/>
      <c r="E1" s="441"/>
      <c r="F1" s="441"/>
      <c r="G1" s="441"/>
    </row>
    <row r="2" spans="1:12" ht="28.5" customHeight="1" x14ac:dyDescent="0.25">
      <c r="A2" s="442"/>
      <c r="B2" s="443"/>
      <c r="C2" s="443"/>
      <c r="D2" s="443"/>
      <c r="E2" s="443"/>
      <c r="F2" s="443"/>
      <c r="G2" s="443"/>
    </row>
    <row r="3" spans="1:12" x14ac:dyDescent="0.25">
      <c r="A3" s="350" t="s">
        <v>265</v>
      </c>
      <c r="B3" s="351" t="s">
        <v>266</v>
      </c>
      <c r="C3" s="352" t="s">
        <v>267</v>
      </c>
      <c r="D3" s="353" t="s">
        <v>268</v>
      </c>
      <c r="E3" s="354" t="s">
        <v>269</v>
      </c>
      <c r="F3" s="352" t="s">
        <v>270</v>
      </c>
      <c r="G3" s="353" t="s">
        <v>255</v>
      </c>
      <c r="L3" s="87"/>
    </row>
    <row r="4" spans="1:12" x14ac:dyDescent="0.25">
      <c r="A4" s="355" t="str">
        <f>Helexia!C3</f>
        <v>Leandro Farias</v>
      </c>
      <c r="B4" s="356" t="s">
        <v>271</v>
      </c>
      <c r="C4" s="357" t="s">
        <v>272</v>
      </c>
      <c r="D4" s="358" t="s">
        <v>273</v>
      </c>
      <c r="E4" s="357" t="s">
        <v>274</v>
      </c>
      <c r="F4" s="359"/>
      <c r="G4" s="358"/>
      <c r="L4" s="87"/>
    </row>
    <row r="5" spans="1:12" x14ac:dyDescent="0.25">
      <c r="A5" s="355" t="str">
        <f>Helexia!C4</f>
        <v>Mônica Teles</v>
      </c>
      <c r="B5" s="356" t="s">
        <v>275</v>
      </c>
      <c r="C5" s="357" t="s">
        <v>276</v>
      </c>
      <c r="D5" s="358" t="s">
        <v>273</v>
      </c>
      <c r="E5" s="357" t="s">
        <v>274</v>
      </c>
      <c r="F5" s="359"/>
      <c r="G5" s="358"/>
      <c r="L5" s="87"/>
    </row>
    <row r="6" spans="1:12" x14ac:dyDescent="0.25">
      <c r="A6" s="355" t="str">
        <f>Helexia!C5</f>
        <v>Rogério Bastos</v>
      </c>
      <c r="B6" s="356" t="s">
        <v>392</v>
      </c>
      <c r="C6" s="357" t="s">
        <v>277</v>
      </c>
      <c r="D6" s="358" t="s">
        <v>273</v>
      </c>
      <c r="E6" s="357" t="s">
        <v>274</v>
      </c>
      <c r="F6" s="359"/>
      <c r="G6" s="358"/>
      <c r="L6" s="87"/>
    </row>
    <row r="7" spans="1:12" x14ac:dyDescent="0.25">
      <c r="A7" s="355" t="str">
        <f>Helexia!C6</f>
        <v>Elaine Pimentel</v>
      </c>
      <c r="B7" s="356" t="s">
        <v>278</v>
      </c>
      <c r="C7" s="357" t="s">
        <v>279</v>
      </c>
      <c r="D7" s="358" t="s">
        <v>280</v>
      </c>
      <c r="E7" s="357" t="s">
        <v>281</v>
      </c>
      <c r="F7" s="359"/>
      <c r="G7" s="358" t="s">
        <v>282</v>
      </c>
      <c r="L7" s="87"/>
    </row>
    <row r="8" spans="1:12" x14ac:dyDescent="0.25">
      <c r="A8" s="355" t="str">
        <f>Helexia!C7</f>
        <v>Fábio Cunha</v>
      </c>
      <c r="B8" s="356" t="s">
        <v>283</v>
      </c>
      <c r="C8" s="357" t="s">
        <v>284</v>
      </c>
      <c r="D8" s="358" t="s">
        <v>273</v>
      </c>
      <c r="E8" s="357" t="s">
        <v>281</v>
      </c>
      <c r="F8" s="359"/>
      <c r="G8" s="358"/>
      <c r="L8" s="87"/>
    </row>
    <row r="9" spans="1:12" x14ac:dyDescent="0.25">
      <c r="A9" s="355" t="str">
        <f>Helexia!C8</f>
        <v>Patrícia Andrade Lopes</v>
      </c>
      <c r="B9" s="356" t="s">
        <v>285</v>
      </c>
      <c r="C9" s="357" t="s">
        <v>286</v>
      </c>
      <c r="D9" s="358" t="s">
        <v>280</v>
      </c>
      <c r="E9" s="357" t="s">
        <v>281</v>
      </c>
      <c r="F9" s="359"/>
      <c r="G9" s="358"/>
      <c r="L9" s="87"/>
    </row>
    <row r="10" spans="1:12" x14ac:dyDescent="0.25">
      <c r="A10" s="355" t="str">
        <f>Helexia!C9</f>
        <v>Vinícius Moraes Rangel</v>
      </c>
      <c r="B10" s="356" t="s">
        <v>393</v>
      </c>
      <c r="C10" s="357" t="s">
        <v>287</v>
      </c>
      <c r="D10" s="358" t="s">
        <v>280</v>
      </c>
      <c r="E10" s="357" t="s">
        <v>281</v>
      </c>
      <c r="F10" s="359"/>
      <c r="G10" s="358"/>
      <c r="L10" s="87"/>
    </row>
    <row r="11" spans="1:12" x14ac:dyDescent="0.25">
      <c r="A11" s="355" t="str">
        <f>Helexia!C10</f>
        <v>Cláudia Peixoto Nobre</v>
      </c>
      <c r="B11" s="356" t="s">
        <v>288</v>
      </c>
      <c r="C11" s="357" t="s">
        <v>289</v>
      </c>
      <c r="D11" s="358" t="s">
        <v>273</v>
      </c>
      <c r="E11" s="357" t="s">
        <v>290</v>
      </c>
      <c r="F11" s="359" t="s">
        <v>449</v>
      </c>
      <c r="G11" s="358"/>
      <c r="L11" s="87"/>
    </row>
    <row r="12" spans="1:12" x14ac:dyDescent="0.25">
      <c r="A12" s="355" t="str">
        <f>Helexia!C11</f>
        <v>Renato Guedes Paiva</v>
      </c>
      <c r="B12" s="356" t="s">
        <v>291</v>
      </c>
      <c r="C12" s="357" t="s">
        <v>292</v>
      </c>
      <c r="D12" s="358" t="s">
        <v>273</v>
      </c>
      <c r="E12" s="357" t="s">
        <v>274</v>
      </c>
      <c r="F12" s="359"/>
      <c r="G12" s="358" t="s">
        <v>293</v>
      </c>
      <c r="L12" s="87"/>
    </row>
    <row r="13" spans="1:12" x14ac:dyDescent="0.25">
      <c r="A13" s="355" t="str">
        <f>Helexia!C12</f>
        <v>Silvia Matos Barreto</v>
      </c>
      <c r="B13" s="356" t="s">
        <v>294</v>
      </c>
      <c r="C13" s="357" t="s">
        <v>295</v>
      </c>
      <c r="D13" s="358" t="s">
        <v>273</v>
      </c>
      <c r="E13" s="357" t="s">
        <v>296</v>
      </c>
      <c r="F13" s="359"/>
      <c r="G13" s="358" t="s">
        <v>297</v>
      </c>
      <c r="L13" s="87"/>
    </row>
    <row r="14" spans="1:12" x14ac:dyDescent="0.25">
      <c r="A14" s="355" t="str">
        <f>Helexia!C13</f>
        <v>Daniel Afonso Queiroz Lima</v>
      </c>
      <c r="B14" s="356" t="s">
        <v>298</v>
      </c>
      <c r="C14" s="357" t="s">
        <v>299</v>
      </c>
      <c r="D14" s="358" t="s">
        <v>280</v>
      </c>
      <c r="E14" s="357" t="s">
        <v>296</v>
      </c>
      <c r="F14" s="359"/>
      <c r="G14" s="358"/>
      <c r="L14" s="87"/>
    </row>
    <row r="15" spans="1:12" x14ac:dyDescent="0.25">
      <c r="A15" s="355" t="str">
        <f>Helexia!C14</f>
        <v>Juliane Costa Figueiredo</v>
      </c>
      <c r="B15" s="356" t="s">
        <v>300</v>
      </c>
      <c r="C15" s="357" t="s">
        <v>295</v>
      </c>
      <c r="D15" s="358" t="s">
        <v>273</v>
      </c>
      <c r="E15" s="357" t="s">
        <v>290</v>
      </c>
      <c r="F15" s="359"/>
      <c r="G15" s="358" t="s">
        <v>301</v>
      </c>
      <c r="L15" s="87"/>
    </row>
    <row r="16" spans="1:12" x14ac:dyDescent="0.25">
      <c r="A16" s="355" t="str">
        <f>Helexia!C15</f>
        <v>Mauro Silveira Prado</v>
      </c>
      <c r="B16" s="356" t="s">
        <v>300</v>
      </c>
      <c r="C16" s="357" t="s">
        <v>302</v>
      </c>
      <c r="D16" s="358" t="s">
        <v>280</v>
      </c>
      <c r="E16" s="357" t="s">
        <v>281</v>
      </c>
      <c r="F16" s="359"/>
      <c r="G16" s="358" t="s">
        <v>303</v>
      </c>
      <c r="L16" s="87"/>
    </row>
    <row r="17" spans="1:12" x14ac:dyDescent="0.25">
      <c r="A17" s="355" t="str">
        <f>Helexia!C16</f>
        <v>Tatiana Borges Nascimento</v>
      </c>
      <c r="B17" s="356" t="s">
        <v>304</v>
      </c>
      <c r="C17" s="357" t="s">
        <v>305</v>
      </c>
      <c r="D17" s="358" t="s">
        <v>273</v>
      </c>
      <c r="E17" s="357" t="s">
        <v>306</v>
      </c>
      <c r="F17" s="359" t="s">
        <v>307</v>
      </c>
      <c r="G17" s="358" t="s">
        <v>308</v>
      </c>
      <c r="L17" s="87"/>
    </row>
    <row r="18" spans="1:12" x14ac:dyDescent="0.25">
      <c r="A18" s="355" t="str">
        <f>Helexia!C17</f>
        <v>Alex Rocha Pacheco</v>
      </c>
      <c r="B18" s="356" t="s">
        <v>309</v>
      </c>
      <c r="C18" s="357" t="s">
        <v>310</v>
      </c>
      <c r="D18" s="358" t="s">
        <v>273</v>
      </c>
      <c r="E18" s="357" t="s">
        <v>274</v>
      </c>
      <c r="F18" s="359"/>
      <c r="G18" s="358"/>
      <c r="L18" s="87"/>
    </row>
    <row r="19" spans="1:12" x14ac:dyDescent="0.25">
      <c r="A19" s="355" t="str">
        <f>Helexia!C18</f>
        <v>Eduardo Tavares Montenegro</v>
      </c>
      <c r="B19" s="356" t="s">
        <v>311</v>
      </c>
      <c r="C19" s="357" t="s">
        <v>312</v>
      </c>
      <c r="D19" s="358" t="s">
        <v>273</v>
      </c>
      <c r="E19" s="357" t="s">
        <v>281</v>
      </c>
      <c r="F19" s="359"/>
      <c r="G19" s="358"/>
      <c r="L19" s="255"/>
    </row>
    <row r="20" spans="1:12" ht="30" x14ac:dyDescent="0.25">
      <c r="A20" s="355" t="str">
        <f>Helexia!C19</f>
        <v>Bianca Lacerda Fontes</v>
      </c>
      <c r="B20" s="356" t="s">
        <v>394</v>
      </c>
      <c r="C20" s="357" t="s">
        <v>313</v>
      </c>
      <c r="D20" s="358" t="s">
        <v>280</v>
      </c>
      <c r="E20" s="357" t="s">
        <v>274</v>
      </c>
      <c r="F20" s="359" t="s">
        <v>448</v>
      </c>
      <c r="G20" s="360" t="s">
        <v>314</v>
      </c>
      <c r="H20" s="180"/>
      <c r="I20" s="180"/>
      <c r="L20" s="87"/>
    </row>
    <row r="21" spans="1:12" x14ac:dyDescent="0.25">
      <c r="A21" s="355" t="str">
        <f>Helexia!C20</f>
        <v>Samuel Torres Maciel</v>
      </c>
      <c r="B21" s="356" t="s">
        <v>395</v>
      </c>
      <c r="C21" s="357" t="s">
        <v>287</v>
      </c>
      <c r="D21" s="358" t="s">
        <v>280</v>
      </c>
      <c r="E21" s="357" t="s">
        <v>281</v>
      </c>
      <c r="F21" s="359"/>
      <c r="G21" s="358"/>
      <c r="L21" s="87"/>
    </row>
    <row r="22" spans="1:12" x14ac:dyDescent="0.25">
      <c r="A22" s="355" t="str">
        <f>Helexia!C21</f>
        <v>Priscila Azevedo Goulart</v>
      </c>
      <c r="B22" s="356" t="s">
        <v>315</v>
      </c>
      <c r="C22" s="357" t="s">
        <v>316</v>
      </c>
      <c r="D22" s="358" t="s">
        <v>273</v>
      </c>
      <c r="E22" s="357" t="s">
        <v>317</v>
      </c>
      <c r="F22" s="359"/>
      <c r="G22" s="358"/>
      <c r="L22" s="87"/>
    </row>
    <row r="23" spans="1:12" x14ac:dyDescent="0.25">
      <c r="A23" s="355" t="str">
        <f>Helexia!C22</f>
        <v>Henrique Vidal Soares</v>
      </c>
      <c r="B23" s="356" t="s">
        <v>396</v>
      </c>
      <c r="C23" s="357" t="s">
        <v>318</v>
      </c>
      <c r="D23" s="358" t="s">
        <v>319</v>
      </c>
      <c r="E23" s="357" t="s">
        <v>320</v>
      </c>
      <c r="F23" s="359" t="s">
        <v>321</v>
      </c>
      <c r="G23" s="358"/>
      <c r="L23" s="87"/>
    </row>
    <row r="24" spans="1:12" x14ac:dyDescent="0.25">
      <c r="A24" s="355" t="str">
        <f>Helexia!C23</f>
        <v>André Luiz Falcão Duarte</v>
      </c>
      <c r="B24" s="356" t="s">
        <v>322</v>
      </c>
      <c r="C24" s="357" t="s">
        <v>323</v>
      </c>
      <c r="D24" s="358" t="s">
        <v>280</v>
      </c>
      <c r="E24" s="357" t="s">
        <v>281</v>
      </c>
      <c r="F24" s="359"/>
      <c r="G24" s="358" t="s">
        <v>324</v>
      </c>
      <c r="L24" s="87"/>
    </row>
    <row r="25" spans="1:12" x14ac:dyDescent="0.25">
      <c r="A25" s="355" t="str">
        <f>Helexia!C24</f>
        <v>Camila Noronha Brito</v>
      </c>
      <c r="B25" s="356" t="s">
        <v>392</v>
      </c>
      <c r="C25" s="357" t="s">
        <v>325</v>
      </c>
      <c r="D25" s="358" t="s">
        <v>273</v>
      </c>
      <c r="E25" s="357" t="s">
        <v>326</v>
      </c>
      <c r="F25" s="359"/>
      <c r="G25" s="358" t="s">
        <v>327</v>
      </c>
      <c r="L25" s="87"/>
    </row>
    <row r="26" spans="1:12" x14ac:dyDescent="0.25">
      <c r="A26" s="355" t="str">
        <f>Helexia!C25</f>
        <v>João Victor Meireles</v>
      </c>
      <c r="B26" s="356" t="s">
        <v>397</v>
      </c>
      <c r="C26" s="357" t="s">
        <v>316</v>
      </c>
      <c r="D26" s="358" t="s">
        <v>273</v>
      </c>
      <c r="E26" s="357" t="s">
        <v>317</v>
      </c>
      <c r="F26" s="359"/>
      <c r="G26" s="358"/>
      <c r="L26" s="87"/>
    </row>
    <row r="27" spans="1:12" x14ac:dyDescent="0.25">
      <c r="A27" s="355" t="str">
        <f>Helexia!C26</f>
        <v>Renata Salgado Motta</v>
      </c>
      <c r="B27" s="356" t="s">
        <v>328</v>
      </c>
      <c r="C27" s="357" t="s">
        <v>329</v>
      </c>
      <c r="D27" s="358" t="s">
        <v>330</v>
      </c>
      <c r="E27" s="357" t="s">
        <v>331</v>
      </c>
      <c r="F27" s="359"/>
      <c r="G27" s="358"/>
      <c r="L27" s="87"/>
    </row>
    <row r="28" spans="1:12" x14ac:dyDescent="0.25">
      <c r="A28" s="355" t="str">
        <f>Helexia!C27</f>
        <v>Igor Valente Cruz</v>
      </c>
      <c r="B28" s="356" t="s">
        <v>332</v>
      </c>
      <c r="C28" s="357" t="s">
        <v>333</v>
      </c>
      <c r="D28" s="358" t="s">
        <v>280</v>
      </c>
      <c r="E28" s="357" t="s">
        <v>281</v>
      </c>
      <c r="F28" s="359"/>
      <c r="G28" s="358"/>
      <c r="L28" s="255"/>
    </row>
    <row r="29" spans="1:12" x14ac:dyDescent="0.25">
      <c r="A29" s="355" t="str">
        <f>Helexia!C28</f>
        <v>Lucas Rafael Monte Verde Santos</v>
      </c>
      <c r="B29" s="356" t="s">
        <v>398</v>
      </c>
      <c r="C29" s="357" t="s">
        <v>334</v>
      </c>
      <c r="D29" s="358" t="s">
        <v>280</v>
      </c>
      <c r="E29" s="357" t="s">
        <v>274</v>
      </c>
      <c r="F29" s="359"/>
      <c r="G29" s="358"/>
      <c r="L29" s="87"/>
    </row>
    <row r="30" spans="1:12" x14ac:dyDescent="0.25">
      <c r="A30" s="355" t="str">
        <f>Helexia!C29</f>
        <v>Ana Beatriz Rocha Diniz</v>
      </c>
      <c r="B30" s="356" t="s">
        <v>335</v>
      </c>
      <c r="C30" s="357" t="s">
        <v>336</v>
      </c>
      <c r="D30" s="358" t="s">
        <v>337</v>
      </c>
      <c r="E30" s="357" t="s">
        <v>281</v>
      </c>
      <c r="F30" s="359"/>
      <c r="G30" s="358"/>
      <c r="L30" s="87"/>
    </row>
    <row r="31" spans="1:12" x14ac:dyDescent="0.25">
      <c r="A31" s="355" t="str">
        <f>Helexia!C30</f>
        <v>Marcelo Augusto Ferraz Pinho</v>
      </c>
      <c r="B31" s="356" t="s">
        <v>338</v>
      </c>
      <c r="C31" s="357" t="s">
        <v>339</v>
      </c>
      <c r="D31" s="358" t="s">
        <v>280</v>
      </c>
      <c r="E31" s="357" t="s">
        <v>340</v>
      </c>
      <c r="F31" s="359"/>
      <c r="G31" s="358"/>
      <c r="L31" s="87"/>
    </row>
    <row r="32" spans="1:12" x14ac:dyDescent="0.25">
      <c r="A32" s="355" t="str">
        <f>Helexia!C31</f>
        <v>Carolina Venturini Paes</v>
      </c>
      <c r="B32" s="356" t="s">
        <v>341</v>
      </c>
      <c r="C32" s="357" t="s">
        <v>316</v>
      </c>
      <c r="D32" s="358" t="s">
        <v>273</v>
      </c>
      <c r="E32" s="357" t="s">
        <v>342</v>
      </c>
      <c r="F32" s="359"/>
      <c r="G32" s="358"/>
      <c r="L32" s="87"/>
    </row>
    <row r="33" spans="1:12" x14ac:dyDescent="0.25">
      <c r="A33" s="355" t="str">
        <f>Helexia!C32</f>
        <v>Felipe Otávio Corrêa Leite</v>
      </c>
      <c r="B33" s="356" t="s">
        <v>343</v>
      </c>
      <c r="C33" s="357" t="s">
        <v>344</v>
      </c>
      <c r="D33" s="358" t="s">
        <v>280</v>
      </c>
      <c r="E33" s="357" t="s">
        <v>281</v>
      </c>
      <c r="F33" s="359"/>
      <c r="G33" s="358"/>
      <c r="L33" s="87"/>
    </row>
    <row r="34" spans="1:12" x14ac:dyDescent="0.25">
      <c r="A34" s="355" t="str">
        <f>Helexia!C33</f>
        <v>Nathalia Freire Sampaio</v>
      </c>
      <c r="B34" s="356" t="s">
        <v>345</v>
      </c>
      <c r="C34" s="357" t="s">
        <v>346</v>
      </c>
      <c r="D34" s="358" t="s">
        <v>280</v>
      </c>
      <c r="E34" s="357" t="s">
        <v>281</v>
      </c>
      <c r="F34" s="359"/>
      <c r="G34" s="358"/>
      <c r="L34" s="87"/>
    </row>
    <row r="35" spans="1:12" x14ac:dyDescent="0.25">
      <c r="A35" s="355" t="str">
        <f>Helexia!C34</f>
        <v>Roberto Caetano Nolasco</v>
      </c>
      <c r="B35" s="356" t="s">
        <v>347</v>
      </c>
      <c r="C35" s="357" t="s">
        <v>347</v>
      </c>
      <c r="D35" s="358" t="s">
        <v>347</v>
      </c>
      <c r="E35" s="357" t="s">
        <v>347</v>
      </c>
      <c r="F35" s="359"/>
      <c r="G35" s="358"/>
      <c r="L35" s="87"/>
    </row>
    <row r="36" spans="1:12" x14ac:dyDescent="0.25">
      <c r="A36" s="355" t="str">
        <f>Helexia!C35</f>
        <v>Luiza Barcellos Antunes</v>
      </c>
      <c r="B36" s="356" t="s">
        <v>347</v>
      </c>
      <c r="C36" s="357" t="s">
        <v>347</v>
      </c>
      <c r="D36" s="358" t="s">
        <v>347</v>
      </c>
      <c r="E36" s="357" t="s">
        <v>347</v>
      </c>
      <c r="F36" s="359" t="s">
        <v>321</v>
      </c>
      <c r="G36" s="358"/>
      <c r="L36" s="87"/>
    </row>
    <row r="37" spans="1:12" x14ac:dyDescent="0.25">
      <c r="A37" s="355" t="str">
        <f>Helexia!C36</f>
        <v>Pedro Henrique Alvarenga</v>
      </c>
      <c r="B37" s="356" t="s">
        <v>348</v>
      </c>
      <c r="C37" s="357" t="s">
        <v>346</v>
      </c>
      <c r="D37" s="358" t="s">
        <v>280</v>
      </c>
      <c r="E37" s="357" t="s">
        <v>274</v>
      </c>
      <c r="F37" s="359"/>
      <c r="G37" s="358"/>
      <c r="L37" s="87"/>
    </row>
    <row r="38" spans="1:12" x14ac:dyDescent="0.25">
      <c r="A38" s="355" t="str">
        <f>Helexia!C37</f>
        <v>Sofia Mendes Albuquerque</v>
      </c>
      <c r="B38" s="356" t="s">
        <v>347</v>
      </c>
      <c r="C38" s="357" t="s">
        <v>347</v>
      </c>
      <c r="D38" s="358" t="s">
        <v>347</v>
      </c>
      <c r="E38" s="357" t="s">
        <v>347</v>
      </c>
      <c r="F38" s="359"/>
      <c r="G38" s="358"/>
      <c r="L38" s="87"/>
    </row>
  </sheetData>
  <mergeCells count="1">
    <mergeCell ref="A1:G2"/>
  </mergeCells>
  <printOptions horizontalCentered="1" verticalCentered="1"/>
  <pageMargins left="0" right="0" top="0" bottom="0" header="0" footer="0"/>
  <pageSetup paperSize="9" scale="62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67808-0B7E-4DDC-8BE7-A87E295FB8C2}">
  <sheetPr codeName="Planilha6">
    <tabColor theme="3" tint="0.39997558519241921"/>
    <pageSetUpPr fitToPage="1"/>
  </sheetPr>
  <dimension ref="A1:AB45"/>
  <sheetViews>
    <sheetView view="pageBreakPreview" zoomScale="70" zoomScaleNormal="100" zoomScaleSheetLayoutView="70" workbookViewId="0">
      <selection activeCell="L30" sqref="L30"/>
    </sheetView>
  </sheetViews>
  <sheetFormatPr defaultRowHeight="15" x14ac:dyDescent="0.25"/>
  <cols>
    <col min="1" max="13" width="9.140625" style="1"/>
    <col min="14" max="14" width="30" style="1" customWidth="1"/>
    <col min="15" max="15" width="21" customWidth="1"/>
    <col min="16" max="16" width="11.7109375" customWidth="1"/>
  </cols>
  <sheetData>
    <row r="1" spans="1:28" ht="15" customHeight="1" x14ac:dyDescent="0.25">
      <c r="A1" s="287"/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287"/>
      <c r="M1" s="287"/>
      <c r="N1" s="287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7"/>
    </row>
    <row r="2" spans="1:28" ht="15" customHeight="1" x14ac:dyDescent="0.25">
      <c r="A2" s="287"/>
      <c r="B2" s="287"/>
      <c r="C2" s="287"/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7"/>
      <c r="O2" s="187"/>
      <c r="P2" s="187"/>
      <c r="Q2" s="187"/>
      <c r="R2" s="187"/>
      <c r="S2" s="187"/>
      <c r="T2" s="187"/>
      <c r="U2" s="187"/>
      <c r="V2" s="187"/>
      <c r="W2" s="187"/>
      <c r="X2" s="187"/>
      <c r="Y2" s="187"/>
      <c r="Z2" s="187"/>
      <c r="AA2" s="187"/>
      <c r="AB2" s="187"/>
    </row>
    <row r="3" spans="1:28" x14ac:dyDescent="0.25">
      <c r="A3" s="287"/>
      <c r="B3" s="287"/>
      <c r="C3" s="287"/>
      <c r="D3" s="287"/>
      <c r="E3" s="287"/>
      <c r="F3" s="287"/>
      <c r="G3" s="287"/>
      <c r="H3" s="287"/>
      <c r="I3" s="287"/>
      <c r="J3" s="287"/>
      <c r="K3" s="287"/>
      <c r="L3" s="287"/>
      <c r="M3" s="287"/>
      <c r="N3" s="287"/>
      <c r="O3" s="187"/>
      <c r="P3" s="187"/>
      <c r="Q3" s="187"/>
      <c r="R3" s="187"/>
      <c r="S3" s="187"/>
      <c r="T3" s="187"/>
      <c r="U3" s="187"/>
      <c r="V3" s="187"/>
      <c r="W3" s="187"/>
      <c r="X3" s="187"/>
      <c r="Y3" s="187"/>
      <c r="Z3" s="187"/>
      <c r="AA3" s="187"/>
      <c r="AB3" s="187"/>
    </row>
    <row r="4" spans="1:28" x14ac:dyDescent="0.25">
      <c r="A4" s="287"/>
      <c r="B4" s="287"/>
      <c r="C4" s="287"/>
      <c r="D4" s="287"/>
      <c r="E4" s="287"/>
      <c r="F4" s="287"/>
      <c r="G4" s="287"/>
      <c r="H4" s="287"/>
      <c r="I4" s="287"/>
      <c r="J4" s="287"/>
      <c r="K4" s="287"/>
      <c r="L4" s="287"/>
      <c r="M4" s="287"/>
      <c r="N4" s="287"/>
      <c r="O4" s="187"/>
      <c r="P4" s="187"/>
      <c r="Q4" s="187"/>
      <c r="R4" s="187"/>
      <c r="S4" s="187"/>
      <c r="T4" s="187"/>
      <c r="U4" s="187"/>
      <c r="V4" s="187"/>
      <c r="W4" s="187"/>
      <c r="X4" s="187"/>
      <c r="Y4" s="187"/>
      <c r="Z4" s="187"/>
      <c r="AA4" s="187"/>
      <c r="AB4" s="187"/>
    </row>
    <row r="5" spans="1:28" x14ac:dyDescent="0.25">
      <c r="A5" s="287"/>
      <c r="B5" s="287"/>
      <c r="C5" s="287"/>
      <c r="D5" s="287"/>
      <c r="E5" s="287"/>
      <c r="F5" s="287"/>
      <c r="G5" s="287"/>
      <c r="H5" s="287"/>
      <c r="I5" s="287"/>
      <c r="J5" s="287"/>
      <c r="K5" s="287"/>
      <c r="L5" s="287"/>
      <c r="M5" s="287"/>
      <c r="N5" s="287"/>
      <c r="O5" s="187"/>
      <c r="P5" s="187"/>
      <c r="Q5" s="187"/>
      <c r="R5" s="187"/>
      <c r="S5" s="187"/>
      <c r="T5" s="187"/>
      <c r="U5" s="187"/>
      <c r="V5" s="187"/>
      <c r="W5" s="187"/>
      <c r="X5" s="187"/>
      <c r="Y5" s="187"/>
      <c r="Z5" s="187"/>
      <c r="AA5" s="187"/>
      <c r="AB5" s="187"/>
    </row>
    <row r="6" spans="1:28" x14ac:dyDescent="0.25">
      <c r="A6" s="287"/>
      <c r="B6" s="287"/>
      <c r="C6" s="287"/>
      <c r="D6" s="287"/>
      <c r="E6" s="287"/>
      <c r="F6" s="287"/>
      <c r="G6" s="287"/>
      <c r="H6" s="287"/>
      <c r="I6" s="287"/>
      <c r="J6" s="287"/>
      <c r="K6" s="287"/>
      <c r="L6" s="287"/>
      <c r="M6" s="287"/>
      <c r="N6" s="287"/>
      <c r="O6" s="187"/>
      <c r="P6" s="187"/>
      <c r="Q6" s="187"/>
      <c r="R6" s="187"/>
      <c r="S6" s="187"/>
      <c r="T6" s="187"/>
      <c r="U6" s="187"/>
      <c r="V6" s="187"/>
      <c r="W6" s="187"/>
      <c r="X6" s="187"/>
      <c r="Y6" s="187"/>
      <c r="Z6" s="187"/>
      <c r="AA6" s="187"/>
      <c r="AB6" s="187"/>
    </row>
    <row r="7" spans="1:28" x14ac:dyDescent="0.25">
      <c r="A7" s="287"/>
      <c r="B7" s="287"/>
      <c r="C7" s="287"/>
      <c r="D7" s="287"/>
      <c r="E7" s="287"/>
      <c r="F7" s="287"/>
      <c r="G7" s="287"/>
      <c r="H7" s="287"/>
      <c r="I7" s="287"/>
      <c r="J7" s="287"/>
      <c r="K7" s="287"/>
      <c r="L7" s="287"/>
      <c r="M7" s="287"/>
      <c r="N7" s="287"/>
      <c r="O7" s="187"/>
      <c r="P7" s="187"/>
      <c r="Q7" s="187"/>
      <c r="R7" s="187"/>
      <c r="S7" s="187"/>
      <c r="T7" s="187"/>
      <c r="U7" s="187"/>
      <c r="V7" s="187"/>
      <c r="W7" s="187"/>
      <c r="X7" s="187"/>
      <c r="Y7" s="187"/>
      <c r="Z7" s="187"/>
      <c r="AA7" s="187"/>
      <c r="AB7" s="187"/>
    </row>
    <row r="8" spans="1:28" x14ac:dyDescent="0.25">
      <c r="A8" s="287"/>
      <c r="B8" s="287"/>
      <c r="C8" s="287"/>
      <c r="D8" s="287"/>
      <c r="E8" s="287"/>
      <c r="F8" s="287"/>
      <c r="G8" s="287"/>
      <c r="H8" s="287"/>
      <c r="I8" s="287"/>
      <c r="J8" s="287"/>
      <c r="K8" s="287"/>
      <c r="L8" s="287"/>
      <c r="M8" s="287"/>
      <c r="N8" s="287"/>
      <c r="O8" s="187"/>
      <c r="P8" s="187"/>
      <c r="Q8" s="187"/>
      <c r="R8" s="187"/>
      <c r="S8" s="187"/>
      <c r="T8" s="187"/>
      <c r="U8" s="187"/>
      <c r="V8" s="187"/>
      <c r="W8" s="187"/>
      <c r="X8" s="187"/>
      <c r="Y8" s="187"/>
      <c r="Z8" s="187"/>
      <c r="AA8" s="187"/>
      <c r="AB8" s="187"/>
    </row>
    <row r="9" spans="1:28" x14ac:dyDescent="0.25">
      <c r="A9" s="287"/>
      <c r="B9" s="287"/>
      <c r="C9" s="287"/>
      <c r="D9" s="287"/>
      <c r="E9" s="287"/>
      <c r="F9" s="287"/>
      <c r="G9" s="287"/>
      <c r="H9" s="287"/>
      <c r="I9" s="287"/>
      <c r="J9" s="287"/>
      <c r="K9" s="287"/>
      <c r="L9" s="287"/>
      <c r="M9" s="287"/>
      <c r="N9" s="287"/>
      <c r="O9" s="187"/>
      <c r="P9" s="187"/>
      <c r="Q9" s="187"/>
      <c r="R9" s="187"/>
      <c r="S9" s="187"/>
      <c r="T9" s="187"/>
      <c r="U9" s="187"/>
      <c r="V9" s="187"/>
      <c r="W9" s="187"/>
      <c r="X9" s="187"/>
      <c r="Y9" s="187"/>
      <c r="Z9" s="187"/>
      <c r="AA9" s="187"/>
      <c r="AB9" s="187"/>
    </row>
    <row r="10" spans="1:28" x14ac:dyDescent="0.25">
      <c r="A10" s="287"/>
      <c r="B10" s="287"/>
      <c r="C10" s="287"/>
      <c r="D10" s="287"/>
      <c r="E10" s="287"/>
      <c r="F10" s="287"/>
      <c r="G10" s="287"/>
      <c r="H10" s="287"/>
      <c r="I10" s="287"/>
      <c r="J10" s="287"/>
      <c r="K10" s="287"/>
      <c r="L10" s="287"/>
      <c r="M10" s="287"/>
      <c r="N10" s="287"/>
      <c r="O10" s="187"/>
      <c r="P10" s="187"/>
      <c r="Q10" s="187"/>
      <c r="R10" s="187"/>
      <c r="S10" s="187"/>
      <c r="T10" s="187"/>
      <c r="U10" s="187"/>
      <c r="V10" s="187"/>
      <c r="W10" s="187"/>
      <c r="X10" s="187"/>
      <c r="Y10" s="187"/>
      <c r="Z10" s="187"/>
      <c r="AA10" s="187"/>
      <c r="AB10" s="187"/>
    </row>
    <row r="11" spans="1:28" x14ac:dyDescent="0.25">
      <c r="A11" s="287"/>
      <c r="B11" s="287"/>
      <c r="C11" s="287"/>
      <c r="D11" s="287"/>
      <c r="E11" s="287"/>
      <c r="F11" s="287"/>
      <c r="G11" s="287"/>
      <c r="H11" s="287"/>
      <c r="I11" s="287"/>
      <c r="J11" s="287"/>
      <c r="K11" s="287"/>
      <c r="L11" s="287"/>
      <c r="M11" s="287"/>
      <c r="N11" s="287"/>
      <c r="O11" s="187"/>
      <c r="P11" s="187"/>
      <c r="Q11" s="187"/>
      <c r="R11" s="187"/>
      <c r="S11" s="187"/>
      <c r="T11" s="187"/>
      <c r="U11" s="187"/>
      <c r="V11" s="187"/>
      <c r="W11" s="187"/>
      <c r="X11" s="187"/>
      <c r="Y11" s="187"/>
      <c r="Z11" s="187"/>
      <c r="AA11" s="187"/>
      <c r="AB11" s="187"/>
    </row>
    <row r="12" spans="1:28" x14ac:dyDescent="0.25">
      <c r="A12" s="287"/>
      <c r="B12" s="287"/>
      <c r="C12" s="287"/>
      <c r="D12" s="287"/>
      <c r="E12" s="287"/>
      <c r="F12" s="287"/>
      <c r="G12" s="287"/>
      <c r="H12" s="287"/>
      <c r="I12" s="287"/>
      <c r="J12" s="287"/>
      <c r="K12" s="287"/>
      <c r="L12" s="287"/>
      <c r="M12" s="287"/>
      <c r="N12" s="287"/>
      <c r="O12" s="187"/>
      <c r="P12" s="187"/>
      <c r="Q12" s="187"/>
      <c r="R12" s="187"/>
      <c r="S12" s="187"/>
      <c r="T12" s="187"/>
      <c r="U12" s="187"/>
      <c r="V12" s="187"/>
      <c r="W12" s="187"/>
      <c r="X12" s="187"/>
      <c r="Y12" s="187"/>
      <c r="Z12" s="187"/>
      <c r="AA12" s="187"/>
      <c r="AB12" s="187"/>
    </row>
    <row r="13" spans="1:28" x14ac:dyDescent="0.25">
      <c r="A13" s="287"/>
      <c r="B13" s="287"/>
      <c r="C13" s="287"/>
      <c r="D13" s="287"/>
      <c r="E13" s="287"/>
      <c r="F13" s="287"/>
      <c r="G13" s="287"/>
      <c r="H13" s="287"/>
      <c r="I13" s="287"/>
      <c r="J13" s="287"/>
      <c r="K13" s="287"/>
      <c r="L13" s="287"/>
      <c r="M13" s="287"/>
      <c r="N13" s="287"/>
      <c r="O13" s="187"/>
      <c r="P13" s="187"/>
      <c r="Q13" s="187"/>
      <c r="R13" s="187"/>
      <c r="S13" s="187"/>
      <c r="T13" s="187"/>
      <c r="U13" s="187"/>
      <c r="V13" s="187"/>
      <c r="W13" s="187"/>
      <c r="X13" s="187"/>
      <c r="Y13" s="187"/>
      <c r="Z13" s="187"/>
      <c r="AA13" s="187"/>
      <c r="AB13" s="187"/>
    </row>
    <row r="14" spans="1:28" x14ac:dyDescent="0.25">
      <c r="A14" s="287"/>
      <c r="B14" s="287"/>
      <c r="C14" s="287"/>
      <c r="D14" s="287"/>
      <c r="E14" s="287"/>
      <c r="F14" s="287"/>
      <c r="G14" s="287"/>
      <c r="H14" s="287"/>
      <c r="I14" s="287"/>
      <c r="J14" s="287"/>
      <c r="K14" s="287"/>
      <c r="L14" s="287"/>
      <c r="M14" s="287"/>
      <c r="N14" s="287"/>
      <c r="O14" s="187"/>
      <c r="P14" s="187"/>
      <c r="Q14" s="187"/>
      <c r="R14" s="187"/>
      <c r="S14" s="187"/>
      <c r="T14" s="187"/>
      <c r="U14" s="187"/>
      <c r="V14" s="187"/>
      <c r="W14" s="187"/>
      <c r="X14" s="187"/>
      <c r="Y14" s="187"/>
      <c r="Z14" s="187"/>
      <c r="AA14" s="187"/>
      <c r="AB14" s="187"/>
    </row>
    <row r="15" spans="1:28" x14ac:dyDescent="0.25">
      <c r="A15" s="287"/>
      <c r="B15" s="287"/>
      <c r="C15" s="287"/>
      <c r="D15" s="287"/>
      <c r="E15" s="287"/>
      <c r="F15" s="287"/>
      <c r="G15" s="287"/>
      <c r="H15" s="287"/>
      <c r="I15" s="287"/>
      <c r="J15" s="287"/>
      <c r="K15" s="287"/>
      <c r="L15" s="287"/>
      <c r="M15" s="287"/>
      <c r="N15" s="287"/>
      <c r="O15" s="187"/>
      <c r="P15" s="187"/>
      <c r="Q15" s="187"/>
      <c r="R15" s="187"/>
      <c r="S15" s="187"/>
      <c r="T15" s="187"/>
      <c r="U15" s="187"/>
      <c r="V15" s="187"/>
      <c r="W15" s="187"/>
      <c r="X15" s="187"/>
      <c r="Y15" s="187"/>
      <c r="Z15" s="187"/>
      <c r="AA15" s="187"/>
      <c r="AB15" s="187"/>
    </row>
    <row r="16" spans="1:28" x14ac:dyDescent="0.25">
      <c r="A16" s="287"/>
      <c r="B16" s="287"/>
      <c r="C16" s="287"/>
      <c r="D16" s="287"/>
      <c r="E16" s="287"/>
      <c r="F16" s="287"/>
      <c r="G16" s="287"/>
      <c r="H16" s="287"/>
      <c r="I16" s="287"/>
      <c r="J16" s="287"/>
      <c r="K16" s="287"/>
      <c r="L16" s="287"/>
      <c r="M16" s="287"/>
      <c r="N16" s="287"/>
      <c r="O16" s="187"/>
      <c r="P16" s="187"/>
      <c r="Q16" s="187"/>
      <c r="R16" s="187"/>
      <c r="S16" s="187"/>
      <c r="T16" s="187"/>
      <c r="U16" s="187"/>
      <c r="V16" s="187"/>
      <c r="W16" s="187"/>
      <c r="X16" s="187"/>
      <c r="Y16" s="187"/>
      <c r="Z16" s="187"/>
      <c r="AA16" s="187"/>
      <c r="AB16" s="187"/>
    </row>
    <row r="17" spans="1:28" x14ac:dyDescent="0.25">
      <c r="A17" s="287"/>
      <c r="B17" s="287"/>
      <c r="C17" s="287"/>
      <c r="D17" s="287"/>
      <c r="E17" s="287"/>
      <c r="F17" s="287"/>
      <c r="G17" s="287"/>
      <c r="H17" s="287"/>
      <c r="I17" s="287"/>
      <c r="J17" s="287"/>
      <c r="K17" s="287"/>
      <c r="L17" s="287"/>
      <c r="M17" s="287"/>
      <c r="N17" s="287"/>
      <c r="O17" s="187"/>
      <c r="P17" s="187"/>
      <c r="Q17" s="187"/>
      <c r="R17" s="187"/>
      <c r="S17" s="187"/>
      <c r="T17" s="187"/>
      <c r="U17" s="187"/>
      <c r="V17" s="187"/>
      <c r="W17" s="187"/>
      <c r="X17" s="187"/>
      <c r="Y17" s="187"/>
      <c r="Z17" s="187"/>
      <c r="AA17" s="187"/>
      <c r="AB17" s="187"/>
    </row>
    <row r="18" spans="1:28" x14ac:dyDescent="0.25">
      <c r="A18" s="287"/>
      <c r="B18" s="287"/>
      <c r="C18" s="287"/>
      <c r="D18" s="287"/>
      <c r="E18" s="287"/>
      <c r="F18" s="287"/>
      <c r="G18" s="287"/>
      <c r="H18" s="287"/>
      <c r="I18" s="287"/>
      <c r="J18" s="287"/>
      <c r="K18" s="287"/>
      <c r="L18" s="287"/>
      <c r="M18" s="287"/>
      <c r="N18" s="287"/>
      <c r="O18" s="187"/>
      <c r="P18" s="187"/>
      <c r="Q18" s="187"/>
      <c r="R18" s="187"/>
      <c r="S18" s="187"/>
      <c r="T18" s="187"/>
      <c r="U18" s="187"/>
      <c r="V18" s="187"/>
      <c r="W18" s="187"/>
      <c r="X18" s="187"/>
      <c r="Y18" s="187"/>
      <c r="Z18" s="187"/>
      <c r="AA18" s="187"/>
      <c r="AB18" s="187"/>
    </row>
    <row r="19" spans="1:28" x14ac:dyDescent="0.25">
      <c r="A19" s="287"/>
      <c r="B19" s="287"/>
      <c r="C19" s="287"/>
      <c r="D19" s="287"/>
      <c r="E19" s="287"/>
      <c r="F19" s="287"/>
      <c r="G19" s="287"/>
      <c r="H19" s="287"/>
      <c r="I19" s="287"/>
      <c r="J19" s="287"/>
      <c r="K19" s="287"/>
      <c r="L19" s="287"/>
      <c r="M19" s="287"/>
      <c r="N19" s="287"/>
      <c r="O19" s="187"/>
      <c r="P19" s="187"/>
      <c r="Q19" s="187"/>
      <c r="R19" s="187"/>
      <c r="S19" s="187"/>
      <c r="T19" s="187"/>
      <c r="U19" s="187"/>
      <c r="V19" s="187"/>
      <c r="W19" s="187"/>
      <c r="X19" s="187"/>
      <c r="Y19" s="187"/>
      <c r="Z19" s="187"/>
      <c r="AA19" s="187"/>
      <c r="AB19" s="187"/>
    </row>
    <row r="20" spans="1:28" x14ac:dyDescent="0.25">
      <c r="A20" s="287"/>
      <c r="B20" s="287"/>
      <c r="C20" s="287"/>
      <c r="D20" s="287"/>
      <c r="E20" s="287"/>
      <c r="F20" s="287"/>
      <c r="G20" s="287"/>
      <c r="H20" s="287"/>
      <c r="I20" s="287"/>
      <c r="J20" s="287"/>
      <c r="K20" s="287"/>
      <c r="L20" s="287"/>
      <c r="M20" s="287"/>
      <c r="N20" s="287"/>
      <c r="O20" s="187"/>
      <c r="P20" s="187"/>
      <c r="Q20" s="187"/>
      <c r="R20" s="187"/>
      <c r="S20" s="187"/>
      <c r="T20" s="187"/>
      <c r="U20" s="187"/>
      <c r="V20" s="187"/>
      <c r="W20" s="187"/>
      <c r="X20" s="187"/>
      <c r="Y20" s="187"/>
      <c r="Z20" s="187"/>
      <c r="AA20" s="187"/>
      <c r="AB20" s="187"/>
    </row>
    <row r="21" spans="1:28" x14ac:dyDescent="0.25">
      <c r="A21" s="287"/>
      <c r="B21" s="287"/>
      <c r="C21" s="287"/>
      <c r="D21" s="287"/>
      <c r="E21" s="287"/>
      <c r="F21" s="287"/>
      <c r="G21" s="287"/>
      <c r="H21" s="287"/>
      <c r="I21" s="287"/>
      <c r="J21" s="287"/>
      <c r="K21" s="287"/>
      <c r="L21" s="287"/>
      <c r="M21" s="287"/>
      <c r="N21" s="287"/>
      <c r="O21" s="187"/>
      <c r="P21" s="187"/>
      <c r="Q21" s="187"/>
      <c r="R21" s="187"/>
      <c r="S21" s="187"/>
      <c r="T21" s="187"/>
      <c r="U21" s="187"/>
      <c r="V21" s="187"/>
      <c r="W21" s="187"/>
      <c r="X21" s="187"/>
      <c r="Y21" s="187"/>
      <c r="Z21" s="187"/>
      <c r="AA21" s="187"/>
      <c r="AB21" s="187"/>
    </row>
    <row r="22" spans="1:28" x14ac:dyDescent="0.25">
      <c r="A22" s="287"/>
      <c r="B22" s="287"/>
      <c r="C22" s="287"/>
      <c r="D22" s="287"/>
      <c r="E22" s="287"/>
      <c r="F22" s="287"/>
      <c r="G22" s="287"/>
      <c r="H22" s="287"/>
      <c r="I22" s="287"/>
      <c r="J22" s="287"/>
      <c r="K22" s="287"/>
      <c r="L22" s="287"/>
      <c r="M22" s="287"/>
      <c r="N22" s="287"/>
      <c r="O22" s="187"/>
      <c r="P22" s="187"/>
      <c r="Q22" s="187"/>
      <c r="R22" s="187"/>
      <c r="S22" s="187"/>
      <c r="T22" s="187"/>
      <c r="U22" s="187"/>
      <c r="V22" s="187"/>
      <c r="W22" s="187"/>
      <c r="X22" s="187"/>
      <c r="Y22" s="187"/>
      <c r="Z22" s="187"/>
      <c r="AA22" s="187"/>
      <c r="AB22" s="187"/>
    </row>
    <row r="23" spans="1:28" x14ac:dyDescent="0.25">
      <c r="A23" s="287"/>
      <c r="B23" s="287"/>
      <c r="C23" s="287"/>
      <c r="D23" s="287"/>
      <c r="E23" s="287"/>
      <c r="F23" s="287"/>
      <c r="G23" s="287"/>
      <c r="H23" s="287"/>
      <c r="I23" s="287"/>
      <c r="J23" s="287"/>
      <c r="K23" s="287"/>
      <c r="L23" s="287"/>
      <c r="M23" s="287"/>
      <c r="N23" s="287"/>
      <c r="O23" s="187"/>
      <c r="P23" s="187"/>
      <c r="Q23" s="187"/>
      <c r="R23" s="187"/>
      <c r="S23" s="187"/>
      <c r="T23" s="187"/>
      <c r="U23" s="187"/>
      <c r="V23" s="187"/>
      <c r="W23" s="187"/>
      <c r="X23" s="187"/>
      <c r="Y23" s="187"/>
      <c r="Z23" s="187"/>
      <c r="AA23" s="187"/>
      <c r="AB23" s="187"/>
    </row>
    <row r="24" spans="1:28" x14ac:dyDescent="0.25">
      <c r="A24" s="287"/>
      <c r="B24" s="287"/>
      <c r="C24" s="287"/>
      <c r="D24" s="287"/>
      <c r="E24" s="287"/>
      <c r="F24" s="287"/>
      <c r="G24" s="287"/>
      <c r="H24" s="287"/>
      <c r="I24" s="287"/>
      <c r="J24" s="287"/>
      <c r="K24" s="287"/>
      <c r="L24" s="287"/>
      <c r="M24" s="287"/>
      <c r="N24" s="287"/>
      <c r="O24" s="187"/>
      <c r="P24" s="187"/>
      <c r="Q24" s="187"/>
      <c r="R24" s="187"/>
      <c r="S24" s="187"/>
      <c r="T24" s="187"/>
      <c r="U24" s="187"/>
      <c r="V24" s="187"/>
      <c r="W24" s="187"/>
      <c r="X24" s="187"/>
      <c r="Y24" s="187"/>
      <c r="Z24" s="187"/>
      <c r="AA24" s="187"/>
      <c r="AB24" s="187"/>
    </row>
    <row r="25" spans="1:28" x14ac:dyDescent="0.25">
      <c r="A25" s="287"/>
      <c r="B25" s="287"/>
      <c r="C25" s="287"/>
      <c r="D25" s="287"/>
      <c r="E25" s="287"/>
      <c r="F25" s="287"/>
      <c r="G25" s="287"/>
      <c r="H25" s="287"/>
      <c r="I25" s="287"/>
      <c r="J25" s="287"/>
      <c r="K25" s="287"/>
      <c r="L25" s="287"/>
      <c r="M25" s="287"/>
      <c r="N25" s="287"/>
      <c r="O25" s="187"/>
      <c r="P25" s="187"/>
      <c r="Q25" s="187"/>
      <c r="R25" s="187"/>
      <c r="S25" s="187"/>
      <c r="T25" s="187"/>
      <c r="U25" s="187"/>
      <c r="V25" s="187"/>
      <c r="W25" s="187"/>
      <c r="X25" s="187"/>
      <c r="Y25" s="187"/>
      <c r="Z25" s="187"/>
      <c r="AA25" s="187"/>
      <c r="AB25" s="187"/>
    </row>
    <row r="26" spans="1:28" x14ac:dyDescent="0.25">
      <c r="A26" s="287"/>
      <c r="B26" s="287"/>
      <c r="C26" s="287"/>
      <c r="D26" s="287"/>
      <c r="E26" s="287"/>
      <c r="F26" s="287"/>
      <c r="G26" s="287"/>
      <c r="H26" s="287"/>
      <c r="I26" s="287"/>
      <c r="J26" s="287"/>
      <c r="K26" s="287"/>
      <c r="L26" s="287"/>
      <c r="M26" s="287"/>
      <c r="N26" s="287"/>
      <c r="O26" s="187"/>
      <c r="P26" s="187"/>
      <c r="Q26" s="187"/>
      <c r="R26" s="187"/>
      <c r="S26" s="187"/>
      <c r="T26" s="187"/>
      <c r="U26" s="187"/>
      <c r="V26" s="187"/>
      <c r="W26" s="187"/>
      <c r="X26" s="187"/>
      <c r="Y26" s="187"/>
      <c r="Z26" s="187"/>
      <c r="AA26" s="187"/>
      <c r="AB26" s="187"/>
    </row>
    <row r="27" spans="1:28" x14ac:dyDescent="0.25">
      <c r="A27" s="287"/>
      <c r="B27" s="287"/>
      <c r="C27" s="287"/>
      <c r="D27" s="287"/>
      <c r="E27" s="287"/>
      <c r="F27" s="287"/>
      <c r="G27" s="287"/>
      <c r="H27" s="287"/>
      <c r="I27" s="287"/>
      <c r="J27" s="287"/>
      <c r="K27" s="287"/>
      <c r="L27" s="287"/>
      <c r="M27" s="287"/>
      <c r="N27" s="287"/>
      <c r="O27" s="187"/>
      <c r="P27" s="187"/>
      <c r="Q27" s="187"/>
      <c r="R27" s="187"/>
      <c r="S27" s="187"/>
      <c r="T27" s="187"/>
      <c r="U27" s="187"/>
      <c r="V27" s="187"/>
      <c r="W27" s="187"/>
      <c r="X27" s="187"/>
      <c r="Y27" s="187"/>
      <c r="Z27" s="187"/>
      <c r="AA27" s="187"/>
      <c r="AB27" s="187"/>
    </row>
    <row r="28" spans="1:28" x14ac:dyDescent="0.25">
      <c r="A28" s="287"/>
      <c r="B28" s="287"/>
      <c r="C28" s="287"/>
      <c r="D28" s="287"/>
      <c r="E28" s="287"/>
      <c r="F28" s="287"/>
      <c r="G28" s="287"/>
      <c r="H28" s="287"/>
      <c r="I28" s="287"/>
      <c r="J28" s="287"/>
      <c r="K28" s="287"/>
      <c r="L28" s="287"/>
      <c r="M28" s="287"/>
      <c r="N28" s="287"/>
      <c r="O28" s="187"/>
      <c r="P28" s="187"/>
    </row>
    <row r="29" spans="1:28" x14ac:dyDescent="0.25">
      <c r="A29" s="287"/>
      <c r="B29" s="287"/>
      <c r="C29" s="287"/>
      <c r="D29" s="287"/>
      <c r="E29" s="287"/>
      <c r="F29" s="287"/>
      <c r="G29" s="287"/>
      <c r="H29" s="287"/>
      <c r="I29" s="287"/>
      <c r="J29" s="287"/>
      <c r="K29" s="287"/>
      <c r="L29" s="287"/>
      <c r="M29" s="287"/>
      <c r="N29" s="287"/>
      <c r="O29" s="187"/>
      <c r="P29" s="187"/>
    </row>
    <row r="30" spans="1:28" x14ac:dyDescent="0.25">
      <c r="A30" s="287"/>
      <c r="B30" s="287"/>
      <c r="C30" s="287"/>
      <c r="D30" s="287"/>
      <c r="E30" s="287"/>
      <c r="F30" s="287"/>
      <c r="G30" s="287"/>
      <c r="H30" s="287"/>
      <c r="I30" s="287"/>
      <c r="J30" s="287"/>
      <c r="K30" s="287"/>
      <c r="L30" s="287"/>
      <c r="M30" s="287"/>
      <c r="N30" s="287"/>
      <c r="O30" s="187"/>
      <c r="P30" s="187"/>
    </row>
    <row r="31" spans="1:28" x14ac:dyDescent="0.25">
      <c r="A31" s="287"/>
      <c r="B31" s="287"/>
      <c r="C31" s="287"/>
      <c r="D31" s="287"/>
      <c r="E31" s="287"/>
      <c r="F31" s="287"/>
      <c r="G31" s="287"/>
      <c r="H31" s="287"/>
      <c r="I31" s="287"/>
      <c r="J31" s="287"/>
      <c r="K31" s="287"/>
      <c r="L31" s="287"/>
      <c r="M31" s="287"/>
      <c r="N31" s="287"/>
      <c r="O31" s="187"/>
      <c r="P31" s="187"/>
    </row>
    <row r="32" spans="1:28" x14ac:dyDescent="0.25">
      <c r="A32" s="287"/>
      <c r="B32" s="287"/>
      <c r="C32" s="287"/>
      <c r="D32" s="287"/>
      <c r="E32" s="287"/>
      <c r="F32" s="287"/>
      <c r="G32" s="287"/>
      <c r="H32" s="287"/>
      <c r="I32" s="287"/>
      <c r="J32" s="287"/>
      <c r="K32" s="287"/>
      <c r="L32" s="287"/>
      <c r="M32" s="287"/>
      <c r="N32" s="287"/>
      <c r="O32" s="187"/>
      <c r="P32" s="187"/>
    </row>
    <row r="33" spans="1:16" x14ac:dyDescent="0.25">
      <c r="A33" s="287"/>
      <c r="B33" s="287"/>
      <c r="C33" s="287"/>
      <c r="D33" s="287"/>
      <c r="E33" s="287"/>
      <c r="F33" s="287"/>
      <c r="G33" s="287"/>
      <c r="H33" s="287"/>
      <c r="I33" s="287"/>
      <c r="J33" s="287"/>
      <c r="K33" s="287"/>
      <c r="L33" s="287"/>
      <c r="M33" s="287"/>
      <c r="N33" s="287"/>
      <c r="O33" s="187"/>
      <c r="P33" s="187"/>
    </row>
    <row r="34" spans="1:16" x14ac:dyDescent="0.25">
      <c r="A34" s="287"/>
      <c r="B34" s="287"/>
      <c r="C34" s="287"/>
      <c r="D34" s="287"/>
      <c r="E34" s="287"/>
      <c r="F34" s="287"/>
      <c r="G34" s="287"/>
      <c r="H34" s="287"/>
      <c r="I34" s="287"/>
      <c r="J34" s="287"/>
      <c r="K34" s="287"/>
      <c r="L34" s="287"/>
      <c r="M34" s="287"/>
      <c r="N34" s="287"/>
      <c r="O34" s="187"/>
      <c r="P34" s="187"/>
    </row>
    <row r="35" spans="1:16" x14ac:dyDescent="0.25">
      <c r="A35" s="287"/>
      <c r="B35" s="287"/>
      <c r="C35" s="287"/>
      <c r="D35" s="287"/>
      <c r="E35" s="287"/>
      <c r="F35" s="287"/>
      <c r="G35" s="287"/>
      <c r="H35" s="287"/>
      <c r="I35" s="287"/>
      <c r="J35" s="287"/>
      <c r="K35" s="287"/>
      <c r="L35" s="287"/>
      <c r="M35" s="287"/>
      <c r="N35" s="287"/>
      <c r="O35" s="187"/>
      <c r="P35" s="187"/>
    </row>
    <row r="36" spans="1:16" x14ac:dyDescent="0.25">
      <c r="A36" s="287"/>
      <c r="B36" s="287"/>
      <c r="C36" s="287"/>
      <c r="D36" s="287"/>
      <c r="E36" s="287"/>
      <c r="F36" s="287"/>
      <c r="G36" s="287"/>
      <c r="H36" s="287"/>
      <c r="I36" s="287"/>
      <c r="J36" s="287"/>
      <c r="K36" s="287"/>
      <c r="L36" s="287"/>
      <c r="M36" s="287"/>
      <c r="N36" s="287"/>
      <c r="O36" s="187"/>
      <c r="P36" s="187"/>
    </row>
    <row r="37" spans="1:16" x14ac:dyDescent="0.25">
      <c r="A37" s="287"/>
      <c r="B37" s="287"/>
      <c r="C37" s="287"/>
      <c r="D37" s="287"/>
      <c r="E37" s="287"/>
      <c r="F37" s="287"/>
      <c r="G37" s="287"/>
      <c r="H37" s="287"/>
      <c r="I37" s="287"/>
      <c r="J37" s="287"/>
      <c r="K37" s="287"/>
      <c r="L37" s="287"/>
      <c r="M37" s="287"/>
      <c r="N37" s="287"/>
      <c r="O37" s="187"/>
      <c r="P37" s="187"/>
    </row>
    <row r="38" spans="1:16" x14ac:dyDescent="0.25">
      <c r="A38" s="287"/>
      <c r="B38" s="287"/>
      <c r="C38" s="287"/>
      <c r="D38" s="287"/>
      <c r="E38" s="287"/>
      <c r="F38" s="287"/>
      <c r="G38" s="287"/>
      <c r="H38" s="287"/>
      <c r="I38" s="287"/>
      <c r="J38" s="287"/>
      <c r="K38" s="287"/>
      <c r="L38" s="287"/>
      <c r="M38" s="287"/>
      <c r="N38" s="287"/>
      <c r="O38" s="187"/>
      <c r="P38" s="187"/>
    </row>
    <row r="39" spans="1:16" x14ac:dyDescent="0.25">
      <c r="A39" s="287"/>
      <c r="B39" s="287"/>
      <c r="C39" s="287"/>
      <c r="D39" s="287"/>
      <c r="E39" s="287"/>
      <c r="F39" s="287"/>
      <c r="G39" s="287"/>
      <c r="H39" s="287"/>
      <c r="I39" s="287"/>
      <c r="J39" s="287"/>
      <c r="K39" s="287"/>
      <c r="L39" s="287"/>
      <c r="M39" s="287"/>
      <c r="N39" s="287"/>
      <c r="O39" s="187"/>
      <c r="P39" s="187"/>
    </row>
    <row r="40" spans="1:16" x14ac:dyDescent="0.25">
      <c r="A40" s="287"/>
      <c r="B40" s="287"/>
      <c r="C40" s="287"/>
      <c r="D40" s="287"/>
      <c r="E40" s="287"/>
      <c r="F40" s="287"/>
      <c r="G40" s="287"/>
      <c r="H40" s="287"/>
      <c r="I40" s="287"/>
      <c r="J40" s="287"/>
      <c r="K40" s="287"/>
      <c r="L40" s="287"/>
      <c r="M40" s="287"/>
      <c r="N40" s="287"/>
      <c r="O40" s="187"/>
      <c r="P40" s="187"/>
    </row>
    <row r="41" spans="1:16" x14ac:dyDescent="0.25">
      <c r="A41" s="287"/>
      <c r="B41" s="287"/>
      <c r="C41" s="287"/>
      <c r="D41" s="287"/>
      <c r="E41" s="287"/>
      <c r="F41" s="287"/>
      <c r="G41" s="287"/>
      <c r="H41" s="287"/>
      <c r="I41" s="287"/>
      <c r="J41" s="287"/>
      <c r="K41" s="287"/>
      <c r="L41" s="121"/>
      <c r="M41" s="287"/>
      <c r="N41" s="287"/>
      <c r="O41" s="187"/>
      <c r="P41" s="187"/>
    </row>
    <row r="42" spans="1:16" x14ac:dyDescent="0.25">
      <c r="L42" s="121"/>
    </row>
    <row r="43" spans="1:16" x14ac:dyDescent="0.25">
      <c r="L43" s="121"/>
    </row>
    <row r="44" spans="1:16" x14ac:dyDescent="0.25">
      <c r="L44" s="121"/>
    </row>
    <row r="45" spans="1:16" x14ac:dyDescent="0.25">
      <c r="J45" s="256"/>
      <c r="K45" s="288"/>
      <c r="L45" s="121"/>
    </row>
  </sheetData>
  <printOptions horizontalCentered="1" verticalCentered="1"/>
  <pageMargins left="0" right="0" top="0" bottom="0" header="0" footer="0"/>
  <pageSetup paperSize="9" scale="50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F71B6-C569-456B-9E13-87324C981BA2}">
  <sheetPr codeName="Planilha7">
    <tabColor theme="3" tint="0.39997558519241921"/>
    <pageSetUpPr fitToPage="1"/>
  </sheetPr>
  <dimension ref="A1:M53"/>
  <sheetViews>
    <sheetView view="pageBreakPreview" zoomScale="55" zoomScaleNormal="55" zoomScaleSheetLayoutView="55" workbookViewId="0">
      <selection activeCell="E44" sqref="E44"/>
    </sheetView>
  </sheetViews>
  <sheetFormatPr defaultRowHeight="15" x14ac:dyDescent="0.25"/>
  <cols>
    <col min="1" max="1" width="3.7109375" bestFit="1" customWidth="1"/>
    <col min="2" max="2" width="25.42578125" customWidth="1"/>
    <col min="3" max="3" width="12.28515625" bestFit="1" customWidth="1"/>
    <col min="4" max="4" width="5.5703125" bestFit="1" customWidth="1"/>
    <col min="5" max="5" width="20.140625" bestFit="1" customWidth="1"/>
    <col min="6" max="6" width="17" bestFit="1" customWidth="1"/>
    <col min="7" max="7" width="34.85546875" bestFit="1" customWidth="1"/>
    <col min="8" max="8" width="38.85546875" bestFit="1" customWidth="1"/>
    <col min="9" max="9" width="29.42578125" bestFit="1" customWidth="1"/>
    <col min="10" max="10" width="20.140625" bestFit="1" customWidth="1"/>
    <col min="11" max="11" width="10.85546875" bestFit="1" customWidth="1"/>
    <col min="12" max="12" width="14.140625" bestFit="1" customWidth="1"/>
    <col min="13" max="13" width="20.85546875" bestFit="1" customWidth="1"/>
  </cols>
  <sheetData>
    <row r="1" spans="1:13" ht="51.75" customHeight="1" x14ac:dyDescent="0.25">
      <c r="A1" s="444" t="s">
        <v>176</v>
      </c>
      <c r="B1" s="445"/>
      <c r="C1" s="445"/>
      <c r="D1" s="445"/>
      <c r="E1" s="445"/>
      <c r="F1" s="445"/>
      <c r="G1" s="445"/>
      <c r="H1" s="445"/>
      <c r="I1" s="445"/>
      <c r="J1" s="445"/>
      <c r="K1" s="445"/>
      <c r="L1" s="445"/>
      <c r="M1" s="446"/>
    </row>
    <row r="2" spans="1:13" ht="15.75" x14ac:dyDescent="0.25">
      <c r="A2" s="257" t="s">
        <v>177</v>
      </c>
      <c r="B2" s="257" t="s">
        <v>178</v>
      </c>
      <c r="C2" s="258" t="s">
        <v>179</v>
      </c>
      <c r="D2" s="259" t="s">
        <v>98</v>
      </c>
      <c r="E2" s="259" t="s">
        <v>180</v>
      </c>
      <c r="F2" s="259" t="s">
        <v>181</v>
      </c>
      <c r="G2" s="259" t="s">
        <v>182</v>
      </c>
      <c r="H2" s="260" t="s">
        <v>136</v>
      </c>
      <c r="I2" s="259" t="s">
        <v>183</v>
      </c>
      <c r="J2" s="259" t="s">
        <v>184</v>
      </c>
      <c r="K2" s="259" t="s">
        <v>185</v>
      </c>
      <c r="L2" s="259" t="s">
        <v>186</v>
      </c>
      <c r="M2" s="259" t="s">
        <v>187</v>
      </c>
    </row>
    <row r="3" spans="1:13" ht="23.25" customHeight="1" x14ac:dyDescent="0.25">
      <c r="A3" s="261">
        <v>1</v>
      </c>
      <c r="B3" s="124" t="s">
        <v>465</v>
      </c>
      <c r="C3" s="124" t="s">
        <v>21</v>
      </c>
      <c r="D3" s="125" t="s">
        <v>23</v>
      </c>
      <c r="E3" s="251" t="s">
        <v>450</v>
      </c>
      <c r="F3" s="262" t="s">
        <v>451</v>
      </c>
      <c r="G3" s="126" t="s">
        <v>189</v>
      </c>
      <c r="H3" s="290" t="s">
        <v>190</v>
      </c>
      <c r="I3" s="363" t="s">
        <v>464</v>
      </c>
      <c r="J3" s="127" t="s">
        <v>191</v>
      </c>
      <c r="K3" s="128">
        <v>45387</v>
      </c>
      <c r="L3" s="128">
        <v>45947</v>
      </c>
      <c r="M3" s="127" t="s">
        <v>192</v>
      </c>
    </row>
    <row r="4" spans="1:13" ht="23.25" customHeight="1" x14ac:dyDescent="0.25">
      <c r="A4" s="261">
        <v>2</v>
      </c>
      <c r="B4" s="124" t="s">
        <v>466</v>
      </c>
      <c r="C4" s="124" t="s">
        <v>22</v>
      </c>
      <c r="D4" s="125" t="s">
        <v>23</v>
      </c>
      <c r="E4" s="363" t="s">
        <v>450</v>
      </c>
      <c r="F4" s="362" t="s">
        <v>452</v>
      </c>
      <c r="G4" s="126" t="s">
        <v>189</v>
      </c>
      <c r="H4" s="290" t="s">
        <v>190</v>
      </c>
      <c r="I4" s="363" t="s">
        <v>464</v>
      </c>
      <c r="J4" s="127" t="s">
        <v>191</v>
      </c>
      <c r="K4" s="128">
        <v>45387</v>
      </c>
      <c r="L4" s="128">
        <v>45947</v>
      </c>
      <c r="M4" s="127" t="s">
        <v>192</v>
      </c>
    </row>
    <row r="5" spans="1:13" ht="23.25" customHeight="1" x14ac:dyDescent="0.25">
      <c r="A5" s="261">
        <v>3</v>
      </c>
      <c r="B5" s="124" t="s">
        <v>467</v>
      </c>
      <c r="C5" s="124" t="s">
        <v>27</v>
      </c>
      <c r="D5" s="125" t="s">
        <v>23</v>
      </c>
      <c r="E5" s="363" t="s">
        <v>450</v>
      </c>
      <c r="F5" s="362" t="s">
        <v>453</v>
      </c>
      <c r="G5" s="251"/>
      <c r="H5" s="290"/>
      <c r="I5" s="251"/>
      <c r="J5" s="129" t="s">
        <v>196</v>
      </c>
      <c r="K5" s="128"/>
      <c r="L5" s="128"/>
      <c r="M5" s="129" t="s">
        <v>197</v>
      </c>
    </row>
    <row r="6" spans="1:13" ht="23.25" customHeight="1" x14ac:dyDescent="0.25">
      <c r="A6" s="261">
        <v>4</v>
      </c>
      <c r="B6" s="124" t="s">
        <v>468</v>
      </c>
      <c r="C6" s="124" t="s">
        <v>21</v>
      </c>
      <c r="D6" s="125" t="s">
        <v>23</v>
      </c>
      <c r="E6" s="363" t="s">
        <v>450</v>
      </c>
      <c r="F6" s="263" t="s">
        <v>200</v>
      </c>
      <c r="G6" s="251"/>
      <c r="H6" s="290"/>
      <c r="I6" s="251"/>
      <c r="J6" s="130" t="s">
        <v>196</v>
      </c>
      <c r="K6" s="128"/>
      <c r="L6" s="128"/>
      <c r="M6" s="130" t="s">
        <v>197</v>
      </c>
    </row>
    <row r="7" spans="1:13" ht="23.25" customHeight="1" x14ac:dyDescent="0.25">
      <c r="A7" s="261">
        <v>5</v>
      </c>
      <c r="B7" s="124" t="s">
        <v>469</v>
      </c>
      <c r="C7" s="124" t="s">
        <v>32</v>
      </c>
      <c r="D7" s="125" t="s">
        <v>37</v>
      </c>
      <c r="E7" s="363" t="s">
        <v>450</v>
      </c>
      <c r="F7" s="263" t="s">
        <v>200</v>
      </c>
      <c r="G7" s="251"/>
      <c r="H7" s="290"/>
      <c r="I7" s="251"/>
      <c r="J7" s="130" t="s">
        <v>196</v>
      </c>
      <c r="K7" s="128"/>
      <c r="L7" s="128"/>
      <c r="M7" s="130" t="s">
        <v>197</v>
      </c>
    </row>
    <row r="8" spans="1:13" ht="23.25" customHeight="1" x14ac:dyDescent="0.25">
      <c r="A8" s="261">
        <v>6</v>
      </c>
      <c r="B8" s="124" t="s">
        <v>470</v>
      </c>
      <c r="C8" s="124" t="s">
        <v>203</v>
      </c>
      <c r="D8" s="125" t="s">
        <v>37</v>
      </c>
      <c r="E8" s="363" t="s">
        <v>450</v>
      </c>
      <c r="F8" s="263" t="s">
        <v>200</v>
      </c>
      <c r="G8" s="251"/>
      <c r="H8" s="290"/>
      <c r="I8" s="251"/>
      <c r="J8" s="130" t="s">
        <v>196</v>
      </c>
      <c r="K8" s="128"/>
      <c r="L8" s="128"/>
      <c r="M8" s="130" t="s">
        <v>197</v>
      </c>
    </row>
    <row r="9" spans="1:13" ht="23.25" customHeight="1" x14ac:dyDescent="0.25">
      <c r="A9" s="261">
        <v>7</v>
      </c>
      <c r="B9" s="124" t="s">
        <v>471</v>
      </c>
      <c r="C9" s="124" t="s">
        <v>36</v>
      </c>
      <c r="D9" s="125" t="s">
        <v>44</v>
      </c>
      <c r="E9" s="363" t="s">
        <v>450</v>
      </c>
      <c r="F9" s="263" t="s">
        <v>200</v>
      </c>
      <c r="G9" s="251"/>
      <c r="H9" s="290"/>
      <c r="I9" s="251"/>
      <c r="J9" s="130" t="s">
        <v>196</v>
      </c>
      <c r="K9" s="128"/>
      <c r="L9" s="128"/>
      <c r="M9" s="130" t="s">
        <v>197</v>
      </c>
    </row>
    <row r="10" spans="1:13" ht="23.25" customHeight="1" x14ac:dyDescent="0.25">
      <c r="A10" s="261">
        <v>8</v>
      </c>
      <c r="B10" s="124" t="s">
        <v>472</v>
      </c>
      <c r="C10" s="124" t="s">
        <v>36</v>
      </c>
      <c r="D10" s="125" t="s">
        <v>44</v>
      </c>
      <c r="E10" s="363" t="s">
        <v>450</v>
      </c>
      <c r="F10" s="263" t="s">
        <v>200</v>
      </c>
      <c r="G10" s="251"/>
      <c r="H10" s="290"/>
      <c r="I10" s="251"/>
      <c r="J10" s="130" t="s">
        <v>196</v>
      </c>
      <c r="K10" s="128"/>
      <c r="L10" s="128"/>
      <c r="M10" s="130" t="s">
        <v>197</v>
      </c>
    </row>
    <row r="11" spans="1:13" ht="23.25" customHeight="1" x14ac:dyDescent="0.25">
      <c r="A11" s="261">
        <v>9</v>
      </c>
      <c r="B11" s="124" t="s">
        <v>473</v>
      </c>
      <c r="C11" s="124" t="s">
        <v>38</v>
      </c>
      <c r="D11" s="125" t="s">
        <v>44</v>
      </c>
      <c r="E11" s="363" t="s">
        <v>450</v>
      </c>
      <c r="F11" s="263" t="s">
        <v>200</v>
      </c>
      <c r="G11" s="251"/>
      <c r="H11" s="290"/>
      <c r="I11" s="251"/>
      <c r="J11" s="130" t="s">
        <v>196</v>
      </c>
      <c r="K11" s="128"/>
      <c r="L11" s="128"/>
      <c r="M11" s="130" t="s">
        <v>197</v>
      </c>
    </row>
    <row r="12" spans="1:13" ht="23.25" customHeight="1" x14ac:dyDescent="0.25">
      <c r="A12" s="261">
        <v>10</v>
      </c>
      <c r="B12" s="124" t="s">
        <v>474</v>
      </c>
      <c r="C12" s="124" t="s">
        <v>39</v>
      </c>
      <c r="D12" s="125" t="s">
        <v>44</v>
      </c>
      <c r="E12" s="363" t="s">
        <v>450</v>
      </c>
      <c r="F12" s="263" t="s">
        <v>200</v>
      </c>
      <c r="G12" s="251"/>
      <c r="H12" s="290"/>
      <c r="I12" s="251"/>
      <c r="J12" s="130" t="s">
        <v>196</v>
      </c>
      <c r="K12" s="128"/>
      <c r="L12" s="128"/>
      <c r="M12" s="130" t="s">
        <v>197</v>
      </c>
    </row>
    <row r="13" spans="1:13" ht="23.25" customHeight="1" x14ac:dyDescent="0.25">
      <c r="A13" s="261">
        <v>11</v>
      </c>
      <c r="B13" s="124" t="s">
        <v>475</v>
      </c>
      <c r="C13" s="124" t="s">
        <v>36</v>
      </c>
      <c r="D13" s="125" t="s">
        <v>44</v>
      </c>
      <c r="E13" s="363" t="s">
        <v>450</v>
      </c>
      <c r="F13" s="263" t="s">
        <v>200</v>
      </c>
      <c r="G13" s="251"/>
      <c r="H13" s="290"/>
      <c r="I13" s="251"/>
      <c r="J13" s="130" t="s">
        <v>196</v>
      </c>
      <c r="K13" s="128"/>
      <c r="L13" s="128"/>
      <c r="M13" s="130" t="s">
        <v>197</v>
      </c>
    </row>
    <row r="14" spans="1:13" ht="23.25" customHeight="1" x14ac:dyDescent="0.25">
      <c r="A14" s="261">
        <v>12</v>
      </c>
      <c r="B14" s="124" t="s">
        <v>476</v>
      </c>
      <c r="C14" s="124" t="s">
        <v>36</v>
      </c>
      <c r="D14" s="125" t="s">
        <v>44</v>
      </c>
      <c r="E14" s="363" t="s">
        <v>450</v>
      </c>
      <c r="F14" s="263" t="s">
        <v>200</v>
      </c>
      <c r="G14" s="251"/>
      <c r="H14" s="290"/>
      <c r="I14" s="251"/>
      <c r="J14" s="130" t="s">
        <v>196</v>
      </c>
      <c r="K14" s="128"/>
      <c r="L14" s="128"/>
      <c r="M14" s="130" t="s">
        <v>197</v>
      </c>
    </row>
    <row r="15" spans="1:13" ht="23.25" customHeight="1" x14ac:dyDescent="0.25">
      <c r="A15" s="261">
        <v>13</v>
      </c>
      <c r="B15" s="124" t="s">
        <v>477</v>
      </c>
      <c r="C15" s="124" t="s">
        <v>42</v>
      </c>
      <c r="D15" s="125" t="s">
        <v>56</v>
      </c>
      <c r="E15" s="363" t="s">
        <v>450</v>
      </c>
      <c r="F15" s="263" t="s">
        <v>200</v>
      </c>
      <c r="G15" s="251"/>
      <c r="H15" s="290"/>
      <c r="I15" s="251"/>
      <c r="J15" s="130" t="s">
        <v>196</v>
      </c>
      <c r="K15" s="128"/>
      <c r="L15" s="128"/>
      <c r="M15" s="130" t="s">
        <v>197</v>
      </c>
    </row>
    <row r="16" spans="1:13" ht="23.25" customHeight="1" x14ac:dyDescent="0.25">
      <c r="A16" s="261">
        <v>14</v>
      </c>
      <c r="B16" s="124" t="s">
        <v>478</v>
      </c>
      <c r="C16" s="124" t="s">
        <v>45</v>
      </c>
      <c r="D16" s="125" t="s">
        <v>56</v>
      </c>
      <c r="E16" s="363" t="s">
        <v>450</v>
      </c>
      <c r="F16" s="263" t="s">
        <v>200</v>
      </c>
      <c r="G16" s="251"/>
      <c r="H16" s="290"/>
      <c r="I16" s="251"/>
      <c r="J16" s="130" t="s">
        <v>196</v>
      </c>
      <c r="K16" s="128"/>
      <c r="L16" s="128"/>
      <c r="M16" s="130" t="s">
        <v>197</v>
      </c>
    </row>
    <row r="17" spans="1:13" ht="23.25" customHeight="1" x14ac:dyDescent="0.25">
      <c r="A17" s="261">
        <v>15</v>
      </c>
      <c r="B17" s="124" t="s">
        <v>479</v>
      </c>
      <c r="C17" s="124" t="s">
        <v>48</v>
      </c>
      <c r="D17" s="125" t="s">
        <v>56</v>
      </c>
      <c r="E17" s="363" t="s">
        <v>450</v>
      </c>
      <c r="F17" s="263" t="s">
        <v>200</v>
      </c>
      <c r="G17" s="251"/>
      <c r="H17" s="290"/>
      <c r="I17" s="251"/>
      <c r="J17" s="130" t="s">
        <v>196</v>
      </c>
      <c r="K17" s="128"/>
      <c r="L17" s="128"/>
      <c r="M17" s="130" t="s">
        <v>197</v>
      </c>
    </row>
    <row r="18" spans="1:13" ht="23.25" customHeight="1" x14ac:dyDescent="0.25">
      <c r="A18" s="261">
        <v>16</v>
      </c>
      <c r="B18" s="124" t="s">
        <v>480</v>
      </c>
      <c r="C18" s="124" t="s">
        <v>49</v>
      </c>
      <c r="D18" s="125" t="s">
        <v>56</v>
      </c>
      <c r="E18" s="363" t="s">
        <v>450</v>
      </c>
      <c r="F18" s="263" t="s">
        <v>200</v>
      </c>
      <c r="G18" s="251"/>
      <c r="H18" s="290"/>
      <c r="I18" s="251"/>
      <c r="J18" s="130" t="s">
        <v>196</v>
      </c>
      <c r="K18" s="128"/>
      <c r="L18" s="128"/>
      <c r="M18" s="130" t="s">
        <v>197</v>
      </c>
    </row>
    <row r="19" spans="1:13" ht="23.25" customHeight="1" x14ac:dyDescent="0.25">
      <c r="A19" s="261">
        <v>17</v>
      </c>
      <c r="B19" s="124" t="s">
        <v>481</v>
      </c>
      <c r="C19" s="124" t="s">
        <v>49</v>
      </c>
      <c r="D19" s="125" t="s">
        <v>56</v>
      </c>
      <c r="E19" s="363" t="s">
        <v>450</v>
      </c>
      <c r="F19" s="263" t="s">
        <v>200</v>
      </c>
      <c r="G19" s="251"/>
      <c r="H19" s="290"/>
      <c r="I19" s="251"/>
      <c r="J19" s="130" t="s">
        <v>196</v>
      </c>
      <c r="K19" s="128"/>
      <c r="L19" s="128"/>
      <c r="M19" s="130" t="s">
        <v>197</v>
      </c>
    </row>
    <row r="20" spans="1:13" ht="23.25" customHeight="1" x14ac:dyDescent="0.25">
      <c r="A20" s="261">
        <v>18</v>
      </c>
      <c r="B20" s="124" t="s">
        <v>482</v>
      </c>
      <c r="C20" s="124" t="s">
        <v>50</v>
      </c>
      <c r="D20" s="125" t="s">
        <v>56</v>
      </c>
      <c r="E20" s="363" t="s">
        <v>450</v>
      </c>
      <c r="F20" s="263" t="s">
        <v>200</v>
      </c>
      <c r="G20" s="251"/>
      <c r="H20" s="290"/>
      <c r="I20" s="251"/>
      <c r="J20" s="130" t="s">
        <v>196</v>
      </c>
      <c r="K20" s="128"/>
      <c r="L20" s="128"/>
      <c r="M20" s="130" t="s">
        <v>197</v>
      </c>
    </row>
    <row r="21" spans="1:13" ht="23.25" customHeight="1" x14ac:dyDescent="0.25">
      <c r="A21" s="261">
        <v>19</v>
      </c>
      <c r="B21" s="124" t="s">
        <v>483</v>
      </c>
      <c r="C21" s="124" t="s">
        <v>51</v>
      </c>
      <c r="D21" s="125" t="s">
        <v>56</v>
      </c>
      <c r="E21" s="363" t="s">
        <v>450</v>
      </c>
      <c r="F21" s="263" t="s">
        <v>200</v>
      </c>
      <c r="G21" s="251"/>
      <c r="H21" s="290"/>
      <c r="I21" s="251"/>
      <c r="J21" s="130" t="s">
        <v>196</v>
      </c>
      <c r="K21" s="128"/>
      <c r="L21" s="128"/>
      <c r="M21" s="130" t="s">
        <v>197</v>
      </c>
    </row>
    <row r="22" spans="1:13" ht="23.25" customHeight="1" x14ac:dyDescent="0.25">
      <c r="A22" s="261">
        <v>20</v>
      </c>
      <c r="B22" s="124" t="s">
        <v>484</v>
      </c>
      <c r="C22" s="124" t="s">
        <v>55</v>
      </c>
      <c r="D22" s="125" t="s">
        <v>70</v>
      </c>
      <c r="E22" s="363" t="s">
        <v>450</v>
      </c>
      <c r="F22" s="263" t="s">
        <v>200</v>
      </c>
      <c r="G22" s="251"/>
      <c r="H22" s="290"/>
      <c r="I22" s="251"/>
      <c r="J22" s="130" t="s">
        <v>196</v>
      </c>
      <c r="K22" s="128"/>
      <c r="L22" s="128"/>
      <c r="M22" s="130" t="s">
        <v>197</v>
      </c>
    </row>
    <row r="23" spans="1:13" ht="23.25" customHeight="1" x14ac:dyDescent="0.25">
      <c r="A23" s="261">
        <v>21</v>
      </c>
      <c r="B23" s="124" t="s">
        <v>485</v>
      </c>
      <c r="C23" s="124" t="s">
        <v>55</v>
      </c>
      <c r="D23" s="125" t="s">
        <v>70</v>
      </c>
      <c r="E23" s="363" t="s">
        <v>450</v>
      </c>
      <c r="F23" s="362" t="s">
        <v>454</v>
      </c>
      <c r="G23" s="126" t="s">
        <v>189</v>
      </c>
      <c r="H23" s="290" t="s">
        <v>204</v>
      </c>
      <c r="I23" s="363" t="s">
        <v>464</v>
      </c>
      <c r="J23" s="127" t="s">
        <v>191</v>
      </c>
      <c r="K23" s="128">
        <v>45229</v>
      </c>
      <c r="L23" s="128">
        <v>45947</v>
      </c>
      <c r="M23" s="127" t="s">
        <v>192</v>
      </c>
    </row>
    <row r="24" spans="1:13" ht="23.25" customHeight="1" x14ac:dyDescent="0.25">
      <c r="A24" s="261">
        <v>22</v>
      </c>
      <c r="B24" s="124" t="s">
        <v>486</v>
      </c>
      <c r="C24" s="124" t="s">
        <v>59</v>
      </c>
      <c r="D24" s="125" t="s">
        <v>77</v>
      </c>
      <c r="E24" s="363" t="s">
        <v>450</v>
      </c>
      <c r="F24" s="263" t="s">
        <v>200</v>
      </c>
      <c r="G24" s="251"/>
      <c r="H24" s="290"/>
      <c r="I24" s="251"/>
      <c r="J24" s="130" t="s">
        <v>196</v>
      </c>
      <c r="K24" s="128"/>
      <c r="L24" s="128"/>
      <c r="M24" s="130" t="s">
        <v>197</v>
      </c>
    </row>
    <row r="25" spans="1:13" ht="23.25" customHeight="1" x14ac:dyDescent="0.25">
      <c r="A25" s="261">
        <v>23</v>
      </c>
      <c r="B25" s="124" t="s">
        <v>487</v>
      </c>
      <c r="C25" s="124" t="s">
        <v>59</v>
      </c>
      <c r="D25" s="125" t="s">
        <v>77</v>
      </c>
      <c r="E25" s="363" t="s">
        <v>450</v>
      </c>
      <c r="F25" s="263" t="s">
        <v>200</v>
      </c>
      <c r="G25" s="251"/>
      <c r="H25" s="290"/>
      <c r="I25" s="251"/>
      <c r="J25" s="130" t="s">
        <v>196</v>
      </c>
      <c r="K25" s="128"/>
      <c r="L25" s="128"/>
      <c r="M25" s="130" t="s">
        <v>197</v>
      </c>
    </row>
    <row r="26" spans="1:13" ht="23.25" customHeight="1" x14ac:dyDescent="0.25">
      <c r="A26" s="261">
        <v>24</v>
      </c>
      <c r="B26" s="124" t="s">
        <v>488</v>
      </c>
      <c r="C26" s="124" t="s">
        <v>62</v>
      </c>
      <c r="D26" s="125" t="s">
        <v>78</v>
      </c>
      <c r="E26" s="363" t="s">
        <v>450</v>
      </c>
      <c r="F26" s="263" t="s">
        <v>200</v>
      </c>
      <c r="G26" s="251"/>
      <c r="H26" s="290"/>
      <c r="I26" s="251"/>
      <c r="J26" s="130" t="s">
        <v>196</v>
      </c>
      <c r="K26" s="128"/>
      <c r="L26" s="128"/>
      <c r="M26" s="130" t="s">
        <v>197</v>
      </c>
    </row>
    <row r="27" spans="1:13" ht="23.25" customHeight="1" x14ac:dyDescent="0.25">
      <c r="A27" s="261">
        <v>25</v>
      </c>
      <c r="B27" s="124" t="s">
        <v>489</v>
      </c>
      <c r="C27" s="124" t="s">
        <v>63</v>
      </c>
      <c r="D27" s="125" t="s">
        <v>79</v>
      </c>
      <c r="E27" s="363" t="s">
        <v>450</v>
      </c>
      <c r="F27" s="362" t="s">
        <v>454</v>
      </c>
      <c r="G27" s="251"/>
      <c r="H27" s="290"/>
      <c r="I27" s="251"/>
      <c r="J27" s="129" t="s">
        <v>196</v>
      </c>
      <c r="K27" s="128"/>
      <c r="L27" s="128"/>
      <c r="M27" s="129" t="s">
        <v>197</v>
      </c>
    </row>
    <row r="28" spans="1:13" ht="23.25" customHeight="1" x14ac:dyDescent="0.25">
      <c r="A28" s="261">
        <v>26</v>
      </c>
      <c r="B28" s="124" t="s">
        <v>490</v>
      </c>
      <c r="C28" s="124" t="s">
        <v>63</v>
      </c>
      <c r="D28" s="125" t="s">
        <v>79</v>
      </c>
      <c r="E28" s="363" t="s">
        <v>450</v>
      </c>
      <c r="F28" s="362" t="s">
        <v>455</v>
      </c>
      <c r="G28" s="126" t="s">
        <v>189</v>
      </c>
      <c r="H28" s="290" t="s">
        <v>204</v>
      </c>
      <c r="I28" s="363" t="s">
        <v>464</v>
      </c>
      <c r="J28" s="127" t="s">
        <v>191</v>
      </c>
      <c r="K28" s="128">
        <v>45384</v>
      </c>
      <c r="L28" s="128">
        <v>45947</v>
      </c>
      <c r="M28" s="127" t="s">
        <v>192</v>
      </c>
    </row>
    <row r="29" spans="1:13" ht="23.25" customHeight="1" x14ac:dyDescent="0.25">
      <c r="A29" s="261">
        <v>27</v>
      </c>
      <c r="B29" s="124" t="s">
        <v>491</v>
      </c>
      <c r="C29" s="124" t="s">
        <v>63</v>
      </c>
      <c r="D29" s="125" t="s">
        <v>79</v>
      </c>
      <c r="E29" s="363" t="s">
        <v>450</v>
      </c>
      <c r="F29" s="362" t="s">
        <v>456</v>
      </c>
      <c r="G29" s="251"/>
      <c r="H29" s="290"/>
      <c r="I29" s="251"/>
      <c r="J29" s="129" t="s">
        <v>196</v>
      </c>
      <c r="K29" s="128"/>
      <c r="L29" s="128"/>
      <c r="M29" s="129" t="s">
        <v>197</v>
      </c>
    </row>
    <row r="30" spans="1:13" ht="23.25" customHeight="1" x14ac:dyDescent="0.25">
      <c r="A30" s="261">
        <v>28</v>
      </c>
      <c r="B30" s="124" t="s">
        <v>492</v>
      </c>
      <c r="C30" s="124" t="s">
        <v>64</v>
      </c>
      <c r="D30" s="125" t="s">
        <v>79</v>
      </c>
      <c r="E30" s="363" t="s">
        <v>450</v>
      </c>
      <c r="F30" s="263" t="s">
        <v>200</v>
      </c>
      <c r="G30" s="251"/>
      <c r="H30" s="290"/>
      <c r="I30" s="251"/>
      <c r="J30" s="130" t="s">
        <v>196</v>
      </c>
      <c r="K30" s="128"/>
      <c r="L30" s="128"/>
      <c r="M30" s="130" t="s">
        <v>197</v>
      </c>
    </row>
    <row r="31" spans="1:13" ht="23.25" customHeight="1" x14ac:dyDescent="0.25">
      <c r="A31" s="261">
        <v>29</v>
      </c>
      <c r="B31" s="124" t="s">
        <v>493</v>
      </c>
      <c r="C31" s="124" t="s">
        <v>65</v>
      </c>
      <c r="D31" s="125" t="s">
        <v>79</v>
      </c>
      <c r="E31" s="363" t="s">
        <v>450</v>
      </c>
      <c r="F31" s="362" t="s">
        <v>457</v>
      </c>
      <c r="G31" s="126" t="s">
        <v>189</v>
      </c>
      <c r="H31" s="290" t="s">
        <v>204</v>
      </c>
      <c r="I31" s="363" t="s">
        <v>464</v>
      </c>
      <c r="J31" s="127" t="s">
        <v>191</v>
      </c>
      <c r="K31" s="128">
        <v>45384</v>
      </c>
      <c r="L31" s="128">
        <v>45947</v>
      </c>
      <c r="M31" s="127" t="s">
        <v>192</v>
      </c>
    </row>
    <row r="32" spans="1:13" ht="23.25" customHeight="1" x14ac:dyDescent="0.25">
      <c r="A32" s="261">
        <v>30</v>
      </c>
      <c r="B32" s="124" t="s">
        <v>494</v>
      </c>
      <c r="C32" s="124" t="s">
        <v>68</v>
      </c>
      <c r="D32" s="125" t="s">
        <v>79</v>
      </c>
      <c r="E32" s="363" t="s">
        <v>450</v>
      </c>
      <c r="F32" s="362" t="s">
        <v>458</v>
      </c>
      <c r="G32" s="126" t="s">
        <v>189</v>
      </c>
      <c r="H32" s="290" t="s">
        <v>204</v>
      </c>
      <c r="I32" s="363" t="s">
        <v>464</v>
      </c>
      <c r="J32" s="127" t="s">
        <v>191</v>
      </c>
      <c r="K32" s="128">
        <v>45384</v>
      </c>
      <c r="L32" s="128">
        <v>45947</v>
      </c>
      <c r="M32" s="127" t="s">
        <v>192</v>
      </c>
    </row>
    <row r="33" spans="1:13" ht="23.25" customHeight="1" x14ac:dyDescent="0.25">
      <c r="A33" s="261">
        <v>31</v>
      </c>
      <c r="B33" s="124" t="s">
        <v>495</v>
      </c>
      <c r="C33" s="124" t="s">
        <v>68</v>
      </c>
      <c r="D33" s="125" t="s">
        <v>79</v>
      </c>
      <c r="E33" s="363" t="s">
        <v>450</v>
      </c>
      <c r="F33" s="263" t="s">
        <v>200</v>
      </c>
      <c r="G33" s="251"/>
      <c r="H33" s="290"/>
      <c r="I33" s="251"/>
      <c r="J33" s="130" t="s">
        <v>196</v>
      </c>
      <c r="K33" s="128"/>
      <c r="L33" s="128"/>
      <c r="M33" s="130" t="s">
        <v>197</v>
      </c>
    </row>
    <row r="34" spans="1:13" ht="23.25" customHeight="1" x14ac:dyDescent="0.25">
      <c r="A34" s="261">
        <v>32</v>
      </c>
      <c r="B34" s="124" t="s">
        <v>496</v>
      </c>
      <c r="C34" s="124" t="s">
        <v>69</v>
      </c>
      <c r="D34" s="125" t="s">
        <v>79</v>
      </c>
      <c r="E34" s="363" t="s">
        <v>450</v>
      </c>
      <c r="F34" s="362" t="s">
        <v>459</v>
      </c>
      <c r="G34" s="251"/>
      <c r="H34" s="290"/>
      <c r="I34" s="251"/>
      <c r="J34" s="127" t="s">
        <v>191</v>
      </c>
      <c r="K34" s="128"/>
      <c r="L34" s="128"/>
      <c r="M34" s="127" t="s">
        <v>192</v>
      </c>
    </row>
    <row r="35" spans="1:13" ht="23.25" customHeight="1" x14ac:dyDescent="0.25">
      <c r="A35" s="261">
        <v>33</v>
      </c>
      <c r="B35" s="124" t="s">
        <v>497</v>
      </c>
      <c r="C35" s="124" t="s">
        <v>71</v>
      </c>
      <c r="D35" s="125" t="s">
        <v>79</v>
      </c>
      <c r="E35" s="363" t="s">
        <v>450</v>
      </c>
      <c r="F35" s="362" t="s">
        <v>460</v>
      </c>
      <c r="G35" s="251"/>
      <c r="H35" s="290"/>
      <c r="I35" s="251"/>
      <c r="J35" s="127" t="s">
        <v>191</v>
      </c>
      <c r="K35" s="128"/>
      <c r="L35" s="128"/>
      <c r="M35" s="127" t="s">
        <v>192</v>
      </c>
    </row>
    <row r="36" spans="1:13" ht="23.25" customHeight="1" x14ac:dyDescent="0.25">
      <c r="A36" s="261">
        <v>34</v>
      </c>
      <c r="B36" s="124" t="s">
        <v>498</v>
      </c>
      <c r="C36" s="124" t="s">
        <v>72</v>
      </c>
      <c r="D36" s="125" t="s">
        <v>79</v>
      </c>
      <c r="E36" s="363" t="s">
        <v>450</v>
      </c>
      <c r="F36" s="362" t="s">
        <v>461</v>
      </c>
      <c r="G36" s="251"/>
      <c r="H36" s="290"/>
      <c r="I36" s="251"/>
      <c r="J36" s="127" t="s">
        <v>191</v>
      </c>
      <c r="K36" s="128"/>
      <c r="L36" s="128"/>
      <c r="M36" s="127" t="s">
        <v>192</v>
      </c>
    </row>
    <row r="37" spans="1:13" ht="23.25" customHeight="1" x14ac:dyDescent="0.25">
      <c r="A37" s="261">
        <v>35</v>
      </c>
      <c r="B37" s="124" t="s">
        <v>499</v>
      </c>
      <c r="C37" s="124" t="s">
        <v>72</v>
      </c>
      <c r="D37" s="125" t="s">
        <v>79</v>
      </c>
      <c r="E37" s="363" t="s">
        <v>450</v>
      </c>
      <c r="F37" s="131" t="s">
        <v>200</v>
      </c>
      <c r="G37" s="251"/>
      <c r="H37" s="290"/>
      <c r="I37" s="251"/>
      <c r="J37" s="130" t="s">
        <v>196</v>
      </c>
      <c r="K37" s="128"/>
      <c r="L37" s="128"/>
      <c r="M37" s="130" t="s">
        <v>197</v>
      </c>
    </row>
    <row r="38" spans="1:13" ht="23.25" customHeight="1" x14ac:dyDescent="0.25">
      <c r="A38" s="261">
        <v>36</v>
      </c>
      <c r="B38" s="124" t="s">
        <v>500</v>
      </c>
      <c r="C38" s="124" t="s">
        <v>72</v>
      </c>
      <c r="D38" s="125" t="s">
        <v>79</v>
      </c>
      <c r="E38" s="363" t="s">
        <v>450</v>
      </c>
      <c r="F38" s="131" t="s">
        <v>200</v>
      </c>
      <c r="G38" s="251"/>
      <c r="H38" s="290"/>
      <c r="I38" s="251"/>
      <c r="J38" s="130" t="s">
        <v>196</v>
      </c>
      <c r="K38" s="128"/>
      <c r="L38" s="128"/>
      <c r="M38" s="130" t="s">
        <v>197</v>
      </c>
    </row>
    <row r="39" spans="1:13" ht="23.25" customHeight="1" x14ac:dyDescent="0.25">
      <c r="A39" s="261">
        <v>37</v>
      </c>
      <c r="B39" s="124" t="s">
        <v>501</v>
      </c>
      <c r="C39" s="124" t="s">
        <v>73</v>
      </c>
      <c r="D39" s="125" t="s">
        <v>79</v>
      </c>
      <c r="E39" s="363" t="s">
        <v>450</v>
      </c>
      <c r="F39" s="362" t="s">
        <v>462</v>
      </c>
      <c r="G39" s="126" t="s">
        <v>189</v>
      </c>
      <c r="H39" s="290" t="s">
        <v>204</v>
      </c>
      <c r="I39" s="363" t="s">
        <v>464</v>
      </c>
      <c r="J39" s="127" t="s">
        <v>191</v>
      </c>
      <c r="K39" s="128">
        <v>45384</v>
      </c>
      <c r="L39" s="128">
        <v>45947</v>
      </c>
      <c r="M39" s="127" t="s">
        <v>192</v>
      </c>
    </row>
    <row r="40" spans="1:13" ht="23.25" customHeight="1" x14ac:dyDescent="0.25">
      <c r="A40" s="261">
        <v>38</v>
      </c>
      <c r="B40" s="124" t="s">
        <v>502</v>
      </c>
      <c r="C40" s="124" t="s">
        <v>73</v>
      </c>
      <c r="D40" s="125" t="s">
        <v>79</v>
      </c>
      <c r="E40" s="363" t="s">
        <v>450</v>
      </c>
      <c r="F40" s="362" t="s">
        <v>463</v>
      </c>
      <c r="G40" s="126" t="s">
        <v>189</v>
      </c>
      <c r="H40" s="290" t="s">
        <v>204</v>
      </c>
      <c r="I40" s="251" t="s">
        <v>464</v>
      </c>
      <c r="J40" s="127" t="s">
        <v>191</v>
      </c>
      <c r="K40" s="128">
        <v>45384</v>
      </c>
      <c r="L40" s="128">
        <v>45947</v>
      </c>
      <c r="M40" s="127" t="s">
        <v>192</v>
      </c>
    </row>
    <row r="41" spans="1:13" x14ac:dyDescent="0.25">
      <c r="K41" s="264"/>
      <c r="L41" s="264"/>
    </row>
    <row r="42" spans="1:13" x14ac:dyDescent="0.25">
      <c r="K42" s="264"/>
      <c r="L42" s="264"/>
    </row>
    <row r="43" spans="1:13" ht="55.5" customHeight="1" x14ac:dyDescent="0.25">
      <c r="A43" s="447"/>
      <c r="B43" s="448"/>
      <c r="C43" s="449" t="s">
        <v>205</v>
      </c>
      <c r="D43" s="446"/>
      <c r="E43" s="450"/>
      <c r="F43" s="450"/>
      <c r="G43" s="450"/>
      <c r="H43" s="450"/>
      <c r="I43" s="450"/>
      <c r="J43" s="450"/>
      <c r="K43" s="450"/>
      <c r="L43" s="450"/>
    </row>
    <row r="44" spans="1:13" ht="31.5" x14ac:dyDescent="0.25">
      <c r="A44" s="265" t="s">
        <v>177</v>
      </c>
      <c r="B44" s="265" t="s">
        <v>193</v>
      </c>
      <c r="C44" s="266" t="s">
        <v>206</v>
      </c>
      <c r="D44" s="266" t="s">
        <v>180</v>
      </c>
      <c r="E44" s="266" t="s">
        <v>181</v>
      </c>
      <c r="F44" s="266" t="s">
        <v>207</v>
      </c>
      <c r="G44" s="267" t="s">
        <v>208</v>
      </c>
      <c r="H44" s="266" t="s">
        <v>136</v>
      </c>
      <c r="I44" s="266" t="s">
        <v>209</v>
      </c>
      <c r="J44" s="266" t="s">
        <v>210</v>
      </c>
      <c r="K44" s="266" t="s">
        <v>211</v>
      </c>
      <c r="L44" s="266" t="s">
        <v>184</v>
      </c>
    </row>
    <row r="45" spans="1:13" ht="15" customHeight="1" x14ac:dyDescent="0.25">
      <c r="A45" s="451">
        <v>1</v>
      </c>
      <c r="B45" s="454" t="s">
        <v>212</v>
      </c>
      <c r="C45" s="457" t="s">
        <v>86</v>
      </c>
      <c r="D45" s="460" t="s">
        <v>450</v>
      </c>
      <c r="E45" s="457" t="s">
        <v>451</v>
      </c>
      <c r="F45" s="252" t="s">
        <v>213</v>
      </c>
      <c r="G45" s="251" t="s">
        <v>5</v>
      </c>
      <c r="H45" s="251" t="s">
        <v>214</v>
      </c>
      <c r="I45" s="268" t="s">
        <v>215</v>
      </c>
      <c r="J45" s="128">
        <v>45555</v>
      </c>
      <c r="K45" s="128">
        <v>45920</v>
      </c>
      <c r="L45" s="292" t="s">
        <v>369</v>
      </c>
    </row>
    <row r="46" spans="1:13" x14ac:dyDescent="0.25">
      <c r="A46" s="452"/>
      <c r="B46" s="455"/>
      <c r="C46" s="458"/>
      <c r="D46" s="461"/>
      <c r="E46" s="458"/>
      <c r="F46" s="252" t="s">
        <v>216</v>
      </c>
      <c r="G46" s="251" t="s">
        <v>5</v>
      </c>
      <c r="H46" s="251" t="s">
        <v>214</v>
      </c>
      <c r="I46" s="268" t="s">
        <v>217</v>
      </c>
      <c r="J46" s="128">
        <v>45920</v>
      </c>
      <c r="K46" s="128">
        <v>45920</v>
      </c>
      <c r="L46" s="291" t="s">
        <v>380</v>
      </c>
    </row>
    <row r="47" spans="1:13" x14ac:dyDescent="0.25">
      <c r="A47" s="452"/>
      <c r="B47" s="455"/>
      <c r="C47" s="458"/>
      <c r="D47" s="461"/>
      <c r="E47" s="458"/>
      <c r="F47" s="252" t="s">
        <v>218</v>
      </c>
      <c r="G47" s="251" t="s">
        <v>5</v>
      </c>
      <c r="H47" s="251" t="s">
        <v>214</v>
      </c>
      <c r="I47" s="268" t="s">
        <v>215</v>
      </c>
      <c r="J47" s="128">
        <v>45920</v>
      </c>
      <c r="K47" s="128">
        <v>45920</v>
      </c>
      <c r="L47" s="291" t="s">
        <v>380</v>
      </c>
    </row>
    <row r="48" spans="1:13" x14ac:dyDescent="0.25">
      <c r="A48" s="453"/>
      <c r="B48" s="456"/>
      <c r="C48" s="459"/>
      <c r="D48" s="462"/>
      <c r="E48" s="459"/>
      <c r="F48" s="252" t="s">
        <v>219</v>
      </c>
      <c r="G48" s="251" t="s">
        <v>503</v>
      </c>
      <c r="H48" s="251" t="s">
        <v>220</v>
      </c>
      <c r="I48" s="268" t="s">
        <v>215</v>
      </c>
      <c r="J48" s="128">
        <v>45920</v>
      </c>
      <c r="K48" s="128">
        <v>45920</v>
      </c>
      <c r="L48" s="291" t="s">
        <v>380</v>
      </c>
    </row>
    <row r="49" spans="1:8" ht="15.75" thickBot="1" x14ac:dyDescent="0.3"/>
    <row r="50" spans="1:8" ht="15.75" x14ac:dyDescent="0.25">
      <c r="A50" s="132" t="s">
        <v>177</v>
      </c>
      <c r="B50" s="150" t="s">
        <v>193</v>
      </c>
      <c r="C50" s="150" t="s">
        <v>180</v>
      </c>
      <c r="D50" s="150" t="s">
        <v>194</v>
      </c>
      <c r="E50" s="150" t="s">
        <v>181</v>
      </c>
      <c r="F50" s="149" t="s">
        <v>181</v>
      </c>
      <c r="G50" s="150" t="s">
        <v>195</v>
      </c>
      <c r="H50" s="151" t="s">
        <v>186</v>
      </c>
    </row>
    <row r="51" spans="1:8" x14ac:dyDescent="0.25">
      <c r="A51" s="467">
        <v>1</v>
      </c>
      <c r="B51" s="456" t="s">
        <v>198</v>
      </c>
      <c r="C51" s="462" t="s">
        <v>188</v>
      </c>
      <c r="D51" s="462" t="s">
        <v>199</v>
      </c>
      <c r="E51" s="459" t="s">
        <v>451</v>
      </c>
      <c r="F51" s="471">
        <v>14827532.779999999</v>
      </c>
      <c r="G51" s="463">
        <v>45931</v>
      </c>
      <c r="H51" s="465">
        <v>46296</v>
      </c>
    </row>
    <row r="52" spans="1:8" x14ac:dyDescent="0.25">
      <c r="A52" s="468"/>
      <c r="B52" s="469"/>
      <c r="C52" s="464"/>
      <c r="D52" s="464"/>
      <c r="E52" s="470"/>
      <c r="F52" s="472"/>
      <c r="G52" s="464"/>
      <c r="H52" s="466"/>
    </row>
    <row r="53" spans="1:8" ht="15.75" thickBot="1" x14ac:dyDescent="0.3">
      <c r="A53" s="133"/>
      <c r="B53" s="134" t="s">
        <v>201</v>
      </c>
      <c r="C53" s="135"/>
      <c r="D53" s="135"/>
      <c r="E53" s="135"/>
      <c r="F53" s="135" t="s">
        <v>202</v>
      </c>
      <c r="G53" s="135"/>
      <c r="H53" s="136"/>
    </row>
  </sheetData>
  <mergeCells count="16">
    <mergeCell ref="G51:G52"/>
    <mergeCell ref="H51:H52"/>
    <mergeCell ref="A51:A52"/>
    <mergeCell ref="B51:B52"/>
    <mergeCell ref="C51:C52"/>
    <mergeCell ref="D51:D52"/>
    <mergeCell ref="E51:E52"/>
    <mergeCell ref="F51:F52"/>
    <mergeCell ref="A1:M1"/>
    <mergeCell ref="A43:B43"/>
    <mergeCell ref="C43:L43"/>
    <mergeCell ref="A45:A48"/>
    <mergeCell ref="B45:B48"/>
    <mergeCell ref="C45:C48"/>
    <mergeCell ref="D45:D48"/>
    <mergeCell ref="E45:E48"/>
  </mergeCells>
  <phoneticPr fontId="89" type="noConversion"/>
  <dataValidations count="1">
    <dataValidation type="list" allowBlank="1" showInputMessage="1" showErrorMessage="1" sqref="D3:D40" xr:uid="{8791FA94-E0F9-4549-B0B0-A7BC89255017}">
      <formula1>"AC,AL,AP,AM,BA,CE,DF,ES,GO,MA,MT,MS,MG,PA,PB,PR,PE,PI,RJ,RN,RS,RO,RR,SC,SP,SE,TO"</formula1>
    </dataValidation>
  </dataValidations>
  <printOptions horizontalCentered="1" verticalCentered="1"/>
  <pageMargins left="0" right="0" top="0" bottom="0" header="0" footer="0"/>
  <pageSetup paperSize="9" scale="49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C9C1F-5C3A-49F7-A426-1AD8D598EB94}">
  <sheetPr codeName="Planilha10">
    <tabColor theme="3" tint="0.39997558519241921"/>
    <pageSetUpPr fitToPage="1"/>
  </sheetPr>
  <dimension ref="A1:AI44"/>
  <sheetViews>
    <sheetView view="pageBreakPreview" topLeftCell="A6" zoomScale="85" zoomScaleNormal="85" zoomScaleSheetLayoutView="85" workbookViewId="0">
      <pane xSplit="1" topLeftCell="P1" activePane="topRight" state="frozen"/>
      <selection activeCell="K23" sqref="K23"/>
      <selection pane="topRight" activeCell="Z21" sqref="Z21"/>
    </sheetView>
  </sheetViews>
  <sheetFormatPr defaultRowHeight="15" x14ac:dyDescent="0.25"/>
  <cols>
    <col min="1" max="1" width="35.42578125" customWidth="1"/>
    <col min="2" max="15" width="17" hidden="1" customWidth="1"/>
    <col min="16" max="27" width="17" customWidth="1"/>
  </cols>
  <sheetData>
    <row r="1" spans="1:35" ht="36" x14ac:dyDescent="0.25">
      <c r="A1" s="123"/>
      <c r="B1" s="123"/>
      <c r="C1" s="123"/>
      <c r="D1" s="123"/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53"/>
      <c r="S1" s="123"/>
      <c r="T1" s="123"/>
      <c r="U1" s="123"/>
      <c r="V1" s="123"/>
      <c r="W1" s="123"/>
      <c r="X1" s="123"/>
      <c r="Y1" s="123"/>
      <c r="Z1" s="123"/>
      <c r="AA1" s="123"/>
    </row>
    <row r="2" spans="1:35" ht="15.75" x14ac:dyDescent="0.25">
      <c r="A2" s="123"/>
      <c r="B2" s="123"/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52"/>
      <c r="S2" s="123"/>
      <c r="T2" s="123"/>
      <c r="U2" s="123"/>
      <c r="V2" s="123"/>
      <c r="W2" s="123"/>
      <c r="X2" s="123"/>
      <c r="Y2" s="123"/>
      <c r="Z2" s="123"/>
      <c r="AA2" s="123"/>
    </row>
    <row r="3" spans="1:35" x14ac:dyDescent="0.25">
      <c r="A3" s="123"/>
      <c r="B3" s="123"/>
      <c r="C3" s="123"/>
      <c r="D3" s="123"/>
      <c r="E3" s="123"/>
      <c r="F3" s="123"/>
      <c r="G3" s="123"/>
      <c r="H3" s="123"/>
      <c r="I3" s="123"/>
      <c r="J3" s="123"/>
      <c r="K3" s="123"/>
      <c r="L3" s="253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</row>
    <row r="4" spans="1:35" x14ac:dyDescent="0.25">
      <c r="A4" s="123"/>
      <c r="B4" s="123"/>
      <c r="C4" s="123"/>
      <c r="D4" s="123"/>
      <c r="E4" s="123"/>
      <c r="F4" s="123"/>
      <c r="G4" s="123"/>
      <c r="H4" s="123"/>
      <c r="I4" s="123"/>
      <c r="J4" s="123"/>
      <c r="K4" s="123"/>
      <c r="L4" s="253"/>
      <c r="M4" s="123"/>
      <c r="N4" s="123"/>
      <c r="O4" s="123"/>
      <c r="P4" s="123"/>
      <c r="Q4" s="123"/>
      <c r="R4" s="123"/>
      <c r="S4" s="123"/>
      <c r="T4" s="123"/>
      <c r="U4" s="123"/>
      <c r="V4" s="123"/>
      <c r="W4" s="123"/>
      <c r="X4" s="123"/>
      <c r="Y4" s="123"/>
      <c r="Z4" s="123"/>
      <c r="AA4" s="123"/>
    </row>
    <row r="5" spans="1:35" ht="33.75" customHeight="1" x14ac:dyDescent="0.25">
      <c r="A5" s="137"/>
      <c r="B5" s="137" t="s">
        <v>221</v>
      </c>
      <c r="C5" s="137"/>
      <c r="D5" s="137"/>
      <c r="E5" s="137"/>
      <c r="F5" s="137"/>
      <c r="G5" s="137"/>
      <c r="H5" s="137"/>
      <c r="I5" s="137"/>
      <c r="J5" s="137"/>
      <c r="K5" s="137"/>
      <c r="L5" s="137"/>
      <c r="M5" s="137"/>
      <c r="N5" s="137"/>
      <c r="O5" s="137"/>
      <c r="P5" s="137"/>
      <c r="Q5" s="137"/>
      <c r="R5" s="137"/>
      <c r="S5" s="137"/>
      <c r="T5" s="137"/>
      <c r="U5" s="137"/>
      <c r="V5" s="137"/>
      <c r="W5" s="137"/>
      <c r="X5" s="137"/>
      <c r="Y5" s="138"/>
      <c r="Z5" s="138"/>
      <c r="AA5" s="138"/>
      <c r="AB5" s="138"/>
      <c r="AC5" s="138"/>
      <c r="AD5" s="138"/>
      <c r="AE5" s="138"/>
      <c r="AF5" s="138"/>
      <c r="AG5" s="138"/>
      <c r="AH5" s="138"/>
      <c r="AI5" s="138"/>
    </row>
    <row r="6" spans="1:35" ht="30.6" customHeight="1" x14ac:dyDescent="0.25">
      <c r="A6" s="139"/>
      <c r="B6" s="366" t="s">
        <v>505</v>
      </c>
      <c r="C6" s="366" t="s">
        <v>506</v>
      </c>
      <c r="D6" s="366" t="s">
        <v>507</v>
      </c>
      <c r="E6" s="366" t="s">
        <v>508</v>
      </c>
      <c r="F6" s="366" t="s">
        <v>509</v>
      </c>
      <c r="G6" s="366" t="s">
        <v>510</v>
      </c>
      <c r="H6" s="366" t="s">
        <v>511</v>
      </c>
      <c r="I6" s="366" t="s">
        <v>512</v>
      </c>
      <c r="J6" s="366" t="s">
        <v>513</v>
      </c>
      <c r="K6" s="366" t="s">
        <v>514</v>
      </c>
      <c r="L6" s="366" t="s">
        <v>515</v>
      </c>
      <c r="M6" s="366" t="s">
        <v>516</v>
      </c>
      <c r="N6" s="366" t="s">
        <v>517</v>
      </c>
      <c r="O6" s="366" t="s">
        <v>518</v>
      </c>
      <c r="P6" s="366" t="s">
        <v>519</v>
      </c>
      <c r="Q6" s="366" t="s">
        <v>520</v>
      </c>
      <c r="R6" s="366" t="s">
        <v>521</v>
      </c>
      <c r="S6" s="366" t="s">
        <v>522</v>
      </c>
      <c r="T6" s="366" t="s">
        <v>523</v>
      </c>
      <c r="U6" s="366" t="s">
        <v>524</v>
      </c>
      <c r="V6" s="366" t="s">
        <v>525</v>
      </c>
      <c r="W6" s="366" t="s">
        <v>526</v>
      </c>
      <c r="X6" s="366" t="s">
        <v>527</v>
      </c>
      <c r="Y6" s="366" t="s">
        <v>528</v>
      </c>
      <c r="Z6" s="366" t="s">
        <v>529</v>
      </c>
      <c r="AA6" s="366" t="s">
        <v>530</v>
      </c>
    </row>
    <row r="7" spans="1:35" ht="30.6" customHeight="1" x14ac:dyDescent="0.25">
      <c r="A7" s="139"/>
      <c r="B7" s="140">
        <v>45231</v>
      </c>
      <c r="C7" s="140">
        <v>45261</v>
      </c>
      <c r="D7" s="140">
        <v>45292</v>
      </c>
      <c r="E7" s="140">
        <v>45323</v>
      </c>
      <c r="F7" s="140">
        <v>45352</v>
      </c>
      <c r="G7" s="140">
        <v>45383</v>
      </c>
      <c r="H7" s="140">
        <v>45413</v>
      </c>
      <c r="I7" s="140">
        <v>45444</v>
      </c>
      <c r="J7" s="140">
        <v>45474</v>
      </c>
      <c r="K7" s="140">
        <v>45505</v>
      </c>
      <c r="L7" s="140">
        <v>45536</v>
      </c>
      <c r="M7" s="140">
        <v>45566</v>
      </c>
      <c r="N7" s="140">
        <v>45597</v>
      </c>
      <c r="O7" s="140">
        <v>45627</v>
      </c>
      <c r="P7" s="140">
        <v>45658</v>
      </c>
      <c r="Q7" s="140">
        <v>45689</v>
      </c>
      <c r="R7" s="140">
        <v>45717</v>
      </c>
      <c r="S7" s="140">
        <v>45748</v>
      </c>
      <c r="T7" s="140">
        <v>45778</v>
      </c>
      <c r="U7" s="140">
        <v>45809</v>
      </c>
      <c r="V7" s="140">
        <v>45839</v>
      </c>
      <c r="W7" s="140">
        <v>45870</v>
      </c>
      <c r="X7" s="140">
        <v>45901</v>
      </c>
      <c r="Y7" s="140">
        <v>45931</v>
      </c>
      <c r="Z7" s="140">
        <v>45962</v>
      </c>
      <c r="AA7" s="140">
        <v>45992</v>
      </c>
    </row>
    <row r="8" spans="1:35" x14ac:dyDescent="0.25">
      <c r="A8" s="141" t="s">
        <v>222</v>
      </c>
      <c r="B8" s="142">
        <v>54574.252932940442</v>
      </c>
      <c r="C8" s="142">
        <v>68787.682431046022</v>
      </c>
      <c r="D8" s="142">
        <v>83001.111929151593</v>
      </c>
      <c r="E8" s="142">
        <v>97214.541427257194</v>
      </c>
      <c r="F8" s="142">
        <v>111427.970925363</v>
      </c>
      <c r="G8" s="142">
        <v>125641.400423468</v>
      </c>
      <c r="H8" s="142">
        <v>139854.82992157401</v>
      </c>
      <c r="I8" s="142">
        <v>154068.25941967999</v>
      </c>
      <c r="J8" s="142">
        <v>168281.68891778501</v>
      </c>
      <c r="K8" s="142">
        <v>182495.11841589</v>
      </c>
      <c r="L8" s="142">
        <v>196708.54791399601</v>
      </c>
      <c r="M8" s="142">
        <v>210921.977412101</v>
      </c>
      <c r="N8" s="142">
        <v>225135.40691020701</v>
      </c>
      <c r="O8" s="142">
        <v>239348.83640831301</v>
      </c>
      <c r="P8" s="142">
        <v>253562.265906418</v>
      </c>
      <c r="Q8" s="142">
        <v>267775.69540452398</v>
      </c>
      <c r="R8" s="142">
        <v>281989.124902629</v>
      </c>
      <c r="S8" s="142">
        <v>296202.55440073501</v>
      </c>
      <c r="T8" s="142">
        <v>310415.98389883997</v>
      </c>
      <c r="U8" s="142">
        <v>324629.41339694598</v>
      </c>
      <c r="V8" s="142">
        <v>338842.84289505199</v>
      </c>
      <c r="W8" s="142">
        <v>353056.27239315701</v>
      </c>
      <c r="X8" s="142">
        <v>367269.70189126302</v>
      </c>
      <c r="Y8" s="142">
        <v>381483.13138936798</v>
      </c>
      <c r="Z8" s="142">
        <v>395696.56088747398</v>
      </c>
      <c r="AA8" s="142">
        <v>409909.990385579</v>
      </c>
    </row>
    <row r="9" spans="1:35" s="349" customFormat="1" x14ac:dyDescent="0.25">
      <c r="A9" s="345" t="s">
        <v>504</v>
      </c>
      <c r="B9" s="346"/>
      <c r="C9" s="346"/>
      <c r="D9" s="346"/>
      <c r="E9" s="346"/>
      <c r="F9" s="346"/>
      <c r="G9" s="346"/>
      <c r="H9" s="346"/>
      <c r="I9" s="346"/>
      <c r="J9" s="346"/>
      <c r="K9" s="346"/>
      <c r="L9" s="346"/>
      <c r="M9" s="346"/>
      <c r="N9" s="346"/>
      <c r="O9" s="346"/>
      <c r="P9" s="346"/>
      <c r="Q9" s="346"/>
      <c r="R9" s="347"/>
      <c r="S9" s="347"/>
      <c r="T9" s="347"/>
      <c r="U9" s="347"/>
      <c r="V9" s="347"/>
      <c r="W9" s="347"/>
      <c r="X9" s="347"/>
      <c r="Y9" s="348">
        <f>-(Y8*5%)</f>
        <v>-19074.1565694684</v>
      </c>
      <c r="Z9" s="348">
        <f t="shared" ref="Z9:AA9" si="0">-(Z8*5%)</f>
        <v>-19784.828044373702</v>
      </c>
      <c r="AA9" s="348">
        <f t="shared" si="0"/>
        <v>-20495.49951927895</v>
      </c>
    </row>
    <row r="10" spans="1:35" x14ac:dyDescent="0.25">
      <c r="A10" s="141" t="s">
        <v>223</v>
      </c>
      <c r="B10" s="142">
        <v>4503.9249999999993</v>
      </c>
      <c r="C10" s="142">
        <v>5404.7099999999964</v>
      </c>
      <c r="D10" s="142">
        <v>9589.0016129032192</v>
      </c>
      <c r="E10" s="142">
        <v>11584.2888172043</v>
      </c>
      <c r="F10" s="142">
        <v>14126.827123655899</v>
      </c>
      <c r="G10" s="142">
        <v>16669.3654301075</v>
      </c>
      <c r="H10" s="142">
        <v>19211.903736559201</v>
      </c>
      <c r="I10" s="142">
        <v>21754.4420430108</v>
      </c>
      <c r="J10" s="142">
        <v>24296.980349462399</v>
      </c>
      <c r="K10" s="142">
        <v>26839.518655913998</v>
      </c>
      <c r="L10" s="142">
        <v>29382.056962365601</v>
      </c>
      <c r="M10" s="142">
        <v>31924.5952688172</v>
      </c>
      <c r="N10" s="142">
        <v>34467.133575268803</v>
      </c>
      <c r="O10" s="142">
        <v>37009.671881720402</v>
      </c>
      <c r="P10" s="142">
        <v>39552.210188172001</v>
      </c>
      <c r="Q10" s="142">
        <v>42094.748494623702</v>
      </c>
      <c r="R10" s="142">
        <v>44637.286801075301</v>
      </c>
      <c r="S10" s="142">
        <v>47179.8251075269</v>
      </c>
      <c r="T10" s="142">
        <v>49722.363413978499</v>
      </c>
      <c r="U10" s="142">
        <v>52264.901720430098</v>
      </c>
      <c r="V10" s="142">
        <v>54807.440026881697</v>
      </c>
      <c r="W10" s="142">
        <v>57349.978333333303</v>
      </c>
      <c r="X10" s="142">
        <v>59892.516639784903</v>
      </c>
      <c r="Y10" s="142">
        <v>62435.054946236502</v>
      </c>
      <c r="Z10" s="142">
        <v>64977.593252688101</v>
      </c>
      <c r="AA10" s="142">
        <v>67520.1315591397</v>
      </c>
    </row>
    <row r="11" spans="1:35" x14ac:dyDescent="0.25">
      <c r="A11" s="141" t="s">
        <v>224</v>
      </c>
      <c r="B11" s="142">
        <v>0</v>
      </c>
      <c r="C11" s="142">
        <v>2286.4539999999997</v>
      </c>
      <c r="D11" s="142">
        <v>5609.8035666666665</v>
      </c>
      <c r="E11" s="142">
        <v>8241.8894222222207</v>
      </c>
      <c r="F11" s="142">
        <v>11046.791205555501</v>
      </c>
      <c r="G11" s="142">
        <v>13851.692988888901</v>
      </c>
      <c r="H11" s="142">
        <v>16656.594772222201</v>
      </c>
      <c r="I11" s="142">
        <v>19461.496555555499</v>
      </c>
      <c r="J11" s="142">
        <v>22266.398338888899</v>
      </c>
      <c r="K11" s="142">
        <v>25071.300122222201</v>
      </c>
      <c r="L11" s="142">
        <v>27876.201905555499</v>
      </c>
      <c r="M11" s="142">
        <v>30681.103688888899</v>
      </c>
      <c r="N11" s="142">
        <v>33486.005472222198</v>
      </c>
      <c r="O11" s="142">
        <v>36290.907255555503</v>
      </c>
      <c r="P11" s="142">
        <v>39095.809038888903</v>
      </c>
      <c r="Q11" s="142">
        <v>41900.710822222201</v>
      </c>
      <c r="R11" s="142">
        <v>44705.6126055555</v>
      </c>
      <c r="S11" s="142">
        <v>47510.5143888889</v>
      </c>
      <c r="T11" s="142">
        <v>50315.416172222198</v>
      </c>
      <c r="U11" s="142">
        <v>53120.317955555503</v>
      </c>
      <c r="V11" s="142">
        <v>55925.219738888904</v>
      </c>
      <c r="W11" s="142">
        <v>58730.121522222202</v>
      </c>
      <c r="X11" s="142">
        <v>61535.0233055555</v>
      </c>
      <c r="Y11" s="142">
        <v>64339.9250888889</v>
      </c>
      <c r="Z11" s="142">
        <v>67144.826872222198</v>
      </c>
      <c r="AA11" s="142">
        <v>69949.728655555504</v>
      </c>
    </row>
    <row r="12" spans="1:35" x14ac:dyDescent="0.25">
      <c r="A12" s="141" t="s">
        <v>391</v>
      </c>
      <c r="B12" s="142">
        <v>0</v>
      </c>
      <c r="C12" s="142">
        <v>0</v>
      </c>
      <c r="D12" s="142">
        <v>27942.057000000001</v>
      </c>
      <c r="E12" s="142">
        <v>30000</v>
      </c>
      <c r="F12" s="142">
        <v>32057.942999999999</v>
      </c>
      <c r="G12" s="142">
        <v>34115.885999999999</v>
      </c>
      <c r="H12" s="142">
        <v>36173.828999999998</v>
      </c>
      <c r="I12" s="142">
        <v>38231.771999999997</v>
      </c>
      <c r="J12" s="142">
        <v>40289.714999999997</v>
      </c>
      <c r="K12" s="142">
        <v>42347.658000000003</v>
      </c>
      <c r="L12" s="142">
        <v>44405.601000000002</v>
      </c>
      <c r="M12" s="142">
        <v>46463.544000000002</v>
      </c>
      <c r="N12" s="142">
        <v>48521.487000000001</v>
      </c>
      <c r="O12" s="142">
        <v>50579.43</v>
      </c>
      <c r="P12" s="142">
        <v>52637.373</v>
      </c>
      <c r="Q12" s="142">
        <v>54695.315999999999</v>
      </c>
      <c r="R12" s="142">
        <v>56753.258999999998</v>
      </c>
      <c r="S12" s="142">
        <v>58811.201999999997</v>
      </c>
      <c r="T12" s="142">
        <v>60869.144999999997</v>
      </c>
      <c r="U12" s="142">
        <v>62927.088000000003</v>
      </c>
      <c r="V12" s="142">
        <v>64985.031000000003</v>
      </c>
      <c r="W12" s="142">
        <v>67042.974000000002</v>
      </c>
      <c r="X12" s="142">
        <v>69100.917000000001</v>
      </c>
      <c r="Y12" s="142">
        <v>71158.86</v>
      </c>
      <c r="Z12" s="142">
        <v>73216.803</v>
      </c>
      <c r="AA12" s="142">
        <v>75274.745999999999</v>
      </c>
    </row>
    <row r="13" spans="1:35" ht="18.75" customHeight="1" x14ac:dyDescent="0.25">
      <c r="A13" s="143" t="s">
        <v>80</v>
      </c>
      <c r="B13" s="144">
        <f>SUM(B8:B12)</f>
        <v>59078.177932940438</v>
      </c>
      <c r="C13" s="144">
        <f>SUM(C8:C12)</f>
        <v>76478.846431046011</v>
      </c>
      <c r="D13" s="144">
        <f>SUM(D8:D12)</f>
        <v>126141.97410872148</v>
      </c>
      <c r="E13" s="144">
        <f>SUM(E8:E12)</f>
        <v>147040.7196666837</v>
      </c>
      <c r="F13" s="144">
        <f>SUM(F8:F12)</f>
        <v>168659.53225457438</v>
      </c>
      <c r="G13" s="144">
        <f>SUM(G8:G12)</f>
        <v>190278.3448424644</v>
      </c>
      <c r="H13" s="144">
        <f>SUM(H8:H12)</f>
        <v>211897.15743035541</v>
      </c>
      <c r="I13" s="144">
        <f>SUM(I8:I12)</f>
        <v>233515.97001824627</v>
      </c>
      <c r="J13" s="144">
        <f>SUM(J8:J12)</f>
        <v>255134.78260613629</v>
      </c>
      <c r="K13" s="144">
        <f>SUM(K8:K12)</f>
        <v>276753.59519402619</v>
      </c>
      <c r="L13" s="144">
        <f>SUM(L8:L12)</f>
        <v>298372.40778191714</v>
      </c>
      <c r="M13" s="144">
        <f>SUM(M8:M12)</f>
        <v>319991.2203698071</v>
      </c>
      <c r="N13" s="144">
        <f>SUM(N8:N12)</f>
        <v>341610.03295769804</v>
      </c>
      <c r="O13" s="144">
        <f>SUM(O8:O12)</f>
        <v>363228.84554558893</v>
      </c>
      <c r="P13" s="144">
        <f>SUM(P8:P12)</f>
        <v>384847.65813347895</v>
      </c>
      <c r="Q13" s="144">
        <f>SUM(Q8:Q12)</f>
        <v>406466.47072136984</v>
      </c>
      <c r="R13" s="144">
        <f>SUM(R8:R12)</f>
        <v>428085.2833092598</v>
      </c>
      <c r="S13" s="144">
        <f>SUM(S8:S12)</f>
        <v>449704.09589715081</v>
      </c>
      <c r="T13" s="144">
        <f>SUM(T8:T12)</f>
        <v>471322.90848504065</v>
      </c>
      <c r="U13" s="144">
        <f>SUM(U8:U12)</f>
        <v>492941.7210729316</v>
      </c>
      <c r="V13" s="144">
        <f>SUM(V8:V12)</f>
        <v>514560.53366082261</v>
      </c>
      <c r="W13" s="144">
        <f>SUM(W8:W12)</f>
        <v>536179.34624871251</v>
      </c>
      <c r="X13" s="144">
        <f>SUM(X8:X12)</f>
        <v>557798.1588366034</v>
      </c>
      <c r="Y13" s="144">
        <f>SUM(Y8:Y12)</f>
        <v>560342.81485502503</v>
      </c>
      <c r="Z13" s="144">
        <f>SUM(Z8:Z12)</f>
        <v>581250.95596801059</v>
      </c>
      <c r="AA13" s="289">
        <f>SUM(AA8:AA12)</f>
        <v>602159.09708099533</v>
      </c>
    </row>
    <row r="14" spans="1:35" ht="18.75" customHeight="1" x14ac:dyDescent="0.25">
      <c r="A14" s="145" t="s">
        <v>225</v>
      </c>
      <c r="B14" s="146">
        <v>0</v>
      </c>
      <c r="C14" s="146">
        <f t="shared" ref="C14:Q14" si="1">(C13-B13)/B13</f>
        <v>0.29453630946196496</v>
      </c>
      <c r="D14" s="146">
        <f t="shared" si="1"/>
        <v>0.64937077368775653</v>
      </c>
      <c r="E14" s="146">
        <f t="shared" si="1"/>
        <v>0.165676379378284</v>
      </c>
      <c r="F14" s="146">
        <f t="shared" si="1"/>
        <v>0.14702602542273227</v>
      </c>
      <c r="G14" s="146">
        <f t="shared" si="1"/>
        <v>0.12818020006873149</v>
      </c>
      <c r="H14" s="146">
        <f t="shared" si="1"/>
        <v>0.11361677865019108</v>
      </c>
      <c r="I14" s="146">
        <f t="shared" si="1"/>
        <v>0.10202502407327646</v>
      </c>
      <c r="J14" s="146">
        <f t="shared" si="1"/>
        <v>9.2579589251222449E-2</v>
      </c>
      <c r="K14" s="146">
        <f t="shared" si="1"/>
        <v>8.473486980904478E-2</v>
      </c>
      <c r="L14" s="146">
        <f t="shared" si="1"/>
        <v>7.811574253528468E-2</v>
      </c>
      <c r="M14" s="146">
        <f t="shared" si="1"/>
        <v>7.2455803633462407E-2</v>
      </c>
      <c r="N14" s="146">
        <f t="shared" si="1"/>
        <v>6.7560642954224009E-2</v>
      </c>
      <c r="O14" s="147">
        <f>(O13-N13)/N13</f>
        <v>6.3285063382690437E-2</v>
      </c>
      <c r="P14" s="146">
        <f>(P13-O13)/O13</f>
        <v>5.9518435424415199E-2</v>
      </c>
      <c r="Q14" s="146">
        <f t="shared" si="1"/>
        <v>5.617498802706164E-2</v>
      </c>
      <c r="R14" s="146">
        <f>(R13-Q13)/Q13</f>
        <v>5.3187197825991205E-2</v>
      </c>
      <c r="S14" s="146">
        <f>(S13-R13)/R13</f>
        <v>5.0501181495354097E-2</v>
      </c>
      <c r="T14" s="146">
        <f>(T13-S13)/S13</f>
        <v>4.8073417131682415E-2</v>
      </c>
      <c r="U14" s="146">
        <f>(U13-T13)/T13</f>
        <v>4.5868367946255068E-2</v>
      </c>
      <c r="V14" s="146">
        <f t="shared" ref="V14:Y14" si="2">(V13-U13)/U13</f>
        <v>4.3856731259905801E-2</v>
      </c>
      <c r="W14" s="146">
        <f t="shared" si="2"/>
        <v>4.2014128899633303E-2</v>
      </c>
      <c r="X14" s="146">
        <f t="shared" si="2"/>
        <v>4.032011441534112E-2</v>
      </c>
      <c r="Y14" s="146">
        <f t="shared" si="2"/>
        <v>4.5619656108743913E-3</v>
      </c>
      <c r="Z14" s="146">
        <f t="shared" ref="Z14" si="3">(Z13-Y13)/Y13</f>
        <v>3.731312432085887E-2</v>
      </c>
      <c r="AA14" s="269">
        <f t="shared" ref="AA14" si="4">(AA13-Z13)/Z13</f>
        <v>3.5970936302658622E-2</v>
      </c>
    </row>
    <row r="15" spans="1:35" ht="23.25" customHeight="1" x14ac:dyDescent="0.25">
      <c r="A15" s="145" t="s">
        <v>370</v>
      </c>
      <c r="B15" s="473">
        <f>SUM(B13:BL13)</f>
        <v>9053840.6514096074</v>
      </c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4"/>
      <c r="P15" s="474"/>
      <c r="Q15" s="474"/>
      <c r="R15" s="474"/>
      <c r="S15" s="474"/>
      <c r="T15" s="474"/>
      <c r="U15" s="474"/>
      <c r="V15" s="474"/>
      <c r="W15" s="474"/>
      <c r="X15" s="474"/>
      <c r="Y15" s="474"/>
      <c r="Z15" s="474"/>
      <c r="AA15" s="474"/>
    </row>
    <row r="16" spans="1:35" ht="18.75" customHeight="1" x14ac:dyDescent="0.25">
      <c r="A16" s="145" t="s">
        <v>181</v>
      </c>
      <c r="B16" s="367">
        <v>3562528.2192784199</v>
      </c>
      <c r="C16" s="367">
        <v>3872422.8768084901</v>
      </c>
      <c r="D16" s="367">
        <v>4182317.53433856</v>
      </c>
      <c r="E16" s="367">
        <v>4492212.19186862</v>
      </c>
      <c r="F16" s="367">
        <v>4802106.8493986903</v>
      </c>
      <c r="G16" s="367">
        <v>5112001.5069287503</v>
      </c>
      <c r="H16" s="367">
        <v>5421896.1644588197</v>
      </c>
      <c r="I16" s="367">
        <v>5731790.8219888797</v>
      </c>
      <c r="J16" s="367">
        <v>6041685.47951895</v>
      </c>
      <c r="K16" s="367">
        <v>6351580.1370490203</v>
      </c>
      <c r="L16" s="367">
        <v>6661474.7945790803</v>
      </c>
      <c r="M16" s="367">
        <v>6971369.4521091497</v>
      </c>
      <c r="N16" s="367">
        <v>7281264.1096392097</v>
      </c>
      <c r="O16" s="367">
        <v>7591158.76716928</v>
      </c>
      <c r="P16" s="367">
        <v>7901053.42469934</v>
      </c>
      <c r="Q16" s="367">
        <v>8210948.0822294103</v>
      </c>
      <c r="R16" s="367">
        <v>8520842.7397594694</v>
      </c>
      <c r="S16" s="367">
        <v>8830737.3972895406</v>
      </c>
      <c r="T16" s="367">
        <v>9140632.05481961</v>
      </c>
      <c r="U16" s="367">
        <v>9450526.71234967</v>
      </c>
      <c r="V16" s="367">
        <v>9760421.3698797394</v>
      </c>
      <c r="W16" s="367">
        <v>10070316.027409799</v>
      </c>
      <c r="X16" s="367">
        <v>10380210.6849399</v>
      </c>
      <c r="Y16" s="367">
        <v>10690105.342469901</v>
      </c>
      <c r="Z16" s="367">
        <v>11000000</v>
      </c>
      <c r="AA16" s="368">
        <v>11309894.657530066</v>
      </c>
    </row>
    <row r="17" spans="1:27" ht="15" customHeight="1" x14ac:dyDescent="0.25">
      <c r="A17" s="148"/>
      <c r="B17" s="148"/>
      <c r="C17" s="148"/>
      <c r="D17" s="148"/>
      <c r="E17" s="148"/>
      <c r="F17" s="148"/>
      <c r="G17" s="148"/>
      <c r="H17" s="148"/>
      <c r="I17" s="148"/>
      <c r="J17" s="148"/>
      <c r="K17" s="148"/>
      <c r="L17" s="148"/>
      <c r="M17" s="148"/>
      <c r="N17" s="148"/>
      <c r="O17" s="148"/>
      <c r="P17" s="148"/>
      <c r="Q17" s="148"/>
      <c r="R17" s="148"/>
      <c r="S17" s="148"/>
      <c r="T17" s="148"/>
      <c r="U17" s="148"/>
      <c r="V17" s="148"/>
      <c r="W17" s="148"/>
      <c r="X17" s="148"/>
      <c r="Y17" s="148"/>
      <c r="Z17" s="148"/>
      <c r="AA17" s="148"/>
    </row>
    <row r="18" spans="1:27" ht="15" customHeight="1" x14ac:dyDescent="0.25">
      <c r="A18" s="148"/>
      <c r="B18" s="148"/>
      <c r="C18" s="148"/>
      <c r="D18" s="148"/>
      <c r="E18" s="148"/>
      <c r="F18" s="148"/>
      <c r="G18" s="148"/>
      <c r="H18" s="148"/>
      <c r="I18" s="148"/>
      <c r="J18" s="148"/>
      <c r="K18" s="148"/>
      <c r="L18" s="148"/>
      <c r="M18" s="148"/>
      <c r="N18" s="148"/>
      <c r="O18" s="148"/>
      <c r="P18" s="148"/>
      <c r="Q18" s="148"/>
      <c r="R18" s="148"/>
      <c r="S18" s="148"/>
      <c r="T18" s="148"/>
      <c r="U18" s="148"/>
      <c r="V18" s="148"/>
      <c r="W18" s="148"/>
      <c r="X18" s="148"/>
      <c r="Y18" s="148"/>
      <c r="Z18" s="148"/>
      <c r="AA18" s="148"/>
    </row>
    <row r="19" spans="1:27" ht="15" customHeight="1" x14ac:dyDescent="0.25">
      <c r="A19" s="148"/>
      <c r="B19" s="148"/>
      <c r="C19" s="148"/>
      <c r="D19" s="148"/>
      <c r="E19" s="148"/>
      <c r="F19" s="148"/>
      <c r="G19" s="148"/>
      <c r="H19" s="148"/>
      <c r="I19" s="148"/>
      <c r="J19" s="148"/>
      <c r="K19" s="148"/>
      <c r="L19" s="148"/>
      <c r="M19" s="148"/>
      <c r="N19" s="148"/>
      <c r="O19" s="148"/>
      <c r="P19" s="148"/>
      <c r="Q19" s="148"/>
      <c r="R19" s="148"/>
      <c r="S19" s="148"/>
      <c r="T19" s="148"/>
      <c r="U19" s="148"/>
      <c r="V19" s="148"/>
      <c r="W19" s="148"/>
      <c r="X19" s="148"/>
      <c r="Y19" s="148"/>
      <c r="Z19" s="148"/>
      <c r="AA19" s="148"/>
    </row>
    <row r="20" spans="1:27" ht="15" customHeight="1" x14ac:dyDescent="0.25">
      <c r="A20" s="148"/>
      <c r="B20" s="148"/>
      <c r="C20" s="148"/>
      <c r="D20" s="148"/>
      <c r="E20" s="148"/>
      <c r="F20" s="148"/>
      <c r="G20" s="148"/>
      <c r="H20" s="148"/>
      <c r="I20" s="148"/>
      <c r="J20" s="148"/>
      <c r="K20" s="148"/>
      <c r="L20" s="148"/>
      <c r="M20" s="148"/>
      <c r="N20" s="148"/>
      <c r="O20" s="148"/>
      <c r="P20" s="148"/>
      <c r="Q20" s="148"/>
      <c r="R20" s="148"/>
      <c r="S20" s="148"/>
      <c r="T20" s="148"/>
      <c r="U20" s="148"/>
      <c r="V20" s="148"/>
      <c r="W20" s="148"/>
      <c r="X20" s="148"/>
      <c r="Y20" s="148"/>
      <c r="Z20" s="148"/>
      <c r="AA20" s="148"/>
    </row>
    <row r="21" spans="1:27" ht="15" customHeight="1" x14ac:dyDescent="0.25">
      <c r="A21" s="148"/>
      <c r="B21" s="148"/>
      <c r="C21" s="148"/>
      <c r="D21" s="148"/>
      <c r="E21" s="148"/>
      <c r="F21" s="148"/>
      <c r="G21" s="148"/>
      <c r="H21" s="148"/>
      <c r="I21" s="148"/>
      <c r="J21" s="148"/>
      <c r="K21" s="148"/>
      <c r="L21" s="148"/>
      <c r="M21" s="148"/>
      <c r="N21" s="148"/>
      <c r="O21" s="148"/>
      <c r="P21" s="148"/>
      <c r="Q21" s="148"/>
      <c r="R21" s="148"/>
      <c r="S21" s="148"/>
      <c r="T21" s="148"/>
      <c r="U21" s="148"/>
      <c r="V21" s="148"/>
      <c r="W21" s="277"/>
      <c r="X21" s="148"/>
      <c r="Y21" s="148"/>
      <c r="Z21" s="148"/>
      <c r="AA21" s="148"/>
    </row>
    <row r="22" spans="1:27" ht="15" customHeight="1" x14ac:dyDescent="0.25">
      <c r="A22" s="148"/>
      <c r="B22" s="148"/>
      <c r="C22" s="148"/>
      <c r="D22" s="148"/>
      <c r="E22" s="148"/>
      <c r="F22" s="148"/>
      <c r="G22" s="148"/>
      <c r="H22" s="148"/>
      <c r="I22" s="148"/>
      <c r="J22" s="148"/>
      <c r="K22" s="148"/>
      <c r="L22" s="148"/>
      <c r="M22" s="148"/>
      <c r="N22" s="148"/>
      <c r="O22" s="148"/>
      <c r="P22" s="148"/>
      <c r="Q22" s="148"/>
      <c r="R22" s="148"/>
      <c r="S22" s="148"/>
      <c r="T22" s="148"/>
      <c r="U22" s="148"/>
      <c r="V22" s="148"/>
      <c r="W22" s="148"/>
      <c r="X22" s="148"/>
      <c r="Y22" s="148"/>
      <c r="Z22" s="148"/>
      <c r="AA22" s="148"/>
    </row>
    <row r="23" spans="1:27" ht="15" customHeight="1" x14ac:dyDescent="0.25">
      <c r="A23" s="148"/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</row>
    <row r="24" spans="1:27" ht="15" customHeight="1" x14ac:dyDescent="0.25">
      <c r="A24" s="148"/>
      <c r="B24" s="148"/>
      <c r="C24" s="148"/>
      <c r="D24" s="148"/>
      <c r="E24" s="148"/>
      <c r="F24" s="148"/>
      <c r="G24" s="148"/>
      <c r="H24" s="148"/>
      <c r="I24" s="148"/>
      <c r="J24" s="148"/>
      <c r="K24" s="148"/>
      <c r="L24" s="148"/>
      <c r="M24" s="148"/>
      <c r="N24" s="148"/>
      <c r="O24" s="148"/>
      <c r="P24" s="148"/>
      <c r="Q24" s="148"/>
      <c r="R24" s="148"/>
      <c r="S24" s="148"/>
      <c r="T24" s="148"/>
      <c r="U24" s="148"/>
      <c r="V24" s="148"/>
      <c r="W24" s="148"/>
      <c r="X24" s="148"/>
      <c r="Y24" s="148"/>
      <c r="Z24" s="148"/>
      <c r="AA24" s="148"/>
    </row>
    <row r="25" spans="1:27" ht="15" customHeight="1" x14ac:dyDescent="0.25">
      <c r="A25" s="148"/>
      <c r="B25" s="148"/>
      <c r="C25" s="148"/>
      <c r="D25" s="148"/>
      <c r="E25" s="148"/>
      <c r="F25" s="148"/>
      <c r="G25" s="148"/>
      <c r="H25" s="148"/>
      <c r="I25" s="148"/>
      <c r="J25" s="148"/>
      <c r="K25" s="148"/>
      <c r="L25" s="148"/>
      <c r="M25" s="148"/>
      <c r="N25" s="148"/>
      <c r="O25" s="148"/>
      <c r="P25" s="148"/>
      <c r="Q25" s="148"/>
      <c r="R25" s="148"/>
      <c r="S25" s="148"/>
      <c r="T25" s="148"/>
      <c r="U25" s="148"/>
      <c r="V25" s="148"/>
      <c r="W25" s="148"/>
      <c r="X25" s="148"/>
      <c r="Y25" s="148"/>
      <c r="Z25" s="148"/>
      <c r="AA25" s="148"/>
    </row>
    <row r="26" spans="1:27" ht="15" customHeight="1" x14ac:dyDescent="0.25">
      <c r="A26" s="148"/>
      <c r="B26" s="148"/>
      <c r="C26" s="148"/>
      <c r="D26" s="148"/>
      <c r="E26" s="148"/>
      <c r="F26" s="148"/>
      <c r="G26" s="148"/>
      <c r="H26" s="148"/>
      <c r="I26" s="148"/>
      <c r="J26" s="148"/>
      <c r="K26" s="148"/>
      <c r="L26" s="148"/>
      <c r="M26" s="148"/>
      <c r="N26" s="148"/>
      <c r="O26" s="148"/>
      <c r="P26" s="148"/>
      <c r="Q26" s="148"/>
      <c r="R26" s="148"/>
      <c r="S26" s="148"/>
      <c r="T26" s="148"/>
      <c r="U26" s="148"/>
      <c r="V26" s="148"/>
      <c r="W26" s="148"/>
      <c r="X26" s="148"/>
      <c r="Y26" s="148"/>
      <c r="Z26" s="148"/>
      <c r="AA26" s="148"/>
    </row>
    <row r="27" spans="1:27" ht="15" customHeight="1" x14ac:dyDescent="0.25">
      <c r="L27" s="255"/>
    </row>
    <row r="28" spans="1:27" ht="15" customHeight="1" x14ac:dyDescent="0.25">
      <c r="L28" s="87"/>
    </row>
    <row r="29" spans="1:27" ht="15" customHeight="1" x14ac:dyDescent="0.25">
      <c r="L29" s="87"/>
    </row>
    <row r="30" spans="1:27" ht="15" customHeight="1" x14ac:dyDescent="0.25">
      <c r="L30" s="254"/>
    </row>
    <row r="31" spans="1:27" ht="15.75" customHeight="1" x14ac:dyDescent="0.25">
      <c r="L31" s="254"/>
    </row>
    <row r="32" spans="1:27" x14ac:dyDescent="0.25">
      <c r="L32" s="87"/>
    </row>
    <row r="33" spans="10:12" x14ac:dyDescent="0.25">
      <c r="L33" s="87"/>
    </row>
    <row r="34" spans="10:12" x14ac:dyDescent="0.25">
      <c r="L34" s="87"/>
    </row>
    <row r="35" spans="10:12" x14ac:dyDescent="0.25">
      <c r="L35" s="87"/>
    </row>
    <row r="36" spans="10:12" x14ac:dyDescent="0.25">
      <c r="L36" s="87"/>
    </row>
    <row r="37" spans="10:12" x14ac:dyDescent="0.25">
      <c r="L37" s="87"/>
    </row>
    <row r="38" spans="10:12" x14ac:dyDescent="0.25">
      <c r="L38" s="87"/>
    </row>
    <row r="39" spans="10:12" x14ac:dyDescent="0.25">
      <c r="L39" s="87"/>
    </row>
    <row r="40" spans="10:12" x14ac:dyDescent="0.25">
      <c r="L40" s="87"/>
    </row>
    <row r="41" spans="10:12" x14ac:dyDescent="0.25">
      <c r="L41" s="87"/>
    </row>
    <row r="42" spans="10:12" x14ac:dyDescent="0.25">
      <c r="L42" s="87"/>
    </row>
    <row r="43" spans="10:12" x14ac:dyDescent="0.25">
      <c r="L43" s="87"/>
    </row>
    <row r="44" spans="10:12" ht="15.75" customHeight="1" x14ac:dyDescent="0.25">
      <c r="J44" s="256"/>
      <c r="K44" s="255"/>
      <c r="L44" s="254"/>
    </row>
  </sheetData>
  <mergeCells count="1">
    <mergeCell ref="B15:AA15"/>
  </mergeCells>
  <phoneticPr fontId="89" type="noConversion"/>
  <printOptions horizontalCentered="1" verticalCentered="1"/>
  <pageMargins left="0" right="0" top="0" bottom="0" header="0" footer="0"/>
  <pageSetup paperSize="9" scale="61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95FAE-0B88-4936-BFD0-06ECE5A52A9D}">
  <sheetPr codeName="Planilha8">
    <tabColor theme="3" tint="0.39997558519241921"/>
  </sheetPr>
  <dimension ref="A1:AS49"/>
  <sheetViews>
    <sheetView view="pageBreakPreview" zoomScale="85" zoomScaleNormal="100" zoomScaleSheetLayoutView="85" workbookViewId="0">
      <selection activeCell="Q17" sqref="Q17"/>
    </sheetView>
  </sheetViews>
  <sheetFormatPr defaultRowHeight="15" x14ac:dyDescent="0.25"/>
  <cols>
    <col min="3" max="3" width="15" bestFit="1" customWidth="1"/>
    <col min="4" max="4" width="10.5703125" customWidth="1"/>
    <col min="13" max="13" width="10.28515625" customWidth="1"/>
    <col min="14" max="14" width="19.5703125" customWidth="1"/>
    <col min="15" max="15" width="11.42578125" bestFit="1" customWidth="1"/>
    <col min="16" max="16" width="15" customWidth="1"/>
    <col min="17" max="17" width="16.7109375" bestFit="1" customWidth="1"/>
    <col min="18" max="18" width="31.7109375" customWidth="1"/>
    <col min="19" max="19" width="10.140625" bestFit="1" customWidth="1"/>
    <col min="20" max="20" width="12.140625" bestFit="1" customWidth="1"/>
    <col min="21" max="21" width="15.42578125" style="296" bestFit="1" customWidth="1"/>
    <col min="22" max="23" width="8.42578125" style="296" bestFit="1" customWidth="1"/>
    <col min="24" max="32" width="8.42578125" bestFit="1" customWidth="1"/>
    <col min="33" max="33" width="7.28515625" hidden="1" customWidth="1"/>
    <col min="34" max="44" width="15.42578125" bestFit="1" customWidth="1"/>
    <col min="45" max="45" width="10.140625" bestFit="1" customWidth="1"/>
  </cols>
  <sheetData>
    <row r="1" spans="1:45" ht="15" customHeight="1" x14ac:dyDescent="0.25">
      <c r="A1" s="477" t="s">
        <v>166</v>
      </c>
      <c r="B1" s="477"/>
      <c r="C1" s="477"/>
      <c r="D1" s="477"/>
      <c r="E1" s="477"/>
      <c r="F1" s="477"/>
      <c r="G1" s="477"/>
      <c r="H1" s="477"/>
      <c r="I1" s="477"/>
      <c r="J1" s="477"/>
      <c r="K1" s="477"/>
      <c r="L1" s="477"/>
      <c r="M1" s="477"/>
      <c r="N1" s="477"/>
      <c r="O1" s="1"/>
      <c r="P1" s="1"/>
      <c r="Q1" s="1"/>
      <c r="R1" s="1"/>
      <c r="S1" s="1"/>
    </row>
    <row r="2" spans="1:45" ht="15" customHeight="1" x14ac:dyDescent="0.25">
      <c r="A2" s="477"/>
      <c r="B2" s="477"/>
      <c r="C2" s="477"/>
      <c r="D2" s="477"/>
      <c r="E2" s="477"/>
      <c r="F2" s="477"/>
      <c r="G2" s="477"/>
      <c r="H2" s="477"/>
      <c r="I2" s="477"/>
      <c r="J2" s="477"/>
      <c r="K2" s="477"/>
      <c r="L2" s="477"/>
      <c r="M2" s="477"/>
      <c r="N2" s="477"/>
      <c r="O2" s="1"/>
      <c r="P2" s="333" t="s">
        <v>167</v>
      </c>
      <c r="Q2" s="334" cm="1">
        <f t="array" ref="Q2">IFERROR(_xlfn.XLOOKUP(TRUE,Faturamento!Z13:ZZ13&lt;&gt;"",Faturamento!Z13:ZZ13,,0,-1),"Pendente")</f>
        <v>602159.09708099533</v>
      </c>
      <c r="R2" s="339" t="s">
        <v>372</v>
      </c>
      <c r="U2" s="369" cm="1">
        <f t="array" ref="U2">IFERROR(_xlfn.XLOOKUP(TRUE,Faturamento!Z12:ZZ12&lt;&gt;"",Faturamento!Z12:ZZ12,,0,-1),"Pendente")</f>
        <v>75274.745999999999</v>
      </c>
    </row>
    <row r="3" spans="1:45" x14ac:dyDescent="0.25">
      <c r="A3" s="121"/>
      <c r="B3" s="121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"/>
      <c r="P3" s="333" t="s">
        <v>170</v>
      </c>
      <c r="Q3" s="334">
        <f>SUM(Q7:Q11)</f>
        <v>434643.71490000002</v>
      </c>
      <c r="R3" s="340" t="s">
        <v>171</v>
      </c>
    </row>
    <row r="4" spans="1:45" x14ac:dyDescent="0.25">
      <c r="A4" s="121"/>
      <c r="B4" s="121"/>
      <c r="C4" s="122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"/>
      <c r="P4" s="333" t="s">
        <v>168</v>
      </c>
      <c r="Q4" s="334">
        <f>Q2*0.1943</f>
        <v>116999.51256283739</v>
      </c>
      <c r="R4" s="340" t="s">
        <v>171</v>
      </c>
    </row>
    <row r="5" spans="1:45" x14ac:dyDescent="0.25">
      <c r="A5" s="87"/>
      <c r="B5" s="87"/>
      <c r="C5" s="120"/>
      <c r="D5" s="87"/>
      <c r="E5" s="87"/>
      <c r="F5" s="87"/>
      <c r="G5" s="87"/>
      <c r="H5" s="87"/>
      <c r="I5" s="87"/>
      <c r="J5" s="87"/>
      <c r="K5" s="87"/>
      <c r="L5" s="87"/>
      <c r="M5" s="87"/>
      <c r="N5" s="87"/>
      <c r="P5" s="333" t="s">
        <v>169</v>
      </c>
      <c r="Q5" s="334">
        <f>Q2-Q3-Q4</f>
        <v>50515.869618157914</v>
      </c>
      <c r="R5" s="340" t="s">
        <v>171</v>
      </c>
    </row>
    <row r="6" spans="1:45" x14ac:dyDescent="0.25">
      <c r="A6" s="87"/>
      <c r="B6" s="87"/>
      <c r="C6" s="120"/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  <c r="P6" s="12"/>
      <c r="Q6" s="335"/>
      <c r="R6" s="341"/>
    </row>
    <row r="7" spans="1:45" ht="45" x14ac:dyDescent="0.25">
      <c r="A7" s="87"/>
      <c r="B7" s="87"/>
      <c r="C7" s="120"/>
      <c r="D7" s="87"/>
      <c r="E7" s="87"/>
      <c r="F7" s="87"/>
      <c r="G7" s="87"/>
      <c r="H7" s="87"/>
      <c r="I7" s="87"/>
      <c r="J7" s="87"/>
      <c r="K7" s="87"/>
      <c r="L7" s="87"/>
      <c r="M7" s="87"/>
      <c r="N7" s="87"/>
      <c r="O7" s="304"/>
      <c r="P7" s="364" t="s">
        <v>534</v>
      </c>
      <c r="Q7" s="334">
        <f>U2*0.65</f>
        <v>48928.584900000002</v>
      </c>
      <c r="R7" s="343" t="s">
        <v>390</v>
      </c>
      <c r="T7" s="58"/>
    </row>
    <row r="8" spans="1:45" x14ac:dyDescent="0.25">
      <c r="A8" s="87"/>
      <c r="B8" s="87"/>
      <c r="C8" s="87"/>
      <c r="D8" s="87"/>
      <c r="E8" s="87"/>
      <c r="F8" s="87"/>
      <c r="G8" s="87"/>
      <c r="H8" s="87"/>
      <c r="I8" s="87"/>
      <c r="J8" s="87"/>
      <c r="K8" s="87"/>
      <c r="L8" s="87"/>
      <c r="M8" s="87"/>
      <c r="N8" s="87"/>
      <c r="O8" s="304"/>
      <c r="P8" s="333" t="s">
        <v>172</v>
      </c>
      <c r="Q8" s="336">
        <f>Helexia!L64</f>
        <v>60715.130000000012</v>
      </c>
      <c r="R8" s="340" t="s">
        <v>531</v>
      </c>
    </row>
    <row r="9" spans="1:45" ht="30.75" customHeight="1" x14ac:dyDescent="0.25">
      <c r="A9" s="87"/>
      <c r="B9" s="87"/>
      <c r="C9" s="87"/>
      <c r="D9" s="87"/>
      <c r="E9" s="87"/>
      <c r="F9" s="87"/>
      <c r="G9" s="87"/>
      <c r="H9" s="87"/>
      <c r="I9" s="87"/>
      <c r="J9" s="87"/>
      <c r="K9" s="87"/>
      <c r="L9" s="87"/>
      <c r="M9" s="87"/>
      <c r="N9" s="87"/>
      <c r="O9" s="304"/>
      <c r="P9" s="364" t="s">
        <v>532</v>
      </c>
      <c r="Q9" s="337">
        <v>65000</v>
      </c>
      <c r="R9" s="342" t="s">
        <v>533</v>
      </c>
    </row>
    <row r="10" spans="1:45" x14ac:dyDescent="0.25">
      <c r="A10" s="87"/>
      <c r="B10" s="87"/>
      <c r="C10" s="87"/>
      <c r="D10" s="87"/>
      <c r="E10" s="87"/>
      <c r="F10" s="87"/>
      <c r="G10" s="87"/>
      <c r="H10" s="87"/>
      <c r="I10" s="87"/>
      <c r="J10" s="87"/>
      <c r="K10" s="87"/>
      <c r="L10" s="121"/>
      <c r="M10" s="87"/>
      <c r="N10" s="87"/>
      <c r="O10" s="305"/>
      <c r="P10" s="333" t="s">
        <v>173</v>
      </c>
      <c r="Q10" s="336">
        <v>200000</v>
      </c>
      <c r="R10" s="343" t="s">
        <v>374</v>
      </c>
    </row>
    <row r="11" spans="1:45" ht="26.25" customHeight="1" x14ac:dyDescent="0.25">
      <c r="A11" s="87"/>
      <c r="B11" s="87"/>
      <c r="C11" s="87"/>
      <c r="D11" s="87"/>
      <c r="E11" s="87"/>
      <c r="F11" s="87"/>
      <c r="G11" s="87"/>
      <c r="H11" s="87"/>
      <c r="I11" s="87"/>
      <c r="J11" s="87"/>
      <c r="K11" s="87"/>
      <c r="L11" s="87"/>
      <c r="M11" s="87"/>
      <c r="N11" s="87"/>
      <c r="P11" s="333" t="s">
        <v>174</v>
      </c>
      <c r="Q11" s="338">
        <v>60000</v>
      </c>
      <c r="R11" s="344" t="s">
        <v>371</v>
      </c>
      <c r="AK11" s="163"/>
    </row>
    <row r="12" spans="1:45" x14ac:dyDescent="0.25">
      <c r="A12" s="87"/>
      <c r="B12" s="87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AK12" s="163"/>
    </row>
    <row r="13" spans="1:45" x14ac:dyDescent="0.25">
      <c r="A13" s="87"/>
      <c r="B13" s="87"/>
      <c r="C13" s="87"/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7"/>
      <c r="U13" s="249"/>
      <c r="AK13" s="163"/>
    </row>
    <row r="14" spans="1:45" ht="18.75" x14ac:dyDescent="0.25">
      <c r="A14" s="87"/>
      <c r="B14" s="87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314"/>
      <c r="P14" s="315"/>
      <c r="Q14" s="316"/>
      <c r="R14" s="317"/>
      <c r="S14" s="314"/>
      <c r="T14" s="314"/>
      <c r="U14" s="318"/>
      <c r="V14" s="319"/>
      <c r="W14" s="319"/>
      <c r="X14" s="319"/>
      <c r="Y14" s="319"/>
      <c r="Z14" s="319"/>
      <c r="AA14" s="319"/>
      <c r="AB14" s="319"/>
      <c r="AC14" s="319"/>
      <c r="AD14" s="319"/>
      <c r="AE14" s="319"/>
      <c r="AF14" s="319"/>
      <c r="AG14" s="320"/>
      <c r="AH14" s="314"/>
      <c r="AI14" s="295"/>
      <c r="AJ14" s="295"/>
      <c r="AK14" s="163"/>
      <c r="AL14" s="295"/>
      <c r="AM14" s="295"/>
      <c r="AN14" s="295"/>
      <c r="AO14" s="295"/>
      <c r="AP14" s="295"/>
      <c r="AQ14" s="295"/>
      <c r="AR14" s="295"/>
      <c r="AS14" s="295"/>
    </row>
    <row r="15" spans="1:45" ht="18" x14ac:dyDescent="0.35">
      <c r="A15" s="87"/>
      <c r="B15" s="87"/>
      <c r="C15" s="87"/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/>
      <c r="O15" s="314"/>
      <c r="P15" s="321"/>
      <c r="Q15" s="313"/>
      <c r="R15" s="313"/>
      <c r="S15" s="322"/>
      <c r="T15" s="314"/>
      <c r="U15" s="323"/>
      <c r="V15" s="324"/>
      <c r="W15" s="324"/>
      <c r="X15" s="324"/>
      <c r="Y15" s="324"/>
      <c r="Z15" s="324"/>
      <c r="AA15" s="324"/>
      <c r="AB15" s="324"/>
      <c r="AC15" s="324"/>
      <c r="AD15" s="324"/>
      <c r="AE15" s="324"/>
      <c r="AF15" s="324"/>
      <c r="AG15" s="324"/>
      <c r="AH15" s="314"/>
      <c r="AI15" s="294"/>
      <c r="AJ15" s="294"/>
      <c r="AL15" s="294"/>
      <c r="AM15" s="294"/>
      <c r="AN15" s="294"/>
      <c r="AO15" s="294"/>
      <c r="AP15" s="294"/>
      <c r="AQ15" s="294"/>
      <c r="AR15" s="294"/>
      <c r="AS15" s="294"/>
    </row>
    <row r="16" spans="1:45" ht="18" x14ac:dyDescent="0.35">
      <c r="A16" s="87"/>
      <c r="B16" s="87"/>
      <c r="C16" s="87"/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314"/>
      <c r="P16" s="321"/>
      <c r="Q16" s="313"/>
      <c r="R16" s="313"/>
      <c r="S16" s="322"/>
      <c r="T16" s="314"/>
      <c r="U16" s="325"/>
      <c r="V16" s="324"/>
      <c r="W16" s="324"/>
      <c r="X16" s="324"/>
      <c r="Y16" s="324"/>
      <c r="Z16" s="324"/>
      <c r="AA16" s="324"/>
      <c r="AB16" s="324"/>
      <c r="AC16" s="324"/>
      <c r="AD16" s="324"/>
      <c r="AE16" s="324"/>
      <c r="AF16" s="324"/>
      <c r="AG16" s="324"/>
      <c r="AH16" s="314"/>
      <c r="AI16" s="163"/>
      <c r="AJ16" s="163"/>
      <c r="AL16" s="163"/>
      <c r="AM16" s="163"/>
      <c r="AN16" s="163"/>
      <c r="AO16" s="163"/>
      <c r="AP16" s="163"/>
      <c r="AQ16" s="163"/>
      <c r="AR16" s="163"/>
      <c r="AS16" s="163"/>
    </row>
    <row r="17" spans="1:45" ht="18" x14ac:dyDescent="0.35">
      <c r="A17" s="87"/>
      <c r="B17" s="87"/>
      <c r="C17" s="87"/>
      <c r="D17" s="87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314"/>
      <c r="P17" s="321"/>
      <c r="Q17" s="313"/>
      <c r="S17" s="322"/>
      <c r="T17" s="314"/>
      <c r="U17" s="325"/>
      <c r="V17" s="324"/>
      <c r="W17" s="324"/>
      <c r="X17" s="324"/>
      <c r="Y17" s="324"/>
      <c r="Z17" s="324"/>
      <c r="AA17" s="324"/>
      <c r="AB17" s="324"/>
      <c r="AC17" s="324"/>
      <c r="AD17" s="324"/>
      <c r="AE17" s="324"/>
      <c r="AF17" s="324"/>
      <c r="AG17" s="324"/>
      <c r="AH17" s="314"/>
      <c r="AI17" s="163"/>
      <c r="AJ17" s="163"/>
      <c r="AL17" s="163"/>
      <c r="AM17" s="163"/>
      <c r="AN17" s="163"/>
      <c r="AO17" s="163"/>
      <c r="AP17" s="163"/>
      <c r="AQ17" s="163"/>
      <c r="AR17" s="163"/>
      <c r="AS17" s="163"/>
    </row>
    <row r="18" spans="1:45" ht="18" x14ac:dyDescent="0.35">
      <c r="A18" s="87"/>
      <c r="B18" s="87"/>
      <c r="C18" s="87"/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314"/>
      <c r="P18" s="321"/>
      <c r="Q18" s="313"/>
      <c r="R18" s="313"/>
      <c r="S18" s="322"/>
      <c r="T18" s="314"/>
      <c r="U18" s="318"/>
      <c r="V18" s="326"/>
      <c r="W18" s="326"/>
      <c r="X18" s="326"/>
      <c r="Y18" s="326"/>
      <c r="Z18" s="326"/>
      <c r="AA18" s="326"/>
      <c r="AB18" s="326"/>
      <c r="AC18" s="326"/>
      <c r="AD18" s="326"/>
      <c r="AE18" s="326"/>
      <c r="AF18" s="326"/>
      <c r="AG18" s="327"/>
      <c r="AH18" s="314"/>
    </row>
    <row r="19" spans="1:45" ht="18" x14ac:dyDescent="0.35">
      <c r="A19" s="87"/>
      <c r="B19" s="87"/>
      <c r="C19" s="87"/>
      <c r="D19" s="87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314"/>
      <c r="P19" s="321"/>
      <c r="Q19" s="313"/>
      <c r="R19" s="313"/>
      <c r="S19" s="322"/>
      <c r="T19" s="314"/>
      <c r="U19" s="328"/>
      <c r="V19" s="329"/>
      <c r="W19" s="328"/>
      <c r="X19" s="314"/>
      <c r="Y19" s="314"/>
      <c r="Z19" s="314"/>
      <c r="AA19" s="314"/>
      <c r="AB19" s="314"/>
      <c r="AC19" s="314"/>
      <c r="AD19" s="314"/>
      <c r="AE19" s="314"/>
      <c r="AF19" s="314"/>
      <c r="AG19" s="314"/>
      <c r="AH19" s="314"/>
    </row>
    <row r="20" spans="1:45" ht="18" x14ac:dyDescent="0.35">
      <c r="A20" s="87"/>
      <c r="B20" s="87"/>
      <c r="C20" s="87"/>
      <c r="D20" s="87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314"/>
      <c r="P20" s="321"/>
      <c r="Q20" s="313"/>
      <c r="R20" s="313"/>
      <c r="S20" s="322"/>
      <c r="T20" s="314"/>
      <c r="U20" s="475"/>
      <c r="V20" s="476"/>
      <c r="W20" s="476"/>
      <c r="X20" s="476"/>
      <c r="Y20" s="476"/>
      <c r="Z20" s="476"/>
      <c r="AA20" s="476"/>
      <c r="AB20" s="476"/>
      <c r="AC20" s="476"/>
      <c r="AD20" s="476"/>
      <c r="AE20" s="476"/>
      <c r="AF20" s="476"/>
      <c r="AG20" s="314"/>
      <c r="AH20" s="314"/>
    </row>
    <row r="21" spans="1:45" ht="18" x14ac:dyDescent="0.35">
      <c r="A21" s="87"/>
      <c r="B21" s="87"/>
      <c r="C21" s="87"/>
      <c r="D21" s="87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314"/>
      <c r="P21" s="321"/>
      <c r="Q21" s="313"/>
      <c r="R21" s="313"/>
      <c r="S21" s="322"/>
      <c r="T21" s="314"/>
      <c r="U21" s="476"/>
      <c r="V21" s="476"/>
      <c r="W21" s="476"/>
      <c r="X21" s="476"/>
      <c r="Y21" s="476"/>
      <c r="Z21" s="476"/>
      <c r="AA21" s="476"/>
      <c r="AB21" s="476"/>
      <c r="AC21" s="476"/>
      <c r="AD21" s="476"/>
      <c r="AE21" s="476"/>
      <c r="AF21" s="476"/>
      <c r="AG21" s="314"/>
      <c r="AH21" s="314"/>
    </row>
    <row r="22" spans="1:45" ht="18" x14ac:dyDescent="0.35">
      <c r="A22" s="87"/>
      <c r="B22" s="87"/>
      <c r="C22" s="87"/>
      <c r="D22" s="87"/>
      <c r="E22" s="87"/>
      <c r="F22" s="87"/>
      <c r="G22" s="87"/>
      <c r="H22" s="87"/>
      <c r="I22" s="87"/>
      <c r="J22" s="87"/>
      <c r="K22" s="87"/>
      <c r="L22" s="87"/>
      <c r="M22" s="87"/>
      <c r="N22" s="87"/>
      <c r="O22" s="314"/>
      <c r="P22" s="321"/>
      <c r="Q22" s="313"/>
      <c r="R22" s="313"/>
      <c r="S22" s="322"/>
      <c r="T22" s="314"/>
      <c r="U22" s="476"/>
      <c r="V22" s="476"/>
      <c r="W22" s="476"/>
      <c r="X22" s="476"/>
      <c r="Y22" s="476"/>
      <c r="Z22" s="476"/>
      <c r="AA22" s="476"/>
      <c r="AB22" s="476"/>
      <c r="AC22" s="476"/>
      <c r="AD22" s="476"/>
      <c r="AE22" s="476"/>
      <c r="AF22" s="476"/>
      <c r="AG22" s="314"/>
      <c r="AH22" s="314"/>
    </row>
    <row r="23" spans="1:45" ht="18" x14ac:dyDescent="0.35">
      <c r="A23" s="87"/>
      <c r="B23" s="87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314"/>
      <c r="P23" s="321"/>
      <c r="Q23" s="313"/>
      <c r="R23" s="313"/>
      <c r="S23" s="322"/>
      <c r="T23" s="314"/>
      <c r="U23" s="476"/>
      <c r="V23" s="476"/>
      <c r="W23" s="476"/>
      <c r="X23" s="476"/>
      <c r="Y23" s="476"/>
      <c r="Z23" s="476"/>
      <c r="AA23" s="476"/>
      <c r="AB23" s="476"/>
      <c r="AC23" s="476"/>
      <c r="AD23" s="476"/>
      <c r="AE23" s="476"/>
      <c r="AF23" s="476"/>
      <c r="AG23" s="314"/>
      <c r="AH23" s="314"/>
    </row>
    <row r="24" spans="1:45" ht="18" x14ac:dyDescent="0.35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314"/>
      <c r="P24" s="321"/>
      <c r="Q24" s="313"/>
      <c r="R24" s="313"/>
      <c r="S24" s="322"/>
      <c r="T24" s="314"/>
      <c r="U24" s="328"/>
      <c r="V24" s="328"/>
      <c r="W24" s="328"/>
      <c r="X24" s="314"/>
      <c r="Y24" s="314"/>
      <c r="Z24" s="314"/>
      <c r="AA24" s="314"/>
      <c r="AB24" s="314"/>
      <c r="AC24" s="314"/>
      <c r="AD24" s="314"/>
      <c r="AE24" s="314"/>
      <c r="AF24" s="314"/>
      <c r="AG24" s="314"/>
      <c r="AH24" s="314"/>
    </row>
    <row r="25" spans="1:45" ht="18" x14ac:dyDescent="0.35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314"/>
      <c r="P25" s="321"/>
      <c r="Q25" s="313"/>
      <c r="R25" s="313"/>
      <c r="S25" s="322"/>
      <c r="T25" s="314"/>
      <c r="U25" s="328"/>
      <c r="V25" s="328"/>
      <c r="W25" s="328"/>
      <c r="X25" s="314"/>
      <c r="Y25" s="314"/>
      <c r="Z25" s="314"/>
      <c r="AA25" s="314"/>
      <c r="AB25" s="314"/>
      <c r="AC25" s="314"/>
      <c r="AD25" s="314"/>
      <c r="AE25" s="314"/>
      <c r="AF25" s="314"/>
      <c r="AG25" s="314"/>
      <c r="AH25" s="314"/>
    </row>
    <row r="26" spans="1:45" ht="18" x14ac:dyDescent="0.35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314"/>
      <c r="P26" s="321"/>
      <c r="Q26" s="313"/>
      <c r="R26" s="313"/>
      <c r="S26" s="322"/>
      <c r="T26" s="314"/>
      <c r="U26" s="328"/>
      <c r="V26" s="328"/>
      <c r="W26" s="328"/>
      <c r="X26" s="314"/>
      <c r="Y26" s="314"/>
      <c r="Z26" s="314"/>
      <c r="AA26" s="314"/>
      <c r="AB26" s="314"/>
      <c r="AC26" s="314"/>
      <c r="AD26" s="314"/>
      <c r="AE26" s="314"/>
      <c r="AF26" s="314"/>
      <c r="AG26" s="314"/>
      <c r="AH26" s="314"/>
    </row>
    <row r="27" spans="1:45" ht="18" x14ac:dyDescent="0.35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314"/>
      <c r="P27" s="321"/>
      <c r="Q27" s="313"/>
      <c r="R27" s="313"/>
      <c r="S27" s="322"/>
      <c r="T27" s="314"/>
      <c r="U27" s="328"/>
      <c r="V27" s="328"/>
      <c r="W27" s="328"/>
      <c r="X27" s="314"/>
      <c r="Y27" s="314"/>
      <c r="Z27" s="314"/>
      <c r="AA27" s="314"/>
      <c r="AB27" s="314"/>
      <c r="AC27" s="314"/>
      <c r="AD27" s="314"/>
      <c r="AE27" s="314"/>
      <c r="AF27" s="314"/>
      <c r="AG27" s="314"/>
      <c r="AH27" s="314"/>
    </row>
    <row r="28" spans="1:45" ht="18" x14ac:dyDescent="0.35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314"/>
      <c r="P28" s="321"/>
      <c r="Q28" s="313"/>
      <c r="R28" s="313"/>
      <c r="S28" s="322"/>
      <c r="T28" s="314"/>
      <c r="U28" s="328"/>
      <c r="V28" s="328"/>
      <c r="W28" s="328"/>
      <c r="X28" s="314"/>
      <c r="Y28" s="314"/>
      <c r="Z28" s="314"/>
      <c r="AA28" s="314"/>
      <c r="AB28" s="314"/>
      <c r="AC28" s="314"/>
      <c r="AD28" s="314"/>
      <c r="AE28" s="314"/>
      <c r="AF28" s="314"/>
      <c r="AG28" s="314"/>
      <c r="AH28" s="314"/>
    </row>
    <row r="29" spans="1:45" ht="18" x14ac:dyDescent="0.35">
      <c r="A29" s="87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314"/>
      <c r="P29" s="321"/>
      <c r="Q29" s="313"/>
      <c r="R29" s="313"/>
      <c r="S29" s="322"/>
      <c r="T29" s="314"/>
      <c r="U29" s="328"/>
      <c r="V29" s="328"/>
      <c r="W29" s="328"/>
      <c r="X29" s="314"/>
      <c r="Y29" s="314"/>
      <c r="Z29" s="314"/>
      <c r="AA29" s="314"/>
      <c r="AB29" s="314"/>
      <c r="AC29" s="314"/>
      <c r="AD29" s="314"/>
      <c r="AE29" s="314"/>
      <c r="AF29" s="314"/>
      <c r="AG29" s="314"/>
      <c r="AH29" s="314"/>
    </row>
    <row r="30" spans="1:45" ht="18" x14ac:dyDescent="0.35">
      <c r="A30" s="87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314"/>
      <c r="P30" s="321"/>
      <c r="Q30" s="313"/>
      <c r="R30" s="313"/>
      <c r="S30" s="322"/>
      <c r="T30" s="314"/>
      <c r="U30" s="328"/>
      <c r="V30" s="328"/>
      <c r="W30" s="328"/>
      <c r="X30" s="314"/>
      <c r="Y30" s="314"/>
      <c r="Z30" s="314"/>
      <c r="AA30" s="314"/>
      <c r="AB30" s="314"/>
      <c r="AC30" s="314"/>
      <c r="AD30" s="314"/>
      <c r="AE30" s="314"/>
      <c r="AF30" s="314"/>
      <c r="AG30" s="314"/>
      <c r="AH30" s="314"/>
    </row>
    <row r="31" spans="1:45" ht="18" x14ac:dyDescent="0.35">
      <c r="A31" s="87"/>
      <c r="B31" s="298"/>
      <c r="C31" s="299"/>
      <c r="D31" s="299"/>
      <c r="E31" s="299"/>
      <c r="F31" s="87"/>
      <c r="G31" s="87"/>
      <c r="H31" s="87"/>
      <c r="I31" s="87"/>
      <c r="J31" s="87"/>
      <c r="K31" s="87"/>
      <c r="L31" s="87"/>
      <c r="M31" s="87"/>
      <c r="N31" s="87"/>
      <c r="O31" s="314"/>
      <c r="P31" s="321"/>
      <c r="Q31" s="313"/>
      <c r="R31" s="313"/>
      <c r="S31" s="322"/>
      <c r="T31" s="314"/>
      <c r="U31" s="328"/>
      <c r="V31" s="328"/>
      <c r="W31" s="328"/>
      <c r="X31" s="314"/>
      <c r="Y31" s="314"/>
      <c r="Z31" s="314"/>
      <c r="AA31" s="314"/>
      <c r="AB31" s="314"/>
      <c r="AC31" s="314"/>
      <c r="AD31" s="314"/>
      <c r="AE31" s="314"/>
      <c r="AF31" s="314"/>
      <c r="AG31" s="314"/>
      <c r="AH31" s="314"/>
    </row>
    <row r="32" spans="1:45" ht="18" x14ac:dyDescent="0.35">
      <c r="A32" s="87"/>
      <c r="B32" s="297"/>
      <c r="C32" s="300"/>
      <c r="D32" s="29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314"/>
      <c r="P32" s="321"/>
      <c r="Q32" s="313"/>
      <c r="R32" s="313"/>
      <c r="S32" s="322"/>
      <c r="T32" s="314"/>
      <c r="U32" s="328"/>
      <c r="V32" s="328"/>
      <c r="W32" s="328"/>
      <c r="X32" s="314"/>
      <c r="Y32" s="314"/>
      <c r="Z32" s="314"/>
      <c r="AA32" s="314"/>
      <c r="AB32" s="314"/>
      <c r="AC32" s="314"/>
      <c r="AD32" s="314"/>
      <c r="AE32" s="314"/>
      <c r="AF32" s="314"/>
      <c r="AG32" s="314"/>
      <c r="AH32" s="314"/>
    </row>
    <row r="33" spans="1:37" ht="18" x14ac:dyDescent="0.35">
      <c r="A33" s="87"/>
      <c r="B33" s="297"/>
      <c r="C33" s="300"/>
      <c r="D33" s="297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314"/>
      <c r="P33" s="321"/>
      <c r="Q33" s="313"/>
      <c r="R33" s="313"/>
      <c r="S33" s="322"/>
      <c r="T33" s="314"/>
      <c r="U33" s="328"/>
      <c r="V33" s="328"/>
      <c r="W33" s="328"/>
      <c r="X33" s="314"/>
      <c r="Y33" s="314"/>
      <c r="Z33" s="314"/>
      <c r="AA33" s="314"/>
      <c r="AB33" s="314"/>
      <c r="AC33" s="314"/>
      <c r="AD33" s="314"/>
      <c r="AE33" s="314"/>
      <c r="AF33" s="314"/>
      <c r="AG33" s="314"/>
      <c r="AH33" s="314"/>
    </row>
    <row r="34" spans="1:37" ht="18" x14ac:dyDescent="0.35">
      <c r="A34" s="87"/>
      <c r="B34" s="330"/>
      <c r="C34" s="330"/>
      <c r="D34" s="330"/>
      <c r="E34" s="331"/>
      <c r="F34" s="331"/>
      <c r="G34" s="331"/>
      <c r="H34" s="331"/>
      <c r="I34" s="331"/>
      <c r="J34" s="331"/>
      <c r="K34" s="331"/>
      <c r="L34" s="331"/>
      <c r="M34" s="331"/>
      <c r="N34" s="331"/>
      <c r="O34" s="314"/>
      <c r="P34" s="321"/>
      <c r="Q34" s="313"/>
      <c r="R34" s="313"/>
      <c r="S34" s="322"/>
      <c r="T34" s="314"/>
      <c r="U34" s="328"/>
      <c r="V34" s="328"/>
      <c r="W34" s="328"/>
      <c r="X34" s="314"/>
      <c r="Y34" s="314"/>
      <c r="Z34" s="314"/>
      <c r="AA34" s="314"/>
      <c r="AB34" s="314"/>
      <c r="AC34" s="314"/>
      <c r="AD34" s="314"/>
      <c r="AE34" s="314"/>
      <c r="AF34" s="314"/>
      <c r="AG34" s="314"/>
      <c r="AH34" s="314"/>
    </row>
    <row r="35" spans="1:37" ht="18" x14ac:dyDescent="0.35">
      <c r="A35" s="87"/>
      <c r="B35" s="330"/>
      <c r="C35" s="330"/>
      <c r="D35" s="330"/>
      <c r="E35" s="331"/>
      <c r="F35" s="331"/>
      <c r="G35" s="331"/>
      <c r="H35" s="331"/>
      <c r="I35" s="331"/>
      <c r="J35" s="331"/>
      <c r="K35" s="331"/>
      <c r="L35" s="331"/>
      <c r="M35" s="331"/>
      <c r="N35" s="331"/>
      <c r="O35" s="314"/>
      <c r="P35" s="321"/>
      <c r="Q35" s="313"/>
      <c r="R35" s="313"/>
      <c r="S35" s="322"/>
      <c r="T35" s="314"/>
      <c r="U35" s="328"/>
      <c r="V35" s="328"/>
      <c r="W35" s="328"/>
      <c r="X35" s="314"/>
      <c r="Y35" s="314"/>
      <c r="Z35" s="314"/>
      <c r="AA35" s="314"/>
      <c r="AB35" s="314"/>
      <c r="AC35" s="314"/>
      <c r="AD35" s="314"/>
      <c r="AE35" s="314"/>
      <c r="AF35" s="314"/>
      <c r="AG35" s="314"/>
      <c r="AH35" s="314"/>
    </row>
    <row r="36" spans="1:37" ht="18" x14ac:dyDescent="0.35">
      <c r="A36" s="87"/>
      <c r="B36" s="330"/>
      <c r="C36" s="330"/>
      <c r="D36" s="330"/>
      <c r="E36" s="331"/>
      <c r="F36" s="331"/>
      <c r="G36" s="331"/>
      <c r="H36" s="331"/>
      <c r="I36" s="331"/>
      <c r="J36" s="331"/>
      <c r="K36" s="331"/>
      <c r="L36" s="331"/>
      <c r="M36" s="331"/>
      <c r="N36" s="331"/>
      <c r="O36" s="314"/>
      <c r="P36" s="321"/>
      <c r="Q36" s="313"/>
      <c r="R36" s="313"/>
      <c r="S36" s="322"/>
      <c r="T36" s="314"/>
      <c r="U36" s="328"/>
      <c r="V36" s="328"/>
      <c r="W36" s="328"/>
      <c r="X36" s="314"/>
      <c r="Y36" s="314"/>
      <c r="Z36" s="314"/>
      <c r="AA36" s="314"/>
      <c r="AB36" s="314"/>
      <c r="AC36" s="314"/>
      <c r="AD36" s="314"/>
      <c r="AE36" s="314"/>
      <c r="AF36" s="314"/>
      <c r="AG36" s="314"/>
      <c r="AH36" s="314"/>
    </row>
    <row r="37" spans="1:37" ht="18" x14ac:dyDescent="0.35">
      <c r="A37" s="87"/>
      <c r="B37" s="330"/>
      <c r="C37" s="332"/>
      <c r="D37" s="332"/>
      <c r="E37" s="331"/>
      <c r="F37" s="331"/>
      <c r="G37" s="331"/>
      <c r="H37" s="331"/>
      <c r="I37" s="331"/>
      <c r="J37" s="331"/>
      <c r="K37" s="331"/>
      <c r="L37" s="331"/>
      <c r="M37" s="331"/>
      <c r="N37" s="331"/>
      <c r="O37" s="314"/>
      <c r="P37" s="321"/>
      <c r="Q37" s="313"/>
      <c r="R37" s="313"/>
      <c r="S37" s="322"/>
      <c r="T37" s="314"/>
      <c r="U37" s="328"/>
      <c r="V37" s="328"/>
      <c r="W37" s="328"/>
      <c r="X37" s="314"/>
      <c r="Y37" s="314"/>
      <c r="Z37" s="314"/>
      <c r="AA37" s="314"/>
      <c r="AB37" s="314"/>
      <c r="AC37" s="314"/>
      <c r="AD37" s="314"/>
      <c r="AE37" s="314"/>
      <c r="AF37" s="314"/>
      <c r="AG37" s="314"/>
      <c r="AH37" s="314"/>
    </row>
    <row r="38" spans="1:37" ht="18" x14ac:dyDescent="0.35">
      <c r="A38" s="87"/>
      <c r="B38" s="331"/>
      <c r="C38" s="331"/>
      <c r="D38" s="331"/>
      <c r="E38" s="331"/>
      <c r="F38" s="331"/>
      <c r="G38" s="331"/>
      <c r="H38" s="331"/>
      <c r="I38" s="331"/>
      <c r="J38" s="331"/>
      <c r="K38" s="331"/>
      <c r="L38" s="331"/>
      <c r="M38" s="331"/>
      <c r="N38" s="331"/>
      <c r="O38" s="314"/>
      <c r="P38" s="321"/>
      <c r="Q38" s="313"/>
      <c r="R38" s="313"/>
      <c r="S38" s="322"/>
      <c r="T38" s="314"/>
      <c r="U38" s="328"/>
      <c r="V38" s="328"/>
      <c r="W38" s="328"/>
      <c r="X38" s="314"/>
      <c r="Y38" s="314"/>
      <c r="Z38" s="314"/>
      <c r="AA38" s="314"/>
      <c r="AB38" s="314"/>
      <c r="AC38" s="314"/>
      <c r="AD38" s="314"/>
      <c r="AE38" s="314"/>
      <c r="AF38" s="314"/>
      <c r="AG38" s="314"/>
      <c r="AH38" s="314"/>
    </row>
    <row r="39" spans="1:37" ht="18" x14ac:dyDescent="0.35">
      <c r="A39" s="87"/>
      <c r="B39" s="331"/>
      <c r="C39" s="331"/>
      <c r="D39" s="331"/>
      <c r="E39" s="331"/>
      <c r="F39" s="331"/>
      <c r="G39" s="331"/>
      <c r="H39" s="331"/>
      <c r="I39" s="331"/>
      <c r="J39" s="331"/>
      <c r="K39" s="331"/>
      <c r="L39" s="331"/>
      <c r="M39" s="331"/>
      <c r="N39" s="331"/>
      <c r="O39" s="314"/>
      <c r="P39" s="321"/>
      <c r="Q39" s="313"/>
      <c r="R39" s="313"/>
      <c r="S39" s="322"/>
      <c r="T39" s="314"/>
      <c r="U39" s="328"/>
      <c r="V39" s="328"/>
      <c r="W39" s="328"/>
      <c r="X39" s="314"/>
      <c r="Y39" s="314"/>
      <c r="Z39" s="314"/>
      <c r="AA39" s="314"/>
      <c r="AB39" s="314"/>
      <c r="AC39" s="314"/>
      <c r="AD39" s="314"/>
      <c r="AE39" s="314"/>
      <c r="AF39" s="314"/>
      <c r="AG39" s="314"/>
      <c r="AH39" s="314"/>
    </row>
    <row r="40" spans="1:37" ht="18" x14ac:dyDescent="0.35">
      <c r="A40" s="87"/>
      <c r="B40" s="331"/>
      <c r="C40" s="331"/>
      <c r="D40" s="331"/>
      <c r="E40" s="331"/>
      <c r="F40" s="331"/>
      <c r="G40" s="331"/>
      <c r="H40" s="331"/>
      <c r="I40" s="331"/>
      <c r="J40" s="331"/>
      <c r="K40" s="331"/>
      <c r="L40" s="331"/>
      <c r="M40" s="331"/>
      <c r="N40" s="331"/>
      <c r="O40" s="314"/>
      <c r="P40" s="321"/>
      <c r="Q40" s="313"/>
      <c r="R40" s="313"/>
      <c r="S40" s="322"/>
      <c r="T40" s="314"/>
      <c r="U40" s="328"/>
      <c r="V40" s="328"/>
      <c r="W40" s="328"/>
      <c r="X40" s="314"/>
      <c r="Y40" s="314"/>
      <c r="Z40" s="314"/>
      <c r="AA40" s="314"/>
      <c r="AB40" s="314"/>
      <c r="AC40" s="314"/>
      <c r="AD40" s="314"/>
      <c r="AE40" s="314"/>
      <c r="AF40" s="314"/>
      <c r="AG40" s="314"/>
      <c r="AH40" s="314"/>
      <c r="AK40" s="163" t="s">
        <v>400</v>
      </c>
    </row>
    <row r="41" spans="1:37" ht="18" x14ac:dyDescent="0.35">
      <c r="B41" s="331"/>
      <c r="C41" s="331"/>
      <c r="D41" s="331"/>
      <c r="E41" s="331"/>
      <c r="F41" s="331"/>
      <c r="G41" s="331"/>
      <c r="H41" s="331"/>
      <c r="I41" s="331"/>
      <c r="J41" s="331"/>
      <c r="K41" s="331"/>
      <c r="L41" s="331"/>
      <c r="M41" s="331"/>
      <c r="N41" s="331"/>
      <c r="O41" s="314"/>
      <c r="P41" s="321"/>
      <c r="Q41" s="313"/>
      <c r="R41" s="313"/>
      <c r="S41" s="322"/>
      <c r="T41" s="314"/>
      <c r="U41" s="328"/>
      <c r="V41" s="328"/>
      <c r="W41" s="328"/>
      <c r="X41" s="314"/>
      <c r="Y41" s="314"/>
      <c r="Z41" s="314"/>
      <c r="AA41" s="314"/>
      <c r="AB41" s="314"/>
      <c r="AC41" s="314"/>
      <c r="AD41" s="314"/>
      <c r="AE41" s="314"/>
      <c r="AF41" s="314"/>
      <c r="AG41" s="314"/>
      <c r="AH41" s="314"/>
      <c r="AK41" s="163" t="s">
        <v>400</v>
      </c>
    </row>
    <row r="42" spans="1:37" ht="18" x14ac:dyDescent="0.35">
      <c r="B42" s="331"/>
      <c r="C42" s="331"/>
      <c r="D42" s="331"/>
      <c r="E42" s="331"/>
      <c r="F42" s="331"/>
      <c r="G42" s="331"/>
      <c r="H42" s="331"/>
      <c r="I42" s="331"/>
      <c r="J42" s="331"/>
      <c r="K42" s="331"/>
      <c r="L42" s="331"/>
      <c r="M42" s="331"/>
      <c r="N42" s="331"/>
      <c r="O42" s="314"/>
      <c r="P42" s="321"/>
      <c r="Q42" s="313"/>
      <c r="R42" s="313"/>
      <c r="S42" s="322"/>
      <c r="T42" s="314"/>
      <c r="U42" s="328"/>
      <c r="V42" s="328"/>
      <c r="W42" s="328"/>
      <c r="X42" s="314"/>
      <c r="Y42" s="314"/>
      <c r="Z42" s="314"/>
      <c r="AA42" s="314"/>
      <c r="AB42" s="314"/>
      <c r="AC42" s="314"/>
      <c r="AD42" s="314"/>
      <c r="AE42" s="314"/>
      <c r="AF42" s="314"/>
      <c r="AG42" s="314"/>
      <c r="AH42" s="314"/>
      <c r="AK42" s="163" t="s">
        <v>400</v>
      </c>
    </row>
    <row r="43" spans="1:37" ht="18" x14ac:dyDescent="0.35">
      <c r="B43" s="331"/>
      <c r="C43" s="331"/>
      <c r="D43" s="331"/>
      <c r="E43" s="331"/>
      <c r="F43" s="331"/>
      <c r="G43" s="331"/>
      <c r="H43" s="331"/>
      <c r="I43" s="331"/>
      <c r="J43" s="331"/>
      <c r="K43" s="331"/>
      <c r="L43" s="331"/>
      <c r="M43" s="331"/>
      <c r="N43" s="331"/>
      <c r="O43" s="314"/>
      <c r="P43" s="321"/>
      <c r="Q43" s="313"/>
      <c r="R43" s="313"/>
      <c r="S43" s="322"/>
      <c r="T43" s="314"/>
      <c r="U43" s="328"/>
      <c r="V43" s="328"/>
      <c r="W43" s="328"/>
      <c r="X43" s="314"/>
      <c r="Y43" s="314"/>
      <c r="Z43" s="314"/>
      <c r="AA43" s="314"/>
      <c r="AB43" s="314"/>
      <c r="AC43" s="314"/>
      <c r="AD43" s="314"/>
      <c r="AE43" s="314"/>
      <c r="AF43" s="314"/>
      <c r="AG43" s="314"/>
      <c r="AH43" s="314"/>
      <c r="AK43" s="163" t="s">
        <v>400</v>
      </c>
    </row>
    <row r="44" spans="1:37" ht="18" x14ac:dyDescent="0.35">
      <c r="B44" s="331"/>
      <c r="C44" s="331"/>
      <c r="D44" s="331"/>
      <c r="E44" s="331"/>
      <c r="F44" s="331"/>
      <c r="G44" s="331"/>
      <c r="H44" s="331"/>
      <c r="I44" s="331"/>
      <c r="J44" s="331"/>
      <c r="K44" s="331"/>
      <c r="L44" s="331"/>
      <c r="M44" s="331"/>
      <c r="N44" s="331"/>
      <c r="O44" s="314"/>
      <c r="P44" s="321"/>
      <c r="Q44" s="313"/>
      <c r="R44" s="313"/>
      <c r="S44" s="322"/>
      <c r="T44" s="314"/>
      <c r="U44" s="328"/>
      <c r="V44" s="328"/>
      <c r="W44" s="328"/>
      <c r="X44" s="314"/>
      <c r="Y44" s="314"/>
      <c r="Z44" s="314"/>
      <c r="AA44" s="314"/>
      <c r="AB44" s="314"/>
      <c r="AC44" s="314"/>
      <c r="AD44" s="314"/>
      <c r="AE44" s="314"/>
      <c r="AF44" s="314"/>
      <c r="AG44" s="314"/>
      <c r="AH44" s="314"/>
      <c r="AK44" s="163" t="s">
        <v>400</v>
      </c>
    </row>
    <row r="45" spans="1:37" ht="18" x14ac:dyDescent="0.35">
      <c r="B45" s="331"/>
      <c r="C45" s="331"/>
      <c r="D45" s="331"/>
      <c r="E45" s="331"/>
      <c r="F45" s="331"/>
      <c r="G45" s="331"/>
      <c r="H45" s="331"/>
      <c r="I45" s="331"/>
      <c r="J45" s="331"/>
      <c r="K45" s="331"/>
      <c r="L45" s="331"/>
      <c r="M45" s="331"/>
      <c r="N45" s="331"/>
      <c r="O45" s="314"/>
      <c r="P45" s="321"/>
      <c r="Q45" s="313"/>
      <c r="R45" s="313"/>
      <c r="S45" s="322"/>
      <c r="T45" s="314"/>
      <c r="U45" s="328"/>
      <c r="V45" s="328"/>
      <c r="W45" s="328"/>
      <c r="X45" s="314"/>
      <c r="Y45" s="314"/>
      <c r="Z45" s="314"/>
      <c r="AA45" s="314"/>
      <c r="AB45" s="314"/>
      <c r="AC45" s="314"/>
      <c r="AD45" s="314"/>
      <c r="AE45" s="314"/>
      <c r="AF45" s="314"/>
      <c r="AG45" s="314"/>
      <c r="AH45" s="314"/>
      <c r="AK45" s="163" t="s">
        <v>400</v>
      </c>
    </row>
    <row r="46" spans="1:37" ht="18" x14ac:dyDescent="0.35">
      <c r="B46" s="331"/>
      <c r="C46" s="331"/>
      <c r="D46" s="331"/>
      <c r="E46" s="331"/>
      <c r="F46" s="331"/>
      <c r="G46" s="331"/>
      <c r="H46" s="331"/>
      <c r="I46" s="331"/>
      <c r="J46" s="331"/>
      <c r="K46" s="331"/>
      <c r="L46" s="331"/>
      <c r="M46" s="331"/>
      <c r="N46" s="331"/>
      <c r="O46" s="314"/>
      <c r="P46" s="321"/>
      <c r="Q46" s="313"/>
      <c r="R46" s="313"/>
      <c r="S46" s="322"/>
      <c r="T46" s="314"/>
      <c r="U46" s="328"/>
      <c r="V46" s="328"/>
      <c r="W46" s="328"/>
      <c r="X46" s="314"/>
      <c r="Y46" s="314"/>
      <c r="Z46" s="314"/>
      <c r="AA46" s="314"/>
      <c r="AB46" s="314"/>
      <c r="AC46" s="314"/>
      <c r="AD46" s="314"/>
      <c r="AE46" s="314"/>
      <c r="AF46" s="314"/>
      <c r="AG46" s="314"/>
      <c r="AH46" s="314"/>
      <c r="AK46" s="163" t="s">
        <v>400</v>
      </c>
    </row>
    <row r="47" spans="1:37" ht="18" x14ac:dyDescent="0.35">
      <c r="B47" s="331"/>
      <c r="C47" s="331"/>
      <c r="D47" s="331"/>
      <c r="E47" s="331"/>
      <c r="F47" s="331"/>
      <c r="G47" s="331"/>
      <c r="H47" s="331"/>
      <c r="I47" s="331"/>
      <c r="J47" s="331"/>
      <c r="K47" s="331"/>
      <c r="L47" s="331"/>
      <c r="M47" s="331"/>
      <c r="N47" s="331"/>
      <c r="O47" s="314"/>
      <c r="P47" s="321"/>
      <c r="Q47" s="313"/>
      <c r="R47" s="313"/>
      <c r="S47" s="322"/>
      <c r="T47" s="314"/>
      <c r="U47" s="328"/>
      <c r="V47" s="328"/>
      <c r="W47" s="328"/>
      <c r="X47" s="314"/>
      <c r="Y47" s="314"/>
      <c r="Z47" s="314"/>
      <c r="AA47" s="314"/>
      <c r="AB47" s="314"/>
      <c r="AC47" s="314"/>
      <c r="AD47" s="314"/>
      <c r="AE47" s="314"/>
      <c r="AF47" s="314"/>
      <c r="AG47" s="314"/>
      <c r="AH47" s="314"/>
      <c r="AK47" s="163" t="s">
        <v>400</v>
      </c>
    </row>
    <row r="48" spans="1:37" ht="18" x14ac:dyDescent="0.35">
      <c r="B48" s="331"/>
      <c r="C48" s="331"/>
      <c r="D48" s="331"/>
      <c r="E48" s="331"/>
      <c r="F48" s="331"/>
      <c r="G48" s="331"/>
      <c r="H48" s="331"/>
      <c r="I48" s="331"/>
      <c r="J48" s="331"/>
      <c r="K48" s="331"/>
      <c r="L48" s="331"/>
      <c r="M48" s="331"/>
      <c r="N48" s="331"/>
      <c r="O48" s="314"/>
      <c r="P48" s="321"/>
      <c r="Q48" s="313"/>
      <c r="R48" s="313"/>
      <c r="S48" s="322"/>
      <c r="T48" s="314"/>
      <c r="U48" s="328"/>
      <c r="V48" s="328"/>
      <c r="W48" s="328"/>
      <c r="X48" s="314"/>
      <c r="Y48" s="314"/>
      <c r="Z48" s="314"/>
      <c r="AA48" s="314"/>
      <c r="AB48" s="314"/>
      <c r="AC48" s="314"/>
      <c r="AD48" s="314"/>
      <c r="AE48" s="314"/>
      <c r="AF48" s="314"/>
      <c r="AG48" s="314"/>
      <c r="AH48" s="314"/>
      <c r="AK48" s="163" t="s">
        <v>400</v>
      </c>
    </row>
    <row r="49" spans="2:14" x14ac:dyDescent="0.25">
      <c r="B49" s="331"/>
      <c r="C49" s="331"/>
      <c r="D49" s="331"/>
      <c r="E49" s="331"/>
      <c r="F49" s="331"/>
      <c r="G49" s="331"/>
      <c r="H49" s="331"/>
      <c r="I49" s="331"/>
      <c r="J49" s="331"/>
      <c r="K49" s="331"/>
      <c r="L49" s="331"/>
      <c r="M49" s="331"/>
      <c r="N49" s="331"/>
    </row>
  </sheetData>
  <mergeCells count="2">
    <mergeCell ref="U20:AF23"/>
    <mergeCell ref="A1:N2"/>
  </mergeCells>
  <conditionalFormatting sqref="Q15:Q48">
    <cfRule type="expression" dxfId="92" priority="6">
      <formula>AND(S$7="Dom",Q15&gt;0)</formula>
    </cfRule>
    <cfRule type="expression" dxfId="91" priority="7">
      <formula>AND(S$7="Sáb",Q15&gt;0)</formula>
    </cfRule>
    <cfRule type="expression" dxfId="90" priority="8">
      <formula>AND(S$7="Dom",Q15=0)</formula>
    </cfRule>
    <cfRule type="expression" dxfId="89" priority="9">
      <formula>AND(S$7="Sáb",Q15=0)</formula>
    </cfRule>
  </conditionalFormatting>
  <conditionalFormatting sqref="R15:R16 R18:R48">
    <cfRule type="expression" dxfId="88" priority="5">
      <formula>AND(T$9="Sáb",R15=0)</formula>
    </cfRule>
  </conditionalFormatting>
  <conditionalFormatting sqref="R15:R16 R18:R48">
    <cfRule type="expression" dxfId="87" priority="4">
      <formula>AND(T$9="Dom",R15=0)</formula>
    </cfRule>
  </conditionalFormatting>
  <conditionalFormatting sqref="R15:R16 R18:R48">
    <cfRule type="expression" dxfId="86" priority="3">
      <formula>AND(T$9="Sáb",R15&gt;0)</formula>
    </cfRule>
  </conditionalFormatting>
  <conditionalFormatting sqref="R15:R16 R18:R48">
    <cfRule type="expression" dxfId="85" priority="2">
      <formula>AND(T$9="Dom",R15&gt;0)</formula>
    </cfRule>
  </conditionalFormatting>
  <conditionalFormatting sqref="S15:S48">
    <cfRule type="containsText" dxfId="84" priority="1" operator="containsText" text="OK">
      <formula>NOT(ISERROR(SEARCH("OK",S15)))</formula>
    </cfRule>
  </conditionalFormatting>
  <printOptions horizontalCentered="1" verticalCentered="1"/>
  <pageMargins left="0" right="0" top="0" bottom="0" header="0" footer="0"/>
  <pageSetup paperSize="9" fitToWidth="0" fitToHeight="0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950C1-BE66-4600-A6C6-A2676685F83D}">
  <sheetPr codeName="Planilha12">
    <tabColor theme="3" tint="0.39997558519241921"/>
    <pageSetUpPr fitToPage="1"/>
  </sheetPr>
  <dimension ref="A1:L45"/>
  <sheetViews>
    <sheetView view="pageBreakPreview" topLeftCell="A6" zoomScale="85" zoomScaleNormal="100" zoomScaleSheetLayoutView="85" workbookViewId="0">
      <selection activeCell="E11" sqref="E11:H14"/>
    </sheetView>
  </sheetViews>
  <sheetFormatPr defaultRowHeight="15" x14ac:dyDescent="0.25"/>
  <cols>
    <col min="1" max="1" width="8" customWidth="1"/>
    <col min="2" max="2" width="40.7109375" customWidth="1"/>
    <col min="3" max="3" width="47.140625" customWidth="1"/>
    <col min="6" max="6" width="40.7109375" customWidth="1"/>
    <col min="7" max="7" width="47.140625" customWidth="1"/>
  </cols>
  <sheetData>
    <row r="1" spans="1:12" x14ac:dyDescent="0.25">
      <c r="A1" s="154"/>
      <c r="B1" s="155"/>
      <c r="C1" s="155"/>
      <c r="D1" s="156"/>
      <c r="E1" s="154"/>
      <c r="F1" s="155"/>
      <c r="G1" s="155"/>
      <c r="H1" s="156"/>
    </row>
    <row r="2" spans="1:12" ht="49.5" customHeight="1" x14ac:dyDescent="0.25">
      <c r="A2" s="157"/>
      <c r="B2" s="481" t="s">
        <v>227</v>
      </c>
      <c r="C2" s="481"/>
      <c r="D2" s="158"/>
      <c r="E2" s="157"/>
      <c r="F2" s="481" t="s">
        <v>228</v>
      </c>
      <c r="G2" s="481"/>
      <c r="H2" s="158"/>
    </row>
    <row r="3" spans="1:12" x14ac:dyDescent="0.25">
      <c r="A3" s="157"/>
      <c r="B3" s="123"/>
      <c r="C3" s="123"/>
      <c r="D3" s="158"/>
      <c r="E3" s="157"/>
      <c r="F3" s="123"/>
      <c r="G3" s="123"/>
      <c r="H3" s="158"/>
      <c r="L3" s="87"/>
    </row>
    <row r="4" spans="1:12" x14ac:dyDescent="0.25">
      <c r="A4" s="157"/>
      <c r="B4" s="123"/>
      <c r="C4" s="123"/>
      <c r="D4" s="158"/>
      <c r="E4" s="157"/>
      <c r="F4" s="123"/>
      <c r="G4" s="123"/>
      <c r="H4" s="158"/>
      <c r="L4" s="87"/>
    </row>
    <row r="5" spans="1:12" x14ac:dyDescent="0.25">
      <c r="A5" s="157"/>
      <c r="B5" s="123"/>
      <c r="C5" s="123"/>
      <c r="D5" s="158"/>
      <c r="E5" s="157"/>
      <c r="F5" s="123"/>
      <c r="G5" s="123"/>
      <c r="H5" s="158"/>
      <c r="L5" s="87"/>
    </row>
    <row r="6" spans="1:12" ht="141.75" customHeight="1" x14ac:dyDescent="0.25">
      <c r="A6" s="478"/>
      <c r="B6" s="159"/>
      <c r="C6" s="160"/>
      <c r="D6" s="158"/>
      <c r="E6" s="478"/>
      <c r="F6" s="159"/>
      <c r="G6" s="160"/>
      <c r="H6" s="158"/>
      <c r="L6" s="87"/>
    </row>
    <row r="7" spans="1:12" ht="138.75" customHeight="1" x14ac:dyDescent="0.25">
      <c r="A7" s="478"/>
      <c r="B7" s="161"/>
      <c r="C7" s="162"/>
      <c r="D7" s="158"/>
      <c r="E7" s="478"/>
      <c r="F7" s="161"/>
      <c r="G7" s="162"/>
      <c r="H7" s="158"/>
      <c r="L7" s="87"/>
    </row>
    <row r="8" spans="1:12" ht="30" customHeight="1" x14ac:dyDescent="0.25">
      <c r="A8" s="479"/>
      <c r="B8" s="480"/>
      <c r="C8" s="480"/>
      <c r="D8" s="158"/>
      <c r="E8" s="157"/>
      <c r="F8" s="163"/>
      <c r="G8" s="163"/>
      <c r="H8" s="158"/>
      <c r="L8" s="87"/>
    </row>
    <row r="9" spans="1:12" x14ac:dyDescent="0.25">
      <c r="A9" s="157"/>
      <c r="B9" s="123"/>
      <c r="C9" s="123"/>
      <c r="D9" s="158"/>
      <c r="E9" s="157"/>
      <c r="F9" s="123"/>
      <c r="G9" s="123"/>
      <c r="H9" s="158"/>
      <c r="L9" s="87"/>
    </row>
    <row r="10" spans="1:12" x14ac:dyDescent="0.25">
      <c r="A10" s="489" t="s">
        <v>229</v>
      </c>
      <c r="B10" s="490"/>
      <c r="C10" s="490"/>
      <c r="D10" s="491"/>
      <c r="E10" s="489" t="s">
        <v>229</v>
      </c>
      <c r="F10" s="490"/>
      <c r="G10" s="490"/>
      <c r="H10" s="491"/>
      <c r="L10" s="87"/>
    </row>
    <row r="11" spans="1:12" ht="15" customHeight="1" x14ac:dyDescent="0.25">
      <c r="A11" s="492" t="s">
        <v>232</v>
      </c>
      <c r="B11" s="493"/>
      <c r="C11" s="493"/>
      <c r="D11" s="494"/>
      <c r="E11" s="492" t="s">
        <v>235</v>
      </c>
      <c r="F11" s="493"/>
      <c r="G11" s="493"/>
      <c r="H11" s="494"/>
      <c r="L11" s="87"/>
    </row>
    <row r="12" spans="1:12" x14ac:dyDescent="0.25">
      <c r="A12" s="492"/>
      <c r="B12" s="493"/>
      <c r="C12" s="493"/>
      <c r="D12" s="494"/>
      <c r="E12" s="492"/>
      <c r="F12" s="493"/>
      <c r="G12" s="493"/>
      <c r="H12" s="494"/>
      <c r="L12" s="87"/>
    </row>
    <row r="13" spans="1:12" x14ac:dyDescent="0.25">
      <c r="A13" s="492"/>
      <c r="B13" s="493"/>
      <c r="C13" s="493"/>
      <c r="D13" s="494"/>
      <c r="E13" s="492"/>
      <c r="F13" s="493"/>
      <c r="G13" s="493"/>
      <c r="H13" s="494"/>
      <c r="L13" s="87"/>
    </row>
    <row r="14" spans="1:12" x14ac:dyDescent="0.25">
      <c r="A14" s="492"/>
      <c r="B14" s="493"/>
      <c r="C14" s="493"/>
      <c r="D14" s="494"/>
      <c r="E14" s="492"/>
      <c r="F14" s="493"/>
      <c r="G14" s="493"/>
      <c r="H14" s="494"/>
      <c r="L14" s="87"/>
    </row>
    <row r="15" spans="1:12" x14ac:dyDescent="0.25">
      <c r="A15" s="495" t="s">
        <v>230</v>
      </c>
      <c r="B15" s="496"/>
      <c r="C15" s="496"/>
      <c r="D15" s="497"/>
      <c r="E15" s="495" t="s">
        <v>230</v>
      </c>
      <c r="F15" s="496"/>
      <c r="G15" s="496"/>
      <c r="H15" s="497"/>
      <c r="L15" s="87"/>
    </row>
    <row r="16" spans="1:12" ht="18.75" customHeight="1" x14ac:dyDescent="0.25">
      <c r="A16" s="498" t="s">
        <v>233</v>
      </c>
      <c r="B16" s="499"/>
      <c r="C16" s="499"/>
      <c r="D16" s="500"/>
      <c r="E16" s="498" t="s">
        <v>236</v>
      </c>
      <c r="F16" s="499"/>
      <c r="G16" s="499"/>
      <c r="H16" s="500"/>
      <c r="L16" s="87"/>
    </row>
    <row r="17" spans="1:12" ht="18.75" customHeight="1" x14ac:dyDescent="0.25">
      <c r="A17" s="498"/>
      <c r="B17" s="499"/>
      <c r="C17" s="499"/>
      <c r="D17" s="500"/>
      <c r="E17" s="498"/>
      <c r="F17" s="499"/>
      <c r="G17" s="499"/>
      <c r="H17" s="500"/>
      <c r="L17" s="87"/>
    </row>
    <row r="18" spans="1:12" ht="18.75" customHeight="1" x14ac:dyDescent="0.25">
      <c r="A18" s="498"/>
      <c r="B18" s="499"/>
      <c r="C18" s="499"/>
      <c r="D18" s="500"/>
      <c r="E18" s="498"/>
      <c r="F18" s="499"/>
      <c r="G18" s="499"/>
      <c r="H18" s="500"/>
      <c r="L18" s="87"/>
    </row>
    <row r="19" spans="1:12" ht="18.75" customHeight="1" x14ac:dyDescent="0.25">
      <c r="A19" s="498"/>
      <c r="B19" s="499"/>
      <c r="C19" s="499"/>
      <c r="D19" s="500"/>
      <c r="E19" s="498"/>
      <c r="F19" s="499"/>
      <c r="G19" s="499"/>
      <c r="H19" s="500"/>
      <c r="L19" s="255"/>
    </row>
    <row r="20" spans="1:12" ht="18.75" customHeight="1" x14ac:dyDescent="0.25">
      <c r="A20" s="498"/>
      <c r="B20" s="499"/>
      <c r="C20" s="499"/>
      <c r="D20" s="500"/>
      <c r="E20" s="498"/>
      <c r="F20" s="499"/>
      <c r="G20" s="499"/>
      <c r="H20" s="500"/>
      <c r="L20" s="87"/>
    </row>
    <row r="21" spans="1:12" ht="18.75" customHeight="1" x14ac:dyDescent="0.25">
      <c r="A21" s="498"/>
      <c r="B21" s="499"/>
      <c r="C21" s="499"/>
      <c r="D21" s="500"/>
      <c r="E21" s="498"/>
      <c r="F21" s="499"/>
      <c r="G21" s="499"/>
      <c r="H21" s="500"/>
      <c r="L21" s="87"/>
    </row>
    <row r="22" spans="1:12" ht="18.75" customHeight="1" x14ac:dyDescent="0.25">
      <c r="A22" s="498"/>
      <c r="B22" s="499"/>
      <c r="C22" s="499"/>
      <c r="D22" s="500"/>
      <c r="E22" s="498"/>
      <c r="F22" s="499"/>
      <c r="G22" s="499"/>
      <c r="H22" s="500"/>
      <c r="L22" s="87"/>
    </row>
    <row r="23" spans="1:12" x14ac:dyDescent="0.25">
      <c r="A23" s="482" t="s">
        <v>231</v>
      </c>
      <c r="B23" s="483"/>
      <c r="C23" s="483"/>
      <c r="D23" s="484"/>
      <c r="E23" s="482" t="s">
        <v>231</v>
      </c>
      <c r="F23" s="483"/>
      <c r="G23" s="483"/>
      <c r="H23" s="484"/>
      <c r="L23" s="87"/>
    </row>
    <row r="24" spans="1:12" x14ac:dyDescent="0.25">
      <c r="A24" s="485" t="s">
        <v>234</v>
      </c>
      <c r="B24" s="486"/>
      <c r="C24" s="486"/>
      <c r="D24" s="487"/>
      <c r="E24" s="485"/>
      <c r="F24" s="486"/>
      <c r="G24" s="486"/>
      <c r="H24" s="487"/>
      <c r="L24" s="87"/>
    </row>
    <row r="25" spans="1:12" x14ac:dyDescent="0.25">
      <c r="A25" s="488"/>
      <c r="B25" s="486"/>
      <c r="C25" s="486"/>
      <c r="D25" s="487"/>
      <c r="E25" s="488"/>
      <c r="F25" s="486"/>
      <c r="G25" s="486"/>
      <c r="H25" s="487"/>
      <c r="L25" s="87"/>
    </row>
    <row r="26" spans="1:12" x14ac:dyDescent="0.25">
      <c r="A26" s="488"/>
      <c r="B26" s="486"/>
      <c r="C26" s="486"/>
      <c r="D26" s="487"/>
      <c r="E26" s="488"/>
      <c r="F26" s="486"/>
      <c r="G26" s="486"/>
      <c r="H26" s="487"/>
      <c r="L26" s="87"/>
    </row>
    <row r="27" spans="1:12" x14ac:dyDescent="0.25">
      <c r="A27" s="488"/>
      <c r="B27" s="486"/>
      <c r="C27" s="486"/>
      <c r="D27" s="487"/>
      <c r="E27" s="488"/>
      <c r="F27" s="486"/>
      <c r="G27" s="486"/>
      <c r="H27" s="487"/>
      <c r="L27" s="87"/>
    </row>
    <row r="28" spans="1:12" x14ac:dyDescent="0.25">
      <c r="A28" s="488"/>
      <c r="B28" s="486"/>
      <c r="C28" s="486"/>
      <c r="D28" s="487"/>
      <c r="E28" s="488"/>
      <c r="F28" s="486"/>
      <c r="G28" s="486"/>
      <c r="H28" s="487"/>
      <c r="L28" s="255"/>
    </row>
    <row r="29" spans="1:12" x14ac:dyDescent="0.25">
      <c r="A29" s="488"/>
      <c r="B29" s="486"/>
      <c r="C29" s="486"/>
      <c r="D29" s="487"/>
      <c r="E29" s="488"/>
      <c r="F29" s="486"/>
      <c r="G29" s="486"/>
      <c r="H29" s="487"/>
      <c r="L29" s="87"/>
    </row>
    <row r="30" spans="1:12" ht="15.75" thickBot="1" x14ac:dyDescent="0.3">
      <c r="A30" s="164"/>
      <c r="B30" s="165"/>
      <c r="C30" s="165"/>
      <c r="D30" s="166"/>
      <c r="E30" s="164"/>
      <c r="F30" s="165"/>
      <c r="G30" s="165"/>
      <c r="H30" s="166"/>
      <c r="L30" s="87"/>
    </row>
    <row r="31" spans="1:12" x14ac:dyDescent="0.25">
      <c r="L31" s="87"/>
    </row>
    <row r="32" spans="1:12" x14ac:dyDescent="0.25">
      <c r="L32" s="87"/>
    </row>
    <row r="33" spans="10:12" x14ac:dyDescent="0.25">
      <c r="L33" s="87"/>
    </row>
    <row r="34" spans="10:12" x14ac:dyDescent="0.25">
      <c r="L34" s="87"/>
    </row>
    <row r="35" spans="10:12" x14ac:dyDescent="0.25">
      <c r="L35" s="87"/>
    </row>
    <row r="36" spans="10:12" x14ac:dyDescent="0.25">
      <c r="L36" s="87"/>
    </row>
    <row r="37" spans="10:12" x14ac:dyDescent="0.25">
      <c r="L37" s="87"/>
    </row>
    <row r="38" spans="10:12" x14ac:dyDescent="0.25">
      <c r="L38" s="87"/>
    </row>
    <row r="39" spans="10:12" x14ac:dyDescent="0.25">
      <c r="L39" s="87"/>
    </row>
    <row r="40" spans="10:12" x14ac:dyDescent="0.25">
      <c r="L40" s="87"/>
    </row>
    <row r="41" spans="10:12" x14ac:dyDescent="0.25">
      <c r="L41" s="87"/>
    </row>
    <row r="42" spans="10:12" x14ac:dyDescent="0.25">
      <c r="L42" s="87"/>
    </row>
    <row r="43" spans="10:12" x14ac:dyDescent="0.25">
      <c r="L43" s="87"/>
    </row>
    <row r="44" spans="10:12" x14ac:dyDescent="0.25">
      <c r="L44" s="87"/>
    </row>
    <row r="45" spans="10:12" x14ac:dyDescent="0.25">
      <c r="J45" s="256"/>
      <c r="K45" s="255"/>
      <c r="L45" s="87"/>
    </row>
  </sheetData>
  <mergeCells count="17">
    <mergeCell ref="A23:D23"/>
    <mergeCell ref="A24:D29"/>
    <mergeCell ref="E24:H29"/>
    <mergeCell ref="E10:H10"/>
    <mergeCell ref="E11:H14"/>
    <mergeCell ref="E15:H15"/>
    <mergeCell ref="E16:H22"/>
    <mergeCell ref="E23:H23"/>
    <mergeCell ref="A10:D10"/>
    <mergeCell ref="A11:D14"/>
    <mergeCell ref="A16:D22"/>
    <mergeCell ref="A15:D15"/>
    <mergeCell ref="A6:A7"/>
    <mergeCell ref="A8:C8"/>
    <mergeCell ref="B2:C2"/>
    <mergeCell ref="F2:G2"/>
    <mergeCell ref="E6:E7"/>
  </mergeCells>
  <printOptions horizontalCentered="1" verticalCentered="1"/>
  <pageMargins left="0" right="0" top="0" bottom="0" header="0" footer="0"/>
  <pageSetup paperSize="9" scale="69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6C91C-E87A-47FF-91A0-B56EEEBD01D0}">
  <sheetPr codeName="Planilha2">
    <pageSetUpPr fitToPage="1"/>
  </sheetPr>
  <dimension ref="A1:AD108"/>
  <sheetViews>
    <sheetView zoomScale="115" zoomScaleNormal="115" workbookViewId="0">
      <pane ySplit="1" topLeftCell="A100" activePane="bottomLeft" state="frozen"/>
      <selection pane="bottomLeft" activeCell="F103" sqref="F103"/>
    </sheetView>
  </sheetViews>
  <sheetFormatPr defaultColWidth="0" defaultRowHeight="15" zeroHeight="1" x14ac:dyDescent="0.25"/>
  <cols>
    <col min="1" max="1" width="10.140625" customWidth="1"/>
    <col min="2" max="2" width="27.42578125" customWidth="1"/>
    <col min="3" max="3" width="21.7109375" customWidth="1"/>
    <col min="4" max="4" width="18.7109375" customWidth="1"/>
    <col min="5" max="5" width="15" style="12" bestFit="1" customWidth="1"/>
    <col min="6" max="6" width="25" style="12" bestFit="1" customWidth="1"/>
    <col min="7" max="7" width="15" style="12" bestFit="1" customWidth="1"/>
    <col min="8" max="8" width="26.140625" style="12" customWidth="1"/>
    <col min="9" max="9" width="9.5703125" style="12" customWidth="1"/>
    <col min="10" max="10" width="9.140625" customWidth="1"/>
    <col min="11" max="12" width="30.28515625" hidden="1" customWidth="1"/>
    <col min="13" max="14" width="22.42578125" hidden="1" customWidth="1"/>
    <col min="15" max="15" width="41.42578125" hidden="1" customWidth="1"/>
    <col min="16" max="16" width="35.7109375" hidden="1" customWidth="1"/>
    <col min="17" max="17" width="26.28515625" hidden="1" customWidth="1"/>
    <col min="18" max="18" width="18.5703125" hidden="1" customWidth="1"/>
    <col min="19" max="20" width="34.28515625" hidden="1" customWidth="1"/>
    <col min="21" max="22" width="22.42578125" hidden="1" customWidth="1"/>
    <col min="23" max="26" width="18.5703125" hidden="1" customWidth="1"/>
    <col min="27" max="30" width="0" hidden="1" customWidth="1"/>
    <col min="31" max="16384" width="9.140625" hidden="1"/>
  </cols>
  <sheetData>
    <row r="1" spans="2:9" ht="43.5" customHeight="1" x14ac:dyDescent="0.25">
      <c r="B1" s="9" t="s">
        <v>6</v>
      </c>
      <c r="C1" s="365" t="s">
        <v>7</v>
      </c>
      <c r="D1" s="365" t="s">
        <v>8</v>
      </c>
      <c r="E1" s="365" t="s">
        <v>9</v>
      </c>
      <c r="F1" s="365" t="s">
        <v>10</v>
      </c>
      <c r="G1" s="365" t="s">
        <v>11</v>
      </c>
      <c r="H1" s="503" t="s">
        <v>12</v>
      </c>
      <c r="I1" s="504"/>
    </row>
    <row r="2" spans="2:9" ht="26.25" x14ac:dyDescent="0.25">
      <c r="B2" s="10">
        <v>55</v>
      </c>
      <c r="C2" s="370">
        <f>COUNTA(C4:C90)</f>
        <v>77</v>
      </c>
      <c r="D2" s="371">
        <f>COUNTA(D67,D63,D60,D54,D41,D38,D31,D25,D12,D9,D4)</f>
        <v>11</v>
      </c>
      <c r="E2" s="372">
        <f>SUM(E4:E90)</f>
        <v>269.20166000000012</v>
      </c>
      <c r="F2" s="373">
        <f>SUMIFS(F4:F90, F4:F90, "&gt;0", F4:F90, "&lt;&gt;.")</f>
        <v>161.19444000000001</v>
      </c>
      <c r="G2" s="374">
        <f>SUM(G4:G90)</f>
        <v>108.00721999999998</v>
      </c>
      <c r="H2" s="505"/>
      <c r="I2" s="506"/>
    </row>
    <row r="3" spans="2:9" ht="17.25" x14ac:dyDescent="0.25">
      <c r="B3" s="11"/>
      <c r="C3" s="375"/>
      <c r="D3" s="375"/>
      <c r="E3" s="376">
        <f>COUNTA(E4:E90)</f>
        <v>77</v>
      </c>
      <c r="F3" s="376">
        <f>COUNTIFS(F4:F90, "&gt;0", F4:F90, "&lt;&gt;.")</f>
        <v>48</v>
      </c>
      <c r="G3" s="376">
        <f t="shared" ref="G3" si="0">COUNTA(G4:G90)</f>
        <v>29</v>
      </c>
      <c r="H3" s="507"/>
      <c r="I3" s="508"/>
    </row>
    <row r="4" spans="2:9" s="12" customFormat="1" x14ac:dyDescent="0.25">
      <c r="B4" s="13" t="s">
        <v>13</v>
      </c>
      <c r="C4" s="377" t="s">
        <v>535</v>
      </c>
      <c r="D4" s="378" t="s">
        <v>14</v>
      </c>
      <c r="E4" s="379">
        <v>2.6812800000000001</v>
      </c>
      <c r="F4" s="380"/>
      <c r="G4" s="381">
        <v>2.6812800000000001</v>
      </c>
      <c r="H4" s="382" t="s">
        <v>13</v>
      </c>
      <c r="I4" s="15">
        <f t="shared" ref="I4:I59" si="1">SUMIFS($F$4:$F$90,$B$4:$B$90,H4)</f>
        <v>0</v>
      </c>
    </row>
    <row r="5" spans="2:9" s="12" customFormat="1" x14ac:dyDescent="0.25">
      <c r="B5" s="13" t="s">
        <v>15</v>
      </c>
      <c r="C5" s="377" t="s">
        <v>536</v>
      </c>
      <c r="D5" s="378" t="s">
        <v>14</v>
      </c>
      <c r="E5" s="379">
        <v>1.9487999999999999</v>
      </c>
      <c r="F5" s="383">
        <v>1.9487999999999999</v>
      </c>
      <c r="G5" s="380"/>
      <c r="H5" s="382" t="s">
        <v>15</v>
      </c>
      <c r="I5" s="15">
        <f t="shared" si="1"/>
        <v>1.9487999999999999</v>
      </c>
    </row>
    <row r="6" spans="2:9" s="12" customFormat="1" x14ac:dyDescent="0.25">
      <c r="B6" s="13" t="s">
        <v>15</v>
      </c>
      <c r="C6" s="377" t="s">
        <v>537</v>
      </c>
      <c r="D6" s="378" t="s">
        <v>14</v>
      </c>
      <c r="E6" s="379">
        <v>6.9550000000000001</v>
      </c>
      <c r="F6" s="380"/>
      <c r="G6" s="381">
        <v>6.9550000000000001</v>
      </c>
      <c r="H6" s="382" t="s">
        <v>16</v>
      </c>
      <c r="I6" s="15">
        <f t="shared" si="1"/>
        <v>1.2992000000000001</v>
      </c>
    </row>
    <row r="7" spans="2:9" s="12" customFormat="1" x14ac:dyDescent="0.25">
      <c r="B7" s="13" t="s">
        <v>16</v>
      </c>
      <c r="C7" s="377" t="s">
        <v>538</v>
      </c>
      <c r="D7" s="378" t="s">
        <v>14</v>
      </c>
      <c r="E7" s="379">
        <v>1.2991999999999999</v>
      </c>
      <c r="F7" s="383">
        <v>1.2992000000000001</v>
      </c>
      <c r="G7" s="380"/>
      <c r="H7" s="384"/>
      <c r="I7" s="15">
        <f t="shared" si="1"/>
        <v>0</v>
      </c>
    </row>
    <row r="8" spans="2:9" s="12" customFormat="1" x14ac:dyDescent="0.25">
      <c r="B8" s="16"/>
      <c r="C8" s="384"/>
      <c r="D8" s="384"/>
      <c r="E8" s="385"/>
      <c r="F8" s="384" t="s">
        <v>17</v>
      </c>
      <c r="G8" s="384"/>
      <c r="H8" s="382" t="s">
        <v>18</v>
      </c>
      <c r="I8" s="15">
        <f t="shared" si="1"/>
        <v>0</v>
      </c>
    </row>
    <row r="9" spans="2:9" s="12" customFormat="1" x14ac:dyDescent="0.25">
      <c r="B9" s="13" t="s">
        <v>18</v>
      </c>
      <c r="C9" s="377" t="s">
        <v>539</v>
      </c>
      <c r="D9" s="378" t="s">
        <v>19</v>
      </c>
      <c r="E9" s="379">
        <v>6.4496000000000002</v>
      </c>
      <c r="F9" s="380"/>
      <c r="G9" s="381">
        <v>6.4496000000000002</v>
      </c>
      <c r="H9" s="382" t="s">
        <v>20</v>
      </c>
      <c r="I9" s="15">
        <f t="shared" si="1"/>
        <v>0</v>
      </c>
    </row>
    <row r="10" spans="2:9" s="12" customFormat="1" x14ac:dyDescent="0.25">
      <c r="B10" s="13" t="s">
        <v>20</v>
      </c>
      <c r="C10" s="377" t="s">
        <v>540</v>
      </c>
      <c r="D10" s="378" t="s">
        <v>19</v>
      </c>
      <c r="E10" s="379">
        <v>5.15</v>
      </c>
      <c r="F10" s="380"/>
      <c r="G10" s="381">
        <v>5.15</v>
      </c>
      <c r="H10" s="382" t="s">
        <v>21</v>
      </c>
      <c r="I10" s="15">
        <f t="shared" si="1"/>
        <v>6.55661</v>
      </c>
    </row>
    <row r="11" spans="2:9" s="12" customFormat="1" x14ac:dyDescent="0.25">
      <c r="B11" s="16"/>
      <c r="C11" s="384"/>
      <c r="D11" s="384"/>
      <c r="E11" s="385"/>
      <c r="F11" s="384" t="s">
        <v>17</v>
      </c>
      <c r="G11" s="384"/>
      <c r="H11" s="382" t="s">
        <v>22</v>
      </c>
      <c r="I11" s="15">
        <f t="shared" si="1"/>
        <v>3.3422499999999999</v>
      </c>
    </row>
    <row r="12" spans="2:9" s="12" customFormat="1" x14ac:dyDescent="0.25">
      <c r="B12" s="13" t="s">
        <v>21</v>
      </c>
      <c r="C12" s="377" t="s">
        <v>541</v>
      </c>
      <c r="D12" s="378" t="s">
        <v>23</v>
      </c>
      <c r="E12" s="379">
        <v>3.3666100000000001</v>
      </c>
      <c r="F12" s="383">
        <v>3.3666100000000001</v>
      </c>
      <c r="G12" s="380"/>
      <c r="H12" s="382" t="s">
        <v>24</v>
      </c>
      <c r="I12" s="15">
        <f t="shared" si="1"/>
        <v>0</v>
      </c>
    </row>
    <row r="13" spans="2:9" s="12" customFormat="1" x14ac:dyDescent="0.25">
      <c r="B13" s="13" t="s">
        <v>22</v>
      </c>
      <c r="C13" s="377" t="s">
        <v>542</v>
      </c>
      <c r="D13" s="378" t="s">
        <v>23</v>
      </c>
      <c r="E13" s="379">
        <v>3.3422499999999999</v>
      </c>
      <c r="F13" s="383">
        <v>3.3422499999999999</v>
      </c>
      <c r="G13" s="380"/>
      <c r="H13" s="382" t="s">
        <v>25</v>
      </c>
      <c r="I13" s="15">
        <f t="shared" si="1"/>
        <v>0</v>
      </c>
    </row>
    <row r="14" spans="2:9" s="12" customFormat="1" x14ac:dyDescent="0.25">
      <c r="B14" s="13" t="s">
        <v>24</v>
      </c>
      <c r="C14" s="377" t="s">
        <v>543</v>
      </c>
      <c r="D14" s="378" t="s">
        <v>23</v>
      </c>
      <c r="E14" s="379">
        <v>3.22</v>
      </c>
      <c r="F14" s="380"/>
      <c r="G14" s="381">
        <v>3.22</v>
      </c>
      <c r="H14" s="382" t="s">
        <v>26</v>
      </c>
      <c r="I14" s="15">
        <f t="shared" si="1"/>
        <v>0</v>
      </c>
    </row>
    <row r="15" spans="2:9" s="12" customFormat="1" x14ac:dyDescent="0.25">
      <c r="B15" s="13" t="s">
        <v>24</v>
      </c>
      <c r="C15" s="377" t="s">
        <v>544</v>
      </c>
      <c r="D15" s="378" t="s">
        <v>23</v>
      </c>
      <c r="E15" s="379">
        <v>3.22</v>
      </c>
      <c r="F15" s="380"/>
      <c r="G15" s="381">
        <v>3.22</v>
      </c>
      <c r="H15" s="382" t="s">
        <v>27</v>
      </c>
      <c r="I15" s="15">
        <f t="shared" si="1"/>
        <v>1.2204000000000002</v>
      </c>
    </row>
    <row r="16" spans="2:9" s="12" customFormat="1" x14ac:dyDescent="0.25">
      <c r="B16" s="13" t="s">
        <v>25</v>
      </c>
      <c r="C16" s="377" t="s">
        <v>545</v>
      </c>
      <c r="D16" s="378" t="s">
        <v>23</v>
      </c>
      <c r="E16" s="379">
        <v>3.19</v>
      </c>
      <c r="F16" s="380"/>
      <c r="G16" s="381">
        <v>3.19</v>
      </c>
      <c r="H16" s="382" t="s">
        <v>28</v>
      </c>
      <c r="I16" s="15">
        <f t="shared" si="1"/>
        <v>0</v>
      </c>
    </row>
    <row r="17" spans="2:9" s="12" customFormat="1" x14ac:dyDescent="0.25">
      <c r="B17" s="13" t="s">
        <v>26</v>
      </c>
      <c r="C17" s="377" t="s">
        <v>546</v>
      </c>
      <c r="D17" s="378" t="s">
        <v>23</v>
      </c>
      <c r="E17" s="379">
        <v>3.31968</v>
      </c>
      <c r="F17" s="380"/>
      <c r="G17" s="381">
        <v>3.31968</v>
      </c>
      <c r="H17" s="382" t="s">
        <v>29</v>
      </c>
      <c r="I17" s="15">
        <f t="shared" si="1"/>
        <v>0</v>
      </c>
    </row>
    <row r="18" spans="2:9" s="12" customFormat="1" ht="15" customHeight="1" x14ac:dyDescent="0.25">
      <c r="B18" s="13" t="s">
        <v>27</v>
      </c>
      <c r="C18" s="377" t="s">
        <v>547</v>
      </c>
      <c r="D18" s="378" t="s">
        <v>23</v>
      </c>
      <c r="E18" s="379">
        <v>1.2204000000000002</v>
      </c>
      <c r="F18" s="383">
        <v>1.2204000000000002</v>
      </c>
      <c r="G18" s="380"/>
      <c r="H18" s="382" t="s">
        <v>30</v>
      </c>
      <c r="I18" s="15">
        <f t="shared" si="1"/>
        <v>3.19</v>
      </c>
    </row>
    <row r="19" spans="2:9" s="12" customFormat="1" ht="15" customHeight="1" x14ac:dyDescent="0.25">
      <c r="B19" s="13" t="s">
        <v>28</v>
      </c>
      <c r="C19" s="377" t="s">
        <v>548</v>
      </c>
      <c r="D19" s="378" t="s">
        <v>23</v>
      </c>
      <c r="E19" s="379">
        <v>3.1320000000000001</v>
      </c>
      <c r="F19" s="380"/>
      <c r="G19" s="381">
        <v>3.1320000000000001</v>
      </c>
      <c r="H19" s="382" t="s">
        <v>31</v>
      </c>
      <c r="I19" s="15">
        <f t="shared" si="1"/>
        <v>0</v>
      </c>
    </row>
    <row r="20" spans="2:9" s="12" customFormat="1" ht="15" customHeight="1" x14ac:dyDescent="0.25">
      <c r="B20" s="13" t="s">
        <v>29</v>
      </c>
      <c r="C20" s="377" t="s">
        <v>549</v>
      </c>
      <c r="D20" s="378" t="s">
        <v>23</v>
      </c>
      <c r="E20" s="379">
        <v>3.19</v>
      </c>
      <c r="F20" s="380"/>
      <c r="G20" s="381">
        <v>3.19</v>
      </c>
      <c r="H20" s="382" t="s">
        <v>32</v>
      </c>
      <c r="I20" s="15">
        <f t="shared" si="1"/>
        <v>6.1020000000000003</v>
      </c>
    </row>
    <row r="21" spans="2:9" s="12" customFormat="1" ht="15" customHeight="1" x14ac:dyDescent="0.25">
      <c r="B21" s="13" t="s">
        <v>29</v>
      </c>
      <c r="C21" s="377" t="s">
        <v>550</v>
      </c>
      <c r="D21" s="378" t="s">
        <v>23</v>
      </c>
      <c r="E21" s="379">
        <v>3.31968</v>
      </c>
      <c r="F21" s="380"/>
      <c r="G21" s="381">
        <v>3.31968</v>
      </c>
      <c r="H21" s="382" t="s">
        <v>33</v>
      </c>
      <c r="I21" s="15">
        <f t="shared" si="1"/>
        <v>6.0979500000000009</v>
      </c>
    </row>
    <row r="22" spans="2:9" s="12" customFormat="1" ht="15" customHeight="1" x14ac:dyDescent="0.25">
      <c r="B22" s="13" t="s">
        <v>30</v>
      </c>
      <c r="C22" s="377" t="s">
        <v>551</v>
      </c>
      <c r="D22" s="378" t="s">
        <v>23</v>
      </c>
      <c r="E22" s="379">
        <v>3.19</v>
      </c>
      <c r="F22" s="383">
        <v>3.19</v>
      </c>
      <c r="G22" s="380"/>
      <c r="H22" s="382" t="s">
        <v>34</v>
      </c>
      <c r="I22" s="15">
        <f t="shared" si="1"/>
        <v>6.2160000000000002</v>
      </c>
    </row>
    <row r="23" spans="2:9" s="12" customFormat="1" ht="15" customHeight="1" x14ac:dyDescent="0.25">
      <c r="B23" s="13" t="s">
        <v>21</v>
      </c>
      <c r="C23" s="377" t="s">
        <v>552</v>
      </c>
      <c r="D23" s="378" t="s">
        <v>23</v>
      </c>
      <c r="E23" s="379">
        <v>3.19</v>
      </c>
      <c r="F23" s="383">
        <v>3.19</v>
      </c>
      <c r="G23" s="380"/>
      <c r="H23" s="382" t="s">
        <v>35</v>
      </c>
      <c r="I23" s="15">
        <f t="shared" si="1"/>
        <v>0</v>
      </c>
    </row>
    <row r="24" spans="2:9" s="12" customFormat="1" x14ac:dyDescent="0.25">
      <c r="B24" s="17"/>
      <c r="C24" s="388"/>
      <c r="D24" s="386"/>
      <c r="E24" s="387"/>
      <c r="F24" s="386" t="s">
        <v>17</v>
      </c>
      <c r="G24" s="386"/>
      <c r="H24" s="382" t="s">
        <v>36</v>
      </c>
      <c r="I24" s="15">
        <f t="shared" si="1"/>
        <v>18.510190000000001</v>
      </c>
    </row>
    <row r="25" spans="2:9" s="12" customFormat="1" ht="15" customHeight="1" x14ac:dyDescent="0.25">
      <c r="B25" s="13" t="s">
        <v>31</v>
      </c>
      <c r="C25" s="377" t="s">
        <v>553</v>
      </c>
      <c r="D25" s="378" t="s">
        <v>37</v>
      </c>
      <c r="E25" s="379">
        <v>6.16</v>
      </c>
      <c r="F25" s="380"/>
      <c r="G25" s="381">
        <v>6.16</v>
      </c>
      <c r="H25" s="382" t="s">
        <v>38</v>
      </c>
      <c r="I25" s="15">
        <f t="shared" si="1"/>
        <v>6.3</v>
      </c>
    </row>
    <row r="26" spans="2:9" s="12" customFormat="1" ht="15" customHeight="1" x14ac:dyDescent="0.25">
      <c r="B26" s="13" t="s">
        <v>32</v>
      </c>
      <c r="C26" s="377" t="s">
        <v>554</v>
      </c>
      <c r="D26" s="378" t="s">
        <v>37</v>
      </c>
      <c r="E26" s="379">
        <v>6.1020000000000003</v>
      </c>
      <c r="F26" s="383">
        <v>6.1020000000000003</v>
      </c>
      <c r="G26" s="380"/>
      <c r="H26" s="382" t="s">
        <v>39</v>
      </c>
      <c r="I26" s="15">
        <f t="shared" si="1"/>
        <v>3.08</v>
      </c>
    </row>
    <row r="27" spans="2:9" s="12" customFormat="1" ht="15" customHeight="1" x14ac:dyDescent="0.25">
      <c r="B27" s="13" t="s">
        <v>33</v>
      </c>
      <c r="C27" s="377" t="s">
        <v>555</v>
      </c>
      <c r="D27" s="378" t="s">
        <v>37</v>
      </c>
      <c r="E27" s="379">
        <v>6.0979500000000009</v>
      </c>
      <c r="F27" s="383">
        <v>6.0979500000000009</v>
      </c>
      <c r="G27" s="380"/>
      <c r="H27" s="382" t="s">
        <v>40</v>
      </c>
      <c r="I27" s="15">
        <f t="shared" si="1"/>
        <v>0</v>
      </c>
    </row>
    <row r="28" spans="2:9" s="12" customFormat="1" ht="15" customHeight="1" x14ac:dyDescent="0.25">
      <c r="B28" s="13" t="s">
        <v>34</v>
      </c>
      <c r="C28" s="377" t="s">
        <v>556</v>
      </c>
      <c r="D28" s="378" t="s">
        <v>37</v>
      </c>
      <c r="E28" s="379">
        <v>6.2160000000000002</v>
      </c>
      <c r="F28" s="383">
        <v>6.2160000000000002</v>
      </c>
      <c r="G28" s="380"/>
      <c r="H28" s="382" t="s">
        <v>41</v>
      </c>
      <c r="I28" s="15">
        <f t="shared" si="1"/>
        <v>0</v>
      </c>
    </row>
    <row r="29" spans="2:9" s="12" customFormat="1" ht="15" customHeight="1" x14ac:dyDescent="0.25">
      <c r="B29" s="13" t="s">
        <v>35</v>
      </c>
      <c r="C29" s="377" t="s">
        <v>557</v>
      </c>
      <c r="D29" s="378" t="s">
        <v>37</v>
      </c>
      <c r="E29" s="379">
        <v>6.2640000000000002</v>
      </c>
      <c r="F29" s="380"/>
      <c r="G29" s="381">
        <v>6.2640000000000002</v>
      </c>
      <c r="H29" s="382" t="s">
        <v>42</v>
      </c>
      <c r="I29" s="15">
        <f t="shared" si="1"/>
        <v>6.6539999999999999</v>
      </c>
    </row>
    <row r="30" spans="2:9" s="12" customFormat="1" x14ac:dyDescent="0.25">
      <c r="B30" s="17"/>
      <c r="C30" s="388"/>
      <c r="D30" s="386"/>
      <c r="E30" s="387"/>
      <c r="F30" s="386" t="s">
        <v>17</v>
      </c>
      <c r="G30" s="386"/>
      <c r="H30" s="382" t="s">
        <v>43</v>
      </c>
      <c r="I30" s="15">
        <f t="shared" si="1"/>
        <v>0</v>
      </c>
    </row>
    <row r="31" spans="2:9" s="12" customFormat="1" ht="15" customHeight="1" x14ac:dyDescent="0.25">
      <c r="B31" s="13" t="s">
        <v>36</v>
      </c>
      <c r="C31" s="377" t="s">
        <v>558</v>
      </c>
      <c r="D31" s="378" t="s">
        <v>44</v>
      </c>
      <c r="E31" s="379">
        <v>6.2060000000000004</v>
      </c>
      <c r="F31" s="383">
        <v>6.2060000000000004</v>
      </c>
      <c r="G31" s="380"/>
      <c r="H31" s="382" t="s">
        <v>45</v>
      </c>
      <c r="I31" s="15">
        <f t="shared" si="1"/>
        <v>6.6420000000000003</v>
      </c>
    </row>
    <row r="32" spans="2:9" s="12" customFormat="1" ht="15" customHeight="1" x14ac:dyDescent="0.25">
      <c r="B32" s="13" t="s">
        <v>36</v>
      </c>
      <c r="C32" s="377" t="s">
        <v>559</v>
      </c>
      <c r="D32" s="378" t="s">
        <v>44</v>
      </c>
      <c r="E32" s="379">
        <v>6.2190500000000002</v>
      </c>
      <c r="F32" s="383">
        <v>6.2190500000000002</v>
      </c>
      <c r="G32" s="380"/>
      <c r="H32" s="382" t="s">
        <v>46</v>
      </c>
      <c r="I32" s="15">
        <f t="shared" si="1"/>
        <v>0</v>
      </c>
    </row>
    <row r="33" spans="2:9" s="12" customFormat="1" x14ac:dyDescent="0.25">
      <c r="B33" s="13" t="s">
        <v>38</v>
      </c>
      <c r="C33" s="377" t="s">
        <v>560</v>
      </c>
      <c r="D33" s="378" t="s">
        <v>44</v>
      </c>
      <c r="E33" s="379">
        <v>6.3</v>
      </c>
      <c r="F33" s="383">
        <v>6.3</v>
      </c>
      <c r="G33" s="380"/>
      <c r="H33" s="382" t="s">
        <v>47</v>
      </c>
      <c r="I33" s="15">
        <f t="shared" si="1"/>
        <v>0</v>
      </c>
    </row>
    <row r="34" spans="2:9" s="12" customFormat="1" x14ac:dyDescent="0.25">
      <c r="B34" s="13" t="s">
        <v>39</v>
      </c>
      <c r="C34" s="377" t="s">
        <v>561</v>
      </c>
      <c r="D34" s="378" t="s">
        <v>44</v>
      </c>
      <c r="E34" s="379">
        <v>3.08</v>
      </c>
      <c r="F34" s="383">
        <v>3.08</v>
      </c>
      <c r="G34" s="380"/>
      <c r="H34" s="382" t="s">
        <v>48</v>
      </c>
      <c r="I34" s="15">
        <f t="shared" si="1"/>
        <v>6.1020000000000003</v>
      </c>
    </row>
    <row r="35" spans="2:9" s="12" customFormat="1" x14ac:dyDescent="0.25">
      <c r="B35" s="13" t="s">
        <v>36</v>
      </c>
      <c r="C35" s="377" t="s">
        <v>562</v>
      </c>
      <c r="D35" s="378" t="s">
        <v>44</v>
      </c>
      <c r="E35" s="379">
        <v>4.9059999999999997</v>
      </c>
      <c r="F35" s="383">
        <v>4.9059999999999997</v>
      </c>
      <c r="G35" s="380"/>
      <c r="H35" s="382" t="s">
        <v>49</v>
      </c>
      <c r="I35" s="15">
        <f t="shared" si="1"/>
        <v>6.64032</v>
      </c>
    </row>
    <row r="36" spans="2:9" s="12" customFormat="1" x14ac:dyDescent="0.25">
      <c r="B36" s="13" t="s">
        <v>36</v>
      </c>
      <c r="C36" s="377" t="s">
        <v>563</v>
      </c>
      <c r="D36" s="378" t="s">
        <v>44</v>
      </c>
      <c r="E36" s="379">
        <v>1.1791400000000001</v>
      </c>
      <c r="F36" s="383">
        <v>1.1791400000000001</v>
      </c>
      <c r="G36" s="380"/>
      <c r="H36" s="382" t="s">
        <v>50</v>
      </c>
      <c r="I36" s="15">
        <f t="shared" si="1"/>
        <v>6.1020000000000003</v>
      </c>
    </row>
    <row r="37" spans="2:9" s="12" customFormat="1" x14ac:dyDescent="0.25">
      <c r="B37" s="17"/>
      <c r="C37" s="388"/>
      <c r="D37" s="386"/>
      <c r="E37" s="387"/>
      <c r="F37" s="386" t="s">
        <v>17</v>
      </c>
      <c r="G37" s="386"/>
      <c r="H37" s="382" t="s">
        <v>51</v>
      </c>
      <c r="I37" s="15">
        <f t="shared" si="1"/>
        <v>6.1020000000000003</v>
      </c>
    </row>
    <row r="38" spans="2:9" s="12" customFormat="1" x14ac:dyDescent="0.25">
      <c r="B38" s="13" t="s">
        <v>40</v>
      </c>
      <c r="C38" s="377" t="s">
        <v>564</v>
      </c>
      <c r="D38" s="378" t="s">
        <v>52</v>
      </c>
      <c r="E38" s="379">
        <v>2.58</v>
      </c>
      <c r="F38" s="380"/>
      <c r="G38" s="381">
        <v>2.58</v>
      </c>
      <c r="H38" s="382" t="s">
        <v>53</v>
      </c>
      <c r="I38" s="15">
        <f t="shared" si="1"/>
        <v>0</v>
      </c>
    </row>
    <row r="39" spans="2:9" s="12" customFormat="1" x14ac:dyDescent="0.25">
      <c r="B39" s="13" t="s">
        <v>41</v>
      </c>
      <c r="C39" s="377" t="s">
        <v>565</v>
      </c>
      <c r="D39" s="378" t="s">
        <v>52</v>
      </c>
      <c r="E39" s="379">
        <v>1.9348800000000002</v>
      </c>
      <c r="F39" s="380"/>
      <c r="G39" s="381">
        <v>1.9348800000000002</v>
      </c>
      <c r="H39" s="382" t="s">
        <v>54</v>
      </c>
      <c r="I39" s="15">
        <f t="shared" si="1"/>
        <v>0</v>
      </c>
    </row>
    <row r="40" spans="2:9" s="12" customFormat="1" x14ac:dyDescent="0.25">
      <c r="B40" s="17"/>
      <c r="C40" s="388"/>
      <c r="D40" s="386"/>
      <c r="E40" s="387"/>
      <c r="F40" s="386" t="s">
        <v>17</v>
      </c>
      <c r="G40" s="386"/>
      <c r="H40" s="382" t="s">
        <v>55</v>
      </c>
      <c r="I40" s="15">
        <f t="shared" si="1"/>
        <v>2.4151199999999999</v>
      </c>
    </row>
    <row r="41" spans="2:9" x14ac:dyDescent="0.25">
      <c r="B41" s="13" t="s">
        <v>42</v>
      </c>
      <c r="C41" s="377" t="s">
        <v>566</v>
      </c>
      <c r="D41" s="378" t="s">
        <v>56</v>
      </c>
      <c r="E41" s="379">
        <v>6.6539999999999999</v>
      </c>
      <c r="F41" s="383">
        <v>6.6539999999999999</v>
      </c>
      <c r="G41" s="380"/>
      <c r="H41" s="382" t="s">
        <v>57</v>
      </c>
      <c r="I41" s="15">
        <f t="shared" si="1"/>
        <v>0</v>
      </c>
    </row>
    <row r="42" spans="2:9" x14ac:dyDescent="0.25">
      <c r="B42" s="13" t="s">
        <v>43</v>
      </c>
      <c r="C42" s="377" t="s">
        <v>567</v>
      </c>
      <c r="D42" s="378" t="s">
        <v>56</v>
      </c>
      <c r="E42" s="379">
        <v>3.08</v>
      </c>
      <c r="F42" s="380"/>
      <c r="G42" s="381">
        <v>3.08</v>
      </c>
      <c r="H42" s="382" t="s">
        <v>58</v>
      </c>
      <c r="I42" s="15">
        <f t="shared" si="1"/>
        <v>0</v>
      </c>
    </row>
    <row r="43" spans="2:9" x14ac:dyDescent="0.25">
      <c r="B43" s="13" t="s">
        <v>45</v>
      </c>
      <c r="C43" s="377" t="s">
        <v>568</v>
      </c>
      <c r="D43" s="378" t="s">
        <v>56</v>
      </c>
      <c r="E43" s="379">
        <v>6.6420000000000003</v>
      </c>
      <c r="F43" s="383">
        <v>6.6420000000000003</v>
      </c>
      <c r="G43" s="380"/>
      <c r="H43" s="382" t="s">
        <v>59</v>
      </c>
      <c r="I43" s="15">
        <f t="shared" si="1"/>
        <v>2.86056</v>
      </c>
    </row>
    <row r="44" spans="2:9" x14ac:dyDescent="0.25">
      <c r="B44" s="13" t="s">
        <v>46</v>
      </c>
      <c r="C44" s="377" t="s">
        <v>569</v>
      </c>
      <c r="D44" s="378" t="s">
        <v>56</v>
      </c>
      <c r="E44" s="379">
        <v>3.2031999999999998</v>
      </c>
      <c r="F44" s="380"/>
      <c r="G44" s="381">
        <v>3.2031999999999998</v>
      </c>
      <c r="H44" s="382" t="s">
        <v>60</v>
      </c>
      <c r="I44" s="15">
        <f t="shared" si="1"/>
        <v>0</v>
      </c>
    </row>
    <row r="45" spans="2:9" x14ac:dyDescent="0.25">
      <c r="B45" s="13" t="s">
        <v>47</v>
      </c>
      <c r="C45" s="377" t="s">
        <v>570</v>
      </c>
      <c r="D45" s="378" t="s">
        <v>56</v>
      </c>
      <c r="E45" s="379">
        <v>6.2160000000000002</v>
      </c>
      <c r="F45" s="380"/>
      <c r="G45" s="381">
        <v>6.2160000000000002</v>
      </c>
      <c r="H45" s="382" t="s">
        <v>61</v>
      </c>
      <c r="I45" s="15">
        <f t="shared" si="1"/>
        <v>0</v>
      </c>
    </row>
    <row r="46" spans="2:9" x14ac:dyDescent="0.25">
      <c r="B46" s="13" t="s">
        <v>48</v>
      </c>
      <c r="C46" s="377" t="s">
        <v>571</v>
      </c>
      <c r="D46" s="378" t="s">
        <v>56</v>
      </c>
      <c r="E46" s="379">
        <v>6.1020000000000003</v>
      </c>
      <c r="F46" s="383">
        <v>6.1020000000000003</v>
      </c>
      <c r="G46" s="380"/>
      <c r="H46" s="382" t="s">
        <v>62</v>
      </c>
      <c r="I46" s="15">
        <f t="shared" si="1"/>
        <v>6.7970200000000007</v>
      </c>
    </row>
    <row r="47" spans="2:9" x14ac:dyDescent="0.25">
      <c r="B47" s="13" t="s">
        <v>49</v>
      </c>
      <c r="C47" s="377" t="s">
        <v>572</v>
      </c>
      <c r="D47" s="378" t="s">
        <v>56</v>
      </c>
      <c r="E47" s="379">
        <v>5.2750000000000004</v>
      </c>
      <c r="F47" s="383">
        <v>5.2750000000000004</v>
      </c>
      <c r="G47" s="380"/>
      <c r="H47" s="382" t="s">
        <v>63</v>
      </c>
      <c r="I47" s="15">
        <f t="shared" si="1"/>
        <v>6.2540000000000004</v>
      </c>
    </row>
    <row r="48" spans="2:9" x14ac:dyDescent="0.25">
      <c r="B48" s="13" t="s">
        <v>49</v>
      </c>
      <c r="C48" s="377" t="s">
        <v>573</v>
      </c>
      <c r="D48" s="378" t="s">
        <v>56</v>
      </c>
      <c r="E48" s="379">
        <v>1.3653199999999999</v>
      </c>
      <c r="F48" s="383">
        <v>1.3653199999999999</v>
      </c>
      <c r="G48" s="380"/>
      <c r="H48" s="382" t="s">
        <v>64</v>
      </c>
      <c r="I48" s="15">
        <f t="shared" si="1"/>
        <v>1.232</v>
      </c>
    </row>
    <row r="49" spans="2:9" x14ac:dyDescent="0.25">
      <c r="B49" s="13" t="s">
        <v>50</v>
      </c>
      <c r="C49" s="377" t="s">
        <v>574</v>
      </c>
      <c r="D49" s="378" t="s">
        <v>56</v>
      </c>
      <c r="E49" s="379">
        <v>6.1020000000000003</v>
      </c>
      <c r="F49" s="383">
        <v>6.1020000000000003</v>
      </c>
      <c r="G49" s="380"/>
      <c r="H49" s="382" t="s">
        <v>65</v>
      </c>
      <c r="I49" s="15">
        <f t="shared" si="1"/>
        <v>6.1020000000000003</v>
      </c>
    </row>
    <row r="50" spans="2:9" x14ac:dyDescent="0.25">
      <c r="B50" s="13" t="s">
        <v>51</v>
      </c>
      <c r="C50" s="377" t="s">
        <v>575</v>
      </c>
      <c r="D50" s="378" t="s">
        <v>56</v>
      </c>
      <c r="E50" s="379">
        <v>6.1020000000000003</v>
      </c>
      <c r="F50" s="383">
        <v>6.1020000000000003</v>
      </c>
      <c r="G50" s="380"/>
      <c r="H50" s="382" t="s">
        <v>66</v>
      </c>
      <c r="I50" s="15">
        <f t="shared" si="1"/>
        <v>0</v>
      </c>
    </row>
    <row r="51" spans="2:9" x14ac:dyDescent="0.25">
      <c r="B51" s="13" t="s">
        <v>53</v>
      </c>
      <c r="C51" s="377" t="s">
        <v>576</v>
      </c>
      <c r="D51" s="378" t="s">
        <v>56</v>
      </c>
      <c r="E51" s="379">
        <v>2.7103999999999999</v>
      </c>
      <c r="F51" s="380"/>
      <c r="G51" s="381">
        <v>2.7103999999999999</v>
      </c>
      <c r="H51" s="382" t="s">
        <v>67</v>
      </c>
      <c r="I51" s="15">
        <f t="shared" si="1"/>
        <v>2.4407999999999999</v>
      </c>
    </row>
    <row r="52" spans="2:9" x14ac:dyDescent="0.25">
      <c r="B52" s="13" t="s">
        <v>54</v>
      </c>
      <c r="C52" s="377" t="s">
        <v>577</v>
      </c>
      <c r="D52" s="378" t="s">
        <v>56</v>
      </c>
      <c r="E52" s="379">
        <v>6.2160000000000002</v>
      </c>
      <c r="F52" s="380"/>
      <c r="G52" s="381">
        <v>6.2160000000000002</v>
      </c>
      <c r="H52" s="382" t="s">
        <v>68</v>
      </c>
      <c r="I52" s="15">
        <f t="shared" si="1"/>
        <v>6.7799999999999994</v>
      </c>
    </row>
    <row r="53" spans="2:9" s="12" customFormat="1" x14ac:dyDescent="0.25">
      <c r="B53" s="17"/>
      <c r="C53" s="388"/>
      <c r="D53" s="386"/>
      <c r="E53" s="387"/>
      <c r="F53" s="386" t="s">
        <v>17</v>
      </c>
      <c r="G53" s="386"/>
      <c r="H53" s="382" t="s">
        <v>69</v>
      </c>
      <c r="I53" s="15">
        <f t="shared" si="1"/>
        <v>9.8438599999999994</v>
      </c>
    </row>
    <row r="54" spans="2:9" x14ac:dyDescent="0.25">
      <c r="B54" s="13" t="s">
        <v>55</v>
      </c>
      <c r="C54" s="377" t="s">
        <v>578</v>
      </c>
      <c r="D54" s="378" t="s">
        <v>70</v>
      </c>
      <c r="E54" s="379">
        <v>0.56144000000000005</v>
      </c>
      <c r="F54" s="383">
        <v>0.56144000000000005</v>
      </c>
      <c r="G54" s="380"/>
      <c r="H54" s="382" t="s">
        <v>71</v>
      </c>
      <c r="I54" s="15">
        <f t="shared" si="1"/>
        <v>3.4164899999999996</v>
      </c>
    </row>
    <row r="55" spans="2:9" x14ac:dyDescent="0.25">
      <c r="B55" s="13" t="s">
        <v>55</v>
      </c>
      <c r="C55" s="377" t="s">
        <v>579</v>
      </c>
      <c r="D55" s="378" t="s">
        <v>70</v>
      </c>
      <c r="E55" s="379">
        <v>0.56376000000000004</v>
      </c>
      <c r="F55" s="383">
        <v>0.56376000000000004</v>
      </c>
      <c r="G55" s="380"/>
      <c r="H55" s="382" t="s">
        <v>72</v>
      </c>
      <c r="I55" s="15">
        <f t="shared" si="1"/>
        <v>5.2015500000000001</v>
      </c>
    </row>
    <row r="56" spans="2:9" x14ac:dyDescent="0.25">
      <c r="B56" s="13" t="s">
        <v>57</v>
      </c>
      <c r="C56" s="377" t="s">
        <v>580</v>
      </c>
      <c r="D56" s="378" t="s">
        <v>70</v>
      </c>
      <c r="E56" s="379">
        <v>1.2899200000000002</v>
      </c>
      <c r="F56" s="380"/>
      <c r="G56" s="381">
        <v>1.2899200000000002</v>
      </c>
      <c r="H56" s="382" t="s">
        <v>73</v>
      </c>
      <c r="I56" s="15">
        <f t="shared" si="1"/>
        <v>4.3441999999999998</v>
      </c>
    </row>
    <row r="57" spans="2:9" x14ac:dyDescent="0.25">
      <c r="B57" s="13" t="s">
        <v>55</v>
      </c>
      <c r="C57" s="377" t="s">
        <v>581</v>
      </c>
      <c r="D57" s="378" t="s">
        <v>70</v>
      </c>
      <c r="E57" s="379">
        <v>1.2899200000000002</v>
      </c>
      <c r="F57" s="383">
        <v>1.2899200000000002</v>
      </c>
      <c r="G57" s="380"/>
      <c r="H57" s="382" t="s">
        <v>74</v>
      </c>
      <c r="I57" s="15">
        <f t="shared" si="1"/>
        <v>1.4011199999999999</v>
      </c>
    </row>
    <row r="58" spans="2:9" x14ac:dyDescent="0.25">
      <c r="B58" s="13" t="s">
        <v>58</v>
      </c>
      <c r="C58" s="377" t="s">
        <v>582</v>
      </c>
      <c r="D58" s="378" t="s">
        <v>70</v>
      </c>
      <c r="E58" s="379">
        <v>1.2767999999999999</v>
      </c>
      <c r="F58" s="380"/>
      <c r="G58" s="381">
        <v>1.2767999999999999</v>
      </c>
      <c r="H58" s="382" t="s">
        <v>75</v>
      </c>
      <c r="I58" s="15">
        <f t="shared" si="1"/>
        <v>0</v>
      </c>
    </row>
    <row r="59" spans="2:9" s="12" customFormat="1" x14ac:dyDescent="0.25">
      <c r="B59" s="17"/>
      <c r="C59" s="388"/>
      <c r="D59" s="386"/>
      <c r="E59" s="387"/>
      <c r="F59" s="386" t="s">
        <v>17</v>
      </c>
      <c r="G59" s="386"/>
      <c r="H59" s="382" t="s">
        <v>76</v>
      </c>
      <c r="I59" s="15">
        <f t="shared" si="1"/>
        <v>0</v>
      </c>
    </row>
    <row r="60" spans="2:9" x14ac:dyDescent="0.25">
      <c r="B60" s="13" t="s">
        <v>59</v>
      </c>
      <c r="C60" s="377" t="s">
        <v>583</v>
      </c>
      <c r="D60" s="378" t="s">
        <v>77</v>
      </c>
      <c r="E60" s="379">
        <v>1.8675999999999999</v>
      </c>
      <c r="F60" s="383">
        <v>1.8675999999999999</v>
      </c>
      <c r="G60" s="380"/>
      <c r="H60" s="163"/>
      <c r="I60" s="18"/>
    </row>
    <row r="61" spans="2:9" x14ac:dyDescent="0.25">
      <c r="B61" s="13" t="s">
        <v>59</v>
      </c>
      <c r="C61" s="377" t="s">
        <v>584</v>
      </c>
      <c r="D61" s="378" t="s">
        <v>77</v>
      </c>
      <c r="E61" s="379">
        <v>0.99296000000000006</v>
      </c>
      <c r="F61" s="383">
        <v>0.99296000000000006</v>
      </c>
      <c r="G61" s="380"/>
      <c r="H61" s="163"/>
      <c r="I61" s="18"/>
    </row>
    <row r="62" spans="2:9" s="12" customFormat="1" x14ac:dyDescent="0.25">
      <c r="B62" s="17"/>
      <c r="C62" s="388"/>
      <c r="D62" s="386"/>
      <c r="E62" s="387"/>
      <c r="F62" s="386"/>
      <c r="G62" s="386"/>
      <c r="H62" s="163"/>
      <c r="I62" s="18"/>
    </row>
    <row r="63" spans="2:9" x14ac:dyDescent="0.25">
      <c r="B63" s="13" t="s">
        <v>60</v>
      </c>
      <c r="C63" s="377" t="s">
        <v>585</v>
      </c>
      <c r="D63" s="378" t="s">
        <v>78</v>
      </c>
      <c r="E63" s="379">
        <v>3.2031999999999998</v>
      </c>
      <c r="F63" s="380"/>
      <c r="G63" s="381">
        <v>3.2031999999999998</v>
      </c>
      <c r="H63" s="163"/>
      <c r="I63" s="18"/>
    </row>
    <row r="64" spans="2:9" x14ac:dyDescent="0.25">
      <c r="B64" s="13" t="s">
        <v>61</v>
      </c>
      <c r="C64" s="377" t="s">
        <v>586</v>
      </c>
      <c r="D64" s="378" t="s">
        <v>78</v>
      </c>
      <c r="E64" s="379">
        <v>6.77</v>
      </c>
      <c r="F64" s="380"/>
      <c r="G64" s="381">
        <v>6.77</v>
      </c>
      <c r="H64" s="163"/>
      <c r="I64" s="18"/>
    </row>
    <row r="65" spans="2:9" x14ac:dyDescent="0.25">
      <c r="B65" s="13" t="s">
        <v>62</v>
      </c>
      <c r="C65" s="377" t="s">
        <v>587</v>
      </c>
      <c r="D65" s="378" t="s">
        <v>78</v>
      </c>
      <c r="E65" s="379">
        <v>6.7970200000000007</v>
      </c>
      <c r="F65" s="383">
        <v>6.7970200000000007</v>
      </c>
      <c r="G65" s="380"/>
      <c r="H65" s="163"/>
      <c r="I65" s="18"/>
    </row>
    <row r="66" spans="2:9" s="12" customFormat="1" x14ac:dyDescent="0.25">
      <c r="B66" s="17"/>
      <c r="C66" s="388"/>
      <c r="D66" s="386"/>
      <c r="E66" s="387"/>
      <c r="F66" s="386" t="s">
        <v>17</v>
      </c>
      <c r="G66" s="386"/>
      <c r="H66" s="163"/>
      <c r="I66" s="18"/>
    </row>
    <row r="67" spans="2:9" x14ac:dyDescent="0.25">
      <c r="B67" s="13" t="s">
        <v>63</v>
      </c>
      <c r="C67" s="377" t="s">
        <v>588</v>
      </c>
      <c r="D67" s="378" t="s">
        <v>79</v>
      </c>
      <c r="E67" s="379">
        <v>3.052</v>
      </c>
      <c r="F67" s="383">
        <v>3.052</v>
      </c>
      <c r="G67" s="380"/>
      <c r="H67" s="163"/>
      <c r="I67" s="18"/>
    </row>
    <row r="68" spans="2:9" x14ac:dyDescent="0.25">
      <c r="B68" s="13" t="s">
        <v>63</v>
      </c>
      <c r="C68" s="377" t="s">
        <v>589</v>
      </c>
      <c r="D68" s="378" t="s">
        <v>79</v>
      </c>
      <c r="E68" s="379">
        <v>1.526</v>
      </c>
      <c r="F68" s="383">
        <v>1.526</v>
      </c>
      <c r="G68" s="380"/>
      <c r="H68" s="163"/>
      <c r="I68" s="18"/>
    </row>
    <row r="69" spans="2:9" x14ac:dyDescent="0.25">
      <c r="B69" s="13" t="s">
        <v>63</v>
      </c>
      <c r="C69" s="377" t="s">
        <v>590</v>
      </c>
      <c r="D69" s="378" t="s">
        <v>79</v>
      </c>
      <c r="E69" s="379">
        <v>1.6759999999999999</v>
      </c>
      <c r="F69" s="383">
        <v>1.6759999999999999</v>
      </c>
      <c r="G69" s="380"/>
      <c r="H69" s="163"/>
      <c r="I69" s="18"/>
    </row>
    <row r="70" spans="2:9" x14ac:dyDescent="0.25">
      <c r="B70" s="13" t="s">
        <v>64</v>
      </c>
      <c r="C70" s="377" t="s">
        <v>591</v>
      </c>
      <c r="D70" s="378" t="s">
        <v>79</v>
      </c>
      <c r="E70" s="379">
        <v>1.232</v>
      </c>
      <c r="F70" s="383">
        <v>1.232</v>
      </c>
      <c r="G70" s="380"/>
      <c r="H70" s="163"/>
      <c r="I70" s="18"/>
    </row>
    <row r="71" spans="2:9" x14ac:dyDescent="0.25">
      <c r="B71" s="13" t="s">
        <v>65</v>
      </c>
      <c r="C71" s="377" t="s">
        <v>592</v>
      </c>
      <c r="D71" s="378" t="s">
        <v>79</v>
      </c>
      <c r="E71" s="379">
        <v>6.1020000000000003</v>
      </c>
      <c r="F71" s="383">
        <v>6.1020000000000003</v>
      </c>
      <c r="G71" s="380"/>
      <c r="H71" s="163"/>
      <c r="I71" s="18"/>
    </row>
    <row r="72" spans="2:9" x14ac:dyDescent="0.25">
      <c r="B72" s="13" t="s">
        <v>66</v>
      </c>
      <c r="C72" s="377" t="s">
        <v>593</v>
      </c>
      <c r="D72" s="378" t="s">
        <v>79</v>
      </c>
      <c r="E72" s="379">
        <v>1.3040999999999998</v>
      </c>
      <c r="F72" s="380"/>
      <c r="G72" s="381">
        <v>1.3040999999999998</v>
      </c>
      <c r="H72" s="163"/>
      <c r="I72" s="18"/>
    </row>
    <row r="73" spans="2:9" x14ac:dyDescent="0.25">
      <c r="B73" s="13" t="s">
        <v>66</v>
      </c>
      <c r="C73" s="377" t="s">
        <v>594</v>
      </c>
      <c r="D73" s="378" t="s">
        <v>79</v>
      </c>
      <c r="E73" s="379">
        <v>3.9119999999999999</v>
      </c>
      <c r="F73" s="380"/>
      <c r="G73" s="381">
        <v>3.9119999999999999</v>
      </c>
      <c r="H73" s="163"/>
      <c r="I73" s="18"/>
    </row>
    <row r="74" spans="2:9" x14ac:dyDescent="0.25">
      <c r="B74" s="13" t="s">
        <v>67</v>
      </c>
      <c r="C74" s="377" t="s">
        <v>595</v>
      </c>
      <c r="D74" s="378" t="s">
        <v>79</v>
      </c>
      <c r="E74" s="379">
        <v>2.4407999999999999</v>
      </c>
      <c r="F74" s="383">
        <v>2.4407999999999999</v>
      </c>
      <c r="G74" s="380"/>
      <c r="H74" s="163"/>
      <c r="I74" s="18"/>
    </row>
    <row r="75" spans="2:9" x14ac:dyDescent="0.25">
      <c r="B75" s="13" t="s">
        <v>68</v>
      </c>
      <c r="C75" s="377" t="s">
        <v>596</v>
      </c>
      <c r="D75" s="378" t="s">
        <v>79</v>
      </c>
      <c r="E75" s="379">
        <v>3.4129999999999998</v>
      </c>
      <c r="F75" s="383">
        <v>3.4129999999999998</v>
      </c>
      <c r="G75" s="380"/>
      <c r="H75" s="163"/>
      <c r="I75" s="18"/>
    </row>
    <row r="76" spans="2:9" x14ac:dyDescent="0.25">
      <c r="B76" s="13" t="s">
        <v>68</v>
      </c>
      <c r="C76" s="377" t="s">
        <v>597</v>
      </c>
      <c r="D76" s="378" t="s">
        <v>79</v>
      </c>
      <c r="E76" s="379">
        <v>1.6759999999999999</v>
      </c>
      <c r="F76" s="383">
        <v>1.6759999999999999</v>
      </c>
      <c r="G76" s="380"/>
      <c r="H76" s="163"/>
      <c r="I76" s="18"/>
    </row>
    <row r="77" spans="2:9" x14ac:dyDescent="0.25">
      <c r="B77" s="13" t="s">
        <v>68</v>
      </c>
      <c r="C77" s="377" t="s">
        <v>598</v>
      </c>
      <c r="D77" s="378" t="s">
        <v>79</v>
      </c>
      <c r="E77" s="379">
        <v>1.6910000000000001</v>
      </c>
      <c r="F77" s="383">
        <v>1.6910000000000001</v>
      </c>
      <c r="G77" s="380"/>
      <c r="H77" s="163"/>
      <c r="I77" s="18"/>
    </row>
    <row r="78" spans="2:9" x14ac:dyDescent="0.25">
      <c r="B78" s="13" t="s">
        <v>69</v>
      </c>
      <c r="C78" s="377" t="s">
        <v>599</v>
      </c>
      <c r="D78" s="378" t="s">
        <v>79</v>
      </c>
      <c r="E78" s="379">
        <v>3.3941599999999998</v>
      </c>
      <c r="F78" s="383">
        <v>3.3941599999999998</v>
      </c>
      <c r="G78" s="380"/>
      <c r="H78" s="163"/>
      <c r="I78" s="18"/>
    </row>
    <row r="79" spans="2:9" x14ac:dyDescent="0.25">
      <c r="B79" s="13" t="s">
        <v>71</v>
      </c>
      <c r="C79" s="377" t="s">
        <v>600</v>
      </c>
      <c r="D79" s="378" t="s">
        <v>79</v>
      </c>
      <c r="E79" s="379">
        <v>3.4164899999999996</v>
      </c>
      <c r="F79" s="383">
        <v>3.4164899999999996</v>
      </c>
      <c r="G79" s="380"/>
      <c r="H79" s="163"/>
      <c r="I79" s="18"/>
    </row>
    <row r="80" spans="2:9" x14ac:dyDescent="0.25">
      <c r="B80" s="13" t="s">
        <v>72</v>
      </c>
      <c r="C80" s="377" t="s">
        <v>601</v>
      </c>
      <c r="D80" s="378" t="s">
        <v>79</v>
      </c>
      <c r="E80" s="379">
        <v>1.84545</v>
      </c>
      <c r="F80" s="383">
        <v>1.84545</v>
      </c>
      <c r="G80" s="380"/>
      <c r="H80" s="163"/>
      <c r="I80" s="18"/>
    </row>
    <row r="81" spans="2:9" x14ac:dyDescent="0.25">
      <c r="B81" s="13" t="s">
        <v>69</v>
      </c>
      <c r="C81" s="377" t="s">
        <v>602</v>
      </c>
      <c r="D81" s="378" t="s">
        <v>79</v>
      </c>
      <c r="E81" s="379">
        <v>1.8332999999999999</v>
      </c>
      <c r="F81" s="383">
        <v>1.8332999999999999</v>
      </c>
      <c r="G81" s="380"/>
      <c r="H81" s="163"/>
      <c r="I81" s="18"/>
    </row>
    <row r="82" spans="2:9" x14ac:dyDescent="0.25">
      <c r="B82" s="13" t="s">
        <v>69</v>
      </c>
      <c r="C82" s="377" t="s">
        <v>603</v>
      </c>
      <c r="D82" s="378" t="s">
        <v>79</v>
      </c>
      <c r="E82" s="379">
        <v>2.1755999999999998</v>
      </c>
      <c r="F82" s="383">
        <v>2.1755999999999998</v>
      </c>
      <c r="G82" s="380"/>
      <c r="H82" s="163"/>
      <c r="I82" s="18"/>
    </row>
    <row r="83" spans="2:9" x14ac:dyDescent="0.25">
      <c r="B83" s="13" t="s">
        <v>72</v>
      </c>
      <c r="C83" s="377" t="s">
        <v>604</v>
      </c>
      <c r="D83" s="378" t="s">
        <v>79</v>
      </c>
      <c r="E83" s="379">
        <v>3.3561000000000001</v>
      </c>
      <c r="F83" s="383">
        <v>3.3561000000000001</v>
      </c>
      <c r="G83" s="380"/>
      <c r="H83" s="163"/>
      <c r="I83" s="18"/>
    </row>
    <row r="84" spans="2:9" x14ac:dyDescent="0.25">
      <c r="B84" s="13" t="s">
        <v>69</v>
      </c>
      <c r="C84" s="377" t="s">
        <v>605</v>
      </c>
      <c r="D84" s="378" t="s">
        <v>79</v>
      </c>
      <c r="E84" s="379">
        <v>2.4408000000000003</v>
      </c>
      <c r="F84" s="383">
        <v>2.4408000000000003</v>
      </c>
      <c r="G84" s="380"/>
      <c r="H84" s="163"/>
      <c r="I84" s="18"/>
    </row>
    <row r="85" spans="2:9" x14ac:dyDescent="0.25">
      <c r="B85" s="13" t="s">
        <v>73</v>
      </c>
      <c r="C85" s="377" t="s">
        <v>606</v>
      </c>
      <c r="D85" s="378" t="s">
        <v>79</v>
      </c>
      <c r="E85" s="379">
        <v>3.7235999999999998</v>
      </c>
      <c r="F85" s="383">
        <v>3.7235999999999998</v>
      </c>
      <c r="G85" s="380"/>
      <c r="H85" s="163"/>
      <c r="I85" s="18"/>
    </row>
    <row r="86" spans="2:9" x14ac:dyDescent="0.25">
      <c r="B86" s="13" t="s">
        <v>73</v>
      </c>
      <c r="C86" s="377" t="s">
        <v>607</v>
      </c>
      <c r="D86" s="378" t="s">
        <v>79</v>
      </c>
      <c r="E86" s="379">
        <v>0.62060000000000004</v>
      </c>
      <c r="F86" s="383">
        <v>0.62060000000000004</v>
      </c>
      <c r="G86" s="380"/>
      <c r="H86" s="163"/>
      <c r="I86" s="18"/>
    </row>
    <row r="87" spans="2:9" x14ac:dyDescent="0.25">
      <c r="B87" s="13" t="s">
        <v>74</v>
      </c>
      <c r="C87" s="377" t="s">
        <v>608</v>
      </c>
      <c r="D87" s="378" t="s">
        <v>79</v>
      </c>
      <c r="E87" s="379">
        <v>1.4011199999999999</v>
      </c>
      <c r="F87" s="383">
        <v>1.4011199999999999</v>
      </c>
      <c r="G87" s="380"/>
      <c r="H87" s="163"/>
      <c r="I87" s="18"/>
    </row>
    <row r="88" spans="2:9" x14ac:dyDescent="0.25">
      <c r="B88" s="13" t="s">
        <v>74</v>
      </c>
      <c r="C88" s="377" t="s">
        <v>609</v>
      </c>
      <c r="D88" s="378" t="s">
        <v>79</v>
      </c>
      <c r="E88" s="379">
        <v>3.3501599999999998</v>
      </c>
      <c r="F88" s="380"/>
      <c r="G88" s="381">
        <v>3.3501599999999998</v>
      </c>
      <c r="H88" s="163"/>
      <c r="I88" s="18"/>
    </row>
    <row r="89" spans="2:9" x14ac:dyDescent="0.25">
      <c r="B89" s="13" t="s">
        <v>75</v>
      </c>
      <c r="C89" s="377" t="s">
        <v>610</v>
      </c>
      <c r="D89" s="378" t="s">
        <v>79</v>
      </c>
      <c r="E89" s="379">
        <v>3.0357600000000002</v>
      </c>
      <c r="F89" s="380"/>
      <c r="G89" s="381">
        <v>3.0357600000000002</v>
      </c>
      <c r="H89" s="163"/>
      <c r="I89" s="18"/>
    </row>
    <row r="90" spans="2:9" ht="15.75" thickBot="1" x14ac:dyDescent="0.3">
      <c r="B90" s="19" t="s">
        <v>76</v>
      </c>
      <c r="C90" s="20" t="s">
        <v>611</v>
      </c>
      <c r="D90" s="21" t="s">
        <v>79</v>
      </c>
      <c r="E90" s="22">
        <v>1.6735599999999999</v>
      </c>
      <c r="F90" s="23"/>
      <c r="G90" s="24">
        <v>1.6735599999999999</v>
      </c>
      <c r="H90" s="25"/>
      <c r="I90" s="26"/>
    </row>
    <row r="91" spans="2:9" x14ac:dyDescent="0.25"/>
    <row r="92" spans="2:9" x14ac:dyDescent="0.25"/>
    <row r="93" spans="2:9" x14ac:dyDescent="0.25"/>
    <row r="94" spans="2:9" ht="15" customHeight="1" x14ac:dyDescent="0.25">
      <c r="C94" s="27" t="s">
        <v>80</v>
      </c>
      <c r="D94" s="28" t="s">
        <v>81</v>
      </c>
      <c r="E94" s="27" t="s">
        <v>82</v>
      </c>
    </row>
    <row r="95" spans="2:9" ht="15" customHeight="1" x14ac:dyDescent="0.25">
      <c r="B95" s="509" t="s">
        <v>83</v>
      </c>
      <c r="C95" s="29">
        <f>E2</f>
        <v>269.20166000000012</v>
      </c>
      <c r="D95" s="30">
        <f>F2</f>
        <v>161.19444000000001</v>
      </c>
      <c r="E95" s="31">
        <f>G2</f>
        <v>108.00721999999998</v>
      </c>
    </row>
    <row r="96" spans="2:9" ht="15" customHeight="1" x14ac:dyDescent="0.25">
      <c r="B96" s="510"/>
      <c r="C96" s="32">
        <f>C95/C95</f>
        <v>1</v>
      </c>
      <c r="D96" s="33">
        <f>D95/C95</f>
        <v>0.59878694655894749</v>
      </c>
      <c r="E96" s="34">
        <f>E95/C95</f>
        <v>0.40121305344105207</v>
      </c>
    </row>
    <row r="97" spans="2:5" ht="15" customHeight="1" x14ac:dyDescent="0.25">
      <c r="B97" s="511" t="s">
        <v>84</v>
      </c>
      <c r="C97" s="35">
        <f>E3</f>
        <v>77</v>
      </c>
      <c r="D97" s="36">
        <f>F3</f>
        <v>48</v>
      </c>
      <c r="E97" s="31">
        <f>G3</f>
        <v>29</v>
      </c>
    </row>
    <row r="98" spans="2:5" ht="15.75" customHeight="1" x14ac:dyDescent="0.25">
      <c r="B98" s="511"/>
      <c r="C98" s="32">
        <f>C97/C97</f>
        <v>1</v>
      </c>
      <c r="D98" s="33">
        <f>D97/C97</f>
        <v>0.62337662337662336</v>
      </c>
      <c r="E98" s="34">
        <f>E97/C97</f>
        <v>0.37662337662337664</v>
      </c>
    </row>
    <row r="99" spans="2:5" ht="15.75" customHeight="1" x14ac:dyDescent="0.25">
      <c r="B99" s="511" t="s">
        <v>6</v>
      </c>
      <c r="C99" s="35">
        <f>B2</f>
        <v>55</v>
      </c>
      <c r="D99" s="36">
        <f>COUNTIFS(I4:I59,"&gt;0")</f>
        <v>31</v>
      </c>
      <c r="E99" s="37">
        <f>C99-D99</f>
        <v>24</v>
      </c>
    </row>
    <row r="100" spans="2:5" ht="15.75" customHeight="1" x14ac:dyDescent="0.25">
      <c r="B100" s="511"/>
      <c r="C100" s="32">
        <f>C99/C99</f>
        <v>1</v>
      </c>
      <c r="D100" s="33">
        <f>D99/C99</f>
        <v>0.5636363636363636</v>
      </c>
      <c r="E100" s="34">
        <f>E99/C99</f>
        <v>0.43636363636363634</v>
      </c>
    </row>
    <row r="101" spans="2:5" ht="15.75" customHeight="1" x14ac:dyDescent="0.25">
      <c r="B101" s="501" t="s">
        <v>85</v>
      </c>
      <c r="C101" s="35">
        <f>D2</f>
        <v>11</v>
      </c>
      <c r="D101" s="36">
        <f>8</f>
        <v>8</v>
      </c>
      <c r="E101" s="37">
        <f>C101-D101</f>
        <v>3</v>
      </c>
    </row>
    <row r="102" spans="2:5" ht="30" customHeight="1" x14ac:dyDescent="0.25">
      <c r="B102" s="502"/>
      <c r="C102" s="38" t="s">
        <v>86</v>
      </c>
      <c r="D102" s="39" t="s">
        <v>87</v>
      </c>
      <c r="E102" s="40" t="s">
        <v>88</v>
      </c>
    </row>
    <row r="103" spans="2:5" ht="21" customHeight="1" x14ac:dyDescent="0.25">
      <c r="B103" s="41" t="s">
        <v>89</v>
      </c>
      <c r="C103" s="35">
        <v>23</v>
      </c>
      <c r="D103" s="36">
        <f>Helexia!T68</f>
        <v>10</v>
      </c>
      <c r="E103" s="37">
        <f>C103-D103</f>
        <v>13</v>
      </c>
    </row>
    <row r="104" spans="2:5" ht="15.75" customHeight="1" x14ac:dyDescent="0.25">
      <c r="B104" s="42" t="s">
        <v>90</v>
      </c>
      <c r="C104" s="43">
        <f>C95/C103</f>
        <v>11.704420000000004</v>
      </c>
      <c r="D104" s="44">
        <f>D95/D103</f>
        <v>16.119444000000001</v>
      </c>
      <c r="E104" s="45" t="s">
        <v>91</v>
      </c>
    </row>
    <row r="105" spans="2:5" ht="21" customHeight="1" x14ac:dyDescent="0.25">
      <c r="B105" s="41" t="s">
        <v>92</v>
      </c>
      <c r="C105" s="35">
        <v>23</v>
      </c>
      <c r="D105" s="36">
        <f>Helexia!T69</f>
        <v>15</v>
      </c>
      <c r="E105" s="37">
        <f>C105-D105</f>
        <v>8</v>
      </c>
    </row>
    <row r="106" spans="2:5" ht="15" customHeight="1" x14ac:dyDescent="0.25">
      <c r="B106" s="42" t="s">
        <v>93</v>
      </c>
      <c r="C106" s="43">
        <f>C95/C105</f>
        <v>11.704420000000004</v>
      </c>
      <c r="D106" s="44">
        <f t="shared" ref="D106" si="2">D95/D105</f>
        <v>10.746296000000001</v>
      </c>
      <c r="E106" s="45" t="s">
        <v>91</v>
      </c>
    </row>
    <row r="107" spans="2:5" ht="15.75" customHeight="1" x14ac:dyDescent="0.25">
      <c r="B107" s="46"/>
      <c r="C107" s="46"/>
      <c r="D107" s="46"/>
    </row>
    <row r="108" spans="2:5" ht="15.75" customHeight="1" x14ac:dyDescent="0.25">
      <c r="B108" s="47"/>
      <c r="C108" s="47"/>
    </row>
  </sheetData>
  <mergeCells count="7">
    <mergeCell ref="B101:B102"/>
    <mergeCell ref="H1:I1"/>
    <mergeCell ref="H2:I2"/>
    <mergeCell ref="H3:I3"/>
    <mergeCell ref="B95:B96"/>
    <mergeCell ref="B97:B98"/>
    <mergeCell ref="B99:B100"/>
  </mergeCells>
  <phoneticPr fontId="89" type="noConversion"/>
  <conditionalFormatting sqref="F29:F79 F81 F83:F90 F4 F6 F8:F27">
    <cfRule type="containsBlanks" dxfId="83" priority="1">
      <formula>LEN(TRIM(F4))=0</formula>
    </cfRule>
  </conditionalFormatting>
  <pageMargins left="0.511811024" right="0.511811024" top="0.78740157499999996" bottom="0.78740157499999996" header="0.31496062000000002" footer="0.31496062000000002"/>
  <pageSetup paperSize="9" scale="45" orientation="portrait" r:id="rId1"/>
  <ignoredErrors>
    <ignoredError sqref="F2:F3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4CC7A-B61D-4F7C-9FBB-EA169BC25BF9}">
  <sheetPr codeName="Planilha13"/>
  <dimension ref="A1:BC82"/>
  <sheetViews>
    <sheetView topLeftCell="A2" workbookViewId="0">
      <pane ySplit="1" topLeftCell="A3" activePane="bottomLeft" state="frozen"/>
      <selection activeCell="A2" sqref="A2"/>
      <selection pane="bottomLeft" activeCell="B71" sqref="B71"/>
    </sheetView>
  </sheetViews>
  <sheetFormatPr defaultRowHeight="15" x14ac:dyDescent="0.25"/>
  <cols>
    <col min="1" max="1" width="12.42578125" style="243" bestFit="1" customWidth="1"/>
    <col min="2" max="2" width="39.5703125" style="219" bestFit="1" customWidth="1"/>
    <col min="3" max="3" width="12" style="200" bestFit="1" customWidth="1"/>
    <col min="4" max="4" width="12.5703125" style="222" customWidth="1"/>
    <col min="5" max="5" width="26.42578125" style="219" hidden="1" customWidth="1"/>
    <col min="6" max="6" width="11.5703125" style="219" hidden="1" customWidth="1"/>
    <col min="7" max="7" width="12.5703125" style="219" hidden="1" customWidth="1"/>
    <col min="8" max="8" width="29" style="200" hidden="1" customWidth="1"/>
    <col min="9" max="9" width="11.5703125" style="200" hidden="1" customWidth="1"/>
    <col min="10" max="10" width="13.28515625" style="235" hidden="1" customWidth="1"/>
    <col min="11" max="11" width="11.5703125" style="236" hidden="1" customWidth="1"/>
    <col min="12" max="12" width="14.42578125" style="239" customWidth="1"/>
    <col min="13" max="13" width="12.42578125" style="200" customWidth="1"/>
    <col min="14" max="14" width="10.7109375" style="200" customWidth="1"/>
    <col min="15" max="15" width="17.42578125" style="200" customWidth="1"/>
    <col min="16" max="16" width="14.85546875" style="200" customWidth="1"/>
    <col min="17" max="17" width="22.28515625" style="200" customWidth="1"/>
    <col min="18" max="18" width="14.140625" style="200" customWidth="1"/>
    <col min="19" max="19" width="13.5703125" style="200" customWidth="1"/>
    <col min="20" max="20" width="18.42578125" style="200" bestFit="1" customWidth="1"/>
    <col min="21" max="21" width="12.7109375" style="200" bestFit="1" customWidth="1"/>
    <col min="22" max="22" width="11.42578125" style="200" bestFit="1" customWidth="1"/>
    <col min="23" max="25" width="9.5703125" style="200" customWidth="1"/>
    <col min="26" max="26" width="13.28515625" style="200" bestFit="1" customWidth="1"/>
    <col min="27" max="28" width="9.5703125" style="200" customWidth="1"/>
    <col min="29" max="29" width="10.85546875" style="200" bestFit="1" customWidth="1"/>
    <col min="30" max="30" width="9.85546875" style="200" bestFit="1" customWidth="1"/>
    <col min="31" max="31" width="14.5703125" style="200" bestFit="1" customWidth="1"/>
    <col min="32" max="32" width="15.140625" style="200" customWidth="1"/>
    <col min="33" max="33" width="18.28515625" style="200" bestFit="1" customWidth="1"/>
    <col min="34" max="34" width="12.140625" style="200" bestFit="1" customWidth="1"/>
    <col min="35" max="35" width="7.140625" style="200" bestFit="1" customWidth="1"/>
    <col min="36" max="36" width="8.42578125" style="200" bestFit="1" customWidth="1"/>
    <col min="37" max="37" width="6.28515625" style="200" bestFit="1" customWidth="1"/>
    <col min="38" max="38" width="8.42578125" style="200" bestFit="1" customWidth="1"/>
    <col min="39" max="39" width="7.140625" style="200" bestFit="1" customWidth="1"/>
    <col min="40" max="40" width="7.42578125" style="200" bestFit="1" customWidth="1"/>
    <col min="41" max="41" width="6.28515625" style="200" bestFit="1" customWidth="1"/>
    <col min="42" max="42" width="8.42578125" style="200" bestFit="1" customWidth="1"/>
    <col min="43" max="43" width="8.28515625" style="200" bestFit="1" customWidth="1"/>
    <col min="44" max="44" width="8.42578125" style="200" bestFit="1" customWidth="1"/>
    <col min="45" max="45" width="7.28515625" style="200" bestFit="1" customWidth="1"/>
    <col min="46" max="46" width="9.42578125" style="200" bestFit="1" customWidth="1"/>
    <col min="47" max="47" width="8.28515625" style="200" bestFit="1" customWidth="1"/>
    <col min="48" max="48" width="9.42578125" style="200" bestFit="1" customWidth="1"/>
    <col min="49" max="49" width="7.28515625" style="200" bestFit="1" customWidth="1"/>
    <col min="50" max="50" width="9.42578125" style="200" bestFit="1" customWidth="1"/>
    <col min="51" max="51" width="16.7109375" style="200" bestFit="1" customWidth="1"/>
    <col min="52" max="52" width="14.7109375" style="200" bestFit="1" customWidth="1"/>
    <col min="53" max="53" width="14.7109375" style="200" customWidth="1"/>
    <col min="54" max="54" width="9.140625" style="200"/>
    <col min="55" max="55" width="8.7109375" customWidth="1"/>
  </cols>
  <sheetData>
    <row r="1" spans="1:55" ht="15" hidden="1" customHeight="1" x14ac:dyDescent="0.25">
      <c r="A1" s="240"/>
      <c r="B1" s="195"/>
      <c r="C1" s="196"/>
      <c r="D1" s="245"/>
      <c r="E1" s="195"/>
      <c r="F1" s="195"/>
      <c r="G1" s="195"/>
      <c r="H1" s="196"/>
      <c r="I1" s="196"/>
      <c r="J1" s="197"/>
      <c r="K1" s="198"/>
      <c r="L1" s="237"/>
      <c r="M1" s="196"/>
      <c r="N1" s="196"/>
      <c r="O1" s="196"/>
      <c r="P1" s="196"/>
      <c r="Q1" s="196"/>
      <c r="R1" s="196"/>
      <c r="S1" s="196"/>
      <c r="T1" s="196"/>
      <c r="U1" s="196"/>
      <c r="V1" s="196"/>
      <c r="W1" s="196"/>
      <c r="X1" s="196"/>
      <c r="Y1" s="196"/>
      <c r="Z1" s="196"/>
      <c r="AA1" s="196"/>
      <c r="AB1" s="196"/>
      <c r="AC1" s="196"/>
      <c r="AD1" s="196"/>
      <c r="AE1" s="196"/>
      <c r="AF1" s="196"/>
      <c r="AG1" s="196"/>
      <c r="AH1" s="196"/>
      <c r="AI1" s="196"/>
      <c r="AJ1" s="196"/>
      <c r="AK1" s="196"/>
      <c r="AL1" s="196"/>
      <c r="AM1" s="196"/>
      <c r="AN1" s="196"/>
      <c r="AO1" s="196"/>
      <c r="AP1" s="196"/>
      <c r="AQ1" s="196"/>
      <c r="AR1" s="196"/>
      <c r="AS1" s="196"/>
      <c r="AT1" s="196"/>
      <c r="AU1" s="196"/>
      <c r="AV1" s="196"/>
      <c r="AW1" s="196"/>
      <c r="AX1" s="196"/>
      <c r="AY1" s="196"/>
      <c r="AZ1" s="196"/>
      <c r="BA1" s="196"/>
      <c r="BB1" s="199"/>
    </row>
    <row r="2" spans="1:55" ht="33.75" customHeight="1" x14ac:dyDescent="0.25">
      <c r="A2" s="250" t="s">
        <v>262</v>
      </c>
      <c r="B2" s="201" t="s">
        <v>364</v>
      </c>
      <c r="C2" s="202" t="s">
        <v>357</v>
      </c>
      <c r="D2" s="246" t="s">
        <v>261</v>
      </c>
      <c r="E2" s="203"/>
      <c r="F2" s="195"/>
      <c r="G2" s="204"/>
      <c r="H2" s="205"/>
      <c r="I2" s="205"/>
      <c r="J2" s="206"/>
      <c r="K2" s="207" t="s">
        <v>237</v>
      </c>
      <c r="L2" s="238" t="s">
        <v>238</v>
      </c>
      <c r="M2" s="208" t="s">
        <v>239</v>
      </c>
      <c r="N2" s="209" t="s">
        <v>240</v>
      </c>
      <c r="O2" s="209" t="s">
        <v>241</v>
      </c>
      <c r="P2" s="209" t="s">
        <v>242</v>
      </c>
      <c r="Q2" s="209" t="s">
        <v>243</v>
      </c>
      <c r="R2" s="210" t="s">
        <v>244</v>
      </c>
      <c r="S2" s="210" t="s">
        <v>245</v>
      </c>
      <c r="T2" s="211" t="s">
        <v>246</v>
      </c>
      <c r="U2" s="211" t="s">
        <v>356</v>
      </c>
      <c r="V2" s="208" t="s">
        <v>247</v>
      </c>
      <c r="W2" s="212" t="s">
        <v>248</v>
      </c>
      <c r="X2" s="212" t="s">
        <v>249</v>
      </c>
      <c r="Y2" s="212" t="s">
        <v>250</v>
      </c>
      <c r="Z2" s="212" t="s">
        <v>251</v>
      </c>
      <c r="AA2" s="209" t="s">
        <v>252</v>
      </c>
      <c r="AB2" s="209" t="s">
        <v>253</v>
      </c>
      <c r="AC2" s="212" t="s">
        <v>254</v>
      </c>
      <c r="AD2" s="212" t="s">
        <v>255</v>
      </c>
      <c r="AE2" s="212" t="s">
        <v>256</v>
      </c>
      <c r="AF2" s="213" t="s">
        <v>257</v>
      </c>
      <c r="AG2" s="214" t="s">
        <v>258</v>
      </c>
      <c r="AH2" s="214" t="s">
        <v>259</v>
      </c>
      <c r="AI2" s="514" t="s">
        <v>358</v>
      </c>
      <c r="AJ2" s="514"/>
      <c r="AK2" s="514"/>
      <c r="AL2" s="514"/>
      <c r="AM2" s="513" t="s">
        <v>359</v>
      </c>
      <c r="AN2" s="513"/>
      <c r="AO2" s="513"/>
      <c r="AP2" s="513"/>
      <c r="AQ2" s="515" t="s">
        <v>260</v>
      </c>
      <c r="AR2" s="515"/>
      <c r="AS2" s="515"/>
      <c r="AT2" s="515"/>
      <c r="AU2" s="512" t="s">
        <v>360</v>
      </c>
      <c r="AV2" s="512"/>
      <c r="AW2" s="513" t="s">
        <v>361</v>
      </c>
      <c r="AX2" s="513"/>
      <c r="AY2" s="194" t="s">
        <v>362</v>
      </c>
      <c r="AZ2" s="194" t="s">
        <v>363</v>
      </c>
      <c r="BA2" s="390" t="s">
        <v>612</v>
      </c>
      <c r="BB2" s="215"/>
    </row>
    <row r="3" spans="1:55" x14ac:dyDescent="0.25">
      <c r="A3" s="241">
        <f>IF(D3=0,"",IF(C3="CLT",AZ3,BA3))</f>
        <v>9572.7075514200187</v>
      </c>
      <c r="B3" s="216" t="str">
        <f>IF(Helexia!C3=0,"",Helexia!C3)</f>
        <v>Leandro Farias</v>
      </c>
      <c r="C3" s="217" t="str">
        <f>IF(Helexia!G3=0,"",Helexia!G3)</f>
        <v>CLT</v>
      </c>
      <c r="D3" s="222">
        <v>2080</v>
      </c>
      <c r="E3" s="218"/>
      <c r="G3" s="220"/>
      <c r="H3" s="221"/>
      <c r="I3" s="222"/>
      <c r="J3" s="223"/>
      <c r="K3" s="224">
        <f>D3</f>
        <v>2080</v>
      </c>
      <c r="L3" s="239">
        <f t="shared" ref="L3:L33" si="0">K3 * 0.3</f>
        <v>624</v>
      </c>
      <c r="M3" s="225">
        <f t="shared" ref="M3:M33" si="1">K3+L3</f>
        <v>2704</v>
      </c>
      <c r="N3" s="225">
        <f t="shared" ref="N3:N33" si="2">M3 * 35.3%</f>
        <v>954.51199999999994</v>
      </c>
      <c r="O3" s="225">
        <f t="shared" ref="O3:O33" si="3">M3 * 11.11%</f>
        <v>300.4144</v>
      </c>
      <c r="P3" s="222">
        <f t="shared" ref="P3:P33" si="4">M3 * 8.33%</f>
        <v>225.2432</v>
      </c>
      <c r="Q3" s="225">
        <f t="shared" ref="Q3:Q33" si="5">(O3+P3) * 35.3%</f>
        <v>185.55713279999998</v>
      </c>
      <c r="R3" s="225">
        <f t="shared" ref="R3:R33" si="6">M3/12</f>
        <v>225.33333333333334</v>
      </c>
      <c r="S3" s="225">
        <f t="shared" ref="S3:S33" si="7">((M3+O3+P3)*8%)*50%</f>
        <v>129.18630400000001</v>
      </c>
      <c r="T3" s="222">
        <v>700</v>
      </c>
      <c r="U3" s="222">
        <v>0</v>
      </c>
      <c r="V3" s="225">
        <f>SUM(N3:U3)</f>
        <v>2720.2463701333331</v>
      </c>
      <c r="W3" s="222">
        <f t="shared" ref="W3:W33" si="8">500/24</f>
        <v>20.833333333333332</v>
      </c>
      <c r="X3" s="222">
        <f t="shared" ref="X3:X67" si="9">500/24</f>
        <v>20.833333333333332</v>
      </c>
      <c r="Y3" s="222">
        <f t="shared" ref="Y3:Y33" si="10">450/24</f>
        <v>18.75</v>
      </c>
      <c r="Z3" s="222">
        <f t="shared" ref="Z3:Z33" si="11">((1500*2)/24)/35</f>
        <v>3.5714285714285716</v>
      </c>
      <c r="AA3" s="222">
        <f t="shared" ref="AA3:AA33" si="12">(89.9 + 49.9 + 89.9 + 89.9 + 89.9 + 129.9 + 89.9 + 89.9 + 49.9 + 89.9 + 129.9)/12</f>
        <v>82.408333333333317</v>
      </c>
      <c r="AB3" s="222">
        <f t="shared" ref="AB3:AB33" si="13">(308/12)+(500/12)+(65/12)+(150/12)+(4/12)+(28/12)</f>
        <v>87.916666666666657</v>
      </c>
      <c r="AC3" s="226">
        <f t="shared" ref="AC3:AC33" si="14">1800/12</f>
        <v>150</v>
      </c>
      <c r="AD3" s="222">
        <f t="shared" ref="AD3:AD33" si="15">800/12</f>
        <v>66.666666666666671</v>
      </c>
      <c r="AE3" s="222">
        <f t="shared" ref="AE3:AE33" si="16">180/12</f>
        <v>15</v>
      </c>
      <c r="AF3" s="222">
        <v>400</v>
      </c>
      <c r="AG3" s="225">
        <f t="shared" ref="AG3:AG33" si="17">SUM(W3:AF3)</f>
        <v>865.97976190476197</v>
      </c>
      <c r="AH3" s="225">
        <f t="shared" ref="AH3:AH33" si="18">M3+V3+AG3</f>
        <v>6290.2261320380949</v>
      </c>
      <c r="AI3" s="227">
        <v>0.04</v>
      </c>
      <c r="AJ3" s="228">
        <f t="shared" ref="AJ3:AJ33" si="19">AH3*AI3</f>
        <v>251.60904528152381</v>
      </c>
      <c r="AK3" s="229">
        <v>0.04</v>
      </c>
      <c r="AL3" s="230">
        <f t="shared" ref="AL3:AL34" si="20">AZ3*AK3</f>
        <v>382.90830205680078</v>
      </c>
      <c r="AM3" s="227">
        <v>0.01</v>
      </c>
      <c r="AN3" s="228">
        <f t="shared" ref="AN3:AN34" si="21">AH3*AM3</f>
        <v>62.902261320380951</v>
      </c>
      <c r="AO3" s="229">
        <v>0.01</v>
      </c>
      <c r="AP3" s="230">
        <f t="shared" ref="AP3:AP33" si="22">AZ3*AO3</f>
        <v>95.727075514200195</v>
      </c>
      <c r="AQ3" s="227">
        <v>0.1</v>
      </c>
      <c r="AR3" s="228">
        <f t="shared" ref="AR3:AR34" si="23">AH3*AQ3</f>
        <v>629.02261320380956</v>
      </c>
      <c r="AS3" s="229">
        <v>0.1</v>
      </c>
      <c r="AT3" s="230">
        <f t="shared" ref="AT3:AT33" si="24">AZ3*AS3</f>
        <v>957.27075514200192</v>
      </c>
      <c r="AU3" s="227">
        <v>0.15640000000000001</v>
      </c>
      <c r="AV3" s="228">
        <f t="shared" ref="AV3:AV33" si="25">AY3*AU3</f>
        <v>1418.3843238909433</v>
      </c>
      <c r="AW3" s="229">
        <v>0.19289999999999999</v>
      </c>
      <c r="AX3" s="230">
        <f t="shared" ref="AX3:AX33" si="26">AZ3*AW3</f>
        <v>1846.5752866689215</v>
      </c>
      <c r="AY3" s="231">
        <f t="shared" ref="AY3:AY34" si="27">(AH3)/(1-AI3-AM3-AQ3-AU3)</f>
        <v>9068.9534775635748</v>
      </c>
      <c r="AZ3" s="230">
        <f t="shared" ref="AZ3:AZ34" si="28">($AH3)/(1-AK3-AO3-AS3-AW3)</f>
        <v>9572.7075514200187</v>
      </c>
      <c r="BA3" s="389">
        <f>SUM($D3+$W3+$X3+$Y3+$Z3+$AA3+$AB3+$AC3+$AD3+$AE3)/(1-$AK3-$AO3-$AW3)</f>
        <v>3362.8051273342512</v>
      </c>
      <c r="BB3" s="199"/>
    </row>
    <row r="4" spans="1:55" x14ac:dyDescent="0.25">
      <c r="A4" s="241">
        <f t="shared" ref="A4:A63" si="29">IF(D4=0,"",IF(C4="CLT",AZ4,BA4))</f>
        <v>10333.626741802002</v>
      </c>
      <c r="B4" s="244" t="str">
        <f>IF(Helexia!C4=0,"",Helexia!C4)</f>
        <v>Mônica Teles</v>
      </c>
      <c r="C4" s="217" t="str">
        <f>IF(Helexia!G4=0,"",Helexia!G4)</f>
        <v>CLT</v>
      </c>
      <c r="D4" s="222">
        <v>2080</v>
      </c>
      <c r="E4" s="218"/>
      <c r="G4" s="220"/>
      <c r="H4" s="221"/>
      <c r="I4" s="222"/>
      <c r="J4" s="223"/>
      <c r="K4" s="224">
        <f t="shared" ref="K4:K65" si="30">D4</f>
        <v>2080</v>
      </c>
      <c r="L4" s="239">
        <f t="shared" si="0"/>
        <v>624</v>
      </c>
      <c r="M4" s="225">
        <f t="shared" si="1"/>
        <v>2704</v>
      </c>
      <c r="N4" s="225">
        <f t="shared" si="2"/>
        <v>954.51199999999994</v>
      </c>
      <c r="O4" s="225">
        <f t="shared" si="3"/>
        <v>300.4144</v>
      </c>
      <c r="P4" s="222">
        <f t="shared" si="4"/>
        <v>225.2432</v>
      </c>
      <c r="Q4" s="225">
        <f t="shared" si="5"/>
        <v>185.55713279999998</v>
      </c>
      <c r="R4" s="225">
        <f t="shared" si="6"/>
        <v>225.33333333333334</v>
      </c>
      <c r="S4" s="225">
        <f t="shared" si="7"/>
        <v>129.18630400000001</v>
      </c>
      <c r="T4" s="222">
        <v>700</v>
      </c>
      <c r="U4" s="222">
        <v>500</v>
      </c>
      <c r="V4" s="225">
        <f t="shared" ref="V4:V65" si="31">SUM(N4:U4)</f>
        <v>3220.2463701333331</v>
      </c>
      <c r="W4" s="222">
        <f t="shared" si="8"/>
        <v>20.833333333333332</v>
      </c>
      <c r="X4" s="222">
        <f t="shared" si="9"/>
        <v>20.833333333333332</v>
      </c>
      <c r="Y4" s="222">
        <f t="shared" si="10"/>
        <v>18.75</v>
      </c>
      <c r="Z4" s="222">
        <f t="shared" si="11"/>
        <v>3.5714285714285716</v>
      </c>
      <c r="AA4" s="222">
        <f t="shared" si="12"/>
        <v>82.408333333333317</v>
      </c>
      <c r="AB4" s="222">
        <f t="shared" si="13"/>
        <v>87.916666666666657</v>
      </c>
      <c r="AC4" s="226">
        <f t="shared" si="14"/>
        <v>150</v>
      </c>
      <c r="AD4" s="222">
        <f t="shared" si="15"/>
        <v>66.666666666666671</v>
      </c>
      <c r="AE4" s="222">
        <f t="shared" si="16"/>
        <v>15</v>
      </c>
      <c r="AF4" s="222">
        <v>400</v>
      </c>
      <c r="AG4" s="225">
        <f>SUM(W4:AF4)</f>
        <v>865.97976190476197</v>
      </c>
      <c r="AH4" s="225">
        <f t="shared" si="18"/>
        <v>6790.2261320380949</v>
      </c>
      <c r="AI4" s="227">
        <v>0.04</v>
      </c>
      <c r="AJ4" s="228">
        <f t="shared" si="19"/>
        <v>271.60904528152378</v>
      </c>
      <c r="AK4" s="229">
        <v>0.04</v>
      </c>
      <c r="AL4" s="230">
        <f t="shared" si="20"/>
        <v>413.34506967208006</v>
      </c>
      <c r="AM4" s="227">
        <v>0.01</v>
      </c>
      <c r="AN4" s="228">
        <f t="shared" si="21"/>
        <v>67.902261320380944</v>
      </c>
      <c r="AO4" s="229">
        <v>0.01</v>
      </c>
      <c r="AP4" s="230">
        <f t="shared" si="22"/>
        <v>103.33626741802001</v>
      </c>
      <c r="AQ4" s="227">
        <v>0.1</v>
      </c>
      <c r="AR4" s="228">
        <f t="shared" si="23"/>
        <v>679.02261320380956</v>
      </c>
      <c r="AS4" s="229">
        <v>0.1</v>
      </c>
      <c r="AT4" s="230">
        <f t="shared" si="24"/>
        <v>1033.3626741802002</v>
      </c>
      <c r="AU4" s="227">
        <v>0.15640000000000001</v>
      </c>
      <c r="AV4" s="228">
        <f t="shared" si="25"/>
        <v>1531.1294219301587</v>
      </c>
      <c r="AW4" s="229">
        <v>0.19289999999999999</v>
      </c>
      <c r="AX4" s="230">
        <f t="shared" si="26"/>
        <v>1993.356598493606</v>
      </c>
      <c r="AY4" s="231">
        <f t="shared" si="27"/>
        <v>9789.8300634920633</v>
      </c>
      <c r="AZ4" s="230">
        <f t="shared" si="28"/>
        <v>10333.626741802002</v>
      </c>
      <c r="BA4" s="389">
        <f t="shared" ref="BA4:BA67" si="32">SUM($D4+$W4+$X4+$Y4+$Z4+$AA4+$AB4+$AC4+$AD4+$AE4)/(1-$AK4-$AO4-$AW4)</f>
        <v>3362.8051273342512</v>
      </c>
      <c r="BB4" s="232"/>
      <c r="BC4" s="193"/>
    </row>
    <row r="5" spans="1:55" x14ac:dyDescent="0.25">
      <c r="A5" s="241">
        <f t="shared" si="29"/>
        <v>12490.488575678122</v>
      </c>
      <c r="B5" s="216" t="str">
        <f>IF(Helexia!C5=0,"",Helexia!C5)</f>
        <v>Rogério Bastos</v>
      </c>
      <c r="C5" s="217" t="str">
        <f>IF(Helexia!G5=0,"",Helexia!G5)</f>
        <v>CLT</v>
      </c>
      <c r="D5" s="222">
        <v>2704</v>
      </c>
      <c r="E5" s="218"/>
      <c r="G5" s="220"/>
      <c r="H5" s="221"/>
      <c r="I5" s="222"/>
      <c r="J5" s="233"/>
      <c r="K5" s="224">
        <f t="shared" si="30"/>
        <v>2704</v>
      </c>
      <c r="L5" s="239">
        <f t="shared" si="0"/>
        <v>811.19999999999993</v>
      </c>
      <c r="M5" s="225">
        <f t="shared" si="1"/>
        <v>3515.2</v>
      </c>
      <c r="N5" s="225">
        <f t="shared" si="2"/>
        <v>1240.8655999999999</v>
      </c>
      <c r="O5" s="225">
        <f t="shared" si="3"/>
        <v>390.53871999999996</v>
      </c>
      <c r="P5" s="222">
        <f t="shared" si="4"/>
        <v>292.81615999999997</v>
      </c>
      <c r="Q5" s="225">
        <f t="shared" si="5"/>
        <v>241.22427263999995</v>
      </c>
      <c r="R5" s="225">
        <f t="shared" si="6"/>
        <v>292.93333333333334</v>
      </c>
      <c r="S5" s="225">
        <f t="shared" si="7"/>
        <v>167.94219519999999</v>
      </c>
      <c r="T5" s="222">
        <v>1200</v>
      </c>
      <c r="U5" s="222">
        <v>0</v>
      </c>
      <c r="V5" s="225">
        <f t="shared" si="31"/>
        <v>3826.3202811733331</v>
      </c>
      <c r="W5" s="222">
        <f t="shared" si="8"/>
        <v>20.833333333333332</v>
      </c>
      <c r="X5" s="222">
        <f t="shared" si="9"/>
        <v>20.833333333333332</v>
      </c>
      <c r="Y5" s="222">
        <f t="shared" si="10"/>
        <v>18.75</v>
      </c>
      <c r="Z5" s="222">
        <f t="shared" si="11"/>
        <v>3.5714285714285716</v>
      </c>
      <c r="AA5" s="222">
        <f t="shared" si="12"/>
        <v>82.408333333333317</v>
      </c>
      <c r="AB5" s="222">
        <f t="shared" si="13"/>
        <v>87.916666666666657</v>
      </c>
      <c r="AC5" s="226">
        <f t="shared" si="14"/>
        <v>150</v>
      </c>
      <c r="AD5" s="222">
        <f t="shared" si="15"/>
        <v>66.666666666666671</v>
      </c>
      <c r="AE5" s="222">
        <f t="shared" si="16"/>
        <v>15</v>
      </c>
      <c r="AF5" s="222">
        <v>400</v>
      </c>
      <c r="AG5" s="225">
        <f t="shared" si="17"/>
        <v>865.97976190476197</v>
      </c>
      <c r="AH5" s="225">
        <f t="shared" si="18"/>
        <v>8207.5000430780947</v>
      </c>
      <c r="AI5" s="227">
        <v>0.04</v>
      </c>
      <c r="AJ5" s="228">
        <f t="shared" si="19"/>
        <v>328.30000172312378</v>
      </c>
      <c r="AK5" s="229">
        <v>0.04</v>
      </c>
      <c r="AL5" s="230">
        <f t="shared" si="20"/>
        <v>499.61954302712491</v>
      </c>
      <c r="AM5" s="227">
        <v>0.01</v>
      </c>
      <c r="AN5" s="228">
        <f t="shared" si="21"/>
        <v>82.075000430780946</v>
      </c>
      <c r="AO5" s="229">
        <v>0.01</v>
      </c>
      <c r="AP5" s="230">
        <f t="shared" si="22"/>
        <v>124.90488575678123</v>
      </c>
      <c r="AQ5" s="227">
        <v>0.1</v>
      </c>
      <c r="AR5" s="228">
        <f t="shared" si="23"/>
        <v>820.75000430780949</v>
      </c>
      <c r="AS5" s="229">
        <v>0.1</v>
      </c>
      <c r="AT5" s="230">
        <f t="shared" si="24"/>
        <v>1249.0488575678123</v>
      </c>
      <c r="AU5" s="227">
        <v>0.15640000000000001</v>
      </c>
      <c r="AV5" s="228">
        <f t="shared" si="25"/>
        <v>1850.7107940274138</v>
      </c>
      <c r="AW5" s="229">
        <v>0.19289999999999999</v>
      </c>
      <c r="AX5" s="230">
        <f t="shared" si="26"/>
        <v>2409.4152462483098</v>
      </c>
      <c r="AY5" s="231">
        <f t="shared" si="27"/>
        <v>11833.189220124128</v>
      </c>
      <c r="AZ5" s="230">
        <f t="shared" si="28"/>
        <v>12490.488575678122</v>
      </c>
      <c r="BA5" s="389">
        <f t="shared" si="32"/>
        <v>4187.0027234245963</v>
      </c>
      <c r="BB5" s="232"/>
      <c r="BC5" s="193"/>
    </row>
    <row r="6" spans="1:55" x14ac:dyDescent="0.25">
      <c r="A6" s="241">
        <f t="shared" si="29"/>
        <v>12490.488575678122</v>
      </c>
      <c r="B6" s="244" t="str">
        <f>IF(Helexia!C6=0,"",Helexia!C6)</f>
        <v>Elaine Pimentel</v>
      </c>
      <c r="C6" s="217" t="str">
        <f>IF(Helexia!G6=0,"",Helexia!G6)</f>
        <v>CLT</v>
      </c>
      <c r="D6" s="222">
        <v>2704</v>
      </c>
      <c r="E6" s="218"/>
      <c r="G6" s="220"/>
      <c r="H6" s="221"/>
      <c r="I6" s="222"/>
      <c r="J6" s="223"/>
      <c r="K6" s="224">
        <f t="shared" si="30"/>
        <v>2704</v>
      </c>
      <c r="L6" s="239">
        <f t="shared" si="0"/>
        <v>811.19999999999993</v>
      </c>
      <c r="M6" s="225">
        <f t="shared" si="1"/>
        <v>3515.2</v>
      </c>
      <c r="N6" s="225">
        <f t="shared" si="2"/>
        <v>1240.8655999999999</v>
      </c>
      <c r="O6" s="225">
        <f t="shared" si="3"/>
        <v>390.53871999999996</v>
      </c>
      <c r="P6" s="222">
        <f t="shared" si="4"/>
        <v>292.81615999999997</v>
      </c>
      <c r="Q6" s="225">
        <f t="shared" si="5"/>
        <v>241.22427263999995</v>
      </c>
      <c r="R6" s="225">
        <f t="shared" si="6"/>
        <v>292.93333333333334</v>
      </c>
      <c r="S6" s="225">
        <f t="shared" si="7"/>
        <v>167.94219519999999</v>
      </c>
      <c r="T6" s="222">
        <v>1200</v>
      </c>
      <c r="U6" s="222">
        <v>0</v>
      </c>
      <c r="V6" s="225">
        <f t="shared" si="31"/>
        <v>3826.3202811733331</v>
      </c>
      <c r="W6" s="222">
        <f t="shared" si="8"/>
        <v>20.833333333333332</v>
      </c>
      <c r="X6" s="222">
        <f t="shared" si="9"/>
        <v>20.833333333333332</v>
      </c>
      <c r="Y6" s="222">
        <f t="shared" si="10"/>
        <v>18.75</v>
      </c>
      <c r="Z6" s="222">
        <f t="shared" si="11"/>
        <v>3.5714285714285716</v>
      </c>
      <c r="AA6" s="222">
        <f t="shared" si="12"/>
        <v>82.408333333333317</v>
      </c>
      <c r="AB6" s="222">
        <f t="shared" si="13"/>
        <v>87.916666666666657</v>
      </c>
      <c r="AC6" s="226">
        <f t="shared" si="14"/>
        <v>150</v>
      </c>
      <c r="AD6" s="222">
        <f t="shared" si="15"/>
        <v>66.666666666666671</v>
      </c>
      <c r="AE6" s="222">
        <f t="shared" si="16"/>
        <v>15</v>
      </c>
      <c r="AF6" s="222">
        <v>400</v>
      </c>
      <c r="AG6" s="225">
        <f t="shared" si="17"/>
        <v>865.97976190476197</v>
      </c>
      <c r="AH6" s="225">
        <f t="shared" si="18"/>
        <v>8207.5000430780947</v>
      </c>
      <c r="AI6" s="227">
        <v>0.04</v>
      </c>
      <c r="AJ6" s="228">
        <f t="shared" si="19"/>
        <v>328.30000172312378</v>
      </c>
      <c r="AK6" s="229">
        <v>0.04</v>
      </c>
      <c r="AL6" s="230">
        <f t="shared" si="20"/>
        <v>499.61954302712491</v>
      </c>
      <c r="AM6" s="227">
        <v>0.01</v>
      </c>
      <c r="AN6" s="228">
        <f t="shared" si="21"/>
        <v>82.075000430780946</v>
      </c>
      <c r="AO6" s="229">
        <v>0.01</v>
      </c>
      <c r="AP6" s="230">
        <f t="shared" si="22"/>
        <v>124.90488575678123</v>
      </c>
      <c r="AQ6" s="227">
        <v>0.1</v>
      </c>
      <c r="AR6" s="228">
        <f t="shared" si="23"/>
        <v>820.75000430780949</v>
      </c>
      <c r="AS6" s="229">
        <v>0.1</v>
      </c>
      <c r="AT6" s="230">
        <f t="shared" si="24"/>
        <v>1249.0488575678123</v>
      </c>
      <c r="AU6" s="227">
        <v>0.15640000000000001</v>
      </c>
      <c r="AV6" s="228">
        <f t="shared" si="25"/>
        <v>1850.7107940274138</v>
      </c>
      <c r="AW6" s="229">
        <v>0.19289999999999999</v>
      </c>
      <c r="AX6" s="230">
        <f t="shared" si="26"/>
        <v>2409.4152462483098</v>
      </c>
      <c r="AY6" s="231">
        <f t="shared" si="27"/>
        <v>11833.189220124128</v>
      </c>
      <c r="AZ6" s="230">
        <f t="shared" si="28"/>
        <v>12490.488575678122</v>
      </c>
      <c r="BA6" s="389">
        <f t="shared" si="32"/>
        <v>4187.0027234245963</v>
      </c>
      <c r="BB6" s="232"/>
      <c r="BC6" s="193"/>
    </row>
    <row r="7" spans="1:55" x14ac:dyDescent="0.25">
      <c r="A7" s="241">
        <f t="shared" si="29"/>
        <v>8187.5285026298807</v>
      </c>
      <c r="B7" s="216" t="str">
        <f>IF(Helexia!C7=0,"",Helexia!C7)</f>
        <v>Fábio Cunha</v>
      </c>
      <c r="C7" s="217" t="str">
        <f>IF(Helexia!G7=0,"",Helexia!G7)</f>
        <v>CLT</v>
      </c>
      <c r="D7" s="222">
        <v>1804</v>
      </c>
      <c r="E7" s="218"/>
      <c r="G7" s="220"/>
      <c r="H7" s="221"/>
      <c r="I7" s="222"/>
      <c r="J7" s="223"/>
      <c r="K7" s="224">
        <f t="shared" si="30"/>
        <v>1804</v>
      </c>
      <c r="L7" s="239">
        <f t="shared" si="0"/>
        <v>541.19999999999993</v>
      </c>
      <c r="M7" s="225">
        <f t="shared" si="1"/>
        <v>2345.1999999999998</v>
      </c>
      <c r="N7" s="225">
        <f t="shared" si="2"/>
        <v>827.85559999999987</v>
      </c>
      <c r="O7" s="225">
        <f t="shared" si="3"/>
        <v>260.55171999999993</v>
      </c>
      <c r="P7" s="222">
        <f t="shared" si="4"/>
        <v>195.35515999999998</v>
      </c>
      <c r="Q7" s="225">
        <f t="shared" si="5"/>
        <v>160.93512863999996</v>
      </c>
      <c r="R7" s="225">
        <f t="shared" si="6"/>
        <v>195.43333333333331</v>
      </c>
      <c r="S7" s="225">
        <f t="shared" si="7"/>
        <v>112.0442752</v>
      </c>
      <c r="T7" s="222">
        <v>416.67</v>
      </c>
      <c r="U7" s="222">
        <v>0</v>
      </c>
      <c r="V7" s="225">
        <f t="shared" si="31"/>
        <v>2168.8452171733329</v>
      </c>
      <c r="W7" s="222">
        <f t="shared" si="8"/>
        <v>20.833333333333332</v>
      </c>
      <c r="X7" s="222">
        <f t="shared" si="9"/>
        <v>20.833333333333332</v>
      </c>
      <c r="Y7" s="222">
        <f t="shared" si="10"/>
        <v>18.75</v>
      </c>
      <c r="Z7" s="222">
        <f t="shared" si="11"/>
        <v>3.5714285714285716</v>
      </c>
      <c r="AA7" s="222">
        <f t="shared" si="12"/>
        <v>82.408333333333317</v>
      </c>
      <c r="AB7" s="222">
        <f t="shared" si="13"/>
        <v>87.916666666666657</v>
      </c>
      <c r="AC7" s="226">
        <f t="shared" si="14"/>
        <v>150</v>
      </c>
      <c r="AD7" s="222">
        <f t="shared" si="15"/>
        <v>66.666666666666671</v>
      </c>
      <c r="AE7" s="222">
        <f t="shared" si="16"/>
        <v>15</v>
      </c>
      <c r="AF7" s="222">
        <v>400</v>
      </c>
      <c r="AG7" s="225">
        <f t="shared" si="17"/>
        <v>865.97976190476197</v>
      </c>
      <c r="AH7" s="225">
        <f t="shared" si="18"/>
        <v>5380.0249790780945</v>
      </c>
      <c r="AI7" s="227">
        <v>0.04</v>
      </c>
      <c r="AJ7" s="228">
        <f t="shared" si="19"/>
        <v>215.20099916312378</v>
      </c>
      <c r="AK7" s="229">
        <v>0.04</v>
      </c>
      <c r="AL7" s="230">
        <f t="shared" si="20"/>
        <v>327.50114010519525</v>
      </c>
      <c r="AM7" s="227">
        <v>0.01</v>
      </c>
      <c r="AN7" s="228">
        <f t="shared" si="21"/>
        <v>53.800249790780946</v>
      </c>
      <c r="AO7" s="229">
        <v>0.01</v>
      </c>
      <c r="AP7" s="230">
        <f t="shared" si="22"/>
        <v>81.875285026298812</v>
      </c>
      <c r="AQ7" s="227">
        <v>0.1</v>
      </c>
      <c r="AR7" s="228">
        <f t="shared" si="23"/>
        <v>538.00249790780947</v>
      </c>
      <c r="AS7" s="229">
        <v>0.1</v>
      </c>
      <c r="AT7" s="230">
        <f t="shared" si="24"/>
        <v>818.75285026298809</v>
      </c>
      <c r="AU7" s="227">
        <v>0.15640000000000001</v>
      </c>
      <c r="AV7" s="228">
        <f t="shared" si="25"/>
        <v>1213.1428874391784</v>
      </c>
      <c r="AW7" s="229">
        <v>0.19289999999999999</v>
      </c>
      <c r="AX7" s="230">
        <f t="shared" si="26"/>
        <v>1579.3742481573038</v>
      </c>
      <c r="AY7" s="231">
        <f t="shared" si="27"/>
        <v>7756.668078255615</v>
      </c>
      <c r="AZ7" s="230">
        <f t="shared" si="28"/>
        <v>8187.5285026298807</v>
      </c>
      <c r="BA7" s="389">
        <f t="shared" si="32"/>
        <v>2998.2561906019837</v>
      </c>
    </row>
    <row r="8" spans="1:55" x14ac:dyDescent="0.25">
      <c r="A8" s="241">
        <f t="shared" si="29"/>
        <v>9572.7075514200187</v>
      </c>
      <c r="B8" s="244" t="str">
        <f>IF(Helexia!C8=0,"",Helexia!C8)</f>
        <v>Patrícia Andrade Lopes</v>
      </c>
      <c r="C8" s="217" t="str">
        <f>IF(Helexia!G8=0,"",Helexia!G8)</f>
        <v>CLT</v>
      </c>
      <c r="D8" s="222">
        <v>2080</v>
      </c>
      <c r="E8" s="218"/>
      <c r="G8" s="220"/>
      <c r="H8" s="221"/>
      <c r="I8" s="222"/>
      <c r="J8" s="223"/>
      <c r="K8" s="224">
        <f t="shared" si="30"/>
        <v>2080</v>
      </c>
      <c r="L8" s="239">
        <f t="shared" si="0"/>
        <v>624</v>
      </c>
      <c r="M8" s="225">
        <f t="shared" si="1"/>
        <v>2704</v>
      </c>
      <c r="N8" s="225">
        <f t="shared" si="2"/>
        <v>954.51199999999994</v>
      </c>
      <c r="O8" s="225">
        <f t="shared" si="3"/>
        <v>300.4144</v>
      </c>
      <c r="P8" s="222">
        <f t="shared" si="4"/>
        <v>225.2432</v>
      </c>
      <c r="Q8" s="225">
        <f t="shared" si="5"/>
        <v>185.55713279999998</v>
      </c>
      <c r="R8" s="225">
        <f t="shared" si="6"/>
        <v>225.33333333333334</v>
      </c>
      <c r="S8" s="225">
        <f t="shared" si="7"/>
        <v>129.18630400000001</v>
      </c>
      <c r="T8" s="222">
        <v>700</v>
      </c>
      <c r="U8" s="222">
        <v>0</v>
      </c>
      <c r="V8" s="225">
        <f t="shared" si="31"/>
        <v>2720.2463701333331</v>
      </c>
      <c r="W8" s="222">
        <f t="shared" si="8"/>
        <v>20.833333333333332</v>
      </c>
      <c r="X8" s="222">
        <f t="shared" si="9"/>
        <v>20.833333333333332</v>
      </c>
      <c r="Y8" s="222">
        <f t="shared" si="10"/>
        <v>18.75</v>
      </c>
      <c r="Z8" s="222">
        <f t="shared" si="11"/>
        <v>3.5714285714285716</v>
      </c>
      <c r="AA8" s="222">
        <f t="shared" si="12"/>
        <v>82.408333333333317</v>
      </c>
      <c r="AB8" s="222">
        <f t="shared" si="13"/>
        <v>87.916666666666657</v>
      </c>
      <c r="AC8" s="226">
        <f t="shared" si="14"/>
        <v>150</v>
      </c>
      <c r="AD8" s="222">
        <f t="shared" si="15"/>
        <v>66.666666666666671</v>
      </c>
      <c r="AE8" s="222">
        <f t="shared" si="16"/>
        <v>15</v>
      </c>
      <c r="AF8" s="222">
        <v>400</v>
      </c>
      <c r="AG8" s="225">
        <f t="shared" si="17"/>
        <v>865.97976190476197</v>
      </c>
      <c r="AH8" s="225">
        <f t="shared" si="18"/>
        <v>6290.2261320380949</v>
      </c>
      <c r="AI8" s="227">
        <v>0.04</v>
      </c>
      <c r="AJ8" s="228">
        <f t="shared" si="19"/>
        <v>251.60904528152381</v>
      </c>
      <c r="AK8" s="229">
        <v>0.04</v>
      </c>
      <c r="AL8" s="230">
        <f t="shared" si="20"/>
        <v>382.90830205680078</v>
      </c>
      <c r="AM8" s="227">
        <v>0.01</v>
      </c>
      <c r="AN8" s="228">
        <f t="shared" si="21"/>
        <v>62.902261320380951</v>
      </c>
      <c r="AO8" s="229">
        <v>0.01</v>
      </c>
      <c r="AP8" s="230">
        <f t="shared" si="22"/>
        <v>95.727075514200195</v>
      </c>
      <c r="AQ8" s="227">
        <v>0.1</v>
      </c>
      <c r="AR8" s="228">
        <f t="shared" si="23"/>
        <v>629.02261320380956</v>
      </c>
      <c r="AS8" s="229">
        <v>0.1</v>
      </c>
      <c r="AT8" s="230">
        <f t="shared" si="24"/>
        <v>957.27075514200192</v>
      </c>
      <c r="AU8" s="227">
        <v>0.15640000000000001</v>
      </c>
      <c r="AV8" s="228">
        <f t="shared" si="25"/>
        <v>1418.3843238909433</v>
      </c>
      <c r="AW8" s="229">
        <v>0.19289999999999999</v>
      </c>
      <c r="AX8" s="230">
        <f t="shared" si="26"/>
        <v>1846.5752866689215</v>
      </c>
      <c r="AY8" s="231">
        <f t="shared" si="27"/>
        <v>9068.9534775635748</v>
      </c>
      <c r="AZ8" s="230">
        <f t="shared" si="28"/>
        <v>9572.7075514200187</v>
      </c>
      <c r="BA8" s="389">
        <f t="shared" si="32"/>
        <v>3362.8051273342512</v>
      </c>
    </row>
    <row r="9" spans="1:55" x14ac:dyDescent="0.25">
      <c r="A9" s="241">
        <f t="shared" si="29"/>
        <v>9572.7075514200187</v>
      </c>
      <c r="B9" s="216" t="str">
        <f>IF(Helexia!C9=0,"",Helexia!C9)</f>
        <v>Vinícius Moraes Rangel</v>
      </c>
      <c r="C9" s="217" t="str">
        <f>IF(Helexia!G9=0,"",Helexia!G9)</f>
        <v>CLT</v>
      </c>
      <c r="D9" s="222">
        <v>2080</v>
      </c>
      <c r="E9" s="218"/>
      <c r="G9" s="220"/>
      <c r="H9" s="221"/>
      <c r="I9" s="222"/>
      <c r="J9" s="234"/>
      <c r="K9" s="224">
        <f t="shared" si="30"/>
        <v>2080</v>
      </c>
      <c r="L9" s="239">
        <f t="shared" si="0"/>
        <v>624</v>
      </c>
      <c r="M9" s="225">
        <f t="shared" si="1"/>
        <v>2704</v>
      </c>
      <c r="N9" s="225">
        <f t="shared" si="2"/>
        <v>954.51199999999994</v>
      </c>
      <c r="O9" s="225">
        <f t="shared" si="3"/>
        <v>300.4144</v>
      </c>
      <c r="P9" s="222">
        <f t="shared" si="4"/>
        <v>225.2432</v>
      </c>
      <c r="Q9" s="225">
        <f t="shared" si="5"/>
        <v>185.55713279999998</v>
      </c>
      <c r="R9" s="225">
        <f t="shared" si="6"/>
        <v>225.33333333333334</v>
      </c>
      <c r="S9" s="225">
        <f t="shared" si="7"/>
        <v>129.18630400000001</v>
      </c>
      <c r="T9" s="222">
        <v>700</v>
      </c>
      <c r="U9" s="222">
        <v>0</v>
      </c>
      <c r="V9" s="225">
        <f t="shared" si="31"/>
        <v>2720.2463701333331</v>
      </c>
      <c r="W9" s="222">
        <f t="shared" si="8"/>
        <v>20.833333333333332</v>
      </c>
      <c r="X9" s="222">
        <f t="shared" si="9"/>
        <v>20.833333333333332</v>
      </c>
      <c r="Y9" s="222">
        <f t="shared" si="10"/>
        <v>18.75</v>
      </c>
      <c r="Z9" s="222">
        <f t="shared" si="11"/>
        <v>3.5714285714285716</v>
      </c>
      <c r="AA9" s="222">
        <f t="shared" si="12"/>
        <v>82.408333333333317</v>
      </c>
      <c r="AB9" s="222">
        <f t="shared" si="13"/>
        <v>87.916666666666657</v>
      </c>
      <c r="AC9" s="226">
        <f t="shared" si="14"/>
        <v>150</v>
      </c>
      <c r="AD9" s="222">
        <f t="shared" si="15"/>
        <v>66.666666666666671</v>
      </c>
      <c r="AE9" s="222">
        <f t="shared" si="16"/>
        <v>15</v>
      </c>
      <c r="AF9" s="222">
        <v>400</v>
      </c>
      <c r="AG9" s="225">
        <f t="shared" si="17"/>
        <v>865.97976190476197</v>
      </c>
      <c r="AH9" s="225">
        <f t="shared" si="18"/>
        <v>6290.2261320380949</v>
      </c>
      <c r="AI9" s="227">
        <v>0.04</v>
      </c>
      <c r="AJ9" s="228">
        <f t="shared" si="19"/>
        <v>251.60904528152381</v>
      </c>
      <c r="AK9" s="229">
        <v>0.04</v>
      </c>
      <c r="AL9" s="230">
        <f t="shared" si="20"/>
        <v>382.90830205680078</v>
      </c>
      <c r="AM9" s="227">
        <v>0.01</v>
      </c>
      <c r="AN9" s="228">
        <f t="shared" si="21"/>
        <v>62.902261320380951</v>
      </c>
      <c r="AO9" s="229">
        <v>0.01</v>
      </c>
      <c r="AP9" s="230">
        <f t="shared" si="22"/>
        <v>95.727075514200195</v>
      </c>
      <c r="AQ9" s="227">
        <v>0.1</v>
      </c>
      <c r="AR9" s="228">
        <f t="shared" si="23"/>
        <v>629.02261320380956</v>
      </c>
      <c r="AS9" s="229">
        <v>0.1</v>
      </c>
      <c r="AT9" s="230">
        <f t="shared" si="24"/>
        <v>957.27075514200192</v>
      </c>
      <c r="AU9" s="227">
        <v>0.15640000000000001</v>
      </c>
      <c r="AV9" s="228">
        <f t="shared" si="25"/>
        <v>1418.3843238909433</v>
      </c>
      <c r="AW9" s="229">
        <v>0.19289999999999999</v>
      </c>
      <c r="AX9" s="230">
        <f t="shared" si="26"/>
        <v>1846.5752866689215</v>
      </c>
      <c r="AY9" s="231">
        <f t="shared" si="27"/>
        <v>9068.9534775635748</v>
      </c>
      <c r="AZ9" s="230">
        <f t="shared" si="28"/>
        <v>9572.7075514200187</v>
      </c>
      <c r="BA9" s="389">
        <f t="shared" si="32"/>
        <v>3362.8051273342512</v>
      </c>
    </row>
    <row r="10" spans="1:55" x14ac:dyDescent="0.25">
      <c r="A10" s="241">
        <f t="shared" si="29"/>
        <v>9572.7075514200187</v>
      </c>
      <c r="B10" s="244" t="str">
        <f>IF(Helexia!C10=0,"",Helexia!C10)</f>
        <v>Cláudia Peixoto Nobre</v>
      </c>
      <c r="C10" s="217" t="str">
        <f>IF(Helexia!G10=0,"",Helexia!G10)</f>
        <v>CLT</v>
      </c>
      <c r="D10" s="222">
        <v>2080</v>
      </c>
      <c r="E10" s="218"/>
      <c r="G10" s="220"/>
      <c r="H10" s="221"/>
      <c r="I10" s="222"/>
      <c r="J10" s="223"/>
      <c r="K10" s="224">
        <f t="shared" si="30"/>
        <v>2080</v>
      </c>
      <c r="L10" s="239">
        <f t="shared" si="0"/>
        <v>624</v>
      </c>
      <c r="M10" s="225">
        <f t="shared" si="1"/>
        <v>2704</v>
      </c>
      <c r="N10" s="225">
        <f t="shared" si="2"/>
        <v>954.51199999999994</v>
      </c>
      <c r="O10" s="225">
        <f t="shared" si="3"/>
        <v>300.4144</v>
      </c>
      <c r="P10" s="222">
        <f t="shared" si="4"/>
        <v>225.2432</v>
      </c>
      <c r="Q10" s="225">
        <f t="shared" si="5"/>
        <v>185.55713279999998</v>
      </c>
      <c r="R10" s="225">
        <f t="shared" si="6"/>
        <v>225.33333333333334</v>
      </c>
      <c r="S10" s="225">
        <f t="shared" si="7"/>
        <v>129.18630400000001</v>
      </c>
      <c r="T10" s="222">
        <v>700</v>
      </c>
      <c r="U10" s="222">
        <v>0</v>
      </c>
      <c r="V10" s="225">
        <f t="shared" si="31"/>
        <v>2720.2463701333331</v>
      </c>
      <c r="W10" s="222">
        <f t="shared" si="8"/>
        <v>20.833333333333332</v>
      </c>
      <c r="X10" s="222">
        <f t="shared" si="9"/>
        <v>20.833333333333332</v>
      </c>
      <c r="Y10" s="222">
        <f t="shared" si="10"/>
        <v>18.75</v>
      </c>
      <c r="Z10" s="222">
        <f t="shared" si="11"/>
        <v>3.5714285714285716</v>
      </c>
      <c r="AA10" s="222">
        <f t="shared" si="12"/>
        <v>82.408333333333317</v>
      </c>
      <c r="AB10" s="222">
        <f t="shared" si="13"/>
        <v>87.916666666666657</v>
      </c>
      <c r="AC10" s="226">
        <f t="shared" si="14"/>
        <v>150</v>
      </c>
      <c r="AD10" s="222">
        <f t="shared" si="15"/>
        <v>66.666666666666671</v>
      </c>
      <c r="AE10" s="222">
        <f t="shared" si="16"/>
        <v>15</v>
      </c>
      <c r="AF10" s="222">
        <v>400</v>
      </c>
      <c r="AG10" s="225">
        <f t="shared" si="17"/>
        <v>865.97976190476197</v>
      </c>
      <c r="AH10" s="225">
        <f t="shared" si="18"/>
        <v>6290.2261320380949</v>
      </c>
      <c r="AI10" s="227">
        <v>0.04</v>
      </c>
      <c r="AJ10" s="228">
        <f t="shared" si="19"/>
        <v>251.60904528152381</v>
      </c>
      <c r="AK10" s="229">
        <v>0.04</v>
      </c>
      <c r="AL10" s="230">
        <f t="shared" si="20"/>
        <v>382.90830205680078</v>
      </c>
      <c r="AM10" s="227">
        <v>0.01</v>
      </c>
      <c r="AN10" s="228">
        <f t="shared" si="21"/>
        <v>62.902261320380951</v>
      </c>
      <c r="AO10" s="229">
        <v>0.01</v>
      </c>
      <c r="AP10" s="230">
        <f t="shared" si="22"/>
        <v>95.727075514200195</v>
      </c>
      <c r="AQ10" s="227">
        <v>0.1</v>
      </c>
      <c r="AR10" s="228">
        <f t="shared" si="23"/>
        <v>629.02261320380956</v>
      </c>
      <c r="AS10" s="229">
        <v>0.1</v>
      </c>
      <c r="AT10" s="230">
        <f t="shared" si="24"/>
        <v>957.27075514200192</v>
      </c>
      <c r="AU10" s="227">
        <v>0.15640000000000001</v>
      </c>
      <c r="AV10" s="228">
        <f t="shared" si="25"/>
        <v>1418.3843238909433</v>
      </c>
      <c r="AW10" s="229">
        <v>0.19289999999999999</v>
      </c>
      <c r="AX10" s="230">
        <f t="shared" si="26"/>
        <v>1846.5752866689215</v>
      </c>
      <c r="AY10" s="231">
        <f t="shared" si="27"/>
        <v>9068.9534775635748</v>
      </c>
      <c r="AZ10" s="230">
        <f t="shared" si="28"/>
        <v>9572.7075514200187</v>
      </c>
      <c r="BA10" s="389">
        <f t="shared" si="32"/>
        <v>3362.8051273342512</v>
      </c>
    </row>
    <row r="11" spans="1:55" x14ac:dyDescent="0.25">
      <c r="A11" s="241">
        <f t="shared" si="29"/>
        <v>7132.0222440593952</v>
      </c>
      <c r="B11" s="216" t="str">
        <f>IF(Helexia!C11=0,"",Helexia!C11)</f>
        <v>Renato Guedes Paiva</v>
      </c>
      <c r="C11" s="217" t="str">
        <f>IF(Helexia!G11=0,"",Helexia!G11)</f>
        <v>CLT</v>
      </c>
      <c r="D11" s="222">
        <v>1550</v>
      </c>
      <c r="E11" s="218"/>
      <c r="G11" s="220"/>
      <c r="H11" s="221"/>
      <c r="I11" s="222"/>
      <c r="J11" s="223"/>
      <c r="K11" s="224">
        <f t="shared" si="30"/>
        <v>1550</v>
      </c>
      <c r="L11" s="239">
        <f t="shared" si="0"/>
        <v>465</v>
      </c>
      <c r="M11" s="225">
        <f t="shared" si="1"/>
        <v>2015</v>
      </c>
      <c r="N11" s="225">
        <f t="shared" si="2"/>
        <v>711.29499999999996</v>
      </c>
      <c r="O11" s="225">
        <f t="shared" si="3"/>
        <v>223.86649999999997</v>
      </c>
      <c r="P11" s="222">
        <f t="shared" si="4"/>
        <v>167.84950000000001</v>
      </c>
      <c r="Q11" s="225">
        <f t="shared" si="5"/>
        <v>138.27574799999999</v>
      </c>
      <c r="R11" s="225">
        <f t="shared" si="6"/>
        <v>167.91666666666666</v>
      </c>
      <c r="S11" s="225">
        <f t="shared" si="7"/>
        <v>96.268640000000005</v>
      </c>
      <c r="T11" s="222">
        <v>300</v>
      </c>
      <c r="U11" s="222">
        <v>0</v>
      </c>
      <c r="V11" s="225">
        <f t="shared" si="31"/>
        <v>1805.4720546666667</v>
      </c>
      <c r="W11" s="222">
        <f t="shared" si="8"/>
        <v>20.833333333333332</v>
      </c>
      <c r="X11" s="222">
        <f t="shared" si="9"/>
        <v>20.833333333333332</v>
      </c>
      <c r="Y11" s="222">
        <f t="shared" si="10"/>
        <v>18.75</v>
      </c>
      <c r="Z11" s="222">
        <f t="shared" si="11"/>
        <v>3.5714285714285716</v>
      </c>
      <c r="AA11" s="222">
        <f t="shared" si="12"/>
        <v>82.408333333333317</v>
      </c>
      <c r="AB11" s="222">
        <f t="shared" si="13"/>
        <v>87.916666666666657</v>
      </c>
      <c r="AC11" s="226">
        <f t="shared" si="14"/>
        <v>150</v>
      </c>
      <c r="AD11" s="222">
        <f t="shared" si="15"/>
        <v>66.666666666666671</v>
      </c>
      <c r="AE11" s="222">
        <f t="shared" si="16"/>
        <v>15</v>
      </c>
      <c r="AF11" s="222">
        <v>400</v>
      </c>
      <c r="AG11" s="225">
        <f t="shared" si="17"/>
        <v>865.97976190476197</v>
      </c>
      <c r="AH11" s="225">
        <f t="shared" si="18"/>
        <v>4686.4518165714289</v>
      </c>
      <c r="AI11" s="227">
        <v>0.04</v>
      </c>
      <c r="AJ11" s="228">
        <f t="shared" si="19"/>
        <v>187.45807266285715</v>
      </c>
      <c r="AK11" s="229">
        <v>0.04</v>
      </c>
      <c r="AL11" s="230">
        <f t="shared" si="20"/>
        <v>285.28088976237581</v>
      </c>
      <c r="AM11" s="227">
        <v>0.01</v>
      </c>
      <c r="AN11" s="228">
        <f t="shared" si="21"/>
        <v>46.864518165714287</v>
      </c>
      <c r="AO11" s="229">
        <v>0.01</v>
      </c>
      <c r="AP11" s="230">
        <f t="shared" si="22"/>
        <v>71.320222440593952</v>
      </c>
      <c r="AQ11" s="227">
        <v>0.1</v>
      </c>
      <c r="AR11" s="228">
        <f t="shared" si="23"/>
        <v>468.64518165714293</v>
      </c>
      <c r="AS11" s="229">
        <v>0.1</v>
      </c>
      <c r="AT11" s="230">
        <f t="shared" si="24"/>
        <v>713.20222440593955</v>
      </c>
      <c r="AU11" s="227">
        <v>0.15640000000000001</v>
      </c>
      <c r="AV11" s="228">
        <f t="shared" si="25"/>
        <v>1056.7489390308126</v>
      </c>
      <c r="AW11" s="229">
        <v>0.19289999999999999</v>
      </c>
      <c r="AX11" s="230">
        <f t="shared" si="26"/>
        <v>1375.7670908790572</v>
      </c>
      <c r="AY11" s="231">
        <f t="shared" si="27"/>
        <v>6756.7067712967546</v>
      </c>
      <c r="AZ11" s="230">
        <f t="shared" si="28"/>
        <v>7132.0222440593952</v>
      </c>
      <c r="BA11" s="389">
        <f t="shared" si="32"/>
        <v>2662.7655024498245</v>
      </c>
    </row>
    <row r="12" spans="1:55" x14ac:dyDescent="0.25">
      <c r="A12" s="241">
        <f t="shared" si="29"/>
        <v>7132.0222440593952</v>
      </c>
      <c r="B12" s="244" t="str">
        <f>IF(Helexia!C12=0,"",Helexia!C12)</f>
        <v>Silvia Matos Barreto</v>
      </c>
      <c r="C12" s="217" t="str">
        <f>IF(Helexia!G12=0,"",Helexia!G12)</f>
        <v>CLT</v>
      </c>
      <c r="D12" s="222">
        <v>1550</v>
      </c>
      <c r="E12" s="218"/>
      <c r="G12" s="220"/>
      <c r="H12" s="221"/>
      <c r="I12" s="222"/>
      <c r="J12" s="223"/>
      <c r="K12" s="224">
        <f t="shared" si="30"/>
        <v>1550</v>
      </c>
      <c r="L12" s="239">
        <f t="shared" si="0"/>
        <v>465</v>
      </c>
      <c r="M12" s="225">
        <f t="shared" si="1"/>
        <v>2015</v>
      </c>
      <c r="N12" s="225">
        <f t="shared" si="2"/>
        <v>711.29499999999996</v>
      </c>
      <c r="O12" s="225">
        <f t="shared" si="3"/>
        <v>223.86649999999997</v>
      </c>
      <c r="P12" s="222">
        <f t="shared" si="4"/>
        <v>167.84950000000001</v>
      </c>
      <c r="Q12" s="225">
        <f t="shared" si="5"/>
        <v>138.27574799999999</v>
      </c>
      <c r="R12" s="225">
        <f t="shared" si="6"/>
        <v>167.91666666666666</v>
      </c>
      <c r="S12" s="225">
        <f t="shared" si="7"/>
        <v>96.268640000000005</v>
      </c>
      <c r="T12" s="222">
        <v>300</v>
      </c>
      <c r="U12" s="222">
        <v>0</v>
      </c>
      <c r="V12" s="225">
        <f t="shared" si="31"/>
        <v>1805.4720546666667</v>
      </c>
      <c r="W12" s="222">
        <f t="shared" si="8"/>
        <v>20.833333333333332</v>
      </c>
      <c r="X12" s="222">
        <f t="shared" si="9"/>
        <v>20.833333333333332</v>
      </c>
      <c r="Y12" s="222">
        <f t="shared" si="10"/>
        <v>18.75</v>
      </c>
      <c r="Z12" s="222">
        <f t="shared" si="11"/>
        <v>3.5714285714285716</v>
      </c>
      <c r="AA12" s="222">
        <f t="shared" si="12"/>
        <v>82.408333333333317</v>
      </c>
      <c r="AB12" s="222">
        <f t="shared" si="13"/>
        <v>87.916666666666657</v>
      </c>
      <c r="AC12" s="226">
        <f t="shared" si="14"/>
        <v>150</v>
      </c>
      <c r="AD12" s="222">
        <f t="shared" si="15"/>
        <v>66.666666666666671</v>
      </c>
      <c r="AE12" s="222">
        <f t="shared" si="16"/>
        <v>15</v>
      </c>
      <c r="AF12" s="222">
        <v>400</v>
      </c>
      <c r="AG12" s="225">
        <f t="shared" si="17"/>
        <v>865.97976190476197</v>
      </c>
      <c r="AH12" s="225">
        <f t="shared" si="18"/>
        <v>4686.4518165714289</v>
      </c>
      <c r="AI12" s="227">
        <v>0.04</v>
      </c>
      <c r="AJ12" s="228">
        <f t="shared" si="19"/>
        <v>187.45807266285715</v>
      </c>
      <c r="AK12" s="229">
        <v>0.04</v>
      </c>
      <c r="AL12" s="230">
        <f t="shared" si="20"/>
        <v>285.28088976237581</v>
      </c>
      <c r="AM12" s="227">
        <v>0.01</v>
      </c>
      <c r="AN12" s="228">
        <f t="shared" si="21"/>
        <v>46.864518165714287</v>
      </c>
      <c r="AO12" s="229">
        <v>0.01</v>
      </c>
      <c r="AP12" s="230">
        <f t="shared" si="22"/>
        <v>71.320222440593952</v>
      </c>
      <c r="AQ12" s="227">
        <v>0.1</v>
      </c>
      <c r="AR12" s="228">
        <f t="shared" si="23"/>
        <v>468.64518165714293</v>
      </c>
      <c r="AS12" s="229">
        <v>0.1</v>
      </c>
      <c r="AT12" s="230">
        <f t="shared" si="24"/>
        <v>713.20222440593955</v>
      </c>
      <c r="AU12" s="227">
        <v>0.15640000000000001</v>
      </c>
      <c r="AV12" s="228">
        <f t="shared" si="25"/>
        <v>1056.7489390308126</v>
      </c>
      <c r="AW12" s="229">
        <v>0.19289999999999999</v>
      </c>
      <c r="AX12" s="230">
        <f t="shared" si="26"/>
        <v>1375.7670908790572</v>
      </c>
      <c r="AY12" s="231">
        <f t="shared" si="27"/>
        <v>6756.7067712967546</v>
      </c>
      <c r="AZ12" s="230">
        <f t="shared" si="28"/>
        <v>7132.0222440593952</v>
      </c>
      <c r="BA12" s="389">
        <f t="shared" si="32"/>
        <v>2662.7655024498245</v>
      </c>
    </row>
    <row r="13" spans="1:55" x14ac:dyDescent="0.25">
      <c r="A13" s="241">
        <f t="shared" si="29"/>
        <v>9572.7075514200187</v>
      </c>
      <c r="B13" s="216" t="str">
        <f>IF(Helexia!C13=0,"",Helexia!C13)</f>
        <v>Daniel Afonso Queiroz Lima</v>
      </c>
      <c r="C13" s="217" t="str">
        <f>IF(Helexia!G13=0,"",Helexia!G13)</f>
        <v>CLT</v>
      </c>
      <c r="D13" s="222">
        <v>2080</v>
      </c>
      <c r="E13" s="218"/>
      <c r="G13" s="220"/>
      <c r="H13" s="221"/>
      <c r="I13" s="222"/>
      <c r="J13" s="223"/>
      <c r="K13" s="224">
        <f t="shared" si="30"/>
        <v>2080</v>
      </c>
      <c r="L13" s="239">
        <f t="shared" si="0"/>
        <v>624</v>
      </c>
      <c r="M13" s="225">
        <f t="shared" si="1"/>
        <v>2704</v>
      </c>
      <c r="N13" s="225">
        <f t="shared" si="2"/>
        <v>954.51199999999994</v>
      </c>
      <c r="O13" s="225">
        <f t="shared" si="3"/>
        <v>300.4144</v>
      </c>
      <c r="P13" s="222">
        <f t="shared" si="4"/>
        <v>225.2432</v>
      </c>
      <c r="Q13" s="225">
        <f t="shared" si="5"/>
        <v>185.55713279999998</v>
      </c>
      <c r="R13" s="225">
        <f t="shared" si="6"/>
        <v>225.33333333333334</v>
      </c>
      <c r="S13" s="225">
        <f t="shared" si="7"/>
        <v>129.18630400000001</v>
      </c>
      <c r="T13" s="222">
        <v>700</v>
      </c>
      <c r="U13" s="222">
        <v>0</v>
      </c>
      <c r="V13" s="225">
        <f t="shared" si="31"/>
        <v>2720.2463701333331</v>
      </c>
      <c r="W13" s="222">
        <f t="shared" si="8"/>
        <v>20.833333333333332</v>
      </c>
      <c r="X13" s="222">
        <f t="shared" si="9"/>
        <v>20.833333333333332</v>
      </c>
      <c r="Y13" s="222">
        <f t="shared" si="10"/>
        <v>18.75</v>
      </c>
      <c r="Z13" s="222">
        <f t="shared" si="11"/>
        <v>3.5714285714285716</v>
      </c>
      <c r="AA13" s="222">
        <f t="shared" si="12"/>
        <v>82.408333333333317</v>
      </c>
      <c r="AB13" s="222">
        <f t="shared" si="13"/>
        <v>87.916666666666657</v>
      </c>
      <c r="AC13" s="226">
        <f t="shared" si="14"/>
        <v>150</v>
      </c>
      <c r="AD13" s="222">
        <f t="shared" si="15"/>
        <v>66.666666666666671</v>
      </c>
      <c r="AE13" s="222">
        <f t="shared" si="16"/>
        <v>15</v>
      </c>
      <c r="AF13" s="222">
        <v>400</v>
      </c>
      <c r="AG13" s="225">
        <f t="shared" si="17"/>
        <v>865.97976190476197</v>
      </c>
      <c r="AH13" s="225">
        <f t="shared" si="18"/>
        <v>6290.2261320380949</v>
      </c>
      <c r="AI13" s="227">
        <v>0.04</v>
      </c>
      <c r="AJ13" s="228">
        <f t="shared" si="19"/>
        <v>251.60904528152381</v>
      </c>
      <c r="AK13" s="229">
        <v>0.04</v>
      </c>
      <c r="AL13" s="230">
        <f t="shared" si="20"/>
        <v>382.90830205680078</v>
      </c>
      <c r="AM13" s="227">
        <v>0.01</v>
      </c>
      <c r="AN13" s="228">
        <f t="shared" si="21"/>
        <v>62.902261320380951</v>
      </c>
      <c r="AO13" s="229">
        <v>0.01</v>
      </c>
      <c r="AP13" s="230">
        <f t="shared" si="22"/>
        <v>95.727075514200195</v>
      </c>
      <c r="AQ13" s="227">
        <v>0.1</v>
      </c>
      <c r="AR13" s="228">
        <f t="shared" si="23"/>
        <v>629.02261320380956</v>
      </c>
      <c r="AS13" s="229">
        <v>0.1</v>
      </c>
      <c r="AT13" s="230">
        <f t="shared" si="24"/>
        <v>957.27075514200192</v>
      </c>
      <c r="AU13" s="227">
        <v>0.15640000000000001</v>
      </c>
      <c r="AV13" s="228">
        <f t="shared" si="25"/>
        <v>1418.3843238909433</v>
      </c>
      <c r="AW13" s="229">
        <v>0.19289999999999999</v>
      </c>
      <c r="AX13" s="230">
        <f t="shared" si="26"/>
        <v>1846.5752866689215</v>
      </c>
      <c r="AY13" s="231">
        <f t="shared" si="27"/>
        <v>9068.9534775635748</v>
      </c>
      <c r="AZ13" s="230">
        <f t="shared" si="28"/>
        <v>9572.7075514200187</v>
      </c>
      <c r="BA13" s="389">
        <f t="shared" si="32"/>
        <v>3362.8051273342512</v>
      </c>
    </row>
    <row r="14" spans="1:55" x14ac:dyDescent="0.25">
      <c r="A14" s="241">
        <f t="shared" si="29"/>
        <v>9572.7075514200187</v>
      </c>
      <c r="B14" s="244" t="str">
        <f>IF(Helexia!C14=0,"",Helexia!C14)</f>
        <v>Juliane Costa Figueiredo</v>
      </c>
      <c r="C14" s="217" t="str">
        <f>IF(Helexia!G14=0,"",Helexia!G14)</f>
        <v>CLT</v>
      </c>
      <c r="D14" s="222">
        <v>2080</v>
      </c>
      <c r="E14" s="218"/>
      <c r="G14" s="220"/>
      <c r="H14" s="221"/>
      <c r="I14" s="222"/>
      <c r="J14" s="223"/>
      <c r="K14" s="224">
        <f t="shared" si="30"/>
        <v>2080</v>
      </c>
      <c r="L14" s="239">
        <f t="shared" si="0"/>
        <v>624</v>
      </c>
      <c r="M14" s="225">
        <f t="shared" si="1"/>
        <v>2704</v>
      </c>
      <c r="N14" s="225">
        <f t="shared" si="2"/>
        <v>954.51199999999994</v>
      </c>
      <c r="O14" s="225">
        <f t="shared" si="3"/>
        <v>300.4144</v>
      </c>
      <c r="P14" s="222">
        <f t="shared" si="4"/>
        <v>225.2432</v>
      </c>
      <c r="Q14" s="225">
        <f t="shared" si="5"/>
        <v>185.55713279999998</v>
      </c>
      <c r="R14" s="225">
        <f t="shared" si="6"/>
        <v>225.33333333333334</v>
      </c>
      <c r="S14" s="225">
        <f t="shared" si="7"/>
        <v>129.18630400000001</v>
      </c>
      <c r="T14" s="222">
        <v>700</v>
      </c>
      <c r="U14" s="222">
        <v>0</v>
      </c>
      <c r="V14" s="225">
        <f t="shared" si="31"/>
        <v>2720.2463701333331</v>
      </c>
      <c r="W14" s="222">
        <f t="shared" si="8"/>
        <v>20.833333333333332</v>
      </c>
      <c r="X14" s="222">
        <f t="shared" si="9"/>
        <v>20.833333333333332</v>
      </c>
      <c r="Y14" s="222">
        <f t="shared" si="10"/>
        <v>18.75</v>
      </c>
      <c r="Z14" s="222">
        <f t="shared" si="11"/>
        <v>3.5714285714285716</v>
      </c>
      <c r="AA14" s="222">
        <f t="shared" si="12"/>
        <v>82.408333333333317</v>
      </c>
      <c r="AB14" s="222">
        <f t="shared" si="13"/>
        <v>87.916666666666657</v>
      </c>
      <c r="AC14" s="226">
        <f t="shared" si="14"/>
        <v>150</v>
      </c>
      <c r="AD14" s="222">
        <f t="shared" si="15"/>
        <v>66.666666666666671</v>
      </c>
      <c r="AE14" s="222">
        <f t="shared" si="16"/>
        <v>15</v>
      </c>
      <c r="AF14" s="222">
        <v>400</v>
      </c>
      <c r="AG14" s="225">
        <f t="shared" si="17"/>
        <v>865.97976190476197</v>
      </c>
      <c r="AH14" s="225">
        <f t="shared" si="18"/>
        <v>6290.2261320380949</v>
      </c>
      <c r="AI14" s="227">
        <v>0.04</v>
      </c>
      <c r="AJ14" s="228">
        <f t="shared" si="19"/>
        <v>251.60904528152381</v>
      </c>
      <c r="AK14" s="229">
        <v>0.04</v>
      </c>
      <c r="AL14" s="230">
        <f t="shared" si="20"/>
        <v>382.90830205680078</v>
      </c>
      <c r="AM14" s="227">
        <v>0.01</v>
      </c>
      <c r="AN14" s="228">
        <f t="shared" si="21"/>
        <v>62.902261320380951</v>
      </c>
      <c r="AO14" s="229">
        <v>0.01</v>
      </c>
      <c r="AP14" s="230">
        <f t="shared" si="22"/>
        <v>95.727075514200195</v>
      </c>
      <c r="AQ14" s="227">
        <v>0.1</v>
      </c>
      <c r="AR14" s="228">
        <f t="shared" si="23"/>
        <v>629.02261320380956</v>
      </c>
      <c r="AS14" s="229">
        <v>0.1</v>
      </c>
      <c r="AT14" s="230">
        <f t="shared" si="24"/>
        <v>957.27075514200192</v>
      </c>
      <c r="AU14" s="227">
        <v>0.15640000000000001</v>
      </c>
      <c r="AV14" s="228">
        <f t="shared" si="25"/>
        <v>1418.3843238909433</v>
      </c>
      <c r="AW14" s="229">
        <v>0.19289999999999999</v>
      </c>
      <c r="AX14" s="230">
        <f t="shared" si="26"/>
        <v>1846.5752866689215</v>
      </c>
      <c r="AY14" s="231">
        <f t="shared" si="27"/>
        <v>9068.9534775635748</v>
      </c>
      <c r="AZ14" s="230">
        <f t="shared" si="28"/>
        <v>9572.7075514200187</v>
      </c>
      <c r="BA14" s="389">
        <f t="shared" si="32"/>
        <v>3362.8051273342512</v>
      </c>
    </row>
    <row r="15" spans="1:55" x14ac:dyDescent="0.25">
      <c r="A15" s="241">
        <f t="shared" si="29"/>
        <v>12490.488575678122</v>
      </c>
      <c r="B15" s="216" t="str">
        <f>IF(Helexia!C15=0,"",Helexia!C15)</f>
        <v>Mauro Silveira Prado</v>
      </c>
      <c r="C15" s="217" t="str">
        <f>IF(Helexia!G15=0,"",Helexia!G15)</f>
        <v>CLT</v>
      </c>
      <c r="D15" s="222">
        <v>2704</v>
      </c>
      <c r="E15" s="218"/>
      <c r="G15" s="220"/>
      <c r="H15" s="221"/>
      <c r="I15" s="222"/>
      <c r="J15" s="223"/>
      <c r="K15" s="224">
        <f t="shared" si="30"/>
        <v>2704</v>
      </c>
      <c r="L15" s="239">
        <f t="shared" si="0"/>
        <v>811.19999999999993</v>
      </c>
      <c r="M15" s="225">
        <f t="shared" si="1"/>
        <v>3515.2</v>
      </c>
      <c r="N15" s="225">
        <f t="shared" si="2"/>
        <v>1240.8655999999999</v>
      </c>
      <c r="O15" s="225">
        <f t="shared" si="3"/>
        <v>390.53871999999996</v>
      </c>
      <c r="P15" s="222">
        <f t="shared" si="4"/>
        <v>292.81615999999997</v>
      </c>
      <c r="Q15" s="225">
        <f t="shared" si="5"/>
        <v>241.22427263999995</v>
      </c>
      <c r="R15" s="225">
        <f t="shared" si="6"/>
        <v>292.93333333333334</v>
      </c>
      <c r="S15" s="225">
        <f t="shared" si="7"/>
        <v>167.94219519999999</v>
      </c>
      <c r="T15" s="222">
        <v>1200</v>
      </c>
      <c r="U15" s="222">
        <v>0</v>
      </c>
      <c r="V15" s="225">
        <f t="shared" si="31"/>
        <v>3826.3202811733331</v>
      </c>
      <c r="W15" s="222">
        <f t="shared" si="8"/>
        <v>20.833333333333332</v>
      </c>
      <c r="X15" s="222">
        <f t="shared" si="9"/>
        <v>20.833333333333332</v>
      </c>
      <c r="Y15" s="222">
        <f t="shared" si="10"/>
        <v>18.75</v>
      </c>
      <c r="Z15" s="222">
        <f t="shared" si="11"/>
        <v>3.5714285714285716</v>
      </c>
      <c r="AA15" s="222">
        <f t="shared" si="12"/>
        <v>82.408333333333317</v>
      </c>
      <c r="AB15" s="222">
        <f t="shared" si="13"/>
        <v>87.916666666666657</v>
      </c>
      <c r="AC15" s="226">
        <f t="shared" si="14"/>
        <v>150</v>
      </c>
      <c r="AD15" s="222">
        <f t="shared" si="15"/>
        <v>66.666666666666671</v>
      </c>
      <c r="AE15" s="222">
        <f t="shared" si="16"/>
        <v>15</v>
      </c>
      <c r="AF15" s="222">
        <v>400</v>
      </c>
      <c r="AG15" s="225">
        <f t="shared" si="17"/>
        <v>865.97976190476197</v>
      </c>
      <c r="AH15" s="225">
        <f t="shared" si="18"/>
        <v>8207.5000430780947</v>
      </c>
      <c r="AI15" s="227">
        <v>0.04</v>
      </c>
      <c r="AJ15" s="228">
        <f t="shared" si="19"/>
        <v>328.30000172312378</v>
      </c>
      <c r="AK15" s="229">
        <v>0.04</v>
      </c>
      <c r="AL15" s="230">
        <f t="shared" si="20"/>
        <v>499.61954302712491</v>
      </c>
      <c r="AM15" s="227">
        <v>0.01</v>
      </c>
      <c r="AN15" s="228">
        <f t="shared" si="21"/>
        <v>82.075000430780946</v>
      </c>
      <c r="AO15" s="229">
        <v>0.01</v>
      </c>
      <c r="AP15" s="230">
        <f t="shared" si="22"/>
        <v>124.90488575678123</v>
      </c>
      <c r="AQ15" s="227">
        <v>0.1</v>
      </c>
      <c r="AR15" s="228">
        <f t="shared" si="23"/>
        <v>820.75000430780949</v>
      </c>
      <c r="AS15" s="229">
        <v>0.1</v>
      </c>
      <c r="AT15" s="230">
        <f t="shared" si="24"/>
        <v>1249.0488575678123</v>
      </c>
      <c r="AU15" s="227">
        <v>0.15640000000000001</v>
      </c>
      <c r="AV15" s="228">
        <f t="shared" si="25"/>
        <v>1850.7107940274138</v>
      </c>
      <c r="AW15" s="229">
        <v>0.19289999999999999</v>
      </c>
      <c r="AX15" s="230">
        <f t="shared" si="26"/>
        <v>2409.4152462483098</v>
      </c>
      <c r="AY15" s="231">
        <f t="shared" si="27"/>
        <v>11833.189220124128</v>
      </c>
      <c r="AZ15" s="230">
        <f t="shared" si="28"/>
        <v>12490.488575678122</v>
      </c>
      <c r="BA15" s="389">
        <f t="shared" si="32"/>
        <v>4187.0027234245963</v>
      </c>
    </row>
    <row r="16" spans="1:55" x14ac:dyDescent="0.25">
      <c r="A16" s="241">
        <f t="shared" si="29"/>
        <v>9987.4886733192743</v>
      </c>
      <c r="B16" s="244" t="str">
        <f>IF(Helexia!C16=0,"",Helexia!C16)</f>
        <v>Tatiana Borges Nascimento</v>
      </c>
      <c r="C16" s="217" t="str">
        <f>IF(Helexia!G16=0,"",Helexia!G16)</f>
        <v>CLT</v>
      </c>
      <c r="D16" s="222">
        <v>2200</v>
      </c>
      <c r="E16" s="218"/>
      <c r="G16" s="220"/>
      <c r="H16" s="221"/>
      <c r="I16" s="222"/>
      <c r="J16" s="223"/>
      <c r="K16" s="224">
        <f t="shared" si="30"/>
        <v>2200</v>
      </c>
      <c r="L16" s="239">
        <f t="shared" si="0"/>
        <v>660</v>
      </c>
      <c r="M16" s="225">
        <f t="shared" si="1"/>
        <v>2860</v>
      </c>
      <c r="N16" s="225">
        <f t="shared" si="2"/>
        <v>1009.5799999999999</v>
      </c>
      <c r="O16" s="225">
        <f t="shared" si="3"/>
        <v>317.74599999999998</v>
      </c>
      <c r="P16" s="222">
        <f t="shared" si="4"/>
        <v>238.238</v>
      </c>
      <c r="Q16" s="225">
        <f t="shared" si="5"/>
        <v>196.26235199999996</v>
      </c>
      <c r="R16" s="225">
        <f t="shared" si="6"/>
        <v>238.33333333333334</v>
      </c>
      <c r="S16" s="225">
        <f t="shared" si="7"/>
        <v>136.63936000000001</v>
      </c>
      <c r="T16" s="222">
        <v>700</v>
      </c>
      <c r="U16" s="222">
        <v>0</v>
      </c>
      <c r="V16" s="225">
        <f t="shared" si="31"/>
        <v>2836.7990453333332</v>
      </c>
      <c r="W16" s="222">
        <f t="shared" si="8"/>
        <v>20.833333333333332</v>
      </c>
      <c r="X16" s="222">
        <f t="shared" si="9"/>
        <v>20.833333333333332</v>
      </c>
      <c r="Y16" s="222">
        <f t="shared" si="10"/>
        <v>18.75</v>
      </c>
      <c r="Z16" s="222">
        <f t="shared" si="11"/>
        <v>3.5714285714285716</v>
      </c>
      <c r="AA16" s="222">
        <f t="shared" si="12"/>
        <v>82.408333333333317</v>
      </c>
      <c r="AB16" s="222">
        <f t="shared" si="13"/>
        <v>87.916666666666657</v>
      </c>
      <c r="AC16" s="226">
        <f t="shared" si="14"/>
        <v>150</v>
      </c>
      <c r="AD16" s="222">
        <f t="shared" si="15"/>
        <v>66.666666666666671</v>
      </c>
      <c r="AE16" s="222">
        <f t="shared" si="16"/>
        <v>15</v>
      </c>
      <c r="AF16" s="222">
        <v>400</v>
      </c>
      <c r="AG16" s="225">
        <f t="shared" si="17"/>
        <v>865.97976190476197</v>
      </c>
      <c r="AH16" s="225">
        <f t="shared" si="18"/>
        <v>6562.7788072380954</v>
      </c>
      <c r="AI16" s="227">
        <v>0.04</v>
      </c>
      <c r="AJ16" s="228">
        <f t="shared" si="19"/>
        <v>262.51115228952381</v>
      </c>
      <c r="AK16" s="229">
        <v>0.04</v>
      </c>
      <c r="AL16" s="230">
        <f t="shared" si="20"/>
        <v>399.49954693277095</v>
      </c>
      <c r="AM16" s="227">
        <v>0.01</v>
      </c>
      <c r="AN16" s="228">
        <f t="shared" si="21"/>
        <v>65.627788072380952</v>
      </c>
      <c r="AO16" s="229">
        <v>0.01</v>
      </c>
      <c r="AP16" s="230">
        <f t="shared" si="22"/>
        <v>99.874886733192739</v>
      </c>
      <c r="AQ16" s="227">
        <v>0.1</v>
      </c>
      <c r="AR16" s="228">
        <f t="shared" si="23"/>
        <v>656.27788072380963</v>
      </c>
      <c r="AS16" s="229">
        <v>0.1</v>
      </c>
      <c r="AT16" s="230">
        <f t="shared" si="24"/>
        <v>998.7488673319275</v>
      </c>
      <c r="AU16" s="227">
        <v>0.15640000000000001</v>
      </c>
      <c r="AV16" s="228">
        <f t="shared" si="25"/>
        <v>1479.8422800634921</v>
      </c>
      <c r="AW16" s="229">
        <v>0.19289999999999999</v>
      </c>
      <c r="AX16" s="230">
        <f t="shared" si="26"/>
        <v>1926.586565083288</v>
      </c>
      <c r="AY16" s="231">
        <f t="shared" si="27"/>
        <v>9461.9071615312787</v>
      </c>
      <c r="AZ16" s="230">
        <f t="shared" si="28"/>
        <v>9987.4886733192743</v>
      </c>
      <c r="BA16" s="389">
        <f t="shared" si="32"/>
        <v>3521.3046650439333</v>
      </c>
    </row>
    <row r="17" spans="1:53" x14ac:dyDescent="0.25">
      <c r="A17" s="241">
        <f t="shared" si="29"/>
        <v>7436.3899202121884</v>
      </c>
      <c r="B17" s="216" t="str">
        <f>IF(Helexia!C17=0,"",Helexia!C17)</f>
        <v>Alex Rocha Pacheco</v>
      </c>
      <c r="C17" s="217" t="str">
        <f>IF(Helexia!G17=0,"",Helexia!G17)</f>
        <v>CLT</v>
      </c>
      <c r="D17" s="222">
        <v>1550</v>
      </c>
      <c r="E17" s="218"/>
      <c r="G17" s="220"/>
      <c r="I17" s="222"/>
      <c r="J17" s="223"/>
      <c r="K17" s="224">
        <f t="shared" si="30"/>
        <v>1550</v>
      </c>
      <c r="L17" s="239">
        <f t="shared" si="0"/>
        <v>465</v>
      </c>
      <c r="M17" s="225">
        <f t="shared" si="1"/>
        <v>2015</v>
      </c>
      <c r="N17" s="225">
        <f t="shared" si="2"/>
        <v>711.29499999999996</v>
      </c>
      <c r="O17" s="225">
        <f t="shared" si="3"/>
        <v>223.86649999999997</v>
      </c>
      <c r="P17" s="222">
        <f t="shared" si="4"/>
        <v>167.84950000000001</v>
      </c>
      <c r="Q17" s="225">
        <f t="shared" si="5"/>
        <v>138.27574799999999</v>
      </c>
      <c r="R17" s="225">
        <f t="shared" si="6"/>
        <v>167.91666666666666</v>
      </c>
      <c r="S17" s="225">
        <f t="shared" si="7"/>
        <v>96.268640000000005</v>
      </c>
      <c r="T17" s="222">
        <v>500</v>
      </c>
      <c r="U17" s="222">
        <v>0</v>
      </c>
      <c r="V17" s="225">
        <f t="shared" si="31"/>
        <v>2005.4720546666667</v>
      </c>
      <c r="W17" s="222">
        <f t="shared" si="8"/>
        <v>20.833333333333332</v>
      </c>
      <c r="X17" s="222">
        <f t="shared" si="9"/>
        <v>20.833333333333332</v>
      </c>
      <c r="Y17" s="222">
        <f t="shared" si="10"/>
        <v>18.75</v>
      </c>
      <c r="Z17" s="222">
        <f t="shared" si="11"/>
        <v>3.5714285714285716</v>
      </c>
      <c r="AA17" s="222">
        <f t="shared" si="12"/>
        <v>82.408333333333317</v>
      </c>
      <c r="AB17" s="222">
        <f t="shared" si="13"/>
        <v>87.916666666666657</v>
      </c>
      <c r="AC17" s="226">
        <f t="shared" si="14"/>
        <v>150</v>
      </c>
      <c r="AD17" s="222">
        <f t="shared" si="15"/>
        <v>66.666666666666671</v>
      </c>
      <c r="AE17" s="222">
        <f t="shared" si="16"/>
        <v>15</v>
      </c>
      <c r="AF17" s="222">
        <v>400</v>
      </c>
      <c r="AG17" s="225">
        <f t="shared" si="17"/>
        <v>865.97976190476197</v>
      </c>
      <c r="AH17" s="225">
        <f t="shared" si="18"/>
        <v>4886.4518165714289</v>
      </c>
      <c r="AI17" s="227">
        <v>0.04</v>
      </c>
      <c r="AJ17" s="228">
        <f t="shared" si="19"/>
        <v>195.45807266285715</v>
      </c>
      <c r="AK17" s="229">
        <v>0.04</v>
      </c>
      <c r="AL17" s="230">
        <f t="shared" si="20"/>
        <v>297.45559680848754</v>
      </c>
      <c r="AM17" s="227">
        <v>0.01</v>
      </c>
      <c r="AN17" s="228">
        <f t="shared" si="21"/>
        <v>48.864518165714287</v>
      </c>
      <c r="AO17" s="229">
        <v>0.01</v>
      </c>
      <c r="AP17" s="230">
        <f t="shared" si="22"/>
        <v>74.363899202121885</v>
      </c>
      <c r="AQ17" s="227">
        <v>0.1</v>
      </c>
      <c r="AR17" s="228">
        <f t="shared" si="23"/>
        <v>488.64518165714293</v>
      </c>
      <c r="AS17" s="229">
        <v>0.1</v>
      </c>
      <c r="AT17" s="230">
        <f t="shared" si="24"/>
        <v>743.63899202121888</v>
      </c>
      <c r="AU17" s="227">
        <v>0.15640000000000001</v>
      </c>
      <c r="AV17" s="228">
        <f t="shared" si="25"/>
        <v>1101.8469782464988</v>
      </c>
      <c r="AW17" s="229">
        <v>0.19289999999999999</v>
      </c>
      <c r="AX17" s="230">
        <f t="shared" si="26"/>
        <v>1434.479615608931</v>
      </c>
      <c r="AY17" s="231">
        <f t="shared" si="27"/>
        <v>7045.0574056681498</v>
      </c>
      <c r="AZ17" s="230">
        <f t="shared" si="28"/>
        <v>7436.3899202121884</v>
      </c>
      <c r="BA17" s="389">
        <f t="shared" si="32"/>
        <v>2662.7655024498245</v>
      </c>
    </row>
    <row r="18" spans="1:53" x14ac:dyDescent="0.25">
      <c r="A18" s="241">
        <f t="shared" si="29"/>
        <v>8203.5401422991363</v>
      </c>
      <c r="B18" s="244" t="str">
        <f>IF(Helexia!C18=0,"",Helexia!C18)</f>
        <v>Eduardo Tavares Montenegro</v>
      </c>
      <c r="C18" s="217" t="str">
        <f>IF(Helexia!G18=0,"",Helexia!G18)</f>
        <v>CLT</v>
      </c>
      <c r="D18" s="222">
        <v>1860</v>
      </c>
      <c r="E18" s="218"/>
      <c r="G18" s="220"/>
      <c r="I18" s="222"/>
      <c r="J18" s="223"/>
      <c r="K18" s="224">
        <f t="shared" si="30"/>
        <v>1860</v>
      </c>
      <c r="L18" s="239">
        <f t="shared" si="0"/>
        <v>558</v>
      </c>
      <c r="M18" s="225">
        <f t="shared" si="1"/>
        <v>2418</v>
      </c>
      <c r="N18" s="225">
        <f t="shared" si="2"/>
        <v>853.55399999999997</v>
      </c>
      <c r="O18" s="225">
        <f t="shared" si="3"/>
        <v>268.63979999999998</v>
      </c>
      <c r="P18" s="222">
        <f t="shared" si="4"/>
        <v>201.4194</v>
      </c>
      <c r="Q18" s="225">
        <f t="shared" si="5"/>
        <v>165.93089759999998</v>
      </c>
      <c r="R18" s="225">
        <f t="shared" si="6"/>
        <v>201.5</v>
      </c>
      <c r="S18" s="225">
        <f t="shared" si="7"/>
        <v>115.52236799999999</v>
      </c>
      <c r="T18" s="222">
        <v>300</v>
      </c>
      <c r="U18" s="222">
        <v>0</v>
      </c>
      <c r="V18" s="225">
        <f t="shared" si="31"/>
        <v>2106.5664655999999</v>
      </c>
      <c r="W18" s="222">
        <f t="shared" si="8"/>
        <v>20.833333333333332</v>
      </c>
      <c r="X18" s="222">
        <f t="shared" si="9"/>
        <v>20.833333333333332</v>
      </c>
      <c r="Y18" s="222">
        <f t="shared" si="10"/>
        <v>18.75</v>
      </c>
      <c r="Z18" s="222">
        <f t="shared" si="11"/>
        <v>3.5714285714285716</v>
      </c>
      <c r="AA18" s="222">
        <f t="shared" si="12"/>
        <v>82.408333333333317</v>
      </c>
      <c r="AB18" s="222">
        <f t="shared" si="13"/>
        <v>87.916666666666657</v>
      </c>
      <c r="AC18" s="226">
        <f t="shared" si="14"/>
        <v>150</v>
      </c>
      <c r="AD18" s="222">
        <f t="shared" si="15"/>
        <v>66.666666666666671</v>
      </c>
      <c r="AE18" s="222">
        <f t="shared" si="16"/>
        <v>15</v>
      </c>
      <c r="AF18" s="222">
        <v>400</v>
      </c>
      <c r="AG18" s="225">
        <f t="shared" si="17"/>
        <v>865.97976190476197</v>
      </c>
      <c r="AH18" s="225">
        <f t="shared" si="18"/>
        <v>5390.5462275047621</v>
      </c>
      <c r="AI18" s="227">
        <v>0.04</v>
      </c>
      <c r="AJ18" s="228">
        <f t="shared" si="19"/>
        <v>215.6218491001905</v>
      </c>
      <c r="AK18" s="229">
        <v>0.04</v>
      </c>
      <c r="AL18" s="230">
        <f t="shared" si="20"/>
        <v>328.14160569196548</v>
      </c>
      <c r="AM18" s="227">
        <v>0.01</v>
      </c>
      <c r="AN18" s="228">
        <f t="shared" si="21"/>
        <v>53.905462275047626</v>
      </c>
      <c r="AO18" s="229">
        <v>0.01</v>
      </c>
      <c r="AP18" s="230">
        <f t="shared" si="22"/>
        <v>82.03540142299137</v>
      </c>
      <c r="AQ18" s="227">
        <v>0.1</v>
      </c>
      <c r="AR18" s="228">
        <f t="shared" si="23"/>
        <v>539.05462275047626</v>
      </c>
      <c r="AS18" s="229">
        <v>0.1</v>
      </c>
      <c r="AT18" s="230">
        <f t="shared" si="24"/>
        <v>820.35401422991367</v>
      </c>
      <c r="AU18" s="227">
        <v>0.15640000000000001</v>
      </c>
      <c r="AV18" s="228">
        <f t="shared" si="25"/>
        <v>1215.5153258098976</v>
      </c>
      <c r="AW18" s="229">
        <v>0.19289999999999999</v>
      </c>
      <c r="AX18" s="230">
        <f t="shared" si="26"/>
        <v>1582.4628934495033</v>
      </c>
      <c r="AY18" s="231">
        <f t="shared" si="27"/>
        <v>7771.8371215466586</v>
      </c>
      <c r="AZ18" s="230">
        <f t="shared" si="28"/>
        <v>8203.5401422991363</v>
      </c>
      <c r="BA18" s="389">
        <f t="shared" si="32"/>
        <v>3072.2226415331684</v>
      </c>
    </row>
    <row r="19" spans="1:53" x14ac:dyDescent="0.25">
      <c r="A19" s="241">
        <f t="shared" si="29"/>
        <v>9572.7075514200187</v>
      </c>
      <c r="B19" s="216" t="str">
        <f>IF(Helexia!C19=0,"",Helexia!C19)</f>
        <v>Bianca Lacerda Fontes</v>
      </c>
      <c r="C19" s="217" t="str">
        <f>IF(Helexia!G19=0,"",Helexia!G19)</f>
        <v>CLT</v>
      </c>
      <c r="D19" s="222">
        <v>2080</v>
      </c>
      <c r="E19" s="218"/>
      <c r="G19" s="220"/>
      <c r="I19" s="222"/>
      <c r="J19" s="223"/>
      <c r="K19" s="224">
        <f t="shared" si="30"/>
        <v>2080</v>
      </c>
      <c r="L19" s="239">
        <f t="shared" si="0"/>
        <v>624</v>
      </c>
      <c r="M19" s="225">
        <f t="shared" si="1"/>
        <v>2704</v>
      </c>
      <c r="N19" s="225">
        <f t="shared" si="2"/>
        <v>954.51199999999994</v>
      </c>
      <c r="O19" s="225">
        <f t="shared" si="3"/>
        <v>300.4144</v>
      </c>
      <c r="P19" s="222">
        <f t="shared" si="4"/>
        <v>225.2432</v>
      </c>
      <c r="Q19" s="225">
        <f t="shared" si="5"/>
        <v>185.55713279999998</v>
      </c>
      <c r="R19" s="225">
        <f t="shared" si="6"/>
        <v>225.33333333333334</v>
      </c>
      <c r="S19" s="225">
        <f t="shared" si="7"/>
        <v>129.18630400000001</v>
      </c>
      <c r="T19" s="222">
        <v>700</v>
      </c>
      <c r="U19" s="222">
        <v>0</v>
      </c>
      <c r="V19" s="225">
        <f t="shared" si="31"/>
        <v>2720.2463701333331</v>
      </c>
      <c r="W19" s="222">
        <f t="shared" si="8"/>
        <v>20.833333333333332</v>
      </c>
      <c r="X19" s="222">
        <f t="shared" si="9"/>
        <v>20.833333333333332</v>
      </c>
      <c r="Y19" s="222">
        <f t="shared" si="10"/>
        <v>18.75</v>
      </c>
      <c r="Z19" s="222">
        <f t="shared" si="11"/>
        <v>3.5714285714285716</v>
      </c>
      <c r="AA19" s="222">
        <f t="shared" si="12"/>
        <v>82.408333333333317</v>
      </c>
      <c r="AB19" s="222">
        <f t="shared" si="13"/>
        <v>87.916666666666657</v>
      </c>
      <c r="AC19" s="226">
        <f t="shared" si="14"/>
        <v>150</v>
      </c>
      <c r="AD19" s="222">
        <f t="shared" si="15"/>
        <v>66.666666666666671</v>
      </c>
      <c r="AE19" s="222">
        <f t="shared" si="16"/>
        <v>15</v>
      </c>
      <c r="AF19" s="222">
        <v>400</v>
      </c>
      <c r="AG19" s="225">
        <f t="shared" si="17"/>
        <v>865.97976190476197</v>
      </c>
      <c r="AH19" s="225">
        <f t="shared" si="18"/>
        <v>6290.2261320380949</v>
      </c>
      <c r="AI19" s="227">
        <v>0.04</v>
      </c>
      <c r="AJ19" s="228">
        <f t="shared" si="19"/>
        <v>251.60904528152381</v>
      </c>
      <c r="AK19" s="229">
        <v>0.04</v>
      </c>
      <c r="AL19" s="230">
        <f t="shared" si="20"/>
        <v>382.90830205680078</v>
      </c>
      <c r="AM19" s="227">
        <v>0.01</v>
      </c>
      <c r="AN19" s="228">
        <f t="shared" si="21"/>
        <v>62.902261320380951</v>
      </c>
      <c r="AO19" s="229">
        <v>0.01</v>
      </c>
      <c r="AP19" s="230">
        <f t="shared" si="22"/>
        <v>95.727075514200195</v>
      </c>
      <c r="AQ19" s="227">
        <v>0.1</v>
      </c>
      <c r="AR19" s="228">
        <f t="shared" si="23"/>
        <v>629.02261320380956</v>
      </c>
      <c r="AS19" s="229">
        <v>0.1</v>
      </c>
      <c r="AT19" s="230">
        <f t="shared" si="24"/>
        <v>957.27075514200192</v>
      </c>
      <c r="AU19" s="227">
        <v>0.15640000000000001</v>
      </c>
      <c r="AV19" s="228">
        <f t="shared" si="25"/>
        <v>1418.3843238909433</v>
      </c>
      <c r="AW19" s="229">
        <v>0.19289999999999999</v>
      </c>
      <c r="AX19" s="230">
        <f t="shared" si="26"/>
        <v>1846.5752866689215</v>
      </c>
      <c r="AY19" s="231">
        <f t="shared" si="27"/>
        <v>9068.9534775635748</v>
      </c>
      <c r="AZ19" s="230">
        <f t="shared" si="28"/>
        <v>9572.7075514200187</v>
      </c>
      <c r="BA19" s="389">
        <f t="shared" si="32"/>
        <v>3362.8051273342512</v>
      </c>
    </row>
    <row r="20" spans="1:53" x14ac:dyDescent="0.25">
      <c r="A20" s="241">
        <f t="shared" si="29"/>
        <v>12490.488575678122</v>
      </c>
      <c r="B20" s="244" t="str">
        <f>IF(Helexia!C20=0,"",Helexia!C20)</f>
        <v>Samuel Torres Maciel</v>
      </c>
      <c r="C20" s="217" t="str">
        <f>IF(Helexia!G20=0,"",Helexia!G20)</f>
        <v>CLT</v>
      </c>
      <c r="D20" s="222">
        <v>2704</v>
      </c>
      <c r="E20" s="218"/>
      <c r="G20" s="220"/>
      <c r="I20" s="222"/>
      <c r="J20" s="223"/>
      <c r="K20" s="224">
        <f t="shared" si="30"/>
        <v>2704</v>
      </c>
      <c r="L20" s="239">
        <f t="shared" si="0"/>
        <v>811.19999999999993</v>
      </c>
      <c r="M20" s="225">
        <f t="shared" si="1"/>
        <v>3515.2</v>
      </c>
      <c r="N20" s="225">
        <f t="shared" si="2"/>
        <v>1240.8655999999999</v>
      </c>
      <c r="O20" s="225">
        <f t="shared" si="3"/>
        <v>390.53871999999996</v>
      </c>
      <c r="P20" s="222">
        <f t="shared" si="4"/>
        <v>292.81615999999997</v>
      </c>
      <c r="Q20" s="225">
        <f t="shared" si="5"/>
        <v>241.22427263999995</v>
      </c>
      <c r="R20" s="225">
        <f t="shared" si="6"/>
        <v>292.93333333333334</v>
      </c>
      <c r="S20" s="225">
        <f t="shared" si="7"/>
        <v>167.94219519999999</v>
      </c>
      <c r="T20" s="222">
        <v>1200</v>
      </c>
      <c r="U20" s="222">
        <v>0</v>
      </c>
      <c r="V20" s="225">
        <f t="shared" si="31"/>
        <v>3826.3202811733331</v>
      </c>
      <c r="W20" s="222">
        <f t="shared" si="8"/>
        <v>20.833333333333332</v>
      </c>
      <c r="X20" s="222">
        <f t="shared" si="9"/>
        <v>20.833333333333332</v>
      </c>
      <c r="Y20" s="222">
        <f t="shared" si="10"/>
        <v>18.75</v>
      </c>
      <c r="Z20" s="222">
        <f t="shared" si="11"/>
        <v>3.5714285714285716</v>
      </c>
      <c r="AA20" s="222">
        <f t="shared" si="12"/>
        <v>82.408333333333317</v>
      </c>
      <c r="AB20" s="222">
        <f t="shared" si="13"/>
        <v>87.916666666666657</v>
      </c>
      <c r="AC20" s="226">
        <f t="shared" si="14"/>
        <v>150</v>
      </c>
      <c r="AD20" s="222">
        <f t="shared" si="15"/>
        <v>66.666666666666671</v>
      </c>
      <c r="AE20" s="222">
        <f t="shared" si="16"/>
        <v>15</v>
      </c>
      <c r="AF20" s="222">
        <v>400</v>
      </c>
      <c r="AG20" s="225">
        <f t="shared" si="17"/>
        <v>865.97976190476197</v>
      </c>
      <c r="AH20" s="225">
        <f t="shared" si="18"/>
        <v>8207.5000430780947</v>
      </c>
      <c r="AI20" s="227">
        <v>0.04</v>
      </c>
      <c r="AJ20" s="228">
        <f t="shared" si="19"/>
        <v>328.30000172312378</v>
      </c>
      <c r="AK20" s="229">
        <v>0.04</v>
      </c>
      <c r="AL20" s="230">
        <f t="shared" si="20"/>
        <v>499.61954302712491</v>
      </c>
      <c r="AM20" s="227">
        <v>0.01</v>
      </c>
      <c r="AN20" s="228">
        <f t="shared" si="21"/>
        <v>82.075000430780946</v>
      </c>
      <c r="AO20" s="229">
        <v>0.01</v>
      </c>
      <c r="AP20" s="230">
        <f t="shared" si="22"/>
        <v>124.90488575678123</v>
      </c>
      <c r="AQ20" s="227">
        <v>0.1</v>
      </c>
      <c r="AR20" s="228">
        <f t="shared" si="23"/>
        <v>820.75000430780949</v>
      </c>
      <c r="AS20" s="229">
        <v>0.1</v>
      </c>
      <c r="AT20" s="230">
        <f t="shared" si="24"/>
        <v>1249.0488575678123</v>
      </c>
      <c r="AU20" s="227">
        <v>0.15640000000000001</v>
      </c>
      <c r="AV20" s="228">
        <f t="shared" si="25"/>
        <v>1850.7107940274138</v>
      </c>
      <c r="AW20" s="229">
        <v>0.19289999999999999</v>
      </c>
      <c r="AX20" s="230">
        <f t="shared" si="26"/>
        <v>2409.4152462483098</v>
      </c>
      <c r="AY20" s="231">
        <f t="shared" si="27"/>
        <v>11833.189220124128</v>
      </c>
      <c r="AZ20" s="230">
        <f t="shared" si="28"/>
        <v>12490.488575678122</v>
      </c>
      <c r="BA20" s="389">
        <f t="shared" si="32"/>
        <v>4187.0027234245963</v>
      </c>
    </row>
    <row r="21" spans="1:53" x14ac:dyDescent="0.25">
      <c r="A21" s="241">
        <f t="shared" si="29"/>
        <v>8203.5401422991363</v>
      </c>
      <c r="B21" s="216" t="str">
        <f>IF(Helexia!C21=0,"",Helexia!C21)</f>
        <v>Priscila Azevedo Goulart</v>
      </c>
      <c r="C21" s="217" t="str">
        <f>IF(Helexia!G21=0,"",Helexia!G21)</f>
        <v>CLT</v>
      </c>
      <c r="D21" s="222">
        <v>1860</v>
      </c>
      <c r="E21" s="218"/>
      <c r="G21" s="220"/>
      <c r="I21" s="222"/>
      <c r="J21" s="223"/>
      <c r="K21" s="224">
        <f t="shared" si="30"/>
        <v>1860</v>
      </c>
      <c r="L21" s="239">
        <f t="shared" si="0"/>
        <v>558</v>
      </c>
      <c r="M21" s="225">
        <f t="shared" si="1"/>
        <v>2418</v>
      </c>
      <c r="N21" s="225">
        <f t="shared" si="2"/>
        <v>853.55399999999997</v>
      </c>
      <c r="O21" s="225">
        <f t="shared" si="3"/>
        <v>268.63979999999998</v>
      </c>
      <c r="P21" s="222">
        <f t="shared" si="4"/>
        <v>201.4194</v>
      </c>
      <c r="Q21" s="225">
        <f t="shared" si="5"/>
        <v>165.93089759999998</v>
      </c>
      <c r="R21" s="225">
        <f t="shared" si="6"/>
        <v>201.5</v>
      </c>
      <c r="S21" s="225">
        <f t="shared" si="7"/>
        <v>115.52236799999999</v>
      </c>
      <c r="T21" s="222">
        <v>300</v>
      </c>
      <c r="U21" s="222">
        <v>0</v>
      </c>
      <c r="V21" s="225">
        <f t="shared" si="31"/>
        <v>2106.5664655999999</v>
      </c>
      <c r="W21" s="222">
        <f t="shared" si="8"/>
        <v>20.833333333333332</v>
      </c>
      <c r="X21" s="222">
        <f t="shared" si="9"/>
        <v>20.833333333333332</v>
      </c>
      <c r="Y21" s="222">
        <f t="shared" si="10"/>
        <v>18.75</v>
      </c>
      <c r="Z21" s="222">
        <f t="shared" si="11"/>
        <v>3.5714285714285716</v>
      </c>
      <c r="AA21" s="222">
        <f t="shared" si="12"/>
        <v>82.408333333333317</v>
      </c>
      <c r="AB21" s="222">
        <f t="shared" si="13"/>
        <v>87.916666666666657</v>
      </c>
      <c r="AC21" s="226">
        <f t="shared" si="14"/>
        <v>150</v>
      </c>
      <c r="AD21" s="222">
        <f t="shared" si="15"/>
        <v>66.666666666666671</v>
      </c>
      <c r="AE21" s="222">
        <f t="shared" si="16"/>
        <v>15</v>
      </c>
      <c r="AF21" s="222">
        <v>400</v>
      </c>
      <c r="AG21" s="225">
        <f t="shared" si="17"/>
        <v>865.97976190476197</v>
      </c>
      <c r="AH21" s="225">
        <f t="shared" si="18"/>
        <v>5390.5462275047621</v>
      </c>
      <c r="AI21" s="227">
        <v>0.04</v>
      </c>
      <c r="AJ21" s="228">
        <f t="shared" si="19"/>
        <v>215.6218491001905</v>
      </c>
      <c r="AK21" s="229">
        <v>0.04</v>
      </c>
      <c r="AL21" s="230">
        <f t="shared" si="20"/>
        <v>328.14160569196548</v>
      </c>
      <c r="AM21" s="227">
        <v>0.01</v>
      </c>
      <c r="AN21" s="228">
        <f t="shared" si="21"/>
        <v>53.905462275047626</v>
      </c>
      <c r="AO21" s="229">
        <v>0.01</v>
      </c>
      <c r="AP21" s="230">
        <f t="shared" si="22"/>
        <v>82.03540142299137</v>
      </c>
      <c r="AQ21" s="227">
        <v>0.1</v>
      </c>
      <c r="AR21" s="228">
        <f t="shared" si="23"/>
        <v>539.05462275047626</v>
      </c>
      <c r="AS21" s="229">
        <v>0.1</v>
      </c>
      <c r="AT21" s="230">
        <f t="shared" si="24"/>
        <v>820.35401422991367</v>
      </c>
      <c r="AU21" s="227">
        <v>0.15640000000000001</v>
      </c>
      <c r="AV21" s="228">
        <f t="shared" si="25"/>
        <v>1215.5153258098976</v>
      </c>
      <c r="AW21" s="229">
        <v>0.19289999999999999</v>
      </c>
      <c r="AX21" s="230">
        <f t="shared" si="26"/>
        <v>1582.4628934495033</v>
      </c>
      <c r="AY21" s="231">
        <f t="shared" si="27"/>
        <v>7771.8371215466586</v>
      </c>
      <c r="AZ21" s="230">
        <f t="shared" si="28"/>
        <v>8203.5401422991363</v>
      </c>
      <c r="BA21" s="389">
        <f t="shared" si="32"/>
        <v>3072.2226415331684</v>
      </c>
    </row>
    <row r="22" spans="1:53" x14ac:dyDescent="0.25">
      <c r="A22" s="241">
        <f t="shared" si="29"/>
        <v>8618.7109710517343</v>
      </c>
      <c r="B22" s="244" t="str">
        <f>IF(Helexia!C22=0,"",Helexia!C22)</f>
        <v>Henrique Vidal Soares</v>
      </c>
      <c r="C22" s="217" t="str">
        <f>IF(Helexia!G22=0,"",Helexia!G22)</f>
        <v>CLT</v>
      </c>
      <c r="D22" s="222">
        <v>1804</v>
      </c>
      <c r="E22" s="218"/>
      <c r="I22" s="222"/>
      <c r="J22" s="223"/>
      <c r="K22" s="224">
        <f t="shared" si="30"/>
        <v>1804</v>
      </c>
      <c r="L22" s="239">
        <f t="shared" si="0"/>
        <v>541.19999999999993</v>
      </c>
      <c r="M22" s="225">
        <f t="shared" si="1"/>
        <v>2345.1999999999998</v>
      </c>
      <c r="N22" s="225">
        <f t="shared" si="2"/>
        <v>827.85559999999987</v>
      </c>
      <c r="O22" s="225">
        <f t="shared" si="3"/>
        <v>260.55171999999993</v>
      </c>
      <c r="P22" s="222">
        <f t="shared" si="4"/>
        <v>195.35515999999998</v>
      </c>
      <c r="Q22" s="225">
        <f t="shared" si="5"/>
        <v>160.93512863999996</v>
      </c>
      <c r="R22" s="225">
        <f t="shared" si="6"/>
        <v>195.43333333333331</v>
      </c>
      <c r="S22" s="225">
        <f t="shared" si="7"/>
        <v>112.0442752</v>
      </c>
      <c r="T22" s="222">
        <v>700</v>
      </c>
      <c r="U22" s="222">
        <v>0</v>
      </c>
      <c r="V22" s="225">
        <f t="shared" si="31"/>
        <v>2452.1752171733333</v>
      </c>
      <c r="W22" s="222">
        <f t="shared" si="8"/>
        <v>20.833333333333332</v>
      </c>
      <c r="X22" s="222">
        <f t="shared" si="9"/>
        <v>20.833333333333332</v>
      </c>
      <c r="Y22" s="222">
        <f t="shared" si="10"/>
        <v>18.75</v>
      </c>
      <c r="Z22" s="222">
        <f t="shared" si="11"/>
        <v>3.5714285714285716</v>
      </c>
      <c r="AA22" s="222">
        <f t="shared" si="12"/>
        <v>82.408333333333317</v>
      </c>
      <c r="AB22" s="222">
        <f t="shared" si="13"/>
        <v>87.916666666666657</v>
      </c>
      <c r="AC22" s="226">
        <f t="shared" si="14"/>
        <v>150</v>
      </c>
      <c r="AD22" s="222">
        <f t="shared" si="15"/>
        <v>66.666666666666671</v>
      </c>
      <c r="AE22" s="222">
        <f t="shared" si="16"/>
        <v>15</v>
      </c>
      <c r="AF22" s="222">
        <v>400</v>
      </c>
      <c r="AG22" s="225">
        <f t="shared" si="17"/>
        <v>865.97976190476197</v>
      </c>
      <c r="AH22" s="225">
        <f t="shared" si="18"/>
        <v>5663.3549790780953</v>
      </c>
      <c r="AI22" s="227">
        <v>0.04</v>
      </c>
      <c r="AJ22" s="228">
        <f t="shared" si="19"/>
        <v>226.53419916312382</v>
      </c>
      <c r="AK22" s="229">
        <v>0.04</v>
      </c>
      <c r="AL22" s="230">
        <f t="shared" si="20"/>
        <v>344.74843884206939</v>
      </c>
      <c r="AM22" s="227">
        <v>0.01</v>
      </c>
      <c r="AN22" s="228">
        <f t="shared" si="21"/>
        <v>56.633549790780954</v>
      </c>
      <c r="AO22" s="229">
        <v>0.01</v>
      </c>
      <c r="AP22" s="230">
        <f t="shared" si="22"/>
        <v>86.187109710517348</v>
      </c>
      <c r="AQ22" s="227">
        <v>0.1</v>
      </c>
      <c r="AR22" s="228">
        <f t="shared" si="23"/>
        <v>566.33549790780955</v>
      </c>
      <c r="AS22" s="229">
        <v>0.1</v>
      </c>
      <c r="AT22" s="230">
        <f t="shared" si="24"/>
        <v>861.87109710517348</v>
      </c>
      <c r="AU22" s="227">
        <v>0.15640000000000001</v>
      </c>
      <c r="AV22" s="228">
        <f t="shared" si="25"/>
        <v>1277.0310246940803</v>
      </c>
      <c r="AW22" s="229">
        <v>0.19289999999999999</v>
      </c>
      <c r="AX22" s="230">
        <f t="shared" si="26"/>
        <v>1662.5493463158793</v>
      </c>
      <c r="AY22" s="231">
        <f t="shared" si="27"/>
        <v>8165.1600044378538</v>
      </c>
      <c r="AZ22" s="230">
        <f t="shared" si="28"/>
        <v>8618.7109710517343</v>
      </c>
      <c r="BA22" s="389">
        <f t="shared" si="32"/>
        <v>2998.2561906019837</v>
      </c>
    </row>
    <row r="23" spans="1:53" x14ac:dyDescent="0.25">
      <c r="A23" s="241">
        <f t="shared" si="29"/>
        <v>7021.4139448862607</v>
      </c>
      <c r="B23" s="216" t="str">
        <f>IF(Helexia!C23=0,"",Helexia!C23)</f>
        <v>André Luiz Falcão Duarte</v>
      </c>
      <c r="C23" s="217" t="str">
        <f>IF(Helexia!G23=0,"",Helexia!G23)</f>
        <v>CLT</v>
      </c>
      <c r="D23" s="222">
        <v>1518</v>
      </c>
      <c r="E23" s="218"/>
      <c r="I23" s="222"/>
      <c r="J23" s="223"/>
      <c r="K23" s="224">
        <f t="shared" si="30"/>
        <v>1518</v>
      </c>
      <c r="L23" s="239">
        <f t="shared" si="0"/>
        <v>455.4</v>
      </c>
      <c r="M23" s="225">
        <f t="shared" si="1"/>
        <v>1973.4</v>
      </c>
      <c r="N23" s="225">
        <f t="shared" si="2"/>
        <v>696.61019999999996</v>
      </c>
      <c r="O23" s="225">
        <f t="shared" si="3"/>
        <v>219.24473999999998</v>
      </c>
      <c r="P23" s="222">
        <f t="shared" si="4"/>
        <v>164.38422</v>
      </c>
      <c r="Q23" s="225">
        <f t="shared" si="5"/>
        <v>135.42102287999998</v>
      </c>
      <c r="R23" s="225">
        <f t="shared" si="6"/>
        <v>164.45000000000002</v>
      </c>
      <c r="S23" s="225">
        <f t="shared" si="7"/>
        <v>94.28115840000001</v>
      </c>
      <c r="T23" s="222">
        <v>300</v>
      </c>
      <c r="U23" s="222">
        <v>0</v>
      </c>
      <c r="V23" s="225">
        <f t="shared" si="31"/>
        <v>1774.39134128</v>
      </c>
      <c r="W23" s="222">
        <f t="shared" si="8"/>
        <v>20.833333333333332</v>
      </c>
      <c r="X23" s="222">
        <f t="shared" si="9"/>
        <v>20.833333333333332</v>
      </c>
      <c r="Y23" s="222">
        <f t="shared" si="10"/>
        <v>18.75</v>
      </c>
      <c r="Z23" s="222">
        <f t="shared" si="11"/>
        <v>3.5714285714285716</v>
      </c>
      <c r="AA23" s="222">
        <f t="shared" si="12"/>
        <v>82.408333333333317</v>
      </c>
      <c r="AB23" s="222">
        <f t="shared" si="13"/>
        <v>87.916666666666657</v>
      </c>
      <c r="AC23" s="226">
        <f t="shared" si="14"/>
        <v>150</v>
      </c>
      <c r="AD23" s="222">
        <f t="shared" si="15"/>
        <v>66.666666666666671</v>
      </c>
      <c r="AE23" s="222">
        <f t="shared" si="16"/>
        <v>15</v>
      </c>
      <c r="AF23" s="222">
        <v>400</v>
      </c>
      <c r="AG23" s="225">
        <f t="shared" si="17"/>
        <v>865.97976190476197</v>
      </c>
      <c r="AH23" s="225">
        <f t="shared" si="18"/>
        <v>4613.7711031847621</v>
      </c>
      <c r="AI23" s="227">
        <v>0.04</v>
      </c>
      <c r="AJ23" s="228">
        <f t="shared" si="19"/>
        <v>184.55084412739049</v>
      </c>
      <c r="AK23" s="229">
        <v>0.04</v>
      </c>
      <c r="AL23" s="230">
        <f t="shared" si="20"/>
        <v>280.85655779545044</v>
      </c>
      <c r="AM23" s="227">
        <v>0.01</v>
      </c>
      <c r="AN23" s="228">
        <f t="shared" si="21"/>
        <v>46.137711031847623</v>
      </c>
      <c r="AO23" s="229">
        <v>0.01</v>
      </c>
      <c r="AP23" s="230">
        <f t="shared" si="22"/>
        <v>70.21413944886261</v>
      </c>
      <c r="AQ23" s="227">
        <v>0.1</v>
      </c>
      <c r="AR23" s="228">
        <f t="shared" si="23"/>
        <v>461.37711031847624</v>
      </c>
      <c r="AS23" s="229">
        <v>0.1</v>
      </c>
      <c r="AT23" s="230">
        <f t="shared" si="24"/>
        <v>702.14139448862613</v>
      </c>
      <c r="AU23" s="227">
        <v>0.15640000000000001</v>
      </c>
      <c r="AV23" s="228">
        <f t="shared" si="25"/>
        <v>1040.3601507181327</v>
      </c>
      <c r="AW23" s="229">
        <v>0.19289999999999999</v>
      </c>
      <c r="AX23" s="230">
        <f t="shared" si="26"/>
        <v>1354.4307499685597</v>
      </c>
      <c r="AY23" s="231">
        <f t="shared" si="27"/>
        <v>6651.9191222386999</v>
      </c>
      <c r="AZ23" s="230">
        <f t="shared" si="28"/>
        <v>7021.4139448862607</v>
      </c>
      <c r="BA23" s="389">
        <f t="shared" si="32"/>
        <v>2620.498959060576</v>
      </c>
    </row>
    <row r="24" spans="1:53" x14ac:dyDescent="0.25">
      <c r="A24" s="241">
        <f t="shared" si="29"/>
        <v>11287.525895456949</v>
      </c>
      <c r="B24" s="244" t="str">
        <f>IF(Helexia!C24=0,"",Helexia!C24)</f>
        <v>Camila Noronha Brito</v>
      </c>
      <c r="C24" s="217" t="str">
        <f>IF(Helexia!G24=0,"",Helexia!G24)</f>
        <v>CLT</v>
      </c>
      <c r="D24" s="222">
        <v>2400</v>
      </c>
      <c r="E24" s="218"/>
      <c r="K24" s="224">
        <f t="shared" si="30"/>
        <v>2400</v>
      </c>
      <c r="L24" s="239">
        <f t="shared" si="0"/>
        <v>720</v>
      </c>
      <c r="M24" s="225">
        <f t="shared" si="1"/>
        <v>3120</v>
      </c>
      <c r="N24" s="225">
        <f t="shared" si="2"/>
        <v>1101.3599999999999</v>
      </c>
      <c r="O24" s="225">
        <f t="shared" si="3"/>
        <v>346.63199999999995</v>
      </c>
      <c r="P24" s="222">
        <f t="shared" si="4"/>
        <v>259.89600000000002</v>
      </c>
      <c r="Q24" s="225">
        <f t="shared" si="5"/>
        <v>214.10438399999998</v>
      </c>
      <c r="R24" s="225">
        <f t="shared" si="6"/>
        <v>260</v>
      </c>
      <c r="S24" s="225">
        <f t="shared" si="7"/>
        <v>149.06112000000002</v>
      </c>
      <c r="T24" s="222">
        <v>1100</v>
      </c>
      <c r="U24" s="222">
        <v>0</v>
      </c>
      <c r="V24" s="225">
        <f t="shared" si="31"/>
        <v>3431.0535039999995</v>
      </c>
      <c r="W24" s="222">
        <f t="shared" si="8"/>
        <v>20.833333333333332</v>
      </c>
      <c r="X24" s="222">
        <f t="shared" si="9"/>
        <v>20.833333333333332</v>
      </c>
      <c r="Y24" s="222">
        <f t="shared" si="10"/>
        <v>18.75</v>
      </c>
      <c r="Z24" s="222">
        <f t="shared" si="11"/>
        <v>3.5714285714285716</v>
      </c>
      <c r="AA24" s="222">
        <f t="shared" si="12"/>
        <v>82.408333333333317</v>
      </c>
      <c r="AB24" s="222">
        <f t="shared" si="13"/>
        <v>87.916666666666657</v>
      </c>
      <c r="AC24" s="226">
        <f t="shared" si="14"/>
        <v>150</v>
      </c>
      <c r="AD24" s="222">
        <f t="shared" si="15"/>
        <v>66.666666666666671</v>
      </c>
      <c r="AE24" s="222">
        <f t="shared" si="16"/>
        <v>15</v>
      </c>
      <c r="AF24" s="222">
        <v>400</v>
      </c>
      <c r="AG24" s="225">
        <f t="shared" si="17"/>
        <v>865.97976190476197</v>
      </c>
      <c r="AH24" s="225">
        <f t="shared" si="18"/>
        <v>7417.0332659047617</v>
      </c>
      <c r="AI24" s="227">
        <v>0.04</v>
      </c>
      <c r="AJ24" s="228">
        <f t="shared" si="19"/>
        <v>296.68133063619047</v>
      </c>
      <c r="AK24" s="229">
        <v>0.04</v>
      </c>
      <c r="AL24" s="230">
        <f t="shared" si="20"/>
        <v>451.50103581827796</v>
      </c>
      <c r="AM24" s="227">
        <v>0.01</v>
      </c>
      <c r="AN24" s="228">
        <f t="shared" si="21"/>
        <v>74.170332659047617</v>
      </c>
      <c r="AO24" s="229">
        <v>0.01</v>
      </c>
      <c r="AP24" s="230">
        <f t="shared" si="22"/>
        <v>112.87525895456949</v>
      </c>
      <c r="AQ24" s="227">
        <v>0.1</v>
      </c>
      <c r="AR24" s="228">
        <f t="shared" si="23"/>
        <v>741.70332659047619</v>
      </c>
      <c r="AS24" s="229">
        <v>0.1</v>
      </c>
      <c r="AT24" s="230">
        <f t="shared" si="24"/>
        <v>1128.7525895456949</v>
      </c>
      <c r="AU24" s="227">
        <v>0.15640000000000001</v>
      </c>
      <c r="AV24" s="228">
        <f t="shared" si="25"/>
        <v>1672.468285449113</v>
      </c>
      <c r="AW24" s="229">
        <v>0.19289999999999999</v>
      </c>
      <c r="AX24" s="230">
        <f t="shared" si="26"/>
        <v>2177.3637452336452</v>
      </c>
      <c r="AY24" s="231">
        <f t="shared" si="27"/>
        <v>10693.531236886911</v>
      </c>
      <c r="AZ24" s="230">
        <f t="shared" si="28"/>
        <v>11287.525895456949</v>
      </c>
      <c r="BA24" s="389">
        <f t="shared" si="32"/>
        <v>3785.4705612267358</v>
      </c>
    </row>
    <row r="25" spans="1:53" x14ac:dyDescent="0.25">
      <c r="A25" s="241">
        <f t="shared" si="29"/>
        <v>9987.4886733192743</v>
      </c>
      <c r="B25" s="216" t="str">
        <f>IF(Helexia!C25=0,"",Helexia!C25)</f>
        <v>João Victor Meireles</v>
      </c>
      <c r="C25" s="217" t="str">
        <f>IF(Helexia!G25=0,"",Helexia!G25)</f>
        <v>CLT</v>
      </c>
      <c r="D25" s="222">
        <v>2200</v>
      </c>
      <c r="K25" s="224">
        <f t="shared" si="30"/>
        <v>2200</v>
      </c>
      <c r="L25" s="239">
        <f t="shared" si="0"/>
        <v>660</v>
      </c>
      <c r="M25" s="225">
        <f t="shared" si="1"/>
        <v>2860</v>
      </c>
      <c r="N25" s="225">
        <f t="shared" si="2"/>
        <v>1009.5799999999999</v>
      </c>
      <c r="O25" s="225">
        <f t="shared" si="3"/>
        <v>317.74599999999998</v>
      </c>
      <c r="P25" s="222">
        <f t="shared" si="4"/>
        <v>238.238</v>
      </c>
      <c r="Q25" s="225">
        <f t="shared" si="5"/>
        <v>196.26235199999996</v>
      </c>
      <c r="R25" s="225">
        <f t="shared" si="6"/>
        <v>238.33333333333334</v>
      </c>
      <c r="S25" s="225">
        <f t="shared" si="7"/>
        <v>136.63936000000001</v>
      </c>
      <c r="T25" s="222">
        <v>700</v>
      </c>
      <c r="U25" s="222">
        <v>0</v>
      </c>
      <c r="V25" s="225">
        <f t="shared" si="31"/>
        <v>2836.7990453333332</v>
      </c>
      <c r="W25" s="222">
        <f t="shared" si="8"/>
        <v>20.833333333333332</v>
      </c>
      <c r="X25" s="222">
        <f t="shared" si="9"/>
        <v>20.833333333333332</v>
      </c>
      <c r="Y25" s="222">
        <f t="shared" si="10"/>
        <v>18.75</v>
      </c>
      <c r="Z25" s="222">
        <f t="shared" si="11"/>
        <v>3.5714285714285716</v>
      </c>
      <c r="AA25" s="222">
        <f t="shared" si="12"/>
        <v>82.408333333333317</v>
      </c>
      <c r="AB25" s="222">
        <f t="shared" si="13"/>
        <v>87.916666666666657</v>
      </c>
      <c r="AC25" s="226">
        <f t="shared" si="14"/>
        <v>150</v>
      </c>
      <c r="AD25" s="222">
        <f t="shared" si="15"/>
        <v>66.666666666666671</v>
      </c>
      <c r="AE25" s="222">
        <f t="shared" si="16"/>
        <v>15</v>
      </c>
      <c r="AF25" s="222">
        <v>400</v>
      </c>
      <c r="AG25" s="225">
        <f t="shared" si="17"/>
        <v>865.97976190476197</v>
      </c>
      <c r="AH25" s="225">
        <f t="shared" si="18"/>
        <v>6562.7788072380954</v>
      </c>
      <c r="AI25" s="227">
        <v>0.04</v>
      </c>
      <c r="AJ25" s="228">
        <f t="shared" si="19"/>
        <v>262.51115228952381</v>
      </c>
      <c r="AK25" s="229">
        <v>0.04</v>
      </c>
      <c r="AL25" s="230">
        <f t="shared" si="20"/>
        <v>399.49954693277095</v>
      </c>
      <c r="AM25" s="227">
        <v>0.01</v>
      </c>
      <c r="AN25" s="228">
        <f t="shared" si="21"/>
        <v>65.627788072380952</v>
      </c>
      <c r="AO25" s="229">
        <v>0.01</v>
      </c>
      <c r="AP25" s="230">
        <f t="shared" si="22"/>
        <v>99.874886733192739</v>
      </c>
      <c r="AQ25" s="227">
        <v>0.1</v>
      </c>
      <c r="AR25" s="228">
        <f t="shared" si="23"/>
        <v>656.27788072380963</v>
      </c>
      <c r="AS25" s="229">
        <v>0.1</v>
      </c>
      <c r="AT25" s="230">
        <f t="shared" si="24"/>
        <v>998.7488673319275</v>
      </c>
      <c r="AU25" s="227">
        <v>0.15640000000000001</v>
      </c>
      <c r="AV25" s="228">
        <f t="shared" si="25"/>
        <v>1479.8422800634921</v>
      </c>
      <c r="AW25" s="229">
        <v>0.19289999999999999</v>
      </c>
      <c r="AX25" s="230">
        <f t="shared" si="26"/>
        <v>1926.586565083288</v>
      </c>
      <c r="AY25" s="231">
        <f t="shared" si="27"/>
        <v>9461.9071615312787</v>
      </c>
      <c r="AZ25" s="230">
        <f t="shared" si="28"/>
        <v>9987.4886733192743</v>
      </c>
      <c r="BA25" s="389">
        <f t="shared" si="32"/>
        <v>3521.3046650439333</v>
      </c>
    </row>
    <row r="26" spans="1:53" x14ac:dyDescent="0.25">
      <c r="A26" s="241">
        <f t="shared" si="29"/>
        <v>8009.9756187461498</v>
      </c>
      <c r="B26" s="244" t="str">
        <f>IF(Helexia!C26=0,"",Helexia!C26)</f>
        <v>Renata Salgado Motta</v>
      </c>
      <c r="C26" s="217" t="str">
        <f>IF(Helexia!G26=0,"",Helexia!G26)</f>
        <v>CLT</v>
      </c>
      <c r="D26" s="222">
        <v>1804</v>
      </c>
      <c r="K26" s="224">
        <f t="shared" si="30"/>
        <v>1804</v>
      </c>
      <c r="L26" s="239">
        <f t="shared" si="0"/>
        <v>541.19999999999993</v>
      </c>
      <c r="M26" s="225">
        <f t="shared" si="1"/>
        <v>2345.1999999999998</v>
      </c>
      <c r="N26" s="225">
        <f t="shared" si="2"/>
        <v>827.85559999999987</v>
      </c>
      <c r="O26" s="225">
        <f t="shared" si="3"/>
        <v>260.55171999999993</v>
      </c>
      <c r="P26" s="222">
        <f t="shared" si="4"/>
        <v>195.35515999999998</v>
      </c>
      <c r="Q26" s="225">
        <f t="shared" si="5"/>
        <v>160.93512863999996</v>
      </c>
      <c r="R26" s="225">
        <f t="shared" si="6"/>
        <v>195.43333333333331</v>
      </c>
      <c r="S26" s="225">
        <f t="shared" si="7"/>
        <v>112.0442752</v>
      </c>
      <c r="T26" s="222">
        <v>300</v>
      </c>
      <c r="U26" s="222">
        <v>0</v>
      </c>
      <c r="V26" s="225">
        <f t="shared" si="31"/>
        <v>2052.1752171733333</v>
      </c>
      <c r="W26" s="222">
        <f t="shared" si="8"/>
        <v>20.833333333333332</v>
      </c>
      <c r="X26" s="222">
        <f t="shared" si="9"/>
        <v>20.833333333333332</v>
      </c>
      <c r="Y26" s="222">
        <f t="shared" si="10"/>
        <v>18.75</v>
      </c>
      <c r="Z26" s="222">
        <f t="shared" si="11"/>
        <v>3.5714285714285716</v>
      </c>
      <c r="AA26" s="222">
        <f t="shared" si="12"/>
        <v>82.408333333333317</v>
      </c>
      <c r="AB26" s="222">
        <f t="shared" si="13"/>
        <v>87.916666666666657</v>
      </c>
      <c r="AC26" s="226">
        <f t="shared" si="14"/>
        <v>150</v>
      </c>
      <c r="AD26" s="222">
        <f t="shared" si="15"/>
        <v>66.666666666666671</v>
      </c>
      <c r="AE26" s="222">
        <f t="shared" si="16"/>
        <v>15</v>
      </c>
      <c r="AF26" s="222">
        <v>400</v>
      </c>
      <c r="AG26" s="225">
        <f t="shared" si="17"/>
        <v>865.97976190476197</v>
      </c>
      <c r="AH26" s="225">
        <f t="shared" si="18"/>
        <v>5263.3549790780953</v>
      </c>
      <c r="AI26" s="227">
        <v>0.04</v>
      </c>
      <c r="AJ26" s="228">
        <f t="shared" si="19"/>
        <v>210.53419916312382</v>
      </c>
      <c r="AK26" s="229">
        <v>0.04</v>
      </c>
      <c r="AL26" s="230">
        <f t="shared" si="20"/>
        <v>320.39902474984598</v>
      </c>
      <c r="AM26" s="227">
        <v>0.01</v>
      </c>
      <c r="AN26" s="228">
        <f t="shared" si="21"/>
        <v>52.633549790780954</v>
      </c>
      <c r="AO26" s="229">
        <v>0.01</v>
      </c>
      <c r="AP26" s="230">
        <f t="shared" si="22"/>
        <v>80.099756187461495</v>
      </c>
      <c r="AQ26" s="227">
        <v>0.1</v>
      </c>
      <c r="AR26" s="228">
        <f t="shared" si="23"/>
        <v>526.33549790780955</v>
      </c>
      <c r="AS26" s="229">
        <v>0.1</v>
      </c>
      <c r="AT26" s="230">
        <f t="shared" si="24"/>
        <v>800.99756187461503</v>
      </c>
      <c r="AU26" s="227">
        <v>0.15640000000000001</v>
      </c>
      <c r="AV26" s="228">
        <f t="shared" si="25"/>
        <v>1186.8349462627079</v>
      </c>
      <c r="AW26" s="229">
        <v>0.19289999999999999</v>
      </c>
      <c r="AX26" s="230">
        <f t="shared" si="26"/>
        <v>1545.1242968561321</v>
      </c>
      <c r="AY26" s="231">
        <f t="shared" si="27"/>
        <v>7588.4587356950624</v>
      </c>
      <c r="AZ26" s="230">
        <f t="shared" si="28"/>
        <v>8009.9756187461498</v>
      </c>
      <c r="BA26" s="389">
        <f t="shared" si="32"/>
        <v>2998.2561906019837</v>
      </c>
    </row>
    <row r="27" spans="1:53" x14ac:dyDescent="0.25">
      <c r="A27" s="241">
        <f t="shared" si="29"/>
        <v>8009.9756187461498</v>
      </c>
      <c r="B27" s="216" t="str">
        <f>IF(Helexia!C27=0,"",Helexia!C27)</f>
        <v>Igor Valente Cruz</v>
      </c>
      <c r="C27" s="217" t="str">
        <f>IF(Helexia!G27=0,"",Helexia!G27)</f>
        <v>CLT</v>
      </c>
      <c r="D27" s="222">
        <v>1804</v>
      </c>
      <c r="K27" s="224">
        <f t="shared" si="30"/>
        <v>1804</v>
      </c>
      <c r="L27" s="239">
        <f t="shared" si="0"/>
        <v>541.19999999999993</v>
      </c>
      <c r="M27" s="225">
        <f t="shared" si="1"/>
        <v>2345.1999999999998</v>
      </c>
      <c r="N27" s="225">
        <f t="shared" si="2"/>
        <v>827.85559999999987</v>
      </c>
      <c r="O27" s="225">
        <f t="shared" si="3"/>
        <v>260.55171999999993</v>
      </c>
      <c r="P27" s="222">
        <f t="shared" si="4"/>
        <v>195.35515999999998</v>
      </c>
      <c r="Q27" s="225">
        <f t="shared" si="5"/>
        <v>160.93512863999996</v>
      </c>
      <c r="R27" s="225">
        <f t="shared" si="6"/>
        <v>195.43333333333331</v>
      </c>
      <c r="S27" s="225">
        <f t="shared" si="7"/>
        <v>112.0442752</v>
      </c>
      <c r="T27" s="222">
        <v>300</v>
      </c>
      <c r="U27" s="222">
        <v>0</v>
      </c>
      <c r="V27" s="225">
        <f t="shared" si="31"/>
        <v>2052.1752171733333</v>
      </c>
      <c r="W27" s="222">
        <f t="shared" si="8"/>
        <v>20.833333333333332</v>
      </c>
      <c r="X27" s="222">
        <f t="shared" si="9"/>
        <v>20.833333333333332</v>
      </c>
      <c r="Y27" s="222">
        <f t="shared" si="10"/>
        <v>18.75</v>
      </c>
      <c r="Z27" s="222">
        <f t="shared" si="11"/>
        <v>3.5714285714285716</v>
      </c>
      <c r="AA27" s="222">
        <f t="shared" si="12"/>
        <v>82.408333333333317</v>
      </c>
      <c r="AB27" s="222">
        <f t="shared" si="13"/>
        <v>87.916666666666657</v>
      </c>
      <c r="AC27" s="226">
        <f t="shared" si="14"/>
        <v>150</v>
      </c>
      <c r="AD27" s="222">
        <f t="shared" si="15"/>
        <v>66.666666666666671</v>
      </c>
      <c r="AE27" s="222">
        <f t="shared" si="16"/>
        <v>15</v>
      </c>
      <c r="AF27" s="222">
        <v>400</v>
      </c>
      <c r="AG27" s="225">
        <f t="shared" si="17"/>
        <v>865.97976190476197</v>
      </c>
      <c r="AH27" s="225">
        <f t="shared" si="18"/>
        <v>5263.3549790780953</v>
      </c>
      <c r="AI27" s="227">
        <v>0.04</v>
      </c>
      <c r="AJ27" s="228">
        <f t="shared" si="19"/>
        <v>210.53419916312382</v>
      </c>
      <c r="AK27" s="229">
        <v>0.04</v>
      </c>
      <c r="AL27" s="230">
        <f t="shared" si="20"/>
        <v>320.39902474984598</v>
      </c>
      <c r="AM27" s="227">
        <v>0.01</v>
      </c>
      <c r="AN27" s="228">
        <f t="shared" si="21"/>
        <v>52.633549790780954</v>
      </c>
      <c r="AO27" s="229">
        <v>0.01</v>
      </c>
      <c r="AP27" s="230">
        <f t="shared" si="22"/>
        <v>80.099756187461495</v>
      </c>
      <c r="AQ27" s="227">
        <v>0.1</v>
      </c>
      <c r="AR27" s="228">
        <f t="shared" si="23"/>
        <v>526.33549790780955</v>
      </c>
      <c r="AS27" s="229">
        <v>0.1</v>
      </c>
      <c r="AT27" s="230">
        <f t="shared" si="24"/>
        <v>800.99756187461503</v>
      </c>
      <c r="AU27" s="227">
        <v>0.15640000000000001</v>
      </c>
      <c r="AV27" s="228">
        <f t="shared" si="25"/>
        <v>1186.8349462627079</v>
      </c>
      <c r="AW27" s="229">
        <v>0.19289999999999999</v>
      </c>
      <c r="AX27" s="230">
        <f t="shared" si="26"/>
        <v>1545.1242968561321</v>
      </c>
      <c r="AY27" s="231">
        <f t="shared" si="27"/>
        <v>7588.4587356950624</v>
      </c>
      <c r="AZ27" s="230">
        <f t="shared" si="28"/>
        <v>8009.9756187461498</v>
      </c>
      <c r="BA27" s="389">
        <f t="shared" si="32"/>
        <v>2998.2561906019837</v>
      </c>
    </row>
    <row r="28" spans="1:53" x14ac:dyDescent="0.25">
      <c r="A28" s="241">
        <f t="shared" si="29"/>
        <v>13415.663960693088</v>
      </c>
      <c r="B28" s="244" t="str">
        <f>IF(Helexia!C28=0,"",Helexia!C28)</f>
        <v>Lucas Rafael Monte Verde Santos</v>
      </c>
      <c r="C28" s="217" t="str">
        <f>IF(Helexia!G28=0,"",Helexia!G28)</f>
        <v>CLT</v>
      </c>
      <c r="D28" s="222">
        <v>3500</v>
      </c>
      <c r="K28" s="224">
        <f t="shared" si="30"/>
        <v>3500</v>
      </c>
      <c r="L28" s="239">
        <f t="shared" si="0"/>
        <v>1050</v>
      </c>
      <c r="M28" s="225">
        <f t="shared" si="1"/>
        <v>4550</v>
      </c>
      <c r="N28" s="225">
        <f t="shared" si="2"/>
        <v>1606.1499999999999</v>
      </c>
      <c r="O28" s="225">
        <f t="shared" si="3"/>
        <v>505.50499999999994</v>
      </c>
      <c r="P28" s="222">
        <f t="shared" si="4"/>
        <v>379.01499999999999</v>
      </c>
      <c r="Q28" s="225">
        <f t="shared" si="5"/>
        <v>312.23555999999996</v>
      </c>
      <c r="R28" s="225">
        <f t="shared" si="6"/>
        <v>379.16666666666669</v>
      </c>
      <c r="S28" s="225">
        <f t="shared" si="7"/>
        <v>217.38080000000002</v>
      </c>
      <c r="T28" s="222">
        <v>0</v>
      </c>
      <c r="U28" s="222">
        <v>0</v>
      </c>
      <c r="V28" s="225">
        <f t="shared" si="31"/>
        <v>3399.4530266666661</v>
      </c>
      <c r="W28" s="222">
        <f t="shared" si="8"/>
        <v>20.833333333333332</v>
      </c>
      <c r="X28" s="222">
        <f t="shared" si="9"/>
        <v>20.833333333333332</v>
      </c>
      <c r="Y28" s="222">
        <f t="shared" si="10"/>
        <v>18.75</v>
      </c>
      <c r="Z28" s="222">
        <f t="shared" si="11"/>
        <v>3.5714285714285716</v>
      </c>
      <c r="AA28" s="222">
        <f t="shared" si="12"/>
        <v>82.408333333333317</v>
      </c>
      <c r="AB28" s="222">
        <f t="shared" si="13"/>
        <v>87.916666666666657</v>
      </c>
      <c r="AC28" s="226">
        <f t="shared" si="14"/>
        <v>150</v>
      </c>
      <c r="AD28" s="222">
        <f t="shared" si="15"/>
        <v>66.666666666666671</v>
      </c>
      <c r="AE28" s="222">
        <f t="shared" si="16"/>
        <v>15</v>
      </c>
      <c r="AF28" s="222">
        <v>400</v>
      </c>
      <c r="AG28" s="225">
        <f t="shared" si="17"/>
        <v>865.97976190476197</v>
      </c>
      <c r="AH28" s="225">
        <f t="shared" si="18"/>
        <v>8815.4327885714283</v>
      </c>
      <c r="AI28" s="227">
        <v>0.04</v>
      </c>
      <c r="AJ28" s="228">
        <f t="shared" si="19"/>
        <v>352.61731154285712</v>
      </c>
      <c r="AK28" s="229">
        <v>0.04</v>
      </c>
      <c r="AL28" s="230">
        <f t="shared" si="20"/>
        <v>536.62655842772347</v>
      </c>
      <c r="AM28" s="227">
        <v>0.01</v>
      </c>
      <c r="AN28" s="228">
        <f t="shared" si="21"/>
        <v>88.154327885714281</v>
      </c>
      <c r="AO28" s="229">
        <v>0.01</v>
      </c>
      <c r="AP28" s="230">
        <f t="shared" si="22"/>
        <v>134.15663960693087</v>
      </c>
      <c r="AQ28" s="227">
        <v>0.1</v>
      </c>
      <c r="AR28" s="228">
        <f t="shared" si="23"/>
        <v>881.54327885714292</v>
      </c>
      <c r="AS28" s="229">
        <v>0.1</v>
      </c>
      <c r="AT28" s="230">
        <f t="shared" si="24"/>
        <v>1341.5663960693089</v>
      </c>
      <c r="AU28" s="227">
        <v>0.15640000000000001</v>
      </c>
      <c r="AV28" s="228">
        <f t="shared" si="25"/>
        <v>1987.7936680112048</v>
      </c>
      <c r="AW28" s="229">
        <v>0.19289999999999999</v>
      </c>
      <c r="AX28" s="230">
        <f t="shared" si="26"/>
        <v>2587.8815780176965</v>
      </c>
      <c r="AY28" s="231">
        <f t="shared" si="27"/>
        <v>12709.678184214863</v>
      </c>
      <c r="AZ28" s="230">
        <f t="shared" si="28"/>
        <v>13415.663960693088</v>
      </c>
      <c r="BA28" s="389">
        <f t="shared" si="32"/>
        <v>5238.3829902321513</v>
      </c>
    </row>
    <row r="29" spans="1:53" x14ac:dyDescent="0.25">
      <c r="A29" s="241">
        <f t="shared" si="29"/>
        <v>23785.192008174447</v>
      </c>
      <c r="B29" s="216" t="str">
        <f>IF(Helexia!C29=0,"",Helexia!C29)</f>
        <v>Ana Beatriz Rocha Diniz</v>
      </c>
      <c r="C29" s="217" t="str">
        <f>IF(Helexia!G29=0,"",Helexia!G29)</f>
        <v>CLT</v>
      </c>
      <c r="D29" s="222">
        <v>6500</v>
      </c>
      <c r="K29" s="224">
        <f t="shared" si="30"/>
        <v>6500</v>
      </c>
      <c r="L29" s="239">
        <f t="shared" si="0"/>
        <v>1950</v>
      </c>
      <c r="M29" s="225">
        <f t="shared" si="1"/>
        <v>8450</v>
      </c>
      <c r="N29" s="225">
        <f t="shared" si="2"/>
        <v>2982.85</v>
      </c>
      <c r="O29" s="225">
        <f t="shared" si="3"/>
        <v>938.79499999999996</v>
      </c>
      <c r="P29" s="222">
        <f t="shared" si="4"/>
        <v>703.88499999999999</v>
      </c>
      <c r="Q29" s="225">
        <f t="shared" si="5"/>
        <v>579.86603999999988</v>
      </c>
      <c r="R29" s="225">
        <f t="shared" si="6"/>
        <v>704.16666666666663</v>
      </c>
      <c r="S29" s="225">
        <f t="shared" si="7"/>
        <v>403.7072</v>
      </c>
      <c r="T29" s="222">
        <v>0</v>
      </c>
      <c r="U29" s="222">
        <v>0</v>
      </c>
      <c r="V29" s="225">
        <f t="shared" si="31"/>
        <v>6313.2699066666664</v>
      </c>
      <c r="W29" s="222">
        <f t="shared" si="8"/>
        <v>20.833333333333332</v>
      </c>
      <c r="X29" s="222">
        <f t="shared" si="9"/>
        <v>20.833333333333332</v>
      </c>
      <c r="Y29" s="222">
        <f t="shared" si="10"/>
        <v>18.75</v>
      </c>
      <c r="Z29" s="222">
        <f t="shared" si="11"/>
        <v>3.5714285714285716</v>
      </c>
      <c r="AA29" s="222">
        <f t="shared" si="12"/>
        <v>82.408333333333317</v>
      </c>
      <c r="AB29" s="222">
        <f t="shared" si="13"/>
        <v>87.916666666666657</v>
      </c>
      <c r="AC29" s="226">
        <f t="shared" si="14"/>
        <v>150</v>
      </c>
      <c r="AD29" s="222">
        <f t="shared" si="15"/>
        <v>66.666666666666671</v>
      </c>
      <c r="AE29" s="222">
        <f t="shared" si="16"/>
        <v>15</v>
      </c>
      <c r="AF29" s="222">
        <v>400</v>
      </c>
      <c r="AG29" s="225">
        <f t="shared" si="17"/>
        <v>865.97976190476197</v>
      </c>
      <c r="AH29" s="225">
        <f t="shared" si="18"/>
        <v>15629.249668571429</v>
      </c>
      <c r="AI29" s="227">
        <v>0.04</v>
      </c>
      <c r="AJ29" s="228">
        <f t="shared" si="19"/>
        <v>625.16998674285719</v>
      </c>
      <c r="AK29" s="229">
        <v>0.04</v>
      </c>
      <c r="AL29" s="230">
        <f t="shared" si="20"/>
        <v>951.40768032697792</v>
      </c>
      <c r="AM29" s="227">
        <v>0.01</v>
      </c>
      <c r="AN29" s="228">
        <f t="shared" si="21"/>
        <v>156.2924966857143</v>
      </c>
      <c r="AO29" s="229">
        <v>0.01</v>
      </c>
      <c r="AP29" s="230">
        <f t="shared" si="22"/>
        <v>237.85192008174448</v>
      </c>
      <c r="AQ29" s="227">
        <v>0.1</v>
      </c>
      <c r="AR29" s="228">
        <f t="shared" si="23"/>
        <v>1562.9249668571429</v>
      </c>
      <c r="AS29" s="229">
        <v>0.1</v>
      </c>
      <c r="AT29" s="230">
        <f t="shared" si="24"/>
        <v>2378.5192008174449</v>
      </c>
      <c r="AU29" s="227">
        <v>0.15640000000000001</v>
      </c>
      <c r="AV29" s="228">
        <f t="shared" si="25"/>
        <v>3524.2425723249303</v>
      </c>
      <c r="AW29" s="229">
        <v>0.19289999999999999</v>
      </c>
      <c r="AX29" s="230">
        <f t="shared" si="26"/>
        <v>4588.1635383768507</v>
      </c>
      <c r="AY29" s="231">
        <f t="shared" si="27"/>
        <v>22533.520283407481</v>
      </c>
      <c r="AZ29" s="230">
        <f t="shared" si="28"/>
        <v>23785.192008174447</v>
      </c>
      <c r="BA29" s="389">
        <f t="shared" si="32"/>
        <v>9200.8714329741942</v>
      </c>
    </row>
    <row r="30" spans="1:53" x14ac:dyDescent="0.25">
      <c r="A30" s="241">
        <f t="shared" si="29"/>
        <v>12103.164675145481</v>
      </c>
      <c r="B30" s="244" t="str">
        <f>IF(Helexia!C30=0,"",Helexia!C30)</f>
        <v>Marcelo Augusto Ferraz Pinho</v>
      </c>
      <c r="C30" s="217" t="str">
        <f>IF(Helexia!G30=0,"",Helexia!G30)</f>
        <v>CLT</v>
      </c>
      <c r="D30" s="222">
        <v>2680</v>
      </c>
      <c r="K30" s="224">
        <f t="shared" si="30"/>
        <v>2680</v>
      </c>
      <c r="L30" s="239">
        <f t="shared" si="0"/>
        <v>804</v>
      </c>
      <c r="M30" s="225">
        <f t="shared" si="1"/>
        <v>3484</v>
      </c>
      <c r="N30" s="225">
        <f t="shared" si="2"/>
        <v>1229.8519999999999</v>
      </c>
      <c r="O30" s="225">
        <f t="shared" si="3"/>
        <v>387.07239999999996</v>
      </c>
      <c r="P30" s="222">
        <f t="shared" si="4"/>
        <v>290.21719999999999</v>
      </c>
      <c r="Q30" s="225">
        <f t="shared" si="5"/>
        <v>239.08322879999997</v>
      </c>
      <c r="R30" s="225">
        <f t="shared" si="6"/>
        <v>290.33333333333331</v>
      </c>
      <c r="S30" s="225">
        <f t="shared" si="7"/>
        <v>166.451584</v>
      </c>
      <c r="T30" s="222">
        <v>1000</v>
      </c>
      <c r="U30" s="222">
        <v>0</v>
      </c>
      <c r="V30" s="225">
        <f t="shared" si="31"/>
        <v>3603.0097461333335</v>
      </c>
      <c r="W30" s="222">
        <f t="shared" si="8"/>
        <v>20.833333333333332</v>
      </c>
      <c r="X30" s="222">
        <f t="shared" si="9"/>
        <v>20.833333333333332</v>
      </c>
      <c r="Y30" s="222">
        <f t="shared" si="10"/>
        <v>18.75</v>
      </c>
      <c r="Z30" s="222">
        <f t="shared" si="11"/>
        <v>3.5714285714285716</v>
      </c>
      <c r="AA30" s="222">
        <f t="shared" si="12"/>
        <v>82.408333333333317</v>
      </c>
      <c r="AB30" s="222">
        <f t="shared" si="13"/>
        <v>87.916666666666657</v>
      </c>
      <c r="AC30" s="226">
        <f t="shared" si="14"/>
        <v>150</v>
      </c>
      <c r="AD30" s="222">
        <f t="shared" si="15"/>
        <v>66.666666666666671</v>
      </c>
      <c r="AE30" s="222">
        <f t="shared" si="16"/>
        <v>15</v>
      </c>
      <c r="AF30" s="222">
        <v>400</v>
      </c>
      <c r="AG30" s="225">
        <f t="shared" si="17"/>
        <v>865.97976190476197</v>
      </c>
      <c r="AH30" s="225">
        <f t="shared" si="18"/>
        <v>7952.9895080380957</v>
      </c>
      <c r="AI30" s="227">
        <v>0.04</v>
      </c>
      <c r="AJ30" s="228">
        <f t="shared" si="19"/>
        <v>318.11958032152381</v>
      </c>
      <c r="AK30" s="229">
        <v>0.04</v>
      </c>
      <c r="AL30" s="230">
        <f t="shared" si="20"/>
        <v>484.12658700581926</v>
      </c>
      <c r="AM30" s="227">
        <v>0.01</v>
      </c>
      <c r="AN30" s="228">
        <f t="shared" si="21"/>
        <v>79.529895080380953</v>
      </c>
      <c r="AO30" s="229">
        <v>0.01</v>
      </c>
      <c r="AP30" s="230">
        <f t="shared" si="22"/>
        <v>121.03164675145482</v>
      </c>
      <c r="AQ30" s="227">
        <v>0.1</v>
      </c>
      <c r="AR30" s="228">
        <f t="shared" si="23"/>
        <v>795.29895080380959</v>
      </c>
      <c r="AS30" s="229">
        <v>0.1</v>
      </c>
      <c r="AT30" s="230">
        <f t="shared" si="24"/>
        <v>1210.3164675145481</v>
      </c>
      <c r="AU30" s="227">
        <v>0.15640000000000001</v>
      </c>
      <c r="AV30" s="228">
        <f t="shared" si="25"/>
        <v>1793.3211635772177</v>
      </c>
      <c r="AW30" s="229">
        <v>0.19289999999999999</v>
      </c>
      <c r="AX30" s="230">
        <f t="shared" si="26"/>
        <v>2334.7004658355631</v>
      </c>
      <c r="AY30" s="231">
        <f t="shared" si="27"/>
        <v>11466.247848959192</v>
      </c>
      <c r="AZ30" s="230">
        <f t="shared" si="28"/>
        <v>12103.164675145481</v>
      </c>
      <c r="BA30" s="389">
        <f t="shared" si="32"/>
        <v>4155.3028158826601</v>
      </c>
    </row>
    <row r="31" spans="1:53" x14ac:dyDescent="0.25">
      <c r="A31" s="241">
        <f t="shared" si="29"/>
        <v>9572.7075514200187</v>
      </c>
      <c r="B31" s="216" t="str">
        <f>IF(Helexia!C31=0,"",Helexia!C31)</f>
        <v>Carolina Venturini Paes</v>
      </c>
      <c r="C31" s="217" t="str">
        <f>IF(Helexia!G31=0,"",Helexia!G31)</f>
        <v>CLT</v>
      </c>
      <c r="D31" s="222">
        <v>2080</v>
      </c>
      <c r="K31" s="224">
        <f t="shared" si="30"/>
        <v>2080</v>
      </c>
      <c r="L31" s="239">
        <f t="shared" si="0"/>
        <v>624</v>
      </c>
      <c r="M31" s="225">
        <f t="shared" si="1"/>
        <v>2704</v>
      </c>
      <c r="N31" s="225">
        <f t="shared" si="2"/>
        <v>954.51199999999994</v>
      </c>
      <c r="O31" s="225">
        <f t="shared" si="3"/>
        <v>300.4144</v>
      </c>
      <c r="P31" s="222">
        <f t="shared" si="4"/>
        <v>225.2432</v>
      </c>
      <c r="Q31" s="225">
        <f t="shared" si="5"/>
        <v>185.55713279999998</v>
      </c>
      <c r="R31" s="225">
        <f t="shared" si="6"/>
        <v>225.33333333333334</v>
      </c>
      <c r="S31" s="225">
        <f t="shared" si="7"/>
        <v>129.18630400000001</v>
      </c>
      <c r="T31" s="222">
        <v>700</v>
      </c>
      <c r="U31" s="222">
        <v>0</v>
      </c>
      <c r="V31" s="225">
        <f t="shared" si="31"/>
        <v>2720.2463701333331</v>
      </c>
      <c r="W31" s="222">
        <f t="shared" si="8"/>
        <v>20.833333333333332</v>
      </c>
      <c r="X31" s="222">
        <f t="shared" si="9"/>
        <v>20.833333333333332</v>
      </c>
      <c r="Y31" s="222">
        <f t="shared" si="10"/>
        <v>18.75</v>
      </c>
      <c r="Z31" s="222">
        <f t="shared" si="11"/>
        <v>3.5714285714285716</v>
      </c>
      <c r="AA31" s="222">
        <f t="shared" si="12"/>
        <v>82.408333333333317</v>
      </c>
      <c r="AB31" s="222">
        <f t="shared" si="13"/>
        <v>87.916666666666657</v>
      </c>
      <c r="AC31" s="226">
        <f t="shared" si="14"/>
        <v>150</v>
      </c>
      <c r="AD31" s="222">
        <f t="shared" si="15"/>
        <v>66.666666666666671</v>
      </c>
      <c r="AE31" s="222">
        <f t="shared" si="16"/>
        <v>15</v>
      </c>
      <c r="AF31" s="222">
        <v>400</v>
      </c>
      <c r="AG31" s="225">
        <f t="shared" si="17"/>
        <v>865.97976190476197</v>
      </c>
      <c r="AH31" s="225">
        <f t="shared" si="18"/>
        <v>6290.2261320380949</v>
      </c>
      <c r="AI31" s="227">
        <v>0.04</v>
      </c>
      <c r="AJ31" s="228">
        <f t="shared" si="19"/>
        <v>251.60904528152381</v>
      </c>
      <c r="AK31" s="229">
        <v>0.04</v>
      </c>
      <c r="AL31" s="230">
        <f t="shared" si="20"/>
        <v>382.90830205680078</v>
      </c>
      <c r="AM31" s="227">
        <v>0.01</v>
      </c>
      <c r="AN31" s="228">
        <f t="shared" si="21"/>
        <v>62.902261320380951</v>
      </c>
      <c r="AO31" s="229">
        <v>0.01</v>
      </c>
      <c r="AP31" s="230">
        <f t="shared" si="22"/>
        <v>95.727075514200195</v>
      </c>
      <c r="AQ31" s="227">
        <v>0.1</v>
      </c>
      <c r="AR31" s="228">
        <f t="shared" si="23"/>
        <v>629.02261320380956</v>
      </c>
      <c r="AS31" s="229">
        <v>0.1</v>
      </c>
      <c r="AT31" s="230">
        <f t="shared" si="24"/>
        <v>957.27075514200192</v>
      </c>
      <c r="AU31" s="227">
        <v>0.15640000000000001</v>
      </c>
      <c r="AV31" s="228">
        <f t="shared" si="25"/>
        <v>1418.3843238909433</v>
      </c>
      <c r="AW31" s="229">
        <v>0.19289999999999999</v>
      </c>
      <c r="AX31" s="230">
        <f t="shared" si="26"/>
        <v>1846.5752866689215</v>
      </c>
      <c r="AY31" s="231">
        <f t="shared" si="27"/>
        <v>9068.9534775635748</v>
      </c>
      <c r="AZ31" s="230">
        <f t="shared" si="28"/>
        <v>9572.7075514200187</v>
      </c>
      <c r="BA31" s="389">
        <f t="shared" si="32"/>
        <v>3362.8051273342512</v>
      </c>
    </row>
    <row r="32" spans="1:53" x14ac:dyDescent="0.25">
      <c r="A32" s="241">
        <f t="shared" si="29"/>
        <v>6710.5229568884934</v>
      </c>
      <c r="B32" s="244" t="str">
        <f>IF(Helexia!C32=0,"",Helexia!C32)</f>
        <v>Felipe Otávio Corrêa Leite</v>
      </c>
      <c r="C32" s="217" t="str">
        <f>IF(Helexia!G32=0,"",Helexia!G32)</f>
        <v>CLT</v>
      </c>
      <c r="D32" s="222">
        <v>1340</v>
      </c>
      <c r="K32" s="224">
        <f t="shared" si="30"/>
        <v>1340</v>
      </c>
      <c r="L32" s="239">
        <f t="shared" si="0"/>
        <v>402</v>
      </c>
      <c r="M32" s="225">
        <f t="shared" si="1"/>
        <v>1742</v>
      </c>
      <c r="N32" s="225">
        <f t="shared" si="2"/>
        <v>614.92599999999993</v>
      </c>
      <c r="O32" s="225">
        <f t="shared" si="3"/>
        <v>193.53619999999998</v>
      </c>
      <c r="P32" s="222">
        <f t="shared" si="4"/>
        <v>145.1086</v>
      </c>
      <c r="Q32" s="225">
        <f t="shared" si="5"/>
        <v>119.54161439999999</v>
      </c>
      <c r="R32" s="225">
        <f t="shared" si="6"/>
        <v>145.16666666666666</v>
      </c>
      <c r="S32" s="225">
        <f t="shared" si="7"/>
        <v>83.225791999999998</v>
      </c>
      <c r="T32" s="222">
        <v>500</v>
      </c>
      <c r="U32" s="222">
        <v>0</v>
      </c>
      <c r="V32" s="225">
        <f t="shared" si="31"/>
        <v>1801.5048730666667</v>
      </c>
      <c r="W32" s="222">
        <f t="shared" si="8"/>
        <v>20.833333333333332</v>
      </c>
      <c r="X32" s="222">
        <f t="shared" si="9"/>
        <v>20.833333333333332</v>
      </c>
      <c r="Y32" s="222">
        <f t="shared" si="10"/>
        <v>18.75</v>
      </c>
      <c r="Z32" s="222">
        <f t="shared" si="11"/>
        <v>3.5714285714285716</v>
      </c>
      <c r="AA32" s="222">
        <f t="shared" si="12"/>
        <v>82.408333333333317</v>
      </c>
      <c r="AB32" s="222">
        <f t="shared" si="13"/>
        <v>87.916666666666657</v>
      </c>
      <c r="AC32" s="226">
        <f t="shared" si="14"/>
        <v>150</v>
      </c>
      <c r="AD32" s="222">
        <f t="shared" si="15"/>
        <v>66.666666666666671</v>
      </c>
      <c r="AE32" s="222">
        <f t="shared" si="16"/>
        <v>15</v>
      </c>
      <c r="AF32" s="222">
        <v>400</v>
      </c>
      <c r="AG32" s="225">
        <f t="shared" si="17"/>
        <v>865.97976190476197</v>
      </c>
      <c r="AH32" s="225">
        <f t="shared" si="18"/>
        <v>4409.4846349714289</v>
      </c>
      <c r="AI32" s="227">
        <v>0.04</v>
      </c>
      <c r="AJ32" s="228">
        <f t="shared" si="19"/>
        <v>176.37938539885715</v>
      </c>
      <c r="AK32" s="229">
        <v>0.04</v>
      </c>
      <c r="AL32" s="230">
        <f t="shared" si="20"/>
        <v>268.42091827553975</v>
      </c>
      <c r="AM32" s="227">
        <v>0.01</v>
      </c>
      <c r="AN32" s="228">
        <f t="shared" si="21"/>
        <v>44.094846349714288</v>
      </c>
      <c r="AO32" s="229">
        <v>0.01</v>
      </c>
      <c r="AP32" s="230">
        <f t="shared" si="22"/>
        <v>67.105229568884937</v>
      </c>
      <c r="AQ32" s="227">
        <v>0.1</v>
      </c>
      <c r="AR32" s="228">
        <f t="shared" si="23"/>
        <v>440.94846349714294</v>
      </c>
      <c r="AS32" s="229">
        <v>0.1</v>
      </c>
      <c r="AT32" s="230">
        <f t="shared" si="24"/>
        <v>671.05229568884943</v>
      </c>
      <c r="AU32" s="227">
        <v>0.15640000000000001</v>
      </c>
      <c r="AV32" s="228">
        <f t="shared" si="25"/>
        <v>994.29555494453791</v>
      </c>
      <c r="AW32" s="229">
        <v>0.19289999999999999</v>
      </c>
      <c r="AX32" s="230">
        <f t="shared" si="26"/>
        <v>1294.4598783837903</v>
      </c>
      <c r="AY32" s="231">
        <f t="shared" si="27"/>
        <v>6357.3884587246666</v>
      </c>
      <c r="AZ32" s="230">
        <f t="shared" si="28"/>
        <v>6710.5229568884934</v>
      </c>
      <c r="BA32" s="389">
        <f t="shared" si="32"/>
        <v>2385.3913114578813</v>
      </c>
    </row>
    <row r="33" spans="1:53" x14ac:dyDescent="0.25">
      <c r="A33" s="241">
        <f t="shared" si="29"/>
        <v>4663.9284286888269</v>
      </c>
      <c r="B33" s="216" t="str">
        <f>IF(Helexia!C33=0,"",Helexia!C33)</f>
        <v>Nathalia Freire Sampaio</v>
      </c>
      <c r="C33" s="217" t="str">
        <f>IF(Helexia!G33=0,"",Helexia!G33)</f>
        <v>CLT</v>
      </c>
      <c r="D33" s="222">
        <v>902</v>
      </c>
      <c r="K33" s="224">
        <f t="shared" si="30"/>
        <v>902</v>
      </c>
      <c r="L33" s="239">
        <f t="shared" si="0"/>
        <v>270.59999999999997</v>
      </c>
      <c r="M33" s="225">
        <f t="shared" si="1"/>
        <v>1172.5999999999999</v>
      </c>
      <c r="N33" s="225">
        <f t="shared" si="2"/>
        <v>413.92779999999993</v>
      </c>
      <c r="O33" s="225">
        <f t="shared" si="3"/>
        <v>130.27585999999997</v>
      </c>
      <c r="P33" s="222">
        <f t="shared" si="4"/>
        <v>97.677579999999992</v>
      </c>
      <c r="Q33" s="225">
        <f t="shared" si="5"/>
        <v>80.46756431999998</v>
      </c>
      <c r="R33" s="225">
        <f t="shared" si="6"/>
        <v>97.716666666666654</v>
      </c>
      <c r="S33" s="225">
        <f t="shared" si="7"/>
        <v>56.022137600000001</v>
      </c>
      <c r="T33" s="222">
        <v>150</v>
      </c>
      <c r="U33" s="222">
        <v>0</v>
      </c>
      <c r="V33" s="225">
        <f t="shared" si="31"/>
        <v>1026.0876085866666</v>
      </c>
      <c r="W33" s="222">
        <f t="shared" si="8"/>
        <v>20.833333333333332</v>
      </c>
      <c r="X33" s="222">
        <f t="shared" si="9"/>
        <v>20.833333333333332</v>
      </c>
      <c r="Y33" s="222">
        <f t="shared" si="10"/>
        <v>18.75</v>
      </c>
      <c r="Z33" s="222">
        <f t="shared" si="11"/>
        <v>3.5714285714285716</v>
      </c>
      <c r="AA33" s="222">
        <f t="shared" si="12"/>
        <v>82.408333333333317</v>
      </c>
      <c r="AB33" s="222">
        <f t="shared" si="13"/>
        <v>87.916666666666657</v>
      </c>
      <c r="AC33" s="226">
        <f t="shared" si="14"/>
        <v>150</v>
      </c>
      <c r="AD33" s="222">
        <f t="shared" si="15"/>
        <v>66.666666666666671</v>
      </c>
      <c r="AE33" s="222">
        <f t="shared" si="16"/>
        <v>15</v>
      </c>
      <c r="AF33" s="222">
        <v>400</v>
      </c>
      <c r="AG33" s="225">
        <f t="shared" si="17"/>
        <v>865.97976190476197</v>
      </c>
      <c r="AH33" s="225">
        <f t="shared" si="18"/>
        <v>3064.6673704914283</v>
      </c>
      <c r="AI33" s="227">
        <v>0.04</v>
      </c>
      <c r="AJ33" s="228">
        <f t="shared" si="19"/>
        <v>122.58669481965714</v>
      </c>
      <c r="AK33" s="229">
        <v>0.04</v>
      </c>
      <c r="AL33" s="230">
        <f t="shared" si="20"/>
        <v>186.55713714755308</v>
      </c>
      <c r="AM33" s="227">
        <v>0.01</v>
      </c>
      <c r="AN33" s="228">
        <f t="shared" si="21"/>
        <v>30.646673704914285</v>
      </c>
      <c r="AO33" s="229">
        <v>0.01</v>
      </c>
      <c r="AP33" s="230">
        <f t="shared" si="22"/>
        <v>46.63928428688827</v>
      </c>
      <c r="AQ33" s="227">
        <v>0.1</v>
      </c>
      <c r="AR33" s="228">
        <f t="shared" si="23"/>
        <v>306.46673704914286</v>
      </c>
      <c r="AS33" s="229">
        <v>0.1</v>
      </c>
      <c r="AT33" s="230">
        <f t="shared" si="24"/>
        <v>466.39284286888272</v>
      </c>
      <c r="AU33" s="227">
        <v>0.15640000000000001</v>
      </c>
      <c r="AV33" s="228">
        <f t="shared" si="25"/>
        <v>691.05244628728292</v>
      </c>
      <c r="AW33" s="229">
        <v>0.19289999999999999</v>
      </c>
      <c r="AX33" s="230">
        <f t="shared" si="26"/>
        <v>899.67179389407465</v>
      </c>
      <c r="AY33" s="231">
        <f t="shared" si="27"/>
        <v>4418.4939020926013</v>
      </c>
      <c r="AZ33" s="230">
        <f t="shared" si="28"/>
        <v>4663.9284286888269</v>
      </c>
      <c r="BA33" s="389">
        <f t="shared" si="32"/>
        <v>1806.8679988175436</v>
      </c>
    </row>
    <row r="34" spans="1:53" x14ac:dyDescent="0.25">
      <c r="A34" s="241">
        <f t="shared" si="29"/>
        <v>4224.9517413454505</v>
      </c>
      <c r="B34" s="244" t="str">
        <f>IF(Helexia!C34=0,"",Helexia!C34)</f>
        <v>Roberto Caetano Nolasco</v>
      </c>
      <c r="C34" s="217" t="str">
        <f>IF(Helexia!G34=0,"",Helexia!G34)</f>
        <v>CLT</v>
      </c>
      <c r="D34" s="222">
        <v>775</v>
      </c>
      <c r="K34" s="224">
        <f t="shared" si="30"/>
        <v>775</v>
      </c>
      <c r="L34" s="239">
        <f t="shared" ref="L34:L64" si="33">K34 * 0.3</f>
        <v>232.5</v>
      </c>
      <c r="M34" s="225">
        <f t="shared" ref="M34:M64" si="34">K34+L34</f>
        <v>1007.5</v>
      </c>
      <c r="N34" s="225">
        <f t="shared" ref="N34:N64" si="35">M34 * 35.3%</f>
        <v>355.64749999999998</v>
      </c>
      <c r="O34" s="225">
        <f t="shared" ref="O34:O64" si="36">M34 * 11.11%</f>
        <v>111.93324999999999</v>
      </c>
      <c r="P34" s="222">
        <f t="shared" ref="P34:P64" si="37">M34 * 8.33%</f>
        <v>83.924750000000003</v>
      </c>
      <c r="Q34" s="225">
        <f t="shared" ref="Q34:Q64" si="38">(O34+P34) * 35.3%</f>
        <v>69.137873999999996</v>
      </c>
      <c r="R34" s="225">
        <f t="shared" ref="R34:R64" si="39">M34/12</f>
        <v>83.958333333333329</v>
      </c>
      <c r="S34" s="225">
        <f t="shared" ref="S34:S64" si="40">((M34+O34+P34)*8%)*50%</f>
        <v>48.134320000000002</v>
      </c>
      <c r="T34" s="222">
        <v>150</v>
      </c>
      <c r="U34" s="222">
        <v>0</v>
      </c>
      <c r="V34" s="225">
        <f t="shared" si="31"/>
        <v>902.73602733333337</v>
      </c>
      <c r="W34" s="222">
        <f t="shared" ref="W34:W64" si="41">500/24</f>
        <v>20.833333333333332</v>
      </c>
      <c r="X34" s="222">
        <f t="shared" si="9"/>
        <v>20.833333333333332</v>
      </c>
      <c r="Y34" s="222">
        <f t="shared" ref="Y34:Y64" si="42">450/24</f>
        <v>18.75</v>
      </c>
      <c r="Z34" s="222">
        <f t="shared" ref="Z34:Z64" si="43">((1500*2)/24)/35</f>
        <v>3.5714285714285716</v>
      </c>
      <c r="AA34" s="222">
        <f t="shared" ref="AA34:AA64" si="44">(89.9 + 49.9 + 89.9 + 89.9 + 89.9 + 129.9 + 89.9 + 89.9 + 49.9 + 89.9 + 129.9)/12</f>
        <v>82.408333333333317</v>
      </c>
      <c r="AB34" s="222">
        <f t="shared" ref="AB34:AB64" si="45">(308/12)+(500/12)+(65/12)+(150/12)+(4/12)+(28/12)</f>
        <v>87.916666666666657</v>
      </c>
      <c r="AC34" s="226">
        <f t="shared" ref="AC34:AC64" si="46">1800/12</f>
        <v>150</v>
      </c>
      <c r="AD34" s="222">
        <f t="shared" ref="AD34:AD64" si="47">800/12</f>
        <v>66.666666666666671</v>
      </c>
      <c r="AE34" s="222">
        <f t="shared" ref="AE34:AE64" si="48">180/12</f>
        <v>15</v>
      </c>
      <c r="AF34" s="222">
        <v>400</v>
      </c>
      <c r="AG34" s="225">
        <f t="shared" ref="AG34:AG64" si="49">SUM(W34:AF34)</f>
        <v>865.97976190476197</v>
      </c>
      <c r="AH34" s="225">
        <f t="shared" ref="AH34:AH64" si="50">M34+V34+AG34</f>
        <v>2776.2157892380956</v>
      </c>
      <c r="AI34" s="227">
        <v>0.04</v>
      </c>
      <c r="AJ34" s="228">
        <f t="shared" ref="AJ34:AJ64" si="51">AH34*AI34</f>
        <v>111.04863156952382</v>
      </c>
      <c r="AK34" s="229">
        <v>0.04</v>
      </c>
      <c r="AL34" s="230">
        <f t="shared" si="20"/>
        <v>168.99806965381802</v>
      </c>
      <c r="AM34" s="227">
        <v>0.01</v>
      </c>
      <c r="AN34" s="228">
        <f t="shared" si="21"/>
        <v>27.762157892380955</v>
      </c>
      <c r="AO34" s="229">
        <v>0.01</v>
      </c>
      <c r="AP34" s="230">
        <f t="shared" ref="AP34:AP64" si="52">AZ34*AO34</f>
        <v>42.249517413454505</v>
      </c>
      <c r="AQ34" s="227">
        <v>0.1</v>
      </c>
      <c r="AR34" s="228">
        <f t="shared" si="23"/>
        <v>277.62157892380958</v>
      </c>
      <c r="AS34" s="229">
        <v>0.1</v>
      </c>
      <c r="AT34" s="230">
        <f t="shared" ref="AT34:AT64" si="53">AZ34*AS34</f>
        <v>422.4951741345451</v>
      </c>
      <c r="AU34" s="227">
        <v>0.15640000000000001</v>
      </c>
      <c r="AV34" s="228">
        <f t="shared" ref="AV34:AV64" si="54">AY34*AU34</f>
        <v>626.00944267133536</v>
      </c>
      <c r="AW34" s="229">
        <v>0.19289999999999999</v>
      </c>
      <c r="AX34" s="230">
        <f t="shared" ref="AX34:AX64" si="55">AZ34*AW34</f>
        <v>814.9931909055374</v>
      </c>
      <c r="AY34" s="231">
        <f t="shared" si="27"/>
        <v>4002.6179198934483</v>
      </c>
      <c r="AZ34" s="230">
        <f t="shared" si="28"/>
        <v>4224.9517413454505</v>
      </c>
      <c r="BA34" s="389">
        <f t="shared" si="32"/>
        <v>1639.1226547414635</v>
      </c>
    </row>
    <row r="35" spans="1:53" x14ac:dyDescent="0.25">
      <c r="A35" s="241">
        <f t="shared" si="29"/>
        <v>5445.2943950257622</v>
      </c>
      <c r="B35" s="216" t="str">
        <f>IF(Helexia!C35=0,"",Helexia!C35)</f>
        <v>Luiza Barcellos Antunes</v>
      </c>
      <c r="C35" s="217" t="str">
        <f>IF(Helexia!G35=0,"",Helexia!G35)</f>
        <v>CLT</v>
      </c>
      <c r="D35" s="222">
        <v>1040</v>
      </c>
      <c r="K35" s="224">
        <f t="shared" si="30"/>
        <v>1040</v>
      </c>
      <c r="L35" s="239">
        <f t="shared" si="33"/>
        <v>312</v>
      </c>
      <c r="M35" s="225">
        <f t="shared" si="34"/>
        <v>1352</v>
      </c>
      <c r="N35" s="225">
        <f t="shared" si="35"/>
        <v>477.25599999999997</v>
      </c>
      <c r="O35" s="225">
        <f t="shared" si="36"/>
        <v>150.2072</v>
      </c>
      <c r="P35" s="222">
        <f t="shared" si="37"/>
        <v>112.6216</v>
      </c>
      <c r="Q35" s="225">
        <f t="shared" si="38"/>
        <v>92.778566399999988</v>
      </c>
      <c r="R35" s="225">
        <f t="shared" si="39"/>
        <v>112.66666666666667</v>
      </c>
      <c r="S35" s="225">
        <f t="shared" si="40"/>
        <v>64.593152000000003</v>
      </c>
      <c r="T35" s="222">
        <v>350</v>
      </c>
      <c r="U35" s="222">
        <v>0</v>
      </c>
      <c r="V35" s="225">
        <f t="shared" si="31"/>
        <v>1360.1231850666666</v>
      </c>
      <c r="W35" s="222">
        <f t="shared" si="41"/>
        <v>20.833333333333332</v>
      </c>
      <c r="X35" s="222">
        <f t="shared" si="9"/>
        <v>20.833333333333332</v>
      </c>
      <c r="Y35" s="222">
        <f t="shared" si="42"/>
        <v>18.75</v>
      </c>
      <c r="Z35" s="222">
        <f t="shared" si="43"/>
        <v>3.5714285714285716</v>
      </c>
      <c r="AA35" s="222">
        <f t="shared" si="44"/>
        <v>82.408333333333317</v>
      </c>
      <c r="AB35" s="222">
        <f t="shared" si="45"/>
        <v>87.916666666666657</v>
      </c>
      <c r="AC35" s="226">
        <f t="shared" si="46"/>
        <v>150</v>
      </c>
      <c r="AD35" s="222">
        <f t="shared" si="47"/>
        <v>66.666666666666671</v>
      </c>
      <c r="AE35" s="222">
        <f t="shared" si="48"/>
        <v>15</v>
      </c>
      <c r="AF35" s="222">
        <v>400</v>
      </c>
      <c r="AG35" s="225">
        <f t="shared" si="49"/>
        <v>865.97976190476197</v>
      </c>
      <c r="AH35" s="225">
        <f t="shared" si="50"/>
        <v>3578.1029469714285</v>
      </c>
      <c r="AI35" s="227">
        <v>0.04</v>
      </c>
      <c r="AJ35" s="228">
        <f t="shared" si="51"/>
        <v>143.12411787885713</v>
      </c>
      <c r="AK35" s="229">
        <v>0.04</v>
      </c>
      <c r="AL35" s="230">
        <f t="shared" ref="AL35:AL66" si="56">AZ35*AK35</f>
        <v>217.81177580103051</v>
      </c>
      <c r="AM35" s="227">
        <v>0.01</v>
      </c>
      <c r="AN35" s="228">
        <f t="shared" ref="AN35:AN66" si="57">AH35*AM35</f>
        <v>35.781029469714284</v>
      </c>
      <c r="AO35" s="229">
        <v>0.01</v>
      </c>
      <c r="AP35" s="230">
        <f t="shared" si="52"/>
        <v>54.452943950257627</v>
      </c>
      <c r="AQ35" s="227">
        <v>0.1</v>
      </c>
      <c r="AR35" s="228">
        <f t="shared" ref="AR35:AR66" si="58">AH35*AQ35</f>
        <v>357.81029469714287</v>
      </c>
      <c r="AS35" s="229">
        <v>0.1</v>
      </c>
      <c r="AT35" s="230">
        <f t="shared" si="53"/>
        <v>544.52943950257622</v>
      </c>
      <c r="AU35" s="227">
        <v>0.15640000000000001</v>
      </c>
      <c r="AV35" s="228">
        <f t="shared" si="54"/>
        <v>806.82713510140059</v>
      </c>
      <c r="AW35" s="229">
        <v>0.19289999999999999</v>
      </c>
      <c r="AX35" s="230">
        <f t="shared" si="55"/>
        <v>1050.3972888004694</v>
      </c>
      <c r="AY35" s="231">
        <f t="shared" ref="AY35:AY66" si="59">(AH35)/(1-AI35-AM35-AQ35-AU35)</f>
        <v>5158.7412730268579</v>
      </c>
      <c r="AZ35" s="230">
        <f t="shared" ref="AZ35:AZ66" si="60">($AH35)/(1-AK35-AO35-AS35-AW35)</f>
        <v>5445.2943950257622</v>
      </c>
      <c r="BA35" s="389">
        <f t="shared" si="32"/>
        <v>1989.1424671836771</v>
      </c>
    </row>
    <row r="36" spans="1:53" x14ac:dyDescent="0.25">
      <c r="A36" s="241">
        <f t="shared" si="29"/>
        <v>6826.4083615656091</v>
      </c>
      <c r="B36" s="244" t="str">
        <f>IF(Helexia!C36=0,"",Helexia!C36)</f>
        <v>Pedro Henrique Alvarenga</v>
      </c>
      <c r="C36" s="217" t="str">
        <f>IF(Helexia!G36=0,"",Helexia!G36)</f>
        <v>CLT</v>
      </c>
      <c r="D36" s="222">
        <v>1488</v>
      </c>
      <c r="K36" s="224">
        <f t="shared" si="30"/>
        <v>1488</v>
      </c>
      <c r="L36" s="239">
        <f t="shared" si="33"/>
        <v>446.4</v>
      </c>
      <c r="M36" s="225">
        <f t="shared" si="34"/>
        <v>1934.4</v>
      </c>
      <c r="N36" s="225">
        <f t="shared" si="35"/>
        <v>682.84320000000002</v>
      </c>
      <c r="O36" s="225">
        <f t="shared" si="36"/>
        <v>214.91183999999998</v>
      </c>
      <c r="P36" s="222">
        <f t="shared" si="37"/>
        <v>161.13552000000001</v>
      </c>
      <c r="Q36" s="225">
        <f t="shared" si="38"/>
        <v>132.74471808000001</v>
      </c>
      <c r="R36" s="225">
        <f t="shared" si="39"/>
        <v>161.20000000000002</v>
      </c>
      <c r="S36" s="225">
        <f t="shared" si="40"/>
        <v>92.417894400000009</v>
      </c>
      <c r="T36" s="222">
        <v>240</v>
      </c>
      <c r="U36" s="222">
        <v>0</v>
      </c>
      <c r="V36" s="225">
        <f t="shared" si="31"/>
        <v>1685.2531724800001</v>
      </c>
      <c r="W36" s="222">
        <f t="shared" si="41"/>
        <v>20.833333333333332</v>
      </c>
      <c r="X36" s="222">
        <f t="shared" si="9"/>
        <v>20.833333333333332</v>
      </c>
      <c r="Y36" s="222">
        <f t="shared" si="42"/>
        <v>18.75</v>
      </c>
      <c r="Z36" s="222">
        <f t="shared" si="43"/>
        <v>3.5714285714285716</v>
      </c>
      <c r="AA36" s="222">
        <f t="shared" si="44"/>
        <v>82.408333333333317</v>
      </c>
      <c r="AB36" s="222">
        <f t="shared" si="45"/>
        <v>87.916666666666657</v>
      </c>
      <c r="AC36" s="226">
        <f t="shared" si="46"/>
        <v>150</v>
      </c>
      <c r="AD36" s="222">
        <f t="shared" si="47"/>
        <v>66.666666666666671</v>
      </c>
      <c r="AE36" s="222">
        <f t="shared" si="48"/>
        <v>15</v>
      </c>
      <c r="AF36" s="222">
        <v>400</v>
      </c>
      <c r="AG36" s="225">
        <f t="shared" si="49"/>
        <v>865.97976190476197</v>
      </c>
      <c r="AH36" s="225">
        <f t="shared" si="50"/>
        <v>4485.6329343847619</v>
      </c>
      <c r="AI36" s="227">
        <v>0.04</v>
      </c>
      <c r="AJ36" s="228">
        <f t="shared" si="51"/>
        <v>179.42531737539048</v>
      </c>
      <c r="AK36" s="229">
        <v>0.04</v>
      </c>
      <c r="AL36" s="230">
        <f t="shared" si="56"/>
        <v>273.05633446262436</v>
      </c>
      <c r="AM36" s="227">
        <v>0.01</v>
      </c>
      <c r="AN36" s="228">
        <f t="shared" si="57"/>
        <v>44.856329343847619</v>
      </c>
      <c r="AO36" s="229">
        <v>0.01</v>
      </c>
      <c r="AP36" s="230">
        <f t="shared" si="52"/>
        <v>68.264083615656091</v>
      </c>
      <c r="AQ36" s="227">
        <v>0.1</v>
      </c>
      <c r="AR36" s="228">
        <f t="shared" si="58"/>
        <v>448.56329343847619</v>
      </c>
      <c r="AS36" s="229">
        <v>0.1</v>
      </c>
      <c r="AT36" s="230">
        <f t="shared" si="53"/>
        <v>682.64083615656091</v>
      </c>
      <c r="AU36" s="227">
        <v>0.15640000000000001</v>
      </c>
      <c r="AV36" s="228">
        <f t="shared" si="54"/>
        <v>1011.4662499102895</v>
      </c>
      <c r="AW36" s="229">
        <v>0.19289999999999999</v>
      </c>
      <c r="AX36" s="230">
        <f t="shared" si="55"/>
        <v>1316.814172946006</v>
      </c>
      <c r="AY36" s="231">
        <f t="shared" si="59"/>
        <v>6467.1755109353544</v>
      </c>
      <c r="AZ36" s="230">
        <f t="shared" si="60"/>
        <v>6826.4083615656091</v>
      </c>
      <c r="BA36" s="389">
        <f t="shared" si="32"/>
        <v>2580.8740746331555</v>
      </c>
    </row>
    <row r="37" spans="1:53" x14ac:dyDescent="0.25">
      <c r="A37" s="241">
        <f t="shared" si="29"/>
        <v>9200.8714329741942</v>
      </c>
      <c r="B37" s="216" t="str">
        <f>IF(Helexia!C37=0,"",Helexia!C37)</f>
        <v>Sofia Mendes Albuquerque</v>
      </c>
      <c r="C37" s="217" t="str">
        <f>IF(Helexia!G37=0,"",Helexia!G37)</f>
        <v>PJ</v>
      </c>
      <c r="D37" s="222">
        <v>6500</v>
      </c>
      <c r="K37" s="224">
        <f t="shared" si="30"/>
        <v>6500</v>
      </c>
      <c r="L37" s="239">
        <f t="shared" si="33"/>
        <v>1950</v>
      </c>
      <c r="M37" s="225">
        <f t="shared" si="34"/>
        <v>8450</v>
      </c>
      <c r="N37" s="225">
        <f t="shared" si="35"/>
        <v>2982.85</v>
      </c>
      <c r="O37" s="225">
        <f t="shared" si="36"/>
        <v>938.79499999999996</v>
      </c>
      <c r="P37" s="222">
        <f t="shared" si="37"/>
        <v>703.88499999999999</v>
      </c>
      <c r="Q37" s="225">
        <f t="shared" si="38"/>
        <v>579.86603999999988</v>
      </c>
      <c r="R37" s="225">
        <f t="shared" si="39"/>
        <v>704.16666666666663</v>
      </c>
      <c r="S37" s="225">
        <f t="shared" si="40"/>
        <v>403.7072</v>
      </c>
      <c r="T37" s="222">
        <v>0</v>
      </c>
      <c r="U37" s="222">
        <v>0</v>
      </c>
      <c r="V37" s="225">
        <f t="shared" si="31"/>
        <v>6313.2699066666664</v>
      </c>
      <c r="W37" s="222">
        <f t="shared" si="41"/>
        <v>20.833333333333332</v>
      </c>
      <c r="X37" s="222">
        <f t="shared" si="9"/>
        <v>20.833333333333332</v>
      </c>
      <c r="Y37" s="222">
        <f t="shared" si="42"/>
        <v>18.75</v>
      </c>
      <c r="Z37" s="222">
        <f t="shared" si="43"/>
        <v>3.5714285714285716</v>
      </c>
      <c r="AA37" s="222">
        <f t="shared" si="44"/>
        <v>82.408333333333317</v>
      </c>
      <c r="AB37" s="222">
        <f t="shared" si="45"/>
        <v>87.916666666666657</v>
      </c>
      <c r="AC37" s="226">
        <f t="shared" si="46"/>
        <v>150</v>
      </c>
      <c r="AD37" s="222">
        <f t="shared" si="47"/>
        <v>66.666666666666671</v>
      </c>
      <c r="AE37" s="222">
        <f t="shared" si="48"/>
        <v>15</v>
      </c>
      <c r="AF37" s="222">
        <v>400</v>
      </c>
      <c r="AG37" s="225">
        <f t="shared" si="49"/>
        <v>865.97976190476197</v>
      </c>
      <c r="AH37" s="225">
        <f t="shared" si="50"/>
        <v>15629.249668571429</v>
      </c>
      <c r="AI37" s="227">
        <v>0.04</v>
      </c>
      <c r="AJ37" s="228">
        <f t="shared" si="51"/>
        <v>625.16998674285719</v>
      </c>
      <c r="AK37" s="229">
        <v>0.04</v>
      </c>
      <c r="AL37" s="230">
        <f t="shared" si="56"/>
        <v>951.40768032697792</v>
      </c>
      <c r="AM37" s="227">
        <v>0.01</v>
      </c>
      <c r="AN37" s="228">
        <f t="shared" si="57"/>
        <v>156.2924966857143</v>
      </c>
      <c r="AO37" s="229">
        <v>0.01</v>
      </c>
      <c r="AP37" s="230">
        <f t="shared" si="52"/>
        <v>237.85192008174448</v>
      </c>
      <c r="AQ37" s="227">
        <v>0.1</v>
      </c>
      <c r="AR37" s="228">
        <f t="shared" si="58"/>
        <v>1562.9249668571429</v>
      </c>
      <c r="AS37" s="229">
        <v>0.1</v>
      </c>
      <c r="AT37" s="230">
        <f t="shared" si="53"/>
        <v>2378.5192008174449</v>
      </c>
      <c r="AU37" s="227">
        <v>0.15640000000000001</v>
      </c>
      <c r="AV37" s="228">
        <f t="shared" si="54"/>
        <v>3524.2425723249303</v>
      </c>
      <c r="AW37" s="229">
        <v>0.19289999999999999</v>
      </c>
      <c r="AX37" s="230">
        <f t="shared" si="55"/>
        <v>4588.1635383768507</v>
      </c>
      <c r="AY37" s="231">
        <f t="shared" si="59"/>
        <v>22533.520283407481</v>
      </c>
      <c r="AZ37" s="230">
        <f t="shared" si="60"/>
        <v>23785.192008174447</v>
      </c>
      <c r="BA37" s="389">
        <f t="shared" si="32"/>
        <v>9200.8714329741942</v>
      </c>
    </row>
    <row r="38" spans="1:53" x14ac:dyDescent="0.25">
      <c r="A38" s="241" t="str">
        <f t="shared" si="29"/>
        <v/>
      </c>
      <c r="B38" s="244" t="str">
        <f>IF(Helexia!C38=0,"",Helexia!C38)</f>
        <v/>
      </c>
      <c r="C38" s="217" t="str">
        <f>IF(Helexia!G38=0,"",Helexia!G38)</f>
        <v/>
      </c>
      <c r="K38" s="224">
        <f t="shared" si="30"/>
        <v>0</v>
      </c>
      <c r="L38" s="239">
        <f t="shared" si="33"/>
        <v>0</v>
      </c>
      <c r="M38" s="225">
        <f t="shared" si="34"/>
        <v>0</v>
      </c>
      <c r="N38" s="225">
        <f t="shared" si="35"/>
        <v>0</v>
      </c>
      <c r="O38" s="225">
        <f t="shared" si="36"/>
        <v>0</v>
      </c>
      <c r="P38" s="222">
        <f t="shared" si="37"/>
        <v>0</v>
      </c>
      <c r="Q38" s="225">
        <f t="shared" si="38"/>
        <v>0</v>
      </c>
      <c r="R38" s="225">
        <f t="shared" si="39"/>
        <v>0</v>
      </c>
      <c r="S38" s="225">
        <f t="shared" si="40"/>
        <v>0</v>
      </c>
      <c r="T38" s="222">
        <v>0</v>
      </c>
      <c r="U38" s="222">
        <v>0</v>
      </c>
      <c r="V38" s="225">
        <f t="shared" si="31"/>
        <v>0</v>
      </c>
      <c r="W38" s="222">
        <f t="shared" si="41"/>
        <v>20.833333333333332</v>
      </c>
      <c r="X38" s="222">
        <f t="shared" si="9"/>
        <v>20.833333333333332</v>
      </c>
      <c r="Y38" s="222">
        <f t="shared" si="42"/>
        <v>18.75</v>
      </c>
      <c r="Z38" s="222">
        <f t="shared" si="43"/>
        <v>3.5714285714285716</v>
      </c>
      <c r="AA38" s="222">
        <f t="shared" si="44"/>
        <v>82.408333333333317</v>
      </c>
      <c r="AB38" s="222">
        <f t="shared" si="45"/>
        <v>87.916666666666657</v>
      </c>
      <c r="AC38" s="226">
        <f t="shared" si="46"/>
        <v>150</v>
      </c>
      <c r="AD38" s="222">
        <f t="shared" si="47"/>
        <v>66.666666666666671</v>
      </c>
      <c r="AE38" s="222">
        <f t="shared" si="48"/>
        <v>15</v>
      </c>
      <c r="AF38" s="222">
        <v>400</v>
      </c>
      <c r="AG38" s="225">
        <f t="shared" si="49"/>
        <v>865.97976190476197</v>
      </c>
      <c r="AH38" s="225">
        <f t="shared" si="50"/>
        <v>865.97976190476197</v>
      </c>
      <c r="AI38" s="227">
        <v>0.04</v>
      </c>
      <c r="AJ38" s="228">
        <f t="shared" si="51"/>
        <v>34.639190476190478</v>
      </c>
      <c r="AK38" s="229">
        <v>0.04</v>
      </c>
      <c r="AL38" s="230">
        <f t="shared" si="56"/>
        <v>52.715249545260207</v>
      </c>
      <c r="AM38" s="227">
        <v>0.01</v>
      </c>
      <c r="AN38" s="228">
        <f t="shared" si="57"/>
        <v>8.6597976190476196</v>
      </c>
      <c r="AO38" s="229">
        <v>0.01</v>
      </c>
      <c r="AP38" s="230">
        <f t="shared" si="52"/>
        <v>13.178812386315052</v>
      </c>
      <c r="AQ38" s="227">
        <v>0.1</v>
      </c>
      <c r="AR38" s="228">
        <f t="shared" si="58"/>
        <v>86.597976190476203</v>
      </c>
      <c r="AS38" s="229">
        <v>0.1</v>
      </c>
      <c r="AT38" s="230">
        <f t="shared" si="53"/>
        <v>131.7881238631505</v>
      </c>
      <c r="AU38" s="227">
        <v>0.15640000000000001</v>
      </c>
      <c r="AV38" s="228">
        <f t="shared" si="54"/>
        <v>195.26994631185812</v>
      </c>
      <c r="AW38" s="229">
        <v>0.19289999999999999</v>
      </c>
      <c r="AX38" s="230">
        <f t="shared" si="55"/>
        <v>254.21929093201732</v>
      </c>
      <c r="AY38" s="231">
        <f t="shared" si="59"/>
        <v>1248.5290684901413</v>
      </c>
      <c r="AZ38" s="230">
        <f t="shared" si="60"/>
        <v>1317.8812386315051</v>
      </c>
      <c r="BA38" s="389">
        <f t="shared" si="32"/>
        <v>615.47980703310247</v>
      </c>
    </row>
    <row r="39" spans="1:53" x14ac:dyDescent="0.25">
      <c r="A39" s="241" t="str">
        <f t="shared" si="29"/>
        <v/>
      </c>
      <c r="B39" s="216" t="str">
        <f>IF(Helexia!C39=0,"",Helexia!C39)</f>
        <v/>
      </c>
      <c r="C39" s="217" t="str">
        <f>IF(Helexia!G39=0,"",Helexia!G39)</f>
        <v/>
      </c>
      <c r="K39" s="224">
        <f t="shared" si="30"/>
        <v>0</v>
      </c>
      <c r="L39" s="239">
        <f t="shared" si="33"/>
        <v>0</v>
      </c>
      <c r="M39" s="225">
        <f t="shared" si="34"/>
        <v>0</v>
      </c>
      <c r="N39" s="225">
        <f t="shared" si="35"/>
        <v>0</v>
      </c>
      <c r="O39" s="225">
        <f t="shared" si="36"/>
        <v>0</v>
      </c>
      <c r="P39" s="222">
        <f t="shared" si="37"/>
        <v>0</v>
      </c>
      <c r="Q39" s="225">
        <f t="shared" si="38"/>
        <v>0</v>
      </c>
      <c r="R39" s="225">
        <f t="shared" si="39"/>
        <v>0</v>
      </c>
      <c r="S39" s="225">
        <f t="shared" si="40"/>
        <v>0</v>
      </c>
      <c r="T39" s="222">
        <v>0</v>
      </c>
      <c r="U39" s="222">
        <v>0</v>
      </c>
      <c r="V39" s="225">
        <f t="shared" si="31"/>
        <v>0</v>
      </c>
      <c r="W39" s="222">
        <f t="shared" si="41"/>
        <v>20.833333333333332</v>
      </c>
      <c r="X39" s="222">
        <f t="shared" si="9"/>
        <v>20.833333333333332</v>
      </c>
      <c r="Y39" s="222">
        <f t="shared" si="42"/>
        <v>18.75</v>
      </c>
      <c r="Z39" s="222">
        <f t="shared" si="43"/>
        <v>3.5714285714285716</v>
      </c>
      <c r="AA39" s="222">
        <f t="shared" si="44"/>
        <v>82.408333333333317</v>
      </c>
      <c r="AB39" s="222">
        <f t="shared" si="45"/>
        <v>87.916666666666657</v>
      </c>
      <c r="AC39" s="226">
        <f t="shared" si="46"/>
        <v>150</v>
      </c>
      <c r="AD39" s="222">
        <f t="shared" si="47"/>
        <v>66.666666666666671</v>
      </c>
      <c r="AE39" s="222">
        <f t="shared" si="48"/>
        <v>15</v>
      </c>
      <c r="AF39" s="222">
        <v>400</v>
      </c>
      <c r="AG39" s="225">
        <f t="shared" si="49"/>
        <v>865.97976190476197</v>
      </c>
      <c r="AH39" s="225">
        <f t="shared" si="50"/>
        <v>865.97976190476197</v>
      </c>
      <c r="AI39" s="227">
        <v>0.04</v>
      </c>
      <c r="AJ39" s="228">
        <f t="shared" si="51"/>
        <v>34.639190476190478</v>
      </c>
      <c r="AK39" s="229">
        <v>0.04</v>
      </c>
      <c r="AL39" s="230">
        <f t="shared" si="56"/>
        <v>52.715249545260207</v>
      </c>
      <c r="AM39" s="227">
        <v>0.01</v>
      </c>
      <c r="AN39" s="228">
        <f t="shared" si="57"/>
        <v>8.6597976190476196</v>
      </c>
      <c r="AO39" s="229">
        <v>0.01</v>
      </c>
      <c r="AP39" s="230">
        <f t="shared" si="52"/>
        <v>13.178812386315052</v>
      </c>
      <c r="AQ39" s="227">
        <v>0.1</v>
      </c>
      <c r="AR39" s="228">
        <f t="shared" si="58"/>
        <v>86.597976190476203</v>
      </c>
      <c r="AS39" s="229">
        <v>0.1</v>
      </c>
      <c r="AT39" s="230">
        <f t="shared" si="53"/>
        <v>131.7881238631505</v>
      </c>
      <c r="AU39" s="227">
        <v>0.15640000000000001</v>
      </c>
      <c r="AV39" s="228">
        <f t="shared" si="54"/>
        <v>195.26994631185812</v>
      </c>
      <c r="AW39" s="229">
        <v>0.19289999999999999</v>
      </c>
      <c r="AX39" s="230">
        <f t="shared" si="55"/>
        <v>254.21929093201732</v>
      </c>
      <c r="AY39" s="231">
        <f t="shared" si="59"/>
        <v>1248.5290684901413</v>
      </c>
      <c r="AZ39" s="230">
        <f t="shared" si="60"/>
        <v>1317.8812386315051</v>
      </c>
      <c r="BA39" s="389">
        <f t="shared" si="32"/>
        <v>615.47980703310247</v>
      </c>
    </row>
    <row r="40" spans="1:53" x14ac:dyDescent="0.25">
      <c r="A40" s="241" t="str">
        <f t="shared" si="29"/>
        <v/>
      </c>
      <c r="B40" s="244" t="str">
        <f>IF(Helexia!C40=0,"",Helexia!C40)</f>
        <v/>
      </c>
      <c r="C40" s="217" t="str">
        <f>IF(Helexia!G40=0,"",Helexia!G40)</f>
        <v/>
      </c>
      <c r="K40" s="224">
        <f t="shared" si="30"/>
        <v>0</v>
      </c>
      <c r="L40" s="239">
        <f t="shared" si="33"/>
        <v>0</v>
      </c>
      <c r="M40" s="225">
        <f t="shared" si="34"/>
        <v>0</v>
      </c>
      <c r="N40" s="225">
        <f t="shared" si="35"/>
        <v>0</v>
      </c>
      <c r="O40" s="225">
        <f t="shared" si="36"/>
        <v>0</v>
      </c>
      <c r="P40" s="222">
        <f t="shared" si="37"/>
        <v>0</v>
      </c>
      <c r="Q40" s="225">
        <f t="shared" si="38"/>
        <v>0</v>
      </c>
      <c r="R40" s="225">
        <f t="shared" si="39"/>
        <v>0</v>
      </c>
      <c r="S40" s="225">
        <f t="shared" si="40"/>
        <v>0</v>
      </c>
      <c r="T40" s="222">
        <v>0</v>
      </c>
      <c r="U40" s="222">
        <v>0</v>
      </c>
      <c r="V40" s="225">
        <f t="shared" si="31"/>
        <v>0</v>
      </c>
      <c r="W40" s="222">
        <f t="shared" si="41"/>
        <v>20.833333333333332</v>
      </c>
      <c r="X40" s="222">
        <f t="shared" si="9"/>
        <v>20.833333333333332</v>
      </c>
      <c r="Y40" s="222">
        <f t="shared" si="42"/>
        <v>18.75</v>
      </c>
      <c r="Z40" s="222">
        <f t="shared" si="43"/>
        <v>3.5714285714285716</v>
      </c>
      <c r="AA40" s="222">
        <f t="shared" si="44"/>
        <v>82.408333333333317</v>
      </c>
      <c r="AB40" s="222">
        <f t="shared" si="45"/>
        <v>87.916666666666657</v>
      </c>
      <c r="AC40" s="226">
        <f t="shared" si="46"/>
        <v>150</v>
      </c>
      <c r="AD40" s="222">
        <f t="shared" si="47"/>
        <v>66.666666666666671</v>
      </c>
      <c r="AE40" s="222">
        <f t="shared" si="48"/>
        <v>15</v>
      </c>
      <c r="AF40" s="222">
        <v>400</v>
      </c>
      <c r="AG40" s="225">
        <f t="shared" si="49"/>
        <v>865.97976190476197</v>
      </c>
      <c r="AH40" s="225">
        <f t="shared" si="50"/>
        <v>865.97976190476197</v>
      </c>
      <c r="AI40" s="227">
        <v>0.04</v>
      </c>
      <c r="AJ40" s="228">
        <f t="shared" si="51"/>
        <v>34.639190476190478</v>
      </c>
      <c r="AK40" s="229">
        <v>0.04</v>
      </c>
      <c r="AL40" s="230">
        <f t="shared" si="56"/>
        <v>52.715249545260207</v>
      </c>
      <c r="AM40" s="227">
        <v>0.01</v>
      </c>
      <c r="AN40" s="228">
        <f t="shared" si="57"/>
        <v>8.6597976190476196</v>
      </c>
      <c r="AO40" s="229">
        <v>0.01</v>
      </c>
      <c r="AP40" s="230">
        <f t="shared" si="52"/>
        <v>13.178812386315052</v>
      </c>
      <c r="AQ40" s="227">
        <v>0.1</v>
      </c>
      <c r="AR40" s="228">
        <f t="shared" si="58"/>
        <v>86.597976190476203</v>
      </c>
      <c r="AS40" s="229">
        <v>0.1</v>
      </c>
      <c r="AT40" s="230">
        <f t="shared" si="53"/>
        <v>131.7881238631505</v>
      </c>
      <c r="AU40" s="227">
        <v>0.15640000000000001</v>
      </c>
      <c r="AV40" s="228">
        <f t="shared" si="54"/>
        <v>195.26994631185812</v>
      </c>
      <c r="AW40" s="229">
        <v>0.19289999999999999</v>
      </c>
      <c r="AX40" s="230">
        <f t="shared" si="55"/>
        <v>254.21929093201732</v>
      </c>
      <c r="AY40" s="231">
        <f t="shared" si="59"/>
        <v>1248.5290684901413</v>
      </c>
      <c r="AZ40" s="230">
        <f t="shared" si="60"/>
        <v>1317.8812386315051</v>
      </c>
      <c r="BA40" s="389">
        <f t="shared" si="32"/>
        <v>615.47980703310247</v>
      </c>
    </row>
    <row r="41" spans="1:53" x14ac:dyDescent="0.25">
      <c r="A41" s="241" t="str">
        <f t="shared" si="29"/>
        <v/>
      </c>
      <c r="B41" s="216" t="str">
        <f>IF(Helexia!C41=0,"",Helexia!C41)</f>
        <v/>
      </c>
      <c r="C41" s="217" t="str">
        <f>IF(Helexia!G41=0,"",Helexia!G41)</f>
        <v/>
      </c>
      <c r="K41" s="224">
        <f t="shared" si="30"/>
        <v>0</v>
      </c>
      <c r="L41" s="239">
        <f t="shared" si="33"/>
        <v>0</v>
      </c>
      <c r="M41" s="225">
        <f t="shared" si="34"/>
        <v>0</v>
      </c>
      <c r="N41" s="225">
        <f t="shared" si="35"/>
        <v>0</v>
      </c>
      <c r="O41" s="225">
        <f t="shared" si="36"/>
        <v>0</v>
      </c>
      <c r="P41" s="222">
        <f t="shared" si="37"/>
        <v>0</v>
      </c>
      <c r="Q41" s="225">
        <f t="shared" si="38"/>
        <v>0</v>
      </c>
      <c r="R41" s="225">
        <f t="shared" si="39"/>
        <v>0</v>
      </c>
      <c r="S41" s="225">
        <f t="shared" si="40"/>
        <v>0</v>
      </c>
      <c r="T41" s="222">
        <v>0</v>
      </c>
      <c r="U41" s="222">
        <v>0</v>
      </c>
      <c r="V41" s="225">
        <f t="shared" si="31"/>
        <v>0</v>
      </c>
      <c r="W41" s="222">
        <f t="shared" si="41"/>
        <v>20.833333333333332</v>
      </c>
      <c r="X41" s="222">
        <f t="shared" si="9"/>
        <v>20.833333333333332</v>
      </c>
      <c r="Y41" s="222">
        <f t="shared" si="42"/>
        <v>18.75</v>
      </c>
      <c r="Z41" s="222">
        <f t="shared" si="43"/>
        <v>3.5714285714285716</v>
      </c>
      <c r="AA41" s="222">
        <f t="shared" si="44"/>
        <v>82.408333333333317</v>
      </c>
      <c r="AB41" s="222">
        <f t="shared" si="45"/>
        <v>87.916666666666657</v>
      </c>
      <c r="AC41" s="226">
        <f t="shared" si="46"/>
        <v>150</v>
      </c>
      <c r="AD41" s="222">
        <f t="shared" si="47"/>
        <v>66.666666666666671</v>
      </c>
      <c r="AE41" s="222">
        <f t="shared" si="48"/>
        <v>15</v>
      </c>
      <c r="AF41" s="222">
        <v>400</v>
      </c>
      <c r="AG41" s="225">
        <f t="shared" si="49"/>
        <v>865.97976190476197</v>
      </c>
      <c r="AH41" s="225">
        <f t="shared" si="50"/>
        <v>865.97976190476197</v>
      </c>
      <c r="AI41" s="227">
        <v>0.04</v>
      </c>
      <c r="AJ41" s="228">
        <f t="shared" si="51"/>
        <v>34.639190476190478</v>
      </c>
      <c r="AK41" s="229">
        <v>0.04</v>
      </c>
      <c r="AL41" s="230">
        <f t="shared" si="56"/>
        <v>52.715249545260207</v>
      </c>
      <c r="AM41" s="227">
        <v>0.01</v>
      </c>
      <c r="AN41" s="228">
        <f t="shared" si="57"/>
        <v>8.6597976190476196</v>
      </c>
      <c r="AO41" s="229">
        <v>0.01</v>
      </c>
      <c r="AP41" s="230">
        <f t="shared" si="52"/>
        <v>13.178812386315052</v>
      </c>
      <c r="AQ41" s="227">
        <v>0.1</v>
      </c>
      <c r="AR41" s="228">
        <f t="shared" si="58"/>
        <v>86.597976190476203</v>
      </c>
      <c r="AS41" s="229">
        <v>0.1</v>
      </c>
      <c r="AT41" s="230">
        <f t="shared" si="53"/>
        <v>131.7881238631505</v>
      </c>
      <c r="AU41" s="227">
        <v>0.15640000000000001</v>
      </c>
      <c r="AV41" s="228">
        <f t="shared" si="54"/>
        <v>195.26994631185812</v>
      </c>
      <c r="AW41" s="229">
        <v>0.19289999999999999</v>
      </c>
      <c r="AX41" s="230">
        <f t="shared" si="55"/>
        <v>254.21929093201732</v>
      </c>
      <c r="AY41" s="231">
        <f t="shared" si="59"/>
        <v>1248.5290684901413</v>
      </c>
      <c r="AZ41" s="230">
        <f t="shared" si="60"/>
        <v>1317.8812386315051</v>
      </c>
      <c r="BA41" s="389">
        <f t="shared" si="32"/>
        <v>615.47980703310247</v>
      </c>
    </row>
    <row r="42" spans="1:53" x14ac:dyDescent="0.25">
      <c r="A42" s="241" t="str">
        <f t="shared" si="29"/>
        <v/>
      </c>
      <c r="B42" s="244" t="str">
        <f>IF(Helexia!C42=0,"",Helexia!C42)</f>
        <v/>
      </c>
      <c r="C42" s="217" t="str">
        <f>IF(Helexia!G42=0,"",Helexia!G42)</f>
        <v/>
      </c>
      <c r="K42" s="224">
        <f t="shared" si="30"/>
        <v>0</v>
      </c>
      <c r="L42" s="239">
        <f t="shared" si="33"/>
        <v>0</v>
      </c>
      <c r="M42" s="225">
        <f t="shared" si="34"/>
        <v>0</v>
      </c>
      <c r="N42" s="225">
        <f t="shared" si="35"/>
        <v>0</v>
      </c>
      <c r="O42" s="225">
        <f t="shared" si="36"/>
        <v>0</v>
      </c>
      <c r="P42" s="222">
        <f t="shared" si="37"/>
        <v>0</v>
      </c>
      <c r="Q42" s="225">
        <f t="shared" si="38"/>
        <v>0</v>
      </c>
      <c r="R42" s="225">
        <f t="shared" si="39"/>
        <v>0</v>
      </c>
      <c r="S42" s="225">
        <f t="shared" si="40"/>
        <v>0</v>
      </c>
      <c r="T42" s="222">
        <v>0</v>
      </c>
      <c r="U42" s="222">
        <v>0</v>
      </c>
      <c r="V42" s="225">
        <f t="shared" si="31"/>
        <v>0</v>
      </c>
      <c r="W42" s="222">
        <f t="shared" si="41"/>
        <v>20.833333333333332</v>
      </c>
      <c r="X42" s="222">
        <f t="shared" si="9"/>
        <v>20.833333333333332</v>
      </c>
      <c r="Y42" s="222">
        <f t="shared" si="42"/>
        <v>18.75</v>
      </c>
      <c r="Z42" s="222">
        <f t="shared" si="43"/>
        <v>3.5714285714285716</v>
      </c>
      <c r="AA42" s="222">
        <f t="shared" si="44"/>
        <v>82.408333333333317</v>
      </c>
      <c r="AB42" s="222">
        <f t="shared" si="45"/>
        <v>87.916666666666657</v>
      </c>
      <c r="AC42" s="226">
        <f t="shared" si="46"/>
        <v>150</v>
      </c>
      <c r="AD42" s="222">
        <f t="shared" si="47"/>
        <v>66.666666666666671</v>
      </c>
      <c r="AE42" s="222">
        <f t="shared" si="48"/>
        <v>15</v>
      </c>
      <c r="AF42" s="222">
        <v>400</v>
      </c>
      <c r="AG42" s="225">
        <f t="shared" si="49"/>
        <v>865.97976190476197</v>
      </c>
      <c r="AH42" s="225">
        <f t="shared" si="50"/>
        <v>865.97976190476197</v>
      </c>
      <c r="AI42" s="227">
        <v>0.04</v>
      </c>
      <c r="AJ42" s="228">
        <f t="shared" si="51"/>
        <v>34.639190476190478</v>
      </c>
      <c r="AK42" s="229">
        <v>0.04</v>
      </c>
      <c r="AL42" s="230">
        <f t="shared" si="56"/>
        <v>52.715249545260207</v>
      </c>
      <c r="AM42" s="227">
        <v>0.01</v>
      </c>
      <c r="AN42" s="228">
        <f t="shared" si="57"/>
        <v>8.6597976190476196</v>
      </c>
      <c r="AO42" s="229">
        <v>0.01</v>
      </c>
      <c r="AP42" s="230">
        <f t="shared" si="52"/>
        <v>13.178812386315052</v>
      </c>
      <c r="AQ42" s="227">
        <v>0.1</v>
      </c>
      <c r="AR42" s="228">
        <f t="shared" si="58"/>
        <v>86.597976190476203</v>
      </c>
      <c r="AS42" s="229">
        <v>0.1</v>
      </c>
      <c r="AT42" s="230">
        <f t="shared" si="53"/>
        <v>131.7881238631505</v>
      </c>
      <c r="AU42" s="227">
        <v>0.15640000000000001</v>
      </c>
      <c r="AV42" s="228">
        <f t="shared" si="54"/>
        <v>195.26994631185812</v>
      </c>
      <c r="AW42" s="229">
        <v>0.19289999999999999</v>
      </c>
      <c r="AX42" s="230">
        <f t="shared" si="55"/>
        <v>254.21929093201732</v>
      </c>
      <c r="AY42" s="231">
        <f t="shared" si="59"/>
        <v>1248.5290684901413</v>
      </c>
      <c r="AZ42" s="230">
        <f t="shared" si="60"/>
        <v>1317.8812386315051</v>
      </c>
      <c r="BA42" s="389">
        <f t="shared" si="32"/>
        <v>615.47980703310247</v>
      </c>
    </row>
    <row r="43" spans="1:53" x14ac:dyDescent="0.25">
      <c r="A43" s="241" t="str">
        <f t="shared" si="29"/>
        <v/>
      </c>
      <c r="B43" s="216" t="str">
        <f>IF(Helexia!C43=0,"",Helexia!C43)</f>
        <v/>
      </c>
      <c r="C43" s="217" t="str">
        <f>IF(Helexia!G43=0,"",Helexia!G43)</f>
        <v/>
      </c>
      <c r="K43" s="224">
        <f t="shared" si="30"/>
        <v>0</v>
      </c>
      <c r="L43" s="239">
        <f t="shared" si="33"/>
        <v>0</v>
      </c>
      <c r="M43" s="225">
        <f t="shared" si="34"/>
        <v>0</v>
      </c>
      <c r="N43" s="225">
        <f t="shared" si="35"/>
        <v>0</v>
      </c>
      <c r="O43" s="225">
        <f t="shared" si="36"/>
        <v>0</v>
      </c>
      <c r="P43" s="222">
        <f t="shared" si="37"/>
        <v>0</v>
      </c>
      <c r="Q43" s="225">
        <f t="shared" si="38"/>
        <v>0</v>
      </c>
      <c r="R43" s="225">
        <f t="shared" si="39"/>
        <v>0</v>
      </c>
      <c r="S43" s="225">
        <f t="shared" si="40"/>
        <v>0</v>
      </c>
      <c r="T43" s="222">
        <v>0</v>
      </c>
      <c r="U43" s="222">
        <v>0</v>
      </c>
      <c r="V43" s="225">
        <f t="shared" si="31"/>
        <v>0</v>
      </c>
      <c r="W43" s="222">
        <f t="shared" si="41"/>
        <v>20.833333333333332</v>
      </c>
      <c r="X43" s="222">
        <f t="shared" si="9"/>
        <v>20.833333333333332</v>
      </c>
      <c r="Y43" s="222">
        <f t="shared" si="42"/>
        <v>18.75</v>
      </c>
      <c r="Z43" s="222">
        <f t="shared" si="43"/>
        <v>3.5714285714285716</v>
      </c>
      <c r="AA43" s="222">
        <f t="shared" si="44"/>
        <v>82.408333333333317</v>
      </c>
      <c r="AB43" s="222">
        <f t="shared" si="45"/>
        <v>87.916666666666657</v>
      </c>
      <c r="AC43" s="226">
        <f t="shared" si="46"/>
        <v>150</v>
      </c>
      <c r="AD43" s="222">
        <f t="shared" si="47"/>
        <v>66.666666666666671</v>
      </c>
      <c r="AE43" s="222">
        <f t="shared" si="48"/>
        <v>15</v>
      </c>
      <c r="AF43" s="222">
        <v>400</v>
      </c>
      <c r="AG43" s="225">
        <f t="shared" si="49"/>
        <v>865.97976190476197</v>
      </c>
      <c r="AH43" s="225">
        <f t="shared" si="50"/>
        <v>865.97976190476197</v>
      </c>
      <c r="AI43" s="227">
        <v>0.04</v>
      </c>
      <c r="AJ43" s="228">
        <f t="shared" si="51"/>
        <v>34.639190476190478</v>
      </c>
      <c r="AK43" s="229">
        <v>0.04</v>
      </c>
      <c r="AL43" s="230">
        <f t="shared" si="56"/>
        <v>52.715249545260207</v>
      </c>
      <c r="AM43" s="227">
        <v>0.01</v>
      </c>
      <c r="AN43" s="228">
        <f t="shared" si="57"/>
        <v>8.6597976190476196</v>
      </c>
      <c r="AO43" s="229">
        <v>0.01</v>
      </c>
      <c r="AP43" s="230">
        <f t="shared" si="52"/>
        <v>13.178812386315052</v>
      </c>
      <c r="AQ43" s="227">
        <v>0.1</v>
      </c>
      <c r="AR43" s="228">
        <f t="shared" si="58"/>
        <v>86.597976190476203</v>
      </c>
      <c r="AS43" s="229">
        <v>0.1</v>
      </c>
      <c r="AT43" s="230">
        <f t="shared" si="53"/>
        <v>131.7881238631505</v>
      </c>
      <c r="AU43" s="227">
        <v>0.15640000000000001</v>
      </c>
      <c r="AV43" s="228">
        <f t="shared" si="54"/>
        <v>195.26994631185812</v>
      </c>
      <c r="AW43" s="229">
        <v>0.19289999999999999</v>
      </c>
      <c r="AX43" s="230">
        <f t="shared" si="55"/>
        <v>254.21929093201732</v>
      </c>
      <c r="AY43" s="231">
        <f t="shared" si="59"/>
        <v>1248.5290684901413</v>
      </c>
      <c r="AZ43" s="230">
        <f t="shared" si="60"/>
        <v>1317.8812386315051</v>
      </c>
      <c r="BA43" s="389">
        <f t="shared" si="32"/>
        <v>615.47980703310247</v>
      </c>
    </row>
    <row r="44" spans="1:53" x14ac:dyDescent="0.25">
      <c r="A44" s="241" t="str">
        <f t="shared" si="29"/>
        <v/>
      </c>
      <c r="B44" s="244" t="str">
        <f>IF(Helexia!C44=0,"",Helexia!C44)</f>
        <v/>
      </c>
      <c r="C44" s="217" t="str">
        <f>IF(Helexia!G44=0,"",Helexia!G44)</f>
        <v/>
      </c>
      <c r="K44" s="224">
        <f t="shared" si="30"/>
        <v>0</v>
      </c>
      <c r="L44" s="239">
        <f t="shared" si="33"/>
        <v>0</v>
      </c>
      <c r="M44" s="225">
        <f t="shared" si="34"/>
        <v>0</v>
      </c>
      <c r="N44" s="225">
        <f t="shared" si="35"/>
        <v>0</v>
      </c>
      <c r="O44" s="225">
        <f t="shared" si="36"/>
        <v>0</v>
      </c>
      <c r="P44" s="222">
        <f t="shared" si="37"/>
        <v>0</v>
      </c>
      <c r="Q44" s="225">
        <f t="shared" si="38"/>
        <v>0</v>
      </c>
      <c r="R44" s="225">
        <f t="shared" si="39"/>
        <v>0</v>
      </c>
      <c r="S44" s="225">
        <f t="shared" si="40"/>
        <v>0</v>
      </c>
      <c r="T44" s="222">
        <v>0</v>
      </c>
      <c r="U44" s="222">
        <v>0</v>
      </c>
      <c r="V44" s="225">
        <f t="shared" si="31"/>
        <v>0</v>
      </c>
      <c r="W44" s="222">
        <f t="shared" si="41"/>
        <v>20.833333333333332</v>
      </c>
      <c r="X44" s="222">
        <f t="shared" si="9"/>
        <v>20.833333333333332</v>
      </c>
      <c r="Y44" s="222">
        <f t="shared" si="42"/>
        <v>18.75</v>
      </c>
      <c r="Z44" s="222">
        <f t="shared" si="43"/>
        <v>3.5714285714285716</v>
      </c>
      <c r="AA44" s="222">
        <f t="shared" si="44"/>
        <v>82.408333333333317</v>
      </c>
      <c r="AB44" s="222">
        <f t="shared" si="45"/>
        <v>87.916666666666657</v>
      </c>
      <c r="AC44" s="226">
        <f t="shared" si="46"/>
        <v>150</v>
      </c>
      <c r="AD44" s="222">
        <f t="shared" si="47"/>
        <v>66.666666666666671</v>
      </c>
      <c r="AE44" s="222">
        <f t="shared" si="48"/>
        <v>15</v>
      </c>
      <c r="AF44" s="222">
        <v>400</v>
      </c>
      <c r="AG44" s="225">
        <f t="shared" si="49"/>
        <v>865.97976190476197</v>
      </c>
      <c r="AH44" s="225">
        <f t="shared" si="50"/>
        <v>865.97976190476197</v>
      </c>
      <c r="AI44" s="227">
        <v>0.04</v>
      </c>
      <c r="AJ44" s="228">
        <f t="shared" si="51"/>
        <v>34.639190476190478</v>
      </c>
      <c r="AK44" s="229">
        <v>0.04</v>
      </c>
      <c r="AL44" s="230">
        <f t="shared" si="56"/>
        <v>52.715249545260207</v>
      </c>
      <c r="AM44" s="227">
        <v>0.01</v>
      </c>
      <c r="AN44" s="228">
        <f t="shared" si="57"/>
        <v>8.6597976190476196</v>
      </c>
      <c r="AO44" s="229">
        <v>0.01</v>
      </c>
      <c r="AP44" s="230">
        <f t="shared" si="52"/>
        <v>13.178812386315052</v>
      </c>
      <c r="AQ44" s="227">
        <v>0.1</v>
      </c>
      <c r="AR44" s="228">
        <f t="shared" si="58"/>
        <v>86.597976190476203</v>
      </c>
      <c r="AS44" s="229">
        <v>0.1</v>
      </c>
      <c r="AT44" s="230">
        <f t="shared" si="53"/>
        <v>131.7881238631505</v>
      </c>
      <c r="AU44" s="227">
        <v>0.15640000000000001</v>
      </c>
      <c r="AV44" s="228">
        <f t="shared" si="54"/>
        <v>195.26994631185812</v>
      </c>
      <c r="AW44" s="229">
        <v>0.19289999999999999</v>
      </c>
      <c r="AX44" s="230">
        <f t="shared" si="55"/>
        <v>254.21929093201732</v>
      </c>
      <c r="AY44" s="231">
        <f t="shared" si="59"/>
        <v>1248.5290684901413</v>
      </c>
      <c r="AZ44" s="230">
        <f t="shared" si="60"/>
        <v>1317.8812386315051</v>
      </c>
      <c r="BA44" s="389">
        <f t="shared" si="32"/>
        <v>615.47980703310247</v>
      </c>
    </row>
    <row r="45" spans="1:53" x14ac:dyDescent="0.25">
      <c r="A45" s="241" t="str">
        <f t="shared" si="29"/>
        <v/>
      </c>
      <c r="B45" s="216" t="str">
        <f>IF(Helexia!C45=0,"",Helexia!C45)</f>
        <v/>
      </c>
      <c r="C45" s="217" t="str">
        <f>IF(Helexia!G45=0,"",Helexia!G45)</f>
        <v/>
      </c>
      <c r="K45" s="224">
        <f t="shared" si="30"/>
        <v>0</v>
      </c>
      <c r="L45" s="239">
        <f t="shared" si="33"/>
        <v>0</v>
      </c>
      <c r="M45" s="225">
        <f t="shared" si="34"/>
        <v>0</v>
      </c>
      <c r="N45" s="225">
        <f t="shared" si="35"/>
        <v>0</v>
      </c>
      <c r="O45" s="225">
        <f t="shared" si="36"/>
        <v>0</v>
      </c>
      <c r="P45" s="222">
        <f t="shared" si="37"/>
        <v>0</v>
      </c>
      <c r="Q45" s="225">
        <f t="shared" si="38"/>
        <v>0</v>
      </c>
      <c r="R45" s="225">
        <f t="shared" si="39"/>
        <v>0</v>
      </c>
      <c r="S45" s="225">
        <f t="shared" si="40"/>
        <v>0</v>
      </c>
      <c r="T45" s="222">
        <v>0</v>
      </c>
      <c r="U45" s="222">
        <v>0</v>
      </c>
      <c r="V45" s="225">
        <f t="shared" si="31"/>
        <v>0</v>
      </c>
      <c r="W45" s="222">
        <f t="shared" si="41"/>
        <v>20.833333333333332</v>
      </c>
      <c r="X45" s="222">
        <f t="shared" si="9"/>
        <v>20.833333333333332</v>
      </c>
      <c r="Y45" s="222">
        <f t="shared" si="42"/>
        <v>18.75</v>
      </c>
      <c r="Z45" s="222">
        <f t="shared" si="43"/>
        <v>3.5714285714285716</v>
      </c>
      <c r="AA45" s="222">
        <f t="shared" si="44"/>
        <v>82.408333333333317</v>
      </c>
      <c r="AB45" s="222">
        <f t="shared" si="45"/>
        <v>87.916666666666657</v>
      </c>
      <c r="AC45" s="226">
        <f t="shared" si="46"/>
        <v>150</v>
      </c>
      <c r="AD45" s="222">
        <f t="shared" si="47"/>
        <v>66.666666666666671</v>
      </c>
      <c r="AE45" s="222">
        <f t="shared" si="48"/>
        <v>15</v>
      </c>
      <c r="AF45" s="222">
        <v>400</v>
      </c>
      <c r="AG45" s="225">
        <f t="shared" si="49"/>
        <v>865.97976190476197</v>
      </c>
      <c r="AH45" s="225">
        <f t="shared" si="50"/>
        <v>865.97976190476197</v>
      </c>
      <c r="AI45" s="227">
        <v>0.04</v>
      </c>
      <c r="AJ45" s="228">
        <f t="shared" si="51"/>
        <v>34.639190476190478</v>
      </c>
      <c r="AK45" s="229">
        <v>0.04</v>
      </c>
      <c r="AL45" s="230">
        <f t="shared" si="56"/>
        <v>52.715249545260207</v>
      </c>
      <c r="AM45" s="227">
        <v>0.01</v>
      </c>
      <c r="AN45" s="228">
        <f t="shared" si="57"/>
        <v>8.6597976190476196</v>
      </c>
      <c r="AO45" s="229">
        <v>0.01</v>
      </c>
      <c r="AP45" s="230">
        <f t="shared" si="52"/>
        <v>13.178812386315052</v>
      </c>
      <c r="AQ45" s="227">
        <v>0.1</v>
      </c>
      <c r="AR45" s="228">
        <f t="shared" si="58"/>
        <v>86.597976190476203</v>
      </c>
      <c r="AS45" s="229">
        <v>0.1</v>
      </c>
      <c r="AT45" s="230">
        <f t="shared" si="53"/>
        <v>131.7881238631505</v>
      </c>
      <c r="AU45" s="227">
        <v>0.15640000000000001</v>
      </c>
      <c r="AV45" s="228">
        <f t="shared" si="54"/>
        <v>195.26994631185812</v>
      </c>
      <c r="AW45" s="229">
        <v>0.19289999999999999</v>
      </c>
      <c r="AX45" s="230">
        <f t="shared" si="55"/>
        <v>254.21929093201732</v>
      </c>
      <c r="AY45" s="231">
        <f t="shared" si="59"/>
        <v>1248.5290684901413</v>
      </c>
      <c r="AZ45" s="230">
        <f t="shared" si="60"/>
        <v>1317.8812386315051</v>
      </c>
      <c r="BA45" s="389">
        <f t="shared" si="32"/>
        <v>615.47980703310247</v>
      </c>
    </row>
    <row r="46" spans="1:53" x14ac:dyDescent="0.25">
      <c r="A46" s="241" t="str">
        <f t="shared" si="29"/>
        <v/>
      </c>
      <c r="B46" s="244" t="str">
        <f>IF(Helexia!C46=0,"",Helexia!C46)</f>
        <v/>
      </c>
      <c r="C46" s="217" t="str">
        <f>IF(Helexia!G46=0,"",Helexia!G46)</f>
        <v/>
      </c>
      <c r="K46" s="224">
        <f t="shared" si="30"/>
        <v>0</v>
      </c>
      <c r="L46" s="239">
        <f t="shared" si="33"/>
        <v>0</v>
      </c>
      <c r="M46" s="225">
        <f t="shared" si="34"/>
        <v>0</v>
      </c>
      <c r="N46" s="225">
        <f t="shared" si="35"/>
        <v>0</v>
      </c>
      <c r="O46" s="225">
        <f t="shared" si="36"/>
        <v>0</v>
      </c>
      <c r="P46" s="222">
        <f t="shared" si="37"/>
        <v>0</v>
      </c>
      <c r="Q46" s="225">
        <f t="shared" si="38"/>
        <v>0</v>
      </c>
      <c r="R46" s="225">
        <f t="shared" si="39"/>
        <v>0</v>
      </c>
      <c r="S46" s="225">
        <f t="shared" si="40"/>
        <v>0</v>
      </c>
      <c r="T46" s="222">
        <v>0</v>
      </c>
      <c r="U46" s="222">
        <v>0</v>
      </c>
      <c r="V46" s="225">
        <f t="shared" si="31"/>
        <v>0</v>
      </c>
      <c r="W46" s="222">
        <f t="shared" si="41"/>
        <v>20.833333333333332</v>
      </c>
      <c r="X46" s="222">
        <f t="shared" si="9"/>
        <v>20.833333333333332</v>
      </c>
      <c r="Y46" s="222">
        <f t="shared" si="42"/>
        <v>18.75</v>
      </c>
      <c r="Z46" s="222">
        <f t="shared" si="43"/>
        <v>3.5714285714285716</v>
      </c>
      <c r="AA46" s="222">
        <f t="shared" si="44"/>
        <v>82.408333333333317</v>
      </c>
      <c r="AB46" s="222">
        <f t="shared" si="45"/>
        <v>87.916666666666657</v>
      </c>
      <c r="AC46" s="226">
        <f t="shared" si="46"/>
        <v>150</v>
      </c>
      <c r="AD46" s="222">
        <f t="shared" si="47"/>
        <v>66.666666666666671</v>
      </c>
      <c r="AE46" s="222">
        <f t="shared" si="48"/>
        <v>15</v>
      </c>
      <c r="AF46" s="222">
        <v>400</v>
      </c>
      <c r="AG46" s="225">
        <f t="shared" si="49"/>
        <v>865.97976190476197</v>
      </c>
      <c r="AH46" s="225">
        <f t="shared" si="50"/>
        <v>865.97976190476197</v>
      </c>
      <c r="AI46" s="227">
        <v>0.04</v>
      </c>
      <c r="AJ46" s="228">
        <f t="shared" si="51"/>
        <v>34.639190476190478</v>
      </c>
      <c r="AK46" s="229">
        <v>0.04</v>
      </c>
      <c r="AL46" s="230">
        <f t="shared" si="56"/>
        <v>52.715249545260207</v>
      </c>
      <c r="AM46" s="227">
        <v>0.01</v>
      </c>
      <c r="AN46" s="228">
        <f t="shared" si="57"/>
        <v>8.6597976190476196</v>
      </c>
      <c r="AO46" s="229">
        <v>0.01</v>
      </c>
      <c r="AP46" s="230">
        <f t="shared" si="52"/>
        <v>13.178812386315052</v>
      </c>
      <c r="AQ46" s="227">
        <v>0.1</v>
      </c>
      <c r="AR46" s="228">
        <f t="shared" si="58"/>
        <v>86.597976190476203</v>
      </c>
      <c r="AS46" s="229">
        <v>0.1</v>
      </c>
      <c r="AT46" s="230">
        <f t="shared" si="53"/>
        <v>131.7881238631505</v>
      </c>
      <c r="AU46" s="227">
        <v>0.15640000000000001</v>
      </c>
      <c r="AV46" s="228">
        <f t="shared" si="54"/>
        <v>195.26994631185812</v>
      </c>
      <c r="AW46" s="229">
        <v>0.19289999999999999</v>
      </c>
      <c r="AX46" s="230">
        <f t="shared" si="55"/>
        <v>254.21929093201732</v>
      </c>
      <c r="AY46" s="231">
        <f t="shared" si="59"/>
        <v>1248.5290684901413</v>
      </c>
      <c r="AZ46" s="230">
        <f t="shared" si="60"/>
        <v>1317.8812386315051</v>
      </c>
      <c r="BA46" s="389">
        <f t="shared" si="32"/>
        <v>615.47980703310247</v>
      </c>
    </row>
    <row r="47" spans="1:53" x14ac:dyDescent="0.25">
      <c r="A47" s="241" t="str">
        <f t="shared" si="29"/>
        <v/>
      </c>
      <c r="B47" s="216" t="str">
        <f>IF(Helexia!C47=0,"",Helexia!C47)</f>
        <v/>
      </c>
      <c r="C47" s="217" t="str">
        <f>IF(Helexia!G47=0,"",Helexia!G47)</f>
        <v/>
      </c>
      <c r="K47" s="224">
        <f t="shared" si="30"/>
        <v>0</v>
      </c>
      <c r="L47" s="239">
        <f t="shared" si="33"/>
        <v>0</v>
      </c>
      <c r="M47" s="225">
        <f t="shared" si="34"/>
        <v>0</v>
      </c>
      <c r="N47" s="225">
        <f t="shared" si="35"/>
        <v>0</v>
      </c>
      <c r="O47" s="225">
        <f t="shared" si="36"/>
        <v>0</v>
      </c>
      <c r="P47" s="222">
        <f t="shared" si="37"/>
        <v>0</v>
      </c>
      <c r="Q47" s="225">
        <f t="shared" si="38"/>
        <v>0</v>
      </c>
      <c r="R47" s="225">
        <f t="shared" si="39"/>
        <v>0</v>
      </c>
      <c r="S47" s="225">
        <f t="shared" si="40"/>
        <v>0</v>
      </c>
      <c r="T47" s="222">
        <v>0</v>
      </c>
      <c r="U47" s="222">
        <v>0</v>
      </c>
      <c r="V47" s="225">
        <f t="shared" si="31"/>
        <v>0</v>
      </c>
      <c r="W47" s="222">
        <f t="shared" si="41"/>
        <v>20.833333333333332</v>
      </c>
      <c r="X47" s="222">
        <f t="shared" si="9"/>
        <v>20.833333333333332</v>
      </c>
      <c r="Y47" s="222">
        <f t="shared" si="42"/>
        <v>18.75</v>
      </c>
      <c r="Z47" s="222">
        <f t="shared" si="43"/>
        <v>3.5714285714285716</v>
      </c>
      <c r="AA47" s="222">
        <f t="shared" si="44"/>
        <v>82.408333333333317</v>
      </c>
      <c r="AB47" s="222">
        <f t="shared" si="45"/>
        <v>87.916666666666657</v>
      </c>
      <c r="AC47" s="226">
        <f t="shared" si="46"/>
        <v>150</v>
      </c>
      <c r="AD47" s="222">
        <f t="shared" si="47"/>
        <v>66.666666666666671</v>
      </c>
      <c r="AE47" s="222">
        <f t="shared" si="48"/>
        <v>15</v>
      </c>
      <c r="AF47" s="222">
        <v>400</v>
      </c>
      <c r="AG47" s="225">
        <f t="shared" si="49"/>
        <v>865.97976190476197</v>
      </c>
      <c r="AH47" s="225">
        <f t="shared" si="50"/>
        <v>865.97976190476197</v>
      </c>
      <c r="AI47" s="227">
        <v>0.04</v>
      </c>
      <c r="AJ47" s="228">
        <f t="shared" si="51"/>
        <v>34.639190476190478</v>
      </c>
      <c r="AK47" s="229">
        <v>0.04</v>
      </c>
      <c r="AL47" s="230">
        <f t="shared" si="56"/>
        <v>52.715249545260207</v>
      </c>
      <c r="AM47" s="227">
        <v>0.01</v>
      </c>
      <c r="AN47" s="228">
        <f t="shared" si="57"/>
        <v>8.6597976190476196</v>
      </c>
      <c r="AO47" s="229">
        <v>0.01</v>
      </c>
      <c r="AP47" s="230">
        <f t="shared" si="52"/>
        <v>13.178812386315052</v>
      </c>
      <c r="AQ47" s="227">
        <v>0.1</v>
      </c>
      <c r="AR47" s="228">
        <f t="shared" si="58"/>
        <v>86.597976190476203</v>
      </c>
      <c r="AS47" s="229">
        <v>0.1</v>
      </c>
      <c r="AT47" s="230">
        <f t="shared" si="53"/>
        <v>131.7881238631505</v>
      </c>
      <c r="AU47" s="227">
        <v>0.15640000000000001</v>
      </c>
      <c r="AV47" s="228">
        <f t="shared" si="54"/>
        <v>195.26994631185812</v>
      </c>
      <c r="AW47" s="229">
        <v>0.19289999999999999</v>
      </c>
      <c r="AX47" s="230">
        <f t="shared" si="55"/>
        <v>254.21929093201732</v>
      </c>
      <c r="AY47" s="231">
        <f t="shared" si="59"/>
        <v>1248.5290684901413</v>
      </c>
      <c r="AZ47" s="230">
        <f t="shared" si="60"/>
        <v>1317.8812386315051</v>
      </c>
      <c r="BA47" s="389">
        <f t="shared" si="32"/>
        <v>615.47980703310247</v>
      </c>
    </row>
    <row r="48" spans="1:53" x14ac:dyDescent="0.25">
      <c r="A48" s="241" t="str">
        <f t="shared" si="29"/>
        <v/>
      </c>
      <c r="B48" s="244" t="str">
        <f>IF(Helexia!C48=0,"",Helexia!C48)</f>
        <v/>
      </c>
      <c r="C48" s="217" t="str">
        <f>IF(Helexia!G48=0,"",Helexia!G48)</f>
        <v/>
      </c>
      <c r="K48" s="224">
        <f t="shared" si="30"/>
        <v>0</v>
      </c>
      <c r="L48" s="239">
        <f t="shared" si="33"/>
        <v>0</v>
      </c>
      <c r="M48" s="225">
        <f t="shared" si="34"/>
        <v>0</v>
      </c>
      <c r="N48" s="225">
        <f t="shared" si="35"/>
        <v>0</v>
      </c>
      <c r="O48" s="225">
        <f t="shared" si="36"/>
        <v>0</v>
      </c>
      <c r="P48" s="222">
        <f t="shared" si="37"/>
        <v>0</v>
      </c>
      <c r="Q48" s="225">
        <f t="shared" si="38"/>
        <v>0</v>
      </c>
      <c r="R48" s="225">
        <f t="shared" si="39"/>
        <v>0</v>
      </c>
      <c r="S48" s="225">
        <f t="shared" si="40"/>
        <v>0</v>
      </c>
      <c r="T48" s="222">
        <v>0</v>
      </c>
      <c r="U48" s="222">
        <v>0</v>
      </c>
      <c r="V48" s="225">
        <f t="shared" si="31"/>
        <v>0</v>
      </c>
      <c r="W48" s="222">
        <f t="shared" si="41"/>
        <v>20.833333333333332</v>
      </c>
      <c r="X48" s="222">
        <f t="shared" si="9"/>
        <v>20.833333333333332</v>
      </c>
      <c r="Y48" s="222">
        <f t="shared" si="42"/>
        <v>18.75</v>
      </c>
      <c r="Z48" s="222">
        <f t="shared" si="43"/>
        <v>3.5714285714285716</v>
      </c>
      <c r="AA48" s="222">
        <f t="shared" si="44"/>
        <v>82.408333333333317</v>
      </c>
      <c r="AB48" s="222">
        <f t="shared" si="45"/>
        <v>87.916666666666657</v>
      </c>
      <c r="AC48" s="226">
        <f t="shared" si="46"/>
        <v>150</v>
      </c>
      <c r="AD48" s="222">
        <f t="shared" si="47"/>
        <v>66.666666666666671</v>
      </c>
      <c r="AE48" s="222">
        <f t="shared" si="48"/>
        <v>15</v>
      </c>
      <c r="AF48" s="222">
        <v>400</v>
      </c>
      <c r="AG48" s="225">
        <f t="shared" si="49"/>
        <v>865.97976190476197</v>
      </c>
      <c r="AH48" s="225">
        <f t="shared" si="50"/>
        <v>865.97976190476197</v>
      </c>
      <c r="AI48" s="227">
        <v>0.04</v>
      </c>
      <c r="AJ48" s="228">
        <f t="shared" si="51"/>
        <v>34.639190476190478</v>
      </c>
      <c r="AK48" s="229">
        <v>0.04</v>
      </c>
      <c r="AL48" s="230">
        <f t="shared" si="56"/>
        <v>52.715249545260207</v>
      </c>
      <c r="AM48" s="227">
        <v>0.01</v>
      </c>
      <c r="AN48" s="228">
        <f t="shared" si="57"/>
        <v>8.6597976190476196</v>
      </c>
      <c r="AO48" s="229">
        <v>0.01</v>
      </c>
      <c r="AP48" s="230">
        <f t="shared" si="52"/>
        <v>13.178812386315052</v>
      </c>
      <c r="AQ48" s="227">
        <v>0.1</v>
      </c>
      <c r="AR48" s="228">
        <f t="shared" si="58"/>
        <v>86.597976190476203</v>
      </c>
      <c r="AS48" s="229">
        <v>0.1</v>
      </c>
      <c r="AT48" s="230">
        <f t="shared" si="53"/>
        <v>131.7881238631505</v>
      </c>
      <c r="AU48" s="227">
        <v>0.15640000000000001</v>
      </c>
      <c r="AV48" s="228">
        <f t="shared" si="54"/>
        <v>195.26994631185812</v>
      </c>
      <c r="AW48" s="229">
        <v>0.19289999999999999</v>
      </c>
      <c r="AX48" s="230">
        <f t="shared" si="55"/>
        <v>254.21929093201732</v>
      </c>
      <c r="AY48" s="231">
        <f t="shared" si="59"/>
        <v>1248.5290684901413</v>
      </c>
      <c r="AZ48" s="230">
        <f t="shared" si="60"/>
        <v>1317.8812386315051</v>
      </c>
      <c r="BA48" s="389">
        <f t="shared" si="32"/>
        <v>615.47980703310247</v>
      </c>
    </row>
    <row r="49" spans="1:53" x14ac:dyDescent="0.25">
      <c r="A49" s="241" t="str">
        <f t="shared" si="29"/>
        <v/>
      </c>
      <c r="B49" s="216" t="str">
        <f>IF(Helexia!C49=0,"",Helexia!C49)</f>
        <v/>
      </c>
      <c r="C49" s="217" t="str">
        <f>IF(Helexia!G49=0,"",Helexia!G49)</f>
        <v/>
      </c>
      <c r="K49" s="224">
        <f t="shared" si="30"/>
        <v>0</v>
      </c>
      <c r="L49" s="239">
        <f t="shared" si="33"/>
        <v>0</v>
      </c>
      <c r="M49" s="225">
        <f t="shared" si="34"/>
        <v>0</v>
      </c>
      <c r="N49" s="225">
        <f t="shared" si="35"/>
        <v>0</v>
      </c>
      <c r="O49" s="225">
        <f t="shared" si="36"/>
        <v>0</v>
      </c>
      <c r="P49" s="222">
        <f t="shared" si="37"/>
        <v>0</v>
      </c>
      <c r="Q49" s="225">
        <f t="shared" si="38"/>
        <v>0</v>
      </c>
      <c r="R49" s="225">
        <f t="shared" si="39"/>
        <v>0</v>
      </c>
      <c r="S49" s="225">
        <f t="shared" si="40"/>
        <v>0</v>
      </c>
      <c r="T49" s="222">
        <v>0</v>
      </c>
      <c r="U49" s="222">
        <v>0</v>
      </c>
      <c r="V49" s="225">
        <f t="shared" si="31"/>
        <v>0</v>
      </c>
      <c r="W49" s="222">
        <f t="shared" si="41"/>
        <v>20.833333333333332</v>
      </c>
      <c r="X49" s="222">
        <f t="shared" si="9"/>
        <v>20.833333333333332</v>
      </c>
      <c r="Y49" s="222">
        <f t="shared" si="42"/>
        <v>18.75</v>
      </c>
      <c r="Z49" s="222">
        <f t="shared" si="43"/>
        <v>3.5714285714285716</v>
      </c>
      <c r="AA49" s="222">
        <f t="shared" si="44"/>
        <v>82.408333333333317</v>
      </c>
      <c r="AB49" s="222">
        <f t="shared" si="45"/>
        <v>87.916666666666657</v>
      </c>
      <c r="AC49" s="226">
        <f t="shared" si="46"/>
        <v>150</v>
      </c>
      <c r="AD49" s="222">
        <f t="shared" si="47"/>
        <v>66.666666666666671</v>
      </c>
      <c r="AE49" s="222">
        <f t="shared" si="48"/>
        <v>15</v>
      </c>
      <c r="AF49" s="222">
        <v>400</v>
      </c>
      <c r="AG49" s="225">
        <f t="shared" si="49"/>
        <v>865.97976190476197</v>
      </c>
      <c r="AH49" s="225">
        <f t="shared" si="50"/>
        <v>865.97976190476197</v>
      </c>
      <c r="AI49" s="227">
        <v>0.04</v>
      </c>
      <c r="AJ49" s="228">
        <f t="shared" si="51"/>
        <v>34.639190476190478</v>
      </c>
      <c r="AK49" s="229">
        <v>0.04</v>
      </c>
      <c r="AL49" s="230">
        <f t="shared" si="56"/>
        <v>52.715249545260207</v>
      </c>
      <c r="AM49" s="227">
        <v>0.01</v>
      </c>
      <c r="AN49" s="228">
        <f t="shared" si="57"/>
        <v>8.6597976190476196</v>
      </c>
      <c r="AO49" s="229">
        <v>0.01</v>
      </c>
      <c r="AP49" s="230">
        <f t="shared" si="52"/>
        <v>13.178812386315052</v>
      </c>
      <c r="AQ49" s="227">
        <v>0.1</v>
      </c>
      <c r="AR49" s="228">
        <f t="shared" si="58"/>
        <v>86.597976190476203</v>
      </c>
      <c r="AS49" s="229">
        <v>0.1</v>
      </c>
      <c r="AT49" s="230">
        <f t="shared" si="53"/>
        <v>131.7881238631505</v>
      </c>
      <c r="AU49" s="227">
        <v>0.15640000000000001</v>
      </c>
      <c r="AV49" s="228">
        <f t="shared" si="54"/>
        <v>195.26994631185812</v>
      </c>
      <c r="AW49" s="229">
        <v>0.19289999999999999</v>
      </c>
      <c r="AX49" s="230">
        <f t="shared" si="55"/>
        <v>254.21929093201732</v>
      </c>
      <c r="AY49" s="231">
        <f t="shared" si="59"/>
        <v>1248.5290684901413</v>
      </c>
      <c r="AZ49" s="230">
        <f t="shared" si="60"/>
        <v>1317.8812386315051</v>
      </c>
      <c r="BA49" s="389">
        <f t="shared" si="32"/>
        <v>615.47980703310247</v>
      </c>
    </row>
    <row r="50" spans="1:53" x14ac:dyDescent="0.25">
      <c r="A50" s="241" t="str">
        <f t="shared" si="29"/>
        <v/>
      </c>
      <c r="B50" s="244" t="str">
        <f>IF(Helexia!C50=0,"",Helexia!C50)</f>
        <v/>
      </c>
      <c r="C50" s="217" t="str">
        <f>IF(Helexia!G50=0,"",Helexia!G50)</f>
        <v/>
      </c>
      <c r="K50" s="224">
        <f t="shared" si="30"/>
        <v>0</v>
      </c>
      <c r="L50" s="239">
        <f t="shared" si="33"/>
        <v>0</v>
      </c>
      <c r="M50" s="225">
        <f t="shared" si="34"/>
        <v>0</v>
      </c>
      <c r="N50" s="225">
        <f t="shared" si="35"/>
        <v>0</v>
      </c>
      <c r="O50" s="225">
        <f t="shared" si="36"/>
        <v>0</v>
      </c>
      <c r="P50" s="222">
        <f t="shared" si="37"/>
        <v>0</v>
      </c>
      <c r="Q50" s="225">
        <f t="shared" si="38"/>
        <v>0</v>
      </c>
      <c r="R50" s="225">
        <f t="shared" si="39"/>
        <v>0</v>
      </c>
      <c r="S50" s="225">
        <f t="shared" si="40"/>
        <v>0</v>
      </c>
      <c r="T50" s="222">
        <v>0</v>
      </c>
      <c r="U50" s="222">
        <v>0</v>
      </c>
      <c r="V50" s="225">
        <f t="shared" si="31"/>
        <v>0</v>
      </c>
      <c r="W50" s="222">
        <f t="shared" si="41"/>
        <v>20.833333333333332</v>
      </c>
      <c r="X50" s="222">
        <f t="shared" si="9"/>
        <v>20.833333333333332</v>
      </c>
      <c r="Y50" s="222">
        <f t="shared" si="42"/>
        <v>18.75</v>
      </c>
      <c r="Z50" s="222">
        <f t="shared" si="43"/>
        <v>3.5714285714285716</v>
      </c>
      <c r="AA50" s="222">
        <f t="shared" si="44"/>
        <v>82.408333333333317</v>
      </c>
      <c r="AB50" s="222">
        <f t="shared" si="45"/>
        <v>87.916666666666657</v>
      </c>
      <c r="AC50" s="226">
        <f t="shared" si="46"/>
        <v>150</v>
      </c>
      <c r="AD50" s="222">
        <f t="shared" si="47"/>
        <v>66.666666666666671</v>
      </c>
      <c r="AE50" s="222">
        <f t="shared" si="48"/>
        <v>15</v>
      </c>
      <c r="AF50" s="222">
        <v>400</v>
      </c>
      <c r="AG50" s="225">
        <f t="shared" si="49"/>
        <v>865.97976190476197</v>
      </c>
      <c r="AH50" s="225">
        <f t="shared" si="50"/>
        <v>865.97976190476197</v>
      </c>
      <c r="AI50" s="227">
        <v>0.04</v>
      </c>
      <c r="AJ50" s="228">
        <f t="shared" si="51"/>
        <v>34.639190476190478</v>
      </c>
      <c r="AK50" s="229">
        <v>0.04</v>
      </c>
      <c r="AL50" s="230">
        <f t="shared" si="56"/>
        <v>52.715249545260207</v>
      </c>
      <c r="AM50" s="227">
        <v>0.01</v>
      </c>
      <c r="AN50" s="228">
        <f t="shared" si="57"/>
        <v>8.6597976190476196</v>
      </c>
      <c r="AO50" s="229">
        <v>0.01</v>
      </c>
      <c r="AP50" s="230">
        <f t="shared" si="52"/>
        <v>13.178812386315052</v>
      </c>
      <c r="AQ50" s="227">
        <v>0.1</v>
      </c>
      <c r="AR50" s="228">
        <f t="shared" si="58"/>
        <v>86.597976190476203</v>
      </c>
      <c r="AS50" s="229">
        <v>0.1</v>
      </c>
      <c r="AT50" s="230">
        <f t="shared" si="53"/>
        <v>131.7881238631505</v>
      </c>
      <c r="AU50" s="227">
        <v>0.15640000000000001</v>
      </c>
      <c r="AV50" s="228">
        <f t="shared" si="54"/>
        <v>195.26994631185812</v>
      </c>
      <c r="AW50" s="229">
        <v>0.19289999999999999</v>
      </c>
      <c r="AX50" s="230">
        <f t="shared" si="55"/>
        <v>254.21929093201732</v>
      </c>
      <c r="AY50" s="231">
        <f t="shared" si="59"/>
        <v>1248.5290684901413</v>
      </c>
      <c r="AZ50" s="230">
        <f t="shared" si="60"/>
        <v>1317.8812386315051</v>
      </c>
      <c r="BA50" s="389">
        <f t="shared" si="32"/>
        <v>615.47980703310247</v>
      </c>
    </row>
    <row r="51" spans="1:53" x14ac:dyDescent="0.25">
      <c r="A51" s="241" t="str">
        <f t="shared" si="29"/>
        <v/>
      </c>
      <c r="B51" s="216" t="str">
        <f>IF(Helexia!C51=0,"",Helexia!C51)</f>
        <v/>
      </c>
      <c r="C51" s="217" t="str">
        <f>IF(Helexia!G51=0,"",Helexia!G51)</f>
        <v/>
      </c>
      <c r="K51" s="224">
        <f t="shared" ref="K51" si="61">D51</f>
        <v>0</v>
      </c>
      <c r="L51" s="239">
        <f t="shared" ref="L51" si="62">K51 * 0.3</f>
        <v>0</v>
      </c>
      <c r="M51" s="225">
        <f t="shared" ref="M51" si="63">K51+L51</f>
        <v>0</v>
      </c>
      <c r="N51" s="225">
        <f t="shared" ref="N51" si="64">M51 * 35.3%</f>
        <v>0</v>
      </c>
      <c r="O51" s="225">
        <f t="shared" ref="O51" si="65">M51 * 11.11%</f>
        <v>0</v>
      </c>
      <c r="P51" s="222">
        <f t="shared" ref="P51" si="66">M51 * 8.33%</f>
        <v>0</v>
      </c>
      <c r="Q51" s="225">
        <f t="shared" ref="Q51" si="67">(O51+P51) * 35.3%</f>
        <v>0</v>
      </c>
      <c r="R51" s="225">
        <f t="shared" ref="R51" si="68">M51/12</f>
        <v>0</v>
      </c>
      <c r="S51" s="225">
        <f t="shared" ref="S51" si="69">((M51+O51+P51)*8%)*50%</f>
        <v>0</v>
      </c>
      <c r="T51" s="222">
        <v>0</v>
      </c>
      <c r="U51" s="222">
        <v>0</v>
      </c>
      <c r="V51" s="225">
        <f t="shared" ref="V51" si="70">SUM(N51:U51)</f>
        <v>0</v>
      </c>
      <c r="W51" s="222">
        <f t="shared" si="41"/>
        <v>20.833333333333332</v>
      </c>
      <c r="X51" s="222">
        <f t="shared" si="9"/>
        <v>20.833333333333332</v>
      </c>
      <c r="Y51" s="222">
        <f t="shared" si="42"/>
        <v>18.75</v>
      </c>
      <c r="Z51" s="222">
        <f t="shared" si="43"/>
        <v>3.5714285714285716</v>
      </c>
      <c r="AA51" s="222">
        <f t="shared" si="44"/>
        <v>82.408333333333317</v>
      </c>
      <c r="AB51" s="222">
        <f t="shared" si="45"/>
        <v>87.916666666666657</v>
      </c>
      <c r="AC51" s="226">
        <f t="shared" si="46"/>
        <v>150</v>
      </c>
      <c r="AD51" s="222">
        <f t="shared" si="47"/>
        <v>66.666666666666671</v>
      </c>
      <c r="AE51" s="222">
        <f t="shared" si="48"/>
        <v>15</v>
      </c>
      <c r="AF51" s="222">
        <v>400</v>
      </c>
      <c r="AG51" s="225">
        <f t="shared" ref="AG51" si="71">SUM(W51:AF51)</f>
        <v>865.97976190476197</v>
      </c>
      <c r="AH51" s="225">
        <f t="shared" ref="AH51" si="72">M51+V51+AG51</f>
        <v>865.97976190476197</v>
      </c>
      <c r="AI51" s="227">
        <v>0.04</v>
      </c>
      <c r="AJ51" s="228">
        <f t="shared" ref="AJ51" si="73">AH51*AI51</f>
        <v>34.639190476190478</v>
      </c>
      <c r="AK51" s="229">
        <v>0.04</v>
      </c>
      <c r="AL51" s="230">
        <f t="shared" si="56"/>
        <v>52.715249545260207</v>
      </c>
      <c r="AM51" s="227">
        <v>0.01</v>
      </c>
      <c r="AN51" s="228">
        <f t="shared" si="57"/>
        <v>8.6597976190476196</v>
      </c>
      <c r="AO51" s="229">
        <v>0.01</v>
      </c>
      <c r="AP51" s="230">
        <f t="shared" ref="AP51" si="74">AZ51*AO51</f>
        <v>13.178812386315052</v>
      </c>
      <c r="AQ51" s="227">
        <v>0.1</v>
      </c>
      <c r="AR51" s="228">
        <f t="shared" si="58"/>
        <v>86.597976190476203</v>
      </c>
      <c r="AS51" s="229">
        <v>0.1</v>
      </c>
      <c r="AT51" s="230">
        <f t="shared" ref="AT51" si="75">AZ51*AS51</f>
        <v>131.7881238631505</v>
      </c>
      <c r="AU51" s="227">
        <v>0.15640000000000001</v>
      </c>
      <c r="AV51" s="228">
        <f t="shared" ref="AV51" si="76">AY51*AU51</f>
        <v>195.26994631185812</v>
      </c>
      <c r="AW51" s="229">
        <v>0.19289999999999999</v>
      </c>
      <c r="AX51" s="230">
        <f t="shared" ref="AX51" si="77">AZ51*AW51</f>
        <v>254.21929093201732</v>
      </c>
      <c r="AY51" s="231">
        <f t="shared" si="59"/>
        <v>1248.5290684901413</v>
      </c>
      <c r="AZ51" s="230">
        <f t="shared" si="60"/>
        <v>1317.8812386315051</v>
      </c>
      <c r="BA51" s="389">
        <f t="shared" si="32"/>
        <v>615.47980703310247</v>
      </c>
    </row>
    <row r="52" spans="1:53" x14ac:dyDescent="0.25">
      <c r="A52" s="241" t="str">
        <f t="shared" si="29"/>
        <v/>
      </c>
      <c r="B52" s="244" t="str">
        <f>IF(Helexia!C52=0,"",Helexia!C52)</f>
        <v/>
      </c>
      <c r="C52" s="217" t="str">
        <f>IF(Helexia!G52=0,"",Helexia!G52)</f>
        <v/>
      </c>
      <c r="K52" s="224">
        <f t="shared" si="30"/>
        <v>0</v>
      </c>
      <c r="L52" s="239">
        <f t="shared" si="33"/>
        <v>0</v>
      </c>
      <c r="M52" s="225">
        <f t="shared" si="34"/>
        <v>0</v>
      </c>
      <c r="N52" s="225">
        <f t="shared" si="35"/>
        <v>0</v>
      </c>
      <c r="O52" s="225">
        <f t="shared" si="36"/>
        <v>0</v>
      </c>
      <c r="P52" s="222">
        <f t="shared" si="37"/>
        <v>0</v>
      </c>
      <c r="Q52" s="225">
        <f t="shared" si="38"/>
        <v>0</v>
      </c>
      <c r="R52" s="225">
        <f t="shared" si="39"/>
        <v>0</v>
      </c>
      <c r="S52" s="225">
        <f t="shared" si="40"/>
        <v>0</v>
      </c>
      <c r="T52" s="222">
        <v>0</v>
      </c>
      <c r="U52" s="222">
        <v>0</v>
      </c>
      <c r="V52" s="225">
        <f t="shared" si="31"/>
        <v>0</v>
      </c>
      <c r="W52" s="222">
        <f t="shared" si="41"/>
        <v>20.833333333333332</v>
      </c>
      <c r="X52" s="222">
        <f t="shared" si="9"/>
        <v>20.833333333333332</v>
      </c>
      <c r="Y52" s="222">
        <f t="shared" si="42"/>
        <v>18.75</v>
      </c>
      <c r="Z52" s="222">
        <f t="shared" si="43"/>
        <v>3.5714285714285716</v>
      </c>
      <c r="AA52" s="222">
        <f t="shared" si="44"/>
        <v>82.408333333333317</v>
      </c>
      <c r="AB52" s="222">
        <f t="shared" si="45"/>
        <v>87.916666666666657</v>
      </c>
      <c r="AC52" s="226">
        <f t="shared" si="46"/>
        <v>150</v>
      </c>
      <c r="AD52" s="222">
        <f t="shared" si="47"/>
        <v>66.666666666666671</v>
      </c>
      <c r="AE52" s="222">
        <f t="shared" si="48"/>
        <v>15</v>
      </c>
      <c r="AF52" s="222">
        <v>400</v>
      </c>
      <c r="AG52" s="225">
        <f t="shared" si="49"/>
        <v>865.97976190476197</v>
      </c>
      <c r="AH52" s="225">
        <f t="shared" si="50"/>
        <v>865.97976190476197</v>
      </c>
      <c r="AI52" s="227">
        <v>0.04</v>
      </c>
      <c r="AJ52" s="228">
        <f t="shared" si="51"/>
        <v>34.639190476190478</v>
      </c>
      <c r="AK52" s="229">
        <v>0.04</v>
      </c>
      <c r="AL52" s="230">
        <f t="shared" si="56"/>
        <v>52.715249545260207</v>
      </c>
      <c r="AM52" s="227">
        <v>0.01</v>
      </c>
      <c r="AN52" s="228">
        <f t="shared" si="57"/>
        <v>8.6597976190476196</v>
      </c>
      <c r="AO52" s="229">
        <v>0.01</v>
      </c>
      <c r="AP52" s="230">
        <f t="shared" si="52"/>
        <v>13.178812386315052</v>
      </c>
      <c r="AQ52" s="227">
        <v>0.1</v>
      </c>
      <c r="AR52" s="228">
        <f t="shared" si="58"/>
        <v>86.597976190476203</v>
      </c>
      <c r="AS52" s="229">
        <v>0.1</v>
      </c>
      <c r="AT52" s="230">
        <f t="shared" si="53"/>
        <v>131.7881238631505</v>
      </c>
      <c r="AU52" s="227">
        <v>0.15640000000000001</v>
      </c>
      <c r="AV52" s="228">
        <f t="shared" si="54"/>
        <v>195.26994631185812</v>
      </c>
      <c r="AW52" s="229">
        <v>0.19289999999999999</v>
      </c>
      <c r="AX52" s="230">
        <f t="shared" si="55"/>
        <v>254.21929093201732</v>
      </c>
      <c r="AY52" s="231">
        <f t="shared" si="59"/>
        <v>1248.5290684901413</v>
      </c>
      <c r="AZ52" s="230">
        <f t="shared" si="60"/>
        <v>1317.8812386315051</v>
      </c>
      <c r="BA52" s="389">
        <f t="shared" si="32"/>
        <v>615.47980703310247</v>
      </c>
    </row>
    <row r="53" spans="1:53" x14ac:dyDescent="0.25">
      <c r="A53" s="241" t="str">
        <f t="shared" si="29"/>
        <v/>
      </c>
      <c r="B53" s="216" t="str">
        <f>IF(Helexia!C53=0,"",Helexia!C53)</f>
        <v/>
      </c>
      <c r="C53" s="217" t="str">
        <f>IF(Helexia!G53=0,"",Helexia!G53)</f>
        <v/>
      </c>
      <c r="K53" s="224">
        <f t="shared" si="30"/>
        <v>0</v>
      </c>
      <c r="L53" s="239">
        <f t="shared" si="33"/>
        <v>0</v>
      </c>
      <c r="M53" s="225">
        <f t="shared" si="34"/>
        <v>0</v>
      </c>
      <c r="N53" s="225">
        <f t="shared" si="35"/>
        <v>0</v>
      </c>
      <c r="O53" s="225">
        <f t="shared" si="36"/>
        <v>0</v>
      </c>
      <c r="P53" s="222">
        <f t="shared" si="37"/>
        <v>0</v>
      </c>
      <c r="Q53" s="225">
        <f t="shared" si="38"/>
        <v>0</v>
      </c>
      <c r="R53" s="225">
        <f t="shared" si="39"/>
        <v>0</v>
      </c>
      <c r="S53" s="225">
        <f t="shared" si="40"/>
        <v>0</v>
      </c>
      <c r="T53" s="222">
        <v>0</v>
      </c>
      <c r="U53" s="222">
        <v>0</v>
      </c>
      <c r="V53" s="225">
        <f t="shared" si="31"/>
        <v>0</v>
      </c>
      <c r="W53" s="222">
        <f t="shared" si="41"/>
        <v>20.833333333333332</v>
      </c>
      <c r="X53" s="222">
        <f t="shared" si="9"/>
        <v>20.833333333333332</v>
      </c>
      <c r="Y53" s="222">
        <f t="shared" si="42"/>
        <v>18.75</v>
      </c>
      <c r="Z53" s="222">
        <f t="shared" si="43"/>
        <v>3.5714285714285716</v>
      </c>
      <c r="AA53" s="222">
        <f t="shared" si="44"/>
        <v>82.408333333333317</v>
      </c>
      <c r="AB53" s="222">
        <f t="shared" si="45"/>
        <v>87.916666666666657</v>
      </c>
      <c r="AC53" s="226">
        <f t="shared" si="46"/>
        <v>150</v>
      </c>
      <c r="AD53" s="222">
        <f t="shared" si="47"/>
        <v>66.666666666666671</v>
      </c>
      <c r="AE53" s="222">
        <f t="shared" si="48"/>
        <v>15</v>
      </c>
      <c r="AF53" s="222">
        <v>400</v>
      </c>
      <c r="AG53" s="225">
        <f t="shared" si="49"/>
        <v>865.97976190476197</v>
      </c>
      <c r="AH53" s="225">
        <f t="shared" si="50"/>
        <v>865.97976190476197</v>
      </c>
      <c r="AI53" s="227">
        <v>0.04</v>
      </c>
      <c r="AJ53" s="228">
        <f t="shared" si="51"/>
        <v>34.639190476190478</v>
      </c>
      <c r="AK53" s="229">
        <v>0.04</v>
      </c>
      <c r="AL53" s="230">
        <f t="shared" si="56"/>
        <v>52.715249545260207</v>
      </c>
      <c r="AM53" s="227">
        <v>0.01</v>
      </c>
      <c r="AN53" s="228">
        <f t="shared" si="57"/>
        <v>8.6597976190476196</v>
      </c>
      <c r="AO53" s="229">
        <v>0.01</v>
      </c>
      <c r="AP53" s="230">
        <f t="shared" si="52"/>
        <v>13.178812386315052</v>
      </c>
      <c r="AQ53" s="227">
        <v>0.1</v>
      </c>
      <c r="AR53" s="228">
        <f t="shared" si="58"/>
        <v>86.597976190476203</v>
      </c>
      <c r="AS53" s="229">
        <v>0.1</v>
      </c>
      <c r="AT53" s="230">
        <f t="shared" si="53"/>
        <v>131.7881238631505</v>
      </c>
      <c r="AU53" s="227">
        <v>0.15640000000000001</v>
      </c>
      <c r="AV53" s="228">
        <f t="shared" si="54"/>
        <v>195.26994631185812</v>
      </c>
      <c r="AW53" s="229">
        <v>0.19289999999999999</v>
      </c>
      <c r="AX53" s="230">
        <f t="shared" si="55"/>
        <v>254.21929093201732</v>
      </c>
      <c r="AY53" s="231">
        <f t="shared" si="59"/>
        <v>1248.5290684901413</v>
      </c>
      <c r="AZ53" s="230">
        <f t="shared" si="60"/>
        <v>1317.8812386315051</v>
      </c>
      <c r="BA53" s="389">
        <f t="shared" si="32"/>
        <v>615.47980703310247</v>
      </c>
    </row>
    <row r="54" spans="1:53" x14ac:dyDescent="0.25">
      <c r="A54" s="241">
        <f t="shared" si="29"/>
        <v>7600.3212649288735</v>
      </c>
      <c r="B54" s="244" t="str">
        <f>IF(Helexia!C54=0,"",Helexia!C54)</f>
        <v>Carlos Eduardo de Almeida Pereira</v>
      </c>
      <c r="C54" s="217" t="str">
        <f>IF(Helexia!G54=0,"",Helexia!G54)</f>
        <v>CLT</v>
      </c>
      <c r="D54" s="222">
        <v>1518</v>
      </c>
      <c r="K54" s="224">
        <f t="shared" si="30"/>
        <v>1518</v>
      </c>
      <c r="L54" s="239">
        <f t="shared" si="33"/>
        <v>455.4</v>
      </c>
      <c r="M54" s="225">
        <f t="shared" si="34"/>
        <v>1973.4</v>
      </c>
      <c r="N54" s="225">
        <f t="shared" si="35"/>
        <v>696.61019999999996</v>
      </c>
      <c r="O54" s="225">
        <f t="shared" si="36"/>
        <v>219.24473999999998</v>
      </c>
      <c r="P54" s="222">
        <f t="shared" si="37"/>
        <v>164.38422</v>
      </c>
      <c r="Q54" s="225">
        <f t="shared" si="38"/>
        <v>135.42102287999998</v>
      </c>
      <c r="R54" s="225">
        <f t="shared" si="39"/>
        <v>164.45000000000002</v>
      </c>
      <c r="S54" s="225">
        <f t="shared" si="40"/>
        <v>94.28115840000001</v>
      </c>
      <c r="T54" s="222">
        <v>680.4</v>
      </c>
      <c r="U54" s="222">
        <v>0</v>
      </c>
      <c r="V54" s="225">
        <f t="shared" si="31"/>
        <v>2154.7913412799999</v>
      </c>
      <c r="W54" s="222">
        <f t="shared" si="41"/>
        <v>20.833333333333332</v>
      </c>
      <c r="X54" s="222">
        <f t="shared" si="9"/>
        <v>20.833333333333332</v>
      </c>
      <c r="Y54" s="222">
        <f t="shared" si="42"/>
        <v>18.75</v>
      </c>
      <c r="Z54" s="222">
        <f t="shared" si="43"/>
        <v>3.5714285714285716</v>
      </c>
      <c r="AA54" s="222">
        <f t="shared" si="44"/>
        <v>82.408333333333317</v>
      </c>
      <c r="AB54" s="222">
        <f t="shared" si="45"/>
        <v>87.916666666666657</v>
      </c>
      <c r="AC54" s="226">
        <f t="shared" si="46"/>
        <v>150</v>
      </c>
      <c r="AD54" s="222">
        <f t="shared" si="47"/>
        <v>66.666666666666671</v>
      </c>
      <c r="AE54" s="222">
        <f t="shared" si="48"/>
        <v>15</v>
      </c>
      <c r="AF54" s="222">
        <v>400</v>
      </c>
      <c r="AG54" s="225">
        <f t="shared" si="49"/>
        <v>865.97976190476197</v>
      </c>
      <c r="AH54" s="225">
        <f t="shared" si="50"/>
        <v>4994.1711031847626</v>
      </c>
      <c r="AI54" s="227">
        <v>0.04</v>
      </c>
      <c r="AJ54" s="228">
        <f t="shared" si="51"/>
        <v>199.7668441273905</v>
      </c>
      <c r="AK54" s="229">
        <v>0.04</v>
      </c>
      <c r="AL54" s="230">
        <f t="shared" si="56"/>
        <v>304.01285059715497</v>
      </c>
      <c r="AM54" s="227">
        <v>0.01</v>
      </c>
      <c r="AN54" s="228">
        <f t="shared" si="57"/>
        <v>49.941711031847625</v>
      </c>
      <c r="AO54" s="229">
        <v>0.01</v>
      </c>
      <c r="AP54" s="230">
        <f t="shared" si="52"/>
        <v>76.003212649288741</v>
      </c>
      <c r="AQ54" s="227">
        <v>0.1</v>
      </c>
      <c r="AR54" s="228">
        <f t="shared" si="58"/>
        <v>499.41711031847626</v>
      </c>
      <c r="AS54" s="229">
        <v>0.1</v>
      </c>
      <c r="AT54" s="230">
        <f t="shared" si="53"/>
        <v>760.03212649288741</v>
      </c>
      <c r="AU54" s="227">
        <v>0.15640000000000001</v>
      </c>
      <c r="AV54" s="228">
        <f t="shared" si="54"/>
        <v>1126.1366213063682</v>
      </c>
      <c r="AW54" s="229">
        <v>0.19289999999999999</v>
      </c>
      <c r="AX54" s="230">
        <f t="shared" si="55"/>
        <v>1466.1019720047796</v>
      </c>
      <c r="AY54" s="231">
        <f t="shared" si="59"/>
        <v>7200.3620288130951</v>
      </c>
      <c r="AZ54" s="230">
        <f t="shared" si="60"/>
        <v>7600.3212649288735</v>
      </c>
      <c r="BA54" s="389">
        <f t="shared" si="32"/>
        <v>2620.498959060576</v>
      </c>
    </row>
    <row r="55" spans="1:53" x14ac:dyDescent="0.25">
      <c r="A55" s="241">
        <f t="shared" si="29"/>
        <v>18735.80737274437</v>
      </c>
      <c r="B55" s="216" t="str">
        <f>IF(Helexia!C55=0,"",Helexia!C55)</f>
        <v>Marina Lopes da Costa Figueiredo</v>
      </c>
      <c r="C55" s="217" t="str">
        <f>IF(Helexia!G55=0,"",Helexia!G55)</f>
        <v>PJ</v>
      </c>
      <c r="D55" s="222">
        <v>13718.9</v>
      </c>
      <c r="K55" s="224">
        <f t="shared" si="30"/>
        <v>13718.9</v>
      </c>
      <c r="L55" s="239">
        <f t="shared" si="33"/>
        <v>4115.67</v>
      </c>
      <c r="M55" s="225">
        <f t="shared" si="34"/>
        <v>17834.57</v>
      </c>
      <c r="N55" s="225">
        <f t="shared" si="35"/>
        <v>6295.6032099999993</v>
      </c>
      <c r="O55" s="225">
        <f t="shared" si="36"/>
        <v>1981.4207269999997</v>
      </c>
      <c r="P55" s="222">
        <f t="shared" si="37"/>
        <v>1485.6196809999999</v>
      </c>
      <c r="Q55" s="225">
        <f t="shared" si="38"/>
        <v>1223.8652640239998</v>
      </c>
      <c r="R55" s="225">
        <f t="shared" si="39"/>
        <v>1486.2141666666666</v>
      </c>
      <c r="S55" s="225">
        <f t="shared" si="40"/>
        <v>852.06441632000008</v>
      </c>
      <c r="T55" s="222">
        <v>0</v>
      </c>
      <c r="U55" s="222">
        <v>0</v>
      </c>
      <c r="V55" s="225">
        <f t="shared" si="31"/>
        <v>13324.787465010664</v>
      </c>
      <c r="W55" s="222">
        <f t="shared" si="41"/>
        <v>20.833333333333332</v>
      </c>
      <c r="X55" s="222">
        <f t="shared" si="9"/>
        <v>20.833333333333332</v>
      </c>
      <c r="Y55" s="222">
        <f t="shared" si="42"/>
        <v>18.75</v>
      </c>
      <c r="Z55" s="222">
        <f t="shared" si="43"/>
        <v>3.5714285714285716</v>
      </c>
      <c r="AA55" s="222">
        <f t="shared" si="44"/>
        <v>82.408333333333317</v>
      </c>
      <c r="AB55" s="222">
        <f t="shared" si="45"/>
        <v>87.916666666666657</v>
      </c>
      <c r="AC55" s="226">
        <f t="shared" si="46"/>
        <v>150</v>
      </c>
      <c r="AD55" s="222">
        <f t="shared" si="47"/>
        <v>66.666666666666671</v>
      </c>
      <c r="AE55" s="222">
        <f t="shared" si="48"/>
        <v>15</v>
      </c>
      <c r="AF55" s="222">
        <v>400</v>
      </c>
      <c r="AG55" s="225">
        <f t="shared" si="49"/>
        <v>865.97976190476197</v>
      </c>
      <c r="AH55" s="225">
        <f t="shared" si="50"/>
        <v>32025.337226915424</v>
      </c>
      <c r="AI55" s="227">
        <v>0.04</v>
      </c>
      <c r="AJ55" s="228">
        <f t="shared" si="51"/>
        <v>1281.0134890766169</v>
      </c>
      <c r="AK55" s="229">
        <v>0.04</v>
      </c>
      <c r="AL55" s="230">
        <f t="shared" si="56"/>
        <v>1949.4954939531533</v>
      </c>
      <c r="AM55" s="227">
        <v>0.01</v>
      </c>
      <c r="AN55" s="228">
        <f t="shared" si="57"/>
        <v>320.25337226915423</v>
      </c>
      <c r="AO55" s="229">
        <v>0.01</v>
      </c>
      <c r="AP55" s="230">
        <f t="shared" si="52"/>
        <v>487.37387348828833</v>
      </c>
      <c r="AQ55" s="227">
        <v>0.1</v>
      </c>
      <c r="AR55" s="228">
        <f t="shared" si="58"/>
        <v>3202.5337226915426</v>
      </c>
      <c r="AS55" s="229">
        <v>0.1</v>
      </c>
      <c r="AT55" s="230">
        <f t="shared" si="53"/>
        <v>4873.7387348828834</v>
      </c>
      <c r="AU55" s="227">
        <v>0.15640000000000001</v>
      </c>
      <c r="AV55" s="228">
        <f t="shared" si="54"/>
        <v>7221.3995707750464</v>
      </c>
      <c r="AW55" s="229">
        <v>0.19289999999999999</v>
      </c>
      <c r="AX55" s="230">
        <f t="shared" si="55"/>
        <v>9401.4420195890816</v>
      </c>
      <c r="AY55" s="231">
        <f t="shared" si="59"/>
        <v>46172.631526694669</v>
      </c>
      <c r="AZ55" s="230">
        <f t="shared" si="60"/>
        <v>48737.38734882883</v>
      </c>
      <c r="BA55" s="389">
        <f t="shared" si="32"/>
        <v>18735.80737274437</v>
      </c>
    </row>
    <row r="56" spans="1:53" x14ac:dyDescent="0.25">
      <c r="A56" s="241">
        <f t="shared" si="29"/>
        <v>2491.0576699310027</v>
      </c>
      <c r="B56" s="244" t="str">
        <f>IF(Helexia!C56=0,"",Helexia!C56)</f>
        <v>Rafael Henrique do Nascimento Barros</v>
      </c>
      <c r="C56" s="217" t="str">
        <f>IF(Helexia!G56=0,"",Helexia!G56)</f>
        <v>PJ</v>
      </c>
      <c r="D56" s="222">
        <v>1420</v>
      </c>
      <c r="K56" s="224">
        <f t="shared" si="30"/>
        <v>1420</v>
      </c>
      <c r="L56" s="239">
        <f t="shared" si="33"/>
        <v>426</v>
      </c>
      <c r="M56" s="225">
        <f t="shared" si="34"/>
        <v>1846</v>
      </c>
      <c r="N56" s="225">
        <f t="shared" si="35"/>
        <v>651.63799999999992</v>
      </c>
      <c r="O56" s="225">
        <f t="shared" si="36"/>
        <v>205.09059999999999</v>
      </c>
      <c r="P56" s="222">
        <f t="shared" si="37"/>
        <v>153.77179999999998</v>
      </c>
      <c r="Q56" s="225">
        <f t="shared" si="38"/>
        <v>126.67842719999999</v>
      </c>
      <c r="R56" s="225">
        <f t="shared" si="39"/>
        <v>153.83333333333334</v>
      </c>
      <c r="S56" s="225">
        <f t="shared" si="40"/>
        <v>88.194496000000001</v>
      </c>
      <c r="T56" s="222">
        <v>0</v>
      </c>
      <c r="U56" s="222">
        <v>0</v>
      </c>
      <c r="V56" s="225">
        <f t="shared" si="31"/>
        <v>1379.2066565333332</v>
      </c>
      <c r="W56" s="222">
        <f t="shared" si="41"/>
        <v>20.833333333333332</v>
      </c>
      <c r="X56" s="222">
        <f t="shared" si="9"/>
        <v>20.833333333333332</v>
      </c>
      <c r="Y56" s="222">
        <f t="shared" si="42"/>
        <v>18.75</v>
      </c>
      <c r="Z56" s="222">
        <f t="shared" si="43"/>
        <v>3.5714285714285716</v>
      </c>
      <c r="AA56" s="222">
        <f t="shared" si="44"/>
        <v>82.408333333333317</v>
      </c>
      <c r="AB56" s="222">
        <f t="shared" si="45"/>
        <v>87.916666666666657</v>
      </c>
      <c r="AC56" s="226">
        <f t="shared" si="46"/>
        <v>150</v>
      </c>
      <c r="AD56" s="222">
        <f t="shared" si="47"/>
        <v>66.666666666666671</v>
      </c>
      <c r="AE56" s="222">
        <f t="shared" si="48"/>
        <v>15</v>
      </c>
      <c r="AF56" s="222">
        <v>400</v>
      </c>
      <c r="AG56" s="225">
        <f t="shared" si="49"/>
        <v>865.97976190476197</v>
      </c>
      <c r="AH56" s="225">
        <f t="shared" si="50"/>
        <v>4091.1864184380956</v>
      </c>
      <c r="AI56" s="227">
        <v>0.04</v>
      </c>
      <c r="AJ56" s="228">
        <f t="shared" si="51"/>
        <v>163.64745673752384</v>
      </c>
      <c r="AK56" s="229">
        <v>0.04</v>
      </c>
      <c r="AL56" s="230">
        <f t="shared" si="56"/>
        <v>249.04498057757391</v>
      </c>
      <c r="AM56" s="227">
        <v>0.01</v>
      </c>
      <c r="AN56" s="228">
        <f t="shared" si="57"/>
        <v>40.91186418438096</v>
      </c>
      <c r="AO56" s="229">
        <v>0.01</v>
      </c>
      <c r="AP56" s="230">
        <f t="shared" si="52"/>
        <v>62.261245144393477</v>
      </c>
      <c r="AQ56" s="227">
        <v>0.1</v>
      </c>
      <c r="AR56" s="228">
        <f t="shared" si="58"/>
        <v>409.1186418438096</v>
      </c>
      <c r="AS56" s="229">
        <v>0.1</v>
      </c>
      <c r="AT56" s="230">
        <f t="shared" si="53"/>
        <v>622.61245144393479</v>
      </c>
      <c r="AU56" s="227">
        <v>0.15640000000000001</v>
      </c>
      <c r="AV56" s="228">
        <f t="shared" si="54"/>
        <v>922.5224276870216</v>
      </c>
      <c r="AW56" s="229">
        <v>0.19289999999999999</v>
      </c>
      <c r="AX56" s="230">
        <f t="shared" si="55"/>
        <v>1201.0194188353501</v>
      </c>
      <c r="AY56" s="231">
        <f t="shared" si="59"/>
        <v>5898.480995441314</v>
      </c>
      <c r="AZ56" s="230">
        <f t="shared" si="60"/>
        <v>6226.1245144393479</v>
      </c>
      <c r="BA56" s="389">
        <f t="shared" si="32"/>
        <v>2491.0576699310027</v>
      </c>
    </row>
    <row r="57" spans="1:53" x14ac:dyDescent="0.25">
      <c r="A57" s="241">
        <f t="shared" si="29"/>
        <v>9200.8714329741942</v>
      </c>
      <c r="B57" s="216" t="str">
        <f>IF(Helexia!C57=0,"",Helexia!C57)</f>
        <v>Ana Paula Ribeiro dos Santos Azevedo</v>
      </c>
      <c r="C57" s="217" t="str">
        <f>IF(Helexia!G57=0,"",Helexia!G57)</f>
        <v>PJ</v>
      </c>
      <c r="D57" s="222">
        <v>6500</v>
      </c>
      <c r="K57" s="224">
        <f t="shared" si="30"/>
        <v>6500</v>
      </c>
      <c r="L57" s="239">
        <f t="shared" si="33"/>
        <v>1950</v>
      </c>
      <c r="M57" s="225">
        <f t="shared" si="34"/>
        <v>8450</v>
      </c>
      <c r="N57" s="225">
        <f t="shared" si="35"/>
        <v>2982.85</v>
      </c>
      <c r="O57" s="225">
        <f t="shared" si="36"/>
        <v>938.79499999999996</v>
      </c>
      <c r="P57" s="222">
        <f t="shared" si="37"/>
        <v>703.88499999999999</v>
      </c>
      <c r="Q57" s="225">
        <f t="shared" si="38"/>
        <v>579.86603999999988</v>
      </c>
      <c r="R57" s="225">
        <f t="shared" si="39"/>
        <v>704.16666666666663</v>
      </c>
      <c r="S57" s="225">
        <f t="shared" si="40"/>
        <v>403.7072</v>
      </c>
      <c r="T57" s="222">
        <v>0</v>
      </c>
      <c r="U57" s="222">
        <v>0</v>
      </c>
      <c r="V57" s="225">
        <f t="shared" si="31"/>
        <v>6313.2699066666664</v>
      </c>
      <c r="W57" s="222">
        <f t="shared" si="41"/>
        <v>20.833333333333332</v>
      </c>
      <c r="X57" s="222">
        <f t="shared" si="9"/>
        <v>20.833333333333332</v>
      </c>
      <c r="Y57" s="222">
        <f t="shared" si="42"/>
        <v>18.75</v>
      </c>
      <c r="Z57" s="222">
        <f t="shared" si="43"/>
        <v>3.5714285714285716</v>
      </c>
      <c r="AA57" s="222">
        <f t="shared" si="44"/>
        <v>82.408333333333317</v>
      </c>
      <c r="AB57" s="222">
        <f t="shared" si="45"/>
        <v>87.916666666666657</v>
      </c>
      <c r="AC57" s="226">
        <f t="shared" si="46"/>
        <v>150</v>
      </c>
      <c r="AD57" s="222">
        <f t="shared" si="47"/>
        <v>66.666666666666671</v>
      </c>
      <c r="AE57" s="222">
        <f t="shared" si="48"/>
        <v>15</v>
      </c>
      <c r="AF57" s="222">
        <v>400</v>
      </c>
      <c r="AG57" s="225">
        <f t="shared" si="49"/>
        <v>865.97976190476197</v>
      </c>
      <c r="AH57" s="225">
        <f t="shared" si="50"/>
        <v>15629.249668571429</v>
      </c>
      <c r="AI57" s="227">
        <v>0.04</v>
      </c>
      <c r="AJ57" s="228">
        <f t="shared" si="51"/>
        <v>625.16998674285719</v>
      </c>
      <c r="AK57" s="229">
        <v>0.04</v>
      </c>
      <c r="AL57" s="230">
        <f t="shared" si="56"/>
        <v>951.40768032697792</v>
      </c>
      <c r="AM57" s="227">
        <v>0.01</v>
      </c>
      <c r="AN57" s="228">
        <f t="shared" si="57"/>
        <v>156.2924966857143</v>
      </c>
      <c r="AO57" s="229">
        <v>0.01</v>
      </c>
      <c r="AP57" s="230">
        <f t="shared" si="52"/>
        <v>237.85192008174448</v>
      </c>
      <c r="AQ57" s="227">
        <v>0.1</v>
      </c>
      <c r="AR57" s="228">
        <f t="shared" si="58"/>
        <v>1562.9249668571429</v>
      </c>
      <c r="AS57" s="229">
        <v>0.1</v>
      </c>
      <c r="AT57" s="230">
        <f t="shared" si="53"/>
        <v>2378.5192008174449</v>
      </c>
      <c r="AU57" s="227">
        <v>0.15640000000000001</v>
      </c>
      <c r="AV57" s="228">
        <f t="shared" si="54"/>
        <v>3524.2425723249303</v>
      </c>
      <c r="AW57" s="229">
        <v>0.19289999999999999</v>
      </c>
      <c r="AX57" s="230">
        <f t="shared" si="55"/>
        <v>4588.1635383768507</v>
      </c>
      <c r="AY57" s="231">
        <f t="shared" si="59"/>
        <v>22533.520283407481</v>
      </c>
      <c r="AZ57" s="230">
        <f t="shared" si="60"/>
        <v>23785.192008174447</v>
      </c>
      <c r="BA57" s="389">
        <f t="shared" si="32"/>
        <v>9200.8714329741942</v>
      </c>
    </row>
    <row r="58" spans="1:53" x14ac:dyDescent="0.25">
      <c r="A58" s="241">
        <f t="shared" si="29"/>
        <v>6564.8624306570719</v>
      </c>
      <c r="B58" s="244" t="str">
        <f>IF(Helexia!C58=0,"",Helexia!C58)</f>
        <v>Felipe Augusto de Oliveira Cunha</v>
      </c>
      <c r="C58" s="217" t="str">
        <f>IF(Helexia!G58=0,"",Helexia!G58)</f>
        <v>CLT</v>
      </c>
      <c r="D58" s="222">
        <v>1518</v>
      </c>
      <c r="K58" s="224">
        <f t="shared" si="30"/>
        <v>1518</v>
      </c>
      <c r="L58" s="239">
        <f t="shared" si="33"/>
        <v>455.4</v>
      </c>
      <c r="M58" s="225">
        <f t="shared" si="34"/>
        <v>1973.4</v>
      </c>
      <c r="N58" s="225">
        <f t="shared" si="35"/>
        <v>696.61019999999996</v>
      </c>
      <c r="O58" s="225">
        <f t="shared" si="36"/>
        <v>219.24473999999998</v>
      </c>
      <c r="P58" s="222">
        <f t="shared" si="37"/>
        <v>164.38422</v>
      </c>
      <c r="Q58" s="225">
        <f t="shared" si="38"/>
        <v>135.42102287999998</v>
      </c>
      <c r="R58" s="225">
        <f t="shared" si="39"/>
        <v>164.45000000000002</v>
      </c>
      <c r="S58" s="225">
        <f t="shared" si="40"/>
        <v>94.28115840000001</v>
      </c>
      <c r="T58" s="222">
        <v>0</v>
      </c>
      <c r="U58" s="222">
        <v>0</v>
      </c>
      <c r="V58" s="225">
        <f t="shared" si="31"/>
        <v>1474.39134128</v>
      </c>
      <c r="W58" s="222">
        <f t="shared" si="41"/>
        <v>20.833333333333332</v>
      </c>
      <c r="X58" s="222">
        <f t="shared" si="9"/>
        <v>20.833333333333332</v>
      </c>
      <c r="Y58" s="222">
        <f t="shared" si="42"/>
        <v>18.75</v>
      </c>
      <c r="Z58" s="222">
        <f t="shared" si="43"/>
        <v>3.5714285714285716</v>
      </c>
      <c r="AA58" s="222">
        <f t="shared" si="44"/>
        <v>82.408333333333317</v>
      </c>
      <c r="AB58" s="222">
        <f t="shared" si="45"/>
        <v>87.916666666666657</v>
      </c>
      <c r="AC58" s="226">
        <f t="shared" si="46"/>
        <v>150</v>
      </c>
      <c r="AD58" s="222">
        <f t="shared" si="47"/>
        <v>66.666666666666671</v>
      </c>
      <c r="AE58" s="222">
        <f t="shared" si="48"/>
        <v>15</v>
      </c>
      <c r="AF58" s="222">
        <v>400</v>
      </c>
      <c r="AG58" s="225">
        <f t="shared" si="49"/>
        <v>865.97976190476197</v>
      </c>
      <c r="AH58" s="225">
        <f t="shared" si="50"/>
        <v>4313.7711031847621</v>
      </c>
      <c r="AI58" s="227">
        <v>0.04</v>
      </c>
      <c r="AJ58" s="228">
        <f t="shared" si="51"/>
        <v>172.55084412739049</v>
      </c>
      <c r="AK58" s="229">
        <v>0.04</v>
      </c>
      <c r="AL58" s="230">
        <f t="shared" si="56"/>
        <v>262.5944972262829</v>
      </c>
      <c r="AM58" s="227">
        <v>0.01</v>
      </c>
      <c r="AN58" s="228">
        <f t="shared" si="57"/>
        <v>43.137711031847623</v>
      </c>
      <c r="AO58" s="229">
        <v>0.01</v>
      </c>
      <c r="AP58" s="230">
        <f t="shared" si="52"/>
        <v>65.648624306570724</v>
      </c>
      <c r="AQ58" s="227">
        <v>0.1</v>
      </c>
      <c r="AR58" s="228">
        <f t="shared" si="58"/>
        <v>431.37711031847624</v>
      </c>
      <c r="AS58" s="229">
        <v>0.1</v>
      </c>
      <c r="AT58" s="230">
        <f t="shared" si="53"/>
        <v>656.48624306570719</v>
      </c>
      <c r="AU58" s="227">
        <v>0.15640000000000001</v>
      </c>
      <c r="AV58" s="228">
        <f t="shared" si="54"/>
        <v>972.71309189460328</v>
      </c>
      <c r="AW58" s="229">
        <v>0.19289999999999999</v>
      </c>
      <c r="AX58" s="230">
        <f t="shared" si="55"/>
        <v>1266.361962873749</v>
      </c>
      <c r="AY58" s="231">
        <f t="shared" si="59"/>
        <v>6219.3931706816065</v>
      </c>
      <c r="AZ58" s="230">
        <f t="shared" si="60"/>
        <v>6564.8624306570719</v>
      </c>
      <c r="BA58" s="389">
        <f t="shared" si="32"/>
        <v>2620.498959060576</v>
      </c>
    </row>
    <row r="59" spans="1:53" x14ac:dyDescent="0.25">
      <c r="A59" s="241">
        <f t="shared" si="29"/>
        <v>6893.579520902088</v>
      </c>
      <c r="B59" s="216" t="str">
        <f>IF(Helexia!C59=0,"",Helexia!C59)</f>
        <v>Luciana Martins da Rocha Pimentel</v>
      </c>
      <c r="C59" s="217" t="str">
        <f>IF(Helexia!G59=0,"",Helexia!G59)</f>
        <v>CLT</v>
      </c>
      <c r="D59" s="222">
        <v>1518</v>
      </c>
      <c r="K59" s="224">
        <f t="shared" si="30"/>
        <v>1518</v>
      </c>
      <c r="L59" s="239">
        <f t="shared" si="33"/>
        <v>455.4</v>
      </c>
      <c r="M59" s="225">
        <f t="shared" si="34"/>
        <v>1973.4</v>
      </c>
      <c r="N59" s="225">
        <f t="shared" si="35"/>
        <v>696.61019999999996</v>
      </c>
      <c r="O59" s="225">
        <f t="shared" si="36"/>
        <v>219.24473999999998</v>
      </c>
      <c r="P59" s="222">
        <f t="shared" si="37"/>
        <v>164.38422</v>
      </c>
      <c r="Q59" s="225">
        <f t="shared" si="38"/>
        <v>135.42102287999998</v>
      </c>
      <c r="R59" s="225">
        <f t="shared" si="39"/>
        <v>164.45000000000002</v>
      </c>
      <c r="S59" s="225">
        <f t="shared" si="40"/>
        <v>94.28115840000001</v>
      </c>
      <c r="T59" s="222">
        <v>216</v>
      </c>
      <c r="U59" s="222">
        <v>0</v>
      </c>
      <c r="V59" s="225">
        <f t="shared" si="31"/>
        <v>1690.39134128</v>
      </c>
      <c r="W59" s="222">
        <f t="shared" si="41"/>
        <v>20.833333333333332</v>
      </c>
      <c r="X59" s="222">
        <f t="shared" si="9"/>
        <v>20.833333333333332</v>
      </c>
      <c r="Y59" s="222">
        <f t="shared" si="42"/>
        <v>18.75</v>
      </c>
      <c r="Z59" s="222">
        <f t="shared" si="43"/>
        <v>3.5714285714285716</v>
      </c>
      <c r="AA59" s="222">
        <f t="shared" si="44"/>
        <v>82.408333333333317</v>
      </c>
      <c r="AB59" s="222">
        <f t="shared" si="45"/>
        <v>87.916666666666657</v>
      </c>
      <c r="AC59" s="226">
        <f t="shared" si="46"/>
        <v>150</v>
      </c>
      <c r="AD59" s="222">
        <f t="shared" si="47"/>
        <v>66.666666666666671</v>
      </c>
      <c r="AE59" s="222">
        <f t="shared" si="48"/>
        <v>15</v>
      </c>
      <c r="AF59" s="222">
        <v>400</v>
      </c>
      <c r="AG59" s="225">
        <f t="shared" si="49"/>
        <v>865.97976190476197</v>
      </c>
      <c r="AH59" s="225">
        <f t="shared" si="50"/>
        <v>4529.7711031847621</v>
      </c>
      <c r="AI59" s="227">
        <v>0.04</v>
      </c>
      <c r="AJ59" s="228">
        <f t="shared" si="51"/>
        <v>181.19084412739048</v>
      </c>
      <c r="AK59" s="229">
        <v>0.04</v>
      </c>
      <c r="AL59" s="230">
        <f t="shared" si="56"/>
        <v>275.74318083608352</v>
      </c>
      <c r="AM59" s="227">
        <v>0.01</v>
      </c>
      <c r="AN59" s="228">
        <f t="shared" si="57"/>
        <v>45.297711031847619</v>
      </c>
      <c r="AO59" s="229">
        <v>0.01</v>
      </c>
      <c r="AP59" s="230">
        <f t="shared" si="52"/>
        <v>68.935795209020881</v>
      </c>
      <c r="AQ59" s="227">
        <v>0.1</v>
      </c>
      <c r="AR59" s="228">
        <f t="shared" si="58"/>
        <v>452.97711031847621</v>
      </c>
      <c r="AS59" s="229">
        <v>0.1</v>
      </c>
      <c r="AT59" s="230">
        <f t="shared" si="53"/>
        <v>689.35795209020887</v>
      </c>
      <c r="AU59" s="227">
        <v>0.15640000000000001</v>
      </c>
      <c r="AV59" s="228">
        <f t="shared" si="54"/>
        <v>1021.4189742475445</v>
      </c>
      <c r="AW59" s="229">
        <v>0.19289999999999999</v>
      </c>
      <c r="AX59" s="230">
        <f t="shared" si="55"/>
        <v>1329.7714895820127</v>
      </c>
      <c r="AY59" s="231">
        <f t="shared" si="59"/>
        <v>6530.8118558027136</v>
      </c>
      <c r="AZ59" s="230">
        <f t="shared" si="60"/>
        <v>6893.579520902088</v>
      </c>
      <c r="BA59" s="389">
        <f t="shared" si="32"/>
        <v>2620.498959060576</v>
      </c>
    </row>
    <row r="60" spans="1:53" x14ac:dyDescent="0.25">
      <c r="A60" s="241">
        <f t="shared" si="29"/>
        <v>1698.5599813825941</v>
      </c>
      <c r="B60" s="244" t="str">
        <f>IF(Helexia!C60=0,"",Helexia!C60)</f>
        <v>Bruno César do Carmo Teixeira</v>
      </c>
      <c r="C60" s="217" t="str">
        <f>IF(Helexia!G60=0,"",Helexia!G60)</f>
        <v>Estágio</v>
      </c>
      <c r="D60" s="222">
        <v>820</v>
      </c>
      <c r="K60" s="224">
        <f t="shared" si="30"/>
        <v>820</v>
      </c>
      <c r="L60" s="239">
        <f t="shared" si="33"/>
        <v>246</v>
      </c>
      <c r="M60" s="225">
        <f t="shared" si="34"/>
        <v>1066</v>
      </c>
      <c r="N60" s="225">
        <f t="shared" si="35"/>
        <v>376.298</v>
      </c>
      <c r="O60" s="225">
        <f t="shared" si="36"/>
        <v>118.43259999999999</v>
      </c>
      <c r="P60" s="222">
        <f t="shared" si="37"/>
        <v>88.797799999999995</v>
      </c>
      <c r="Q60" s="225">
        <f t="shared" si="38"/>
        <v>73.152331199999992</v>
      </c>
      <c r="R60" s="225">
        <f t="shared" si="39"/>
        <v>88.833333333333329</v>
      </c>
      <c r="S60" s="225">
        <f t="shared" si="40"/>
        <v>50.929216000000004</v>
      </c>
      <c r="T60" s="222">
        <v>0</v>
      </c>
      <c r="U60" s="222">
        <v>0</v>
      </c>
      <c r="V60" s="225">
        <f t="shared" si="31"/>
        <v>796.44328053333322</v>
      </c>
      <c r="W60" s="222">
        <f t="shared" si="41"/>
        <v>20.833333333333332</v>
      </c>
      <c r="X60" s="222">
        <f t="shared" si="9"/>
        <v>20.833333333333332</v>
      </c>
      <c r="Y60" s="222">
        <f t="shared" si="42"/>
        <v>18.75</v>
      </c>
      <c r="Z60" s="222">
        <f t="shared" si="43"/>
        <v>3.5714285714285716</v>
      </c>
      <c r="AA60" s="222">
        <f t="shared" si="44"/>
        <v>82.408333333333317</v>
      </c>
      <c r="AB60" s="222">
        <f t="shared" si="45"/>
        <v>87.916666666666657</v>
      </c>
      <c r="AC60" s="226">
        <f t="shared" si="46"/>
        <v>150</v>
      </c>
      <c r="AD60" s="222">
        <f t="shared" si="47"/>
        <v>66.666666666666671</v>
      </c>
      <c r="AE60" s="222">
        <f t="shared" si="48"/>
        <v>15</v>
      </c>
      <c r="AF60" s="222">
        <v>400</v>
      </c>
      <c r="AG60" s="225">
        <f t="shared" si="49"/>
        <v>865.97976190476197</v>
      </c>
      <c r="AH60" s="225">
        <f t="shared" si="50"/>
        <v>2728.4230424380949</v>
      </c>
      <c r="AI60" s="227">
        <v>0.04</v>
      </c>
      <c r="AJ60" s="228">
        <f t="shared" si="51"/>
        <v>109.1369216975238</v>
      </c>
      <c r="AK60" s="229">
        <v>0.04</v>
      </c>
      <c r="AL60" s="230">
        <f t="shared" si="56"/>
        <v>166.08875619772303</v>
      </c>
      <c r="AM60" s="227">
        <v>0.01</v>
      </c>
      <c r="AN60" s="228">
        <f t="shared" si="57"/>
        <v>27.284230424380951</v>
      </c>
      <c r="AO60" s="229">
        <v>0.01</v>
      </c>
      <c r="AP60" s="230">
        <f t="shared" si="52"/>
        <v>41.522189049430757</v>
      </c>
      <c r="AQ60" s="227">
        <v>0.1</v>
      </c>
      <c r="AR60" s="228">
        <f t="shared" si="58"/>
        <v>272.84230424380951</v>
      </c>
      <c r="AS60" s="229">
        <v>0.1</v>
      </c>
      <c r="AT60" s="230">
        <f t="shared" si="53"/>
        <v>415.22189049430756</v>
      </c>
      <c r="AU60" s="227">
        <v>0.15640000000000001</v>
      </c>
      <c r="AV60" s="228">
        <f t="shared" si="54"/>
        <v>615.23264682427634</v>
      </c>
      <c r="AW60" s="229">
        <v>0.19289999999999999</v>
      </c>
      <c r="AX60" s="230">
        <f t="shared" si="55"/>
        <v>800.96302676351922</v>
      </c>
      <c r="AY60" s="231">
        <f t="shared" si="59"/>
        <v>3933.7125756027895</v>
      </c>
      <c r="AZ60" s="230">
        <f t="shared" si="60"/>
        <v>4152.2189049430754</v>
      </c>
      <c r="BA60" s="389">
        <f t="shared" si="32"/>
        <v>1698.5599813825941</v>
      </c>
    </row>
    <row r="61" spans="1:53" x14ac:dyDescent="0.25">
      <c r="A61" s="241">
        <f t="shared" si="29"/>
        <v>1698.5599813825941</v>
      </c>
      <c r="B61" s="244" t="str">
        <f>IF(Helexia!C61=0,"",Helexia!C61)</f>
        <v>Patrícia Alves dos Anjos Guimarães</v>
      </c>
      <c r="C61" s="217" t="str">
        <f>IF(Helexia!G61=0,"",Helexia!G61)</f>
        <v>Estágio</v>
      </c>
      <c r="D61" s="222">
        <v>820</v>
      </c>
      <c r="K61" s="224">
        <f t="shared" si="30"/>
        <v>820</v>
      </c>
      <c r="L61" s="239">
        <f t="shared" si="33"/>
        <v>246</v>
      </c>
      <c r="M61" s="225">
        <f t="shared" si="34"/>
        <v>1066</v>
      </c>
      <c r="N61" s="225">
        <f t="shared" si="35"/>
        <v>376.298</v>
      </c>
      <c r="O61" s="225">
        <f t="shared" si="36"/>
        <v>118.43259999999999</v>
      </c>
      <c r="P61" s="222">
        <f t="shared" si="37"/>
        <v>88.797799999999995</v>
      </c>
      <c r="Q61" s="225">
        <f t="shared" si="38"/>
        <v>73.152331199999992</v>
      </c>
      <c r="R61" s="225">
        <f t="shared" si="39"/>
        <v>88.833333333333329</v>
      </c>
      <c r="S61" s="225">
        <f t="shared" si="40"/>
        <v>50.929216000000004</v>
      </c>
      <c r="T61" s="222">
        <v>0</v>
      </c>
      <c r="U61" s="222">
        <v>0</v>
      </c>
      <c r="V61" s="225">
        <f t="shared" si="31"/>
        <v>796.44328053333322</v>
      </c>
      <c r="W61" s="222">
        <f t="shared" si="41"/>
        <v>20.833333333333332</v>
      </c>
      <c r="X61" s="222">
        <f t="shared" si="9"/>
        <v>20.833333333333332</v>
      </c>
      <c r="Y61" s="222">
        <f t="shared" si="42"/>
        <v>18.75</v>
      </c>
      <c r="Z61" s="222">
        <f t="shared" si="43"/>
        <v>3.5714285714285716</v>
      </c>
      <c r="AA61" s="222">
        <f t="shared" si="44"/>
        <v>82.408333333333317</v>
      </c>
      <c r="AB61" s="222">
        <f t="shared" si="45"/>
        <v>87.916666666666657</v>
      </c>
      <c r="AC61" s="226">
        <f t="shared" si="46"/>
        <v>150</v>
      </c>
      <c r="AD61" s="222">
        <f t="shared" si="47"/>
        <v>66.666666666666671</v>
      </c>
      <c r="AE61" s="222">
        <f t="shared" si="48"/>
        <v>15</v>
      </c>
      <c r="AF61" s="222">
        <v>400</v>
      </c>
      <c r="AG61" s="225">
        <f t="shared" si="49"/>
        <v>865.97976190476197</v>
      </c>
      <c r="AH61" s="225">
        <f t="shared" si="50"/>
        <v>2728.4230424380949</v>
      </c>
      <c r="AI61" s="227">
        <v>0.04</v>
      </c>
      <c r="AJ61" s="228">
        <f t="shared" si="51"/>
        <v>109.1369216975238</v>
      </c>
      <c r="AK61" s="229">
        <v>0.04</v>
      </c>
      <c r="AL61" s="230">
        <f t="shared" si="56"/>
        <v>166.08875619772303</v>
      </c>
      <c r="AM61" s="227">
        <v>0.01</v>
      </c>
      <c r="AN61" s="228">
        <f t="shared" si="57"/>
        <v>27.284230424380951</v>
      </c>
      <c r="AO61" s="229">
        <v>0.01</v>
      </c>
      <c r="AP61" s="230">
        <f t="shared" si="52"/>
        <v>41.522189049430757</v>
      </c>
      <c r="AQ61" s="227">
        <v>0.1</v>
      </c>
      <c r="AR61" s="228">
        <f t="shared" si="58"/>
        <v>272.84230424380951</v>
      </c>
      <c r="AS61" s="229">
        <v>0.1</v>
      </c>
      <c r="AT61" s="230">
        <f t="shared" si="53"/>
        <v>415.22189049430756</v>
      </c>
      <c r="AU61" s="227">
        <v>0.15640000000000001</v>
      </c>
      <c r="AV61" s="228">
        <f t="shared" si="54"/>
        <v>615.23264682427634</v>
      </c>
      <c r="AW61" s="229">
        <v>0.19289999999999999</v>
      </c>
      <c r="AX61" s="230">
        <f t="shared" si="55"/>
        <v>800.96302676351922</v>
      </c>
      <c r="AY61" s="231">
        <f t="shared" si="59"/>
        <v>3933.7125756027895</v>
      </c>
      <c r="AZ61" s="230">
        <f t="shared" si="60"/>
        <v>4152.2189049430754</v>
      </c>
      <c r="BA61" s="389">
        <f t="shared" si="32"/>
        <v>1698.5599813825941</v>
      </c>
    </row>
    <row r="62" spans="1:53" x14ac:dyDescent="0.25">
      <c r="A62" s="241">
        <f t="shared" si="29"/>
        <v>1698.5599813825941</v>
      </c>
      <c r="B62" s="244" t="str">
        <f>IF(Helexia!C62=0,"",Helexia!C62)</f>
        <v>Eduardo Vinícius de Azevedo Moreira</v>
      </c>
      <c r="C62" s="217" t="str">
        <f>IF(Helexia!G62=0,"",Helexia!G62)</f>
        <v>Estágio</v>
      </c>
      <c r="D62" s="222">
        <v>820</v>
      </c>
      <c r="K62" s="224">
        <f t="shared" si="30"/>
        <v>820</v>
      </c>
      <c r="L62" s="239">
        <f t="shared" si="33"/>
        <v>246</v>
      </c>
      <c r="M62" s="225">
        <f t="shared" si="34"/>
        <v>1066</v>
      </c>
      <c r="N62" s="225">
        <f t="shared" si="35"/>
        <v>376.298</v>
      </c>
      <c r="O62" s="225">
        <f t="shared" si="36"/>
        <v>118.43259999999999</v>
      </c>
      <c r="P62" s="222">
        <f t="shared" si="37"/>
        <v>88.797799999999995</v>
      </c>
      <c r="Q62" s="225">
        <f t="shared" si="38"/>
        <v>73.152331199999992</v>
      </c>
      <c r="R62" s="225">
        <f t="shared" si="39"/>
        <v>88.833333333333329</v>
      </c>
      <c r="S62" s="225">
        <f t="shared" si="40"/>
        <v>50.929216000000004</v>
      </c>
      <c r="T62" s="222">
        <v>0</v>
      </c>
      <c r="U62" s="222">
        <v>0</v>
      </c>
      <c r="V62" s="225">
        <f t="shared" si="31"/>
        <v>796.44328053333322</v>
      </c>
      <c r="W62" s="222">
        <f t="shared" si="41"/>
        <v>20.833333333333332</v>
      </c>
      <c r="X62" s="222">
        <f t="shared" si="9"/>
        <v>20.833333333333332</v>
      </c>
      <c r="Y62" s="222">
        <f t="shared" si="42"/>
        <v>18.75</v>
      </c>
      <c r="Z62" s="222">
        <f t="shared" si="43"/>
        <v>3.5714285714285716</v>
      </c>
      <c r="AA62" s="222">
        <f t="shared" si="44"/>
        <v>82.408333333333317</v>
      </c>
      <c r="AB62" s="222">
        <f t="shared" si="45"/>
        <v>87.916666666666657</v>
      </c>
      <c r="AC62" s="226">
        <f t="shared" si="46"/>
        <v>150</v>
      </c>
      <c r="AD62" s="222">
        <f t="shared" si="47"/>
        <v>66.666666666666671</v>
      </c>
      <c r="AE62" s="222">
        <f t="shared" si="48"/>
        <v>15</v>
      </c>
      <c r="AF62" s="222">
        <v>400</v>
      </c>
      <c r="AG62" s="225">
        <f t="shared" si="49"/>
        <v>865.97976190476197</v>
      </c>
      <c r="AH62" s="225">
        <f t="shared" si="50"/>
        <v>2728.4230424380949</v>
      </c>
      <c r="AI62" s="227">
        <v>0.04</v>
      </c>
      <c r="AJ62" s="228">
        <f t="shared" si="51"/>
        <v>109.1369216975238</v>
      </c>
      <c r="AK62" s="229">
        <v>0.04</v>
      </c>
      <c r="AL62" s="230">
        <f t="shared" si="56"/>
        <v>166.08875619772303</v>
      </c>
      <c r="AM62" s="227">
        <v>0.01</v>
      </c>
      <c r="AN62" s="228">
        <f t="shared" si="57"/>
        <v>27.284230424380951</v>
      </c>
      <c r="AO62" s="229">
        <v>0.01</v>
      </c>
      <c r="AP62" s="230">
        <f t="shared" si="52"/>
        <v>41.522189049430757</v>
      </c>
      <c r="AQ62" s="227">
        <v>0.1</v>
      </c>
      <c r="AR62" s="228">
        <f t="shared" si="58"/>
        <v>272.84230424380951</v>
      </c>
      <c r="AS62" s="229">
        <v>0.1</v>
      </c>
      <c r="AT62" s="230">
        <f t="shared" si="53"/>
        <v>415.22189049430756</v>
      </c>
      <c r="AU62" s="227">
        <v>0.15640000000000001</v>
      </c>
      <c r="AV62" s="228">
        <f t="shared" si="54"/>
        <v>615.23264682427634</v>
      </c>
      <c r="AW62" s="229">
        <v>0.19289999999999999</v>
      </c>
      <c r="AX62" s="230">
        <f t="shared" si="55"/>
        <v>800.96302676351922</v>
      </c>
      <c r="AY62" s="231">
        <f t="shared" si="59"/>
        <v>3933.7125756027895</v>
      </c>
      <c r="AZ62" s="230">
        <f t="shared" si="60"/>
        <v>4152.2189049430754</v>
      </c>
      <c r="BA62" s="389">
        <f t="shared" si="32"/>
        <v>1698.5599813825941</v>
      </c>
    </row>
    <row r="63" spans="1:53" x14ac:dyDescent="0.25">
      <c r="A63" s="241">
        <f t="shared" si="29"/>
        <v>1698.5599813825941</v>
      </c>
      <c r="B63" s="216" t="str">
        <f>IF(Helexia!C63=0,"",Helexia!C63)</f>
        <v>Renata Cristina da Silva Monteiro</v>
      </c>
      <c r="C63" s="217" t="str">
        <f>IF(Helexia!G63=0,"",Helexia!G63)</f>
        <v>Estágio</v>
      </c>
      <c r="D63" s="222">
        <v>820</v>
      </c>
      <c r="K63" s="224">
        <f t="shared" si="30"/>
        <v>820</v>
      </c>
      <c r="L63" s="239">
        <f t="shared" si="33"/>
        <v>246</v>
      </c>
      <c r="M63" s="225">
        <f t="shared" si="34"/>
        <v>1066</v>
      </c>
      <c r="N63" s="225">
        <f t="shared" si="35"/>
        <v>376.298</v>
      </c>
      <c r="O63" s="225">
        <f t="shared" si="36"/>
        <v>118.43259999999999</v>
      </c>
      <c r="P63" s="222">
        <f t="shared" si="37"/>
        <v>88.797799999999995</v>
      </c>
      <c r="Q63" s="225">
        <f t="shared" si="38"/>
        <v>73.152331199999992</v>
      </c>
      <c r="R63" s="225">
        <f t="shared" si="39"/>
        <v>88.833333333333329</v>
      </c>
      <c r="S63" s="225">
        <f t="shared" si="40"/>
        <v>50.929216000000004</v>
      </c>
      <c r="T63" s="222">
        <v>0</v>
      </c>
      <c r="U63" s="222">
        <v>0</v>
      </c>
      <c r="V63" s="225">
        <f t="shared" si="31"/>
        <v>796.44328053333322</v>
      </c>
      <c r="W63" s="222">
        <f t="shared" si="41"/>
        <v>20.833333333333332</v>
      </c>
      <c r="X63" s="222">
        <f t="shared" si="9"/>
        <v>20.833333333333332</v>
      </c>
      <c r="Y63" s="222">
        <f t="shared" si="42"/>
        <v>18.75</v>
      </c>
      <c r="Z63" s="222">
        <f t="shared" si="43"/>
        <v>3.5714285714285716</v>
      </c>
      <c r="AA63" s="222">
        <f t="shared" si="44"/>
        <v>82.408333333333317</v>
      </c>
      <c r="AB63" s="222">
        <f t="shared" si="45"/>
        <v>87.916666666666657</v>
      </c>
      <c r="AC63" s="226">
        <f t="shared" si="46"/>
        <v>150</v>
      </c>
      <c r="AD63" s="222">
        <f t="shared" si="47"/>
        <v>66.666666666666671</v>
      </c>
      <c r="AE63" s="222">
        <f t="shared" si="48"/>
        <v>15</v>
      </c>
      <c r="AF63" s="222">
        <v>400</v>
      </c>
      <c r="AG63" s="225">
        <f t="shared" si="49"/>
        <v>865.97976190476197</v>
      </c>
      <c r="AH63" s="225">
        <f t="shared" si="50"/>
        <v>2728.4230424380949</v>
      </c>
      <c r="AI63" s="227">
        <v>0.04</v>
      </c>
      <c r="AJ63" s="228">
        <f t="shared" si="51"/>
        <v>109.1369216975238</v>
      </c>
      <c r="AK63" s="229">
        <v>0.04</v>
      </c>
      <c r="AL63" s="230">
        <f t="shared" si="56"/>
        <v>166.08875619772303</v>
      </c>
      <c r="AM63" s="227">
        <v>0.01</v>
      </c>
      <c r="AN63" s="228">
        <f t="shared" si="57"/>
        <v>27.284230424380951</v>
      </c>
      <c r="AO63" s="229">
        <v>0.01</v>
      </c>
      <c r="AP63" s="230">
        <f t="shared" si="52"/>
        <v>41.522189049430757</v>
      </c>
      <c r="AQ63" s="227">
        <v>0.1</v>
      </c>
      <c r="AR63" s="228">
        <f t="shared" si="58"/>
        <v>272.84230424380951</v>
      </c>
      <c r="AS63" s="229">
        <v>0.1</v>
      </c>
      <c r="AT63" s="230">
        <f t="shared" si="53"/>
        <v>415.22189049430756</v>
      </c>
      <c r="AU63" s="227">
        <v>0.15640000000000001</v>
      </c>
      <c r="AV63" s="228">
        <f t="shared" si="54"/>
        <v>615.23264682427634</v>
      </c>
      <c r="AW63" s="229">
        <v>0.19289999999999999</v>
      </c>
      <c r="AX63" s="230">
        <f t="shared" si="55"/>
        <v>800.96302676351922</v>
      </c>
      <c r="AY63" s="231">
        <f t="shared" si="59"/>
        <v>3933.7125756027895</v>
      </c>
      <c r="AZ63" s="230">
        <f t="shared" si="60"/>
        <v>4152.2189049430754</v>
      </c>
      <c r="BA63" s="389">
        <f t="shared" si="32"/>
        <v>1698.5599813825941</v>
      </c>
    </row>
    <row r="64" spans="1:53" x14ac:dyDescent="0.25">
      <c r="A64" s="241" t="str">
        <f>IF(D64=0, "", AZ64)</f>
        <v/>
      </c>
      <c r="B64" s="216" t="str">
        <f>IF(Helexia!C64=0,"",Helexia!C64)</f>
        <v/>
      </c>
      <c r="C64" s="217" t="str">
        <f>IF(Helexia!G64=0,"",Helexia!G64)</f>
        <v/>
      </c>
      <c r="K64" s="224">
        <f t="shared" si="30"/>
        <v>0</v>
      </c>
      <c r="L64" s="239">
        <f t="shared" si="33"/>
        <v>0</v>
      </c>
      <c r="M64" s="225">
        <f t="shared" si="34"/>
        <v>0</v>
      </c>
      <c r="N64" s="225">
        <f t="shared" si="35"/>
        <v>0</v>
      </c>
      <c r="O64" s="225">
        <f t="shared" si="36"/>
        <v>0</v>
      </c>
      <c r="P64" s="222">
        <f t="shared" si="37"/>
        <v>0</v>
      </c>
      <c r="Q64" s="225">
        <f t="shared" si="38"/>
        <v>0</v>
      </c>
      <c r="R64" s="225">
        <f t="shared" si="39"/>
        <v>0</v>
      </c>
      <c r="S64" s="225">
        <f t="shared" si="40"/>
        <v>0</v>
      </c>
      <c r="T64" s="222">
        <v>0</v>
      </c>
      <c r="U64" s="222">
        <v>0</v>
      </c>
      <c r="V64" s="225">
        <f t="shared" si="31"/>
        <v>0</v>
      </c>
      <c r="W64" s="222">
        <f t="shared" si="41"/>
        <v>20.833333333333332</v>
      </c>
      <c r="X64" s="222">
        <f t="shared" si="9"/>
        <v>20.833333333333332</v>
      </c>
      <c r="Y64" s="222">
        <f t="shared" si="42"/>
        <v>18.75</v>
      </c>
      <c r="Z64" s="222">
        <f t="shared" si="43"/>
        <v>3.5714285714285716</v>
      </c>
      <c r="AA64" s="222">
        <f t="shared" si="44"/>
        <v>82.408333333333317</v>
      </c>
      <c r="AB64" s="222">
        <f t="shared" si="45"/>
        <v>87.916666666666657</v>
      </c>
      <c r="AC64" s="226">
        <f t="shared" si="46"/>
        <v>150</v>
      </c>
      <c r="AD64" s="222">
        <f t="shared" si="47"/>
        <v>66.666666666666671</v>
      </c>
      <c r="AE64" s="222">
        <f t="shared" si="48"/>
        <v>15</v>
      </c>
      <c r="AF64" s="222">
        <v>400</v>
      </c>
      <c r="AG64" s="225">
        <f t="shared" si="49"/>
        <v>865.97976190476197</v>
      </c>
      <c r="AH64" s="225">
        <f t="shared" si="50"/>
        <v>865.97976190476197</v>
      </c>
      <c r="AI64" s="227">
        <v>0.04</v>
      </c>
      <c r="AJ64" s="228">
        <f t="shared" si="51"/>
        <v>34.639190476190478</v>
      </c>
      <c r="AK64" s="229">
        <v>0.04</v>
      </c>
      <c r="AL64" s="230">
        <f t="shared" si="56"/>
        <v>52.715249545260207</v>
      </c>
      <c r="AM64" s="227">
        <v>0.01</v>
      </c>
      <c r="AN64" s="228">
        <f t="shared" si="57"/>
        <v>8.6597976190476196</v>
      </c>
      <c r="AO64" s="229">
        <v>0.01</v>
      </c>
      <c r="AP64" s="230">
        <f t="shared" si="52"/>
        <v>13.178812386315052</v>
      </c>
      <c r="AQ64" s="227">
        <v>0.1</v>
      </c>
      <c r="AR64" s="228">
        <f t="shared" si="58"/>
        <v>86.597976190476203</v>
      </c>
      <c r="AS64" s="229">
        <v>0.1</v>
      </c>
      <c r="AT64" s="230">
        <f t="shared" si="53"/>
        <v>131.7881238631505</v>
      </c>
      <c r="AU64" s="227">
        <v>0.15640000000000001</v>
      </c>
      <c r="AV64" s="228">
        <f t="shared" si="54"/>
        <v>195.26994631185812</v>
      </c>
      <c r="AW64" s="229">
        <v>0.19289999999999999</v>
      </c>
      <c r="AX64" s="230">
        <f t="shared" si="55"/>
        <v>254.21929093201732</v>
      </c>
      <c r="AY64" s="231">
        <f t="shared" si="59"/>
        <v>1248.5290684901413</v>
      </c>
      <c r="AZ64" s="230">
        <f t="shared" si="60"/>
        <v>1317.8812386315051</v>
      </c>
      <c r="BA64" s="389">
        <f t="shared" si="32"/>
        <v>615.47980703310247</v>
      </c>
    </row>
    <row r="65" spans="1:53" x14ac:dyDescent="0.25">
      <c r="A65" s="241" t="str">
        <f>IF(D65=0, "", AZ65)</f>
        <v/>
      </c>
      <c r="B65" s="216" t="str">
        <f>IF(Helexia!C65=0,"",Helexia!C65)</f>
        <v/>
      </c>
      <c r="C65" s="217" t="str">
        <f>IF(Helexia!G65=0,"",Helexia!G65)</f>
        <v/>
      </c>
      <c r="K65" s="224">
        <f t="shared" si="30"/>
        <v>0</v>
      </c>
      <c r="L65" s="239">
        <f t="shared" ref="L65:L82" si="78">K65 * 0.3</f>
        <v>0</v>
      </c>
      <c r="M65" s="225">
        <f t="shared" ref="M65:M82" si="79">K65+L65</f>
        <v>0</v>
      </c>
      <c r="N65" s="225">
        <f t="shared" ref="N65:N82" si="80">M65 * 35.3%</f>
        <v>0</v>
      </c>
      <c r="O65" s="225">
        <f t="shared" ref="O65:O82" si="81">M65 * 11.11%</f>
        <v>0</v>
      </c>
      <c r="P65" s="222">
        <f t="shared" ref="P65:P82" si="82">M65 * 8.33%</f>
        <v>0</v>
      </c>
      <c r="Q65" s="225">
        <f t="shared" ref="Q65:Q82" si="83">(O65+P65) * 35.3%</f>
        <v>0</v>
      </c>
      <c r="R65" s="225">
        <f t="shared" ref="R65:R82" si="84">M65/12</f>
        <v>0</v>
      </c>
      <c r="S65" s="225">
        <f t="shared" ref="S65:S82" si="85">((M65+O65+P65)*8%)*50%</f>
        <v>0</v>
      </c>
      <c r="T65" s="222">
        <v>0</v>
      </c>
      <c r="U65" s="222">
        <v>0</v>
      </c>
      <c r="V65" s="225">
        <f t="shared" si="31"/>
        <v>0</v>
      </c>
      <c r="W65" s="222">
        <f t="shared" ref="W65:W82" si="86">500/24</f>
        <v>20.833333333333332</v>
      </c>
      <c r="X65" s="222">
        <f t="shared" si="9"/>
        <v>20.833333333333332</v>
      </c>
      <c r="Y65" s="222">
        <f t="shared" ref="Y65:Y82" si="87">450/24</f>
        <v>18.75</v>
      </c>
      <c r="Z65" s="222">
        <f t="shared" ref="Z65:Z82" si="88">((1500*2)/24)/35</f>
        <v>3.5714285714285716</v>
      </c>
      <c r="AA65" s="222">
        <f t="shared" ref="AA65:AA82" si="89">(89.9 + 49.9 + 89.9 + 89.9 + 89.9 + 129.9 + 89.9 + 89.9 + 49.9 + 89.9 + 129.9)/12</f>
        <v>82.408333333333317</v>
      </c>
      <c r="AB65" s="222">
        <f t="shared" ref="AB65:AB82" si="90">(308/12)+(500/12)+(65/12)+(150/12)+(4/12)+(28/12)</f>
        <v>87.916666666666657</v>
      </c>
      <c r="AC65" s="226">
        <f t="shared" ref="AC65:AC82" si="91">1800/12</f>
        <v>150</v>
      </c>
      <c r="AD65" s="222">
        <f t="shared" ref="AD65:AD82" si="92">800/12</f>
        <v>66.666666666666671</v>
      </c>
      <c r="AE65" s="222">
        <f t="shared" ref="AE65:AE82" si="93">180/12</f>
        <v>15</v>
      </c>
      <c r="AF65" s="222">
        <v>400</v>
      </c>
      <c r="AG65" s="225">
        <f t="shared" ref="AG65:AG82" si="94">SUM(W65:AF65)</f>
        <v>865.97976190476197</v>
      </c>
      <c r="AH65" s="225">
        <f t="shared" ref="AH65:AH82" si="95">M65+V65+AG65</f>
        <v>865.97976190476197</v>
      </c>
      <c r="AI65" s="227">
        <v>0.04</v>
      </c>
      <c r="AJ65" s="228">
        <f t="shared" ref="AJ65:AJ82" si="96">AH65*AI65</f>
        <v>34.639190476190478</v>
      </c>
      <c r="AK65" s="229">
        <v>0.04</v>
      </c>
      <c r="AL65" s="230">
        <f t="shared" si="56"/>
        <v>52.715249545260207</v>
      </c>
      <c r="AM65" s="227">
        <v>0.01</v>
      </c>
      <c r="AN65" s="228">
        <f t="shared" si="57"/>
        <v>8.6597976190476196</v>
      </c>
      <c r="AO65" s="229">
        <v>0.01</v>
      </c>
      <c r="AP65" s="230">
        <f t="shared" ref="AP65:AP82" si="97">AZ65*AO65</f>
        <v>13.178812386315052</v>
      </c>
      <c r="AQ65" s="227">
        <v>0.1</v>
      </c>
      <c r="AR65" s="228">
        <f t="shared" si="58"/>
        <v>86.597976190476203</v>
      </c>
      <c r="AS65" s="229">
        <v>0.1</v>
      </c>
      <c r="AT65" s="230">
        <f t="shared" ref="AT65:AT82" si="98">AZ65*AS65</f>
        <v>131.7881238631505</v>
      </c>
      <c r="AU65" s="227">
        <v>0.15640000000000001</v>
      </c>
      <c r="AV65" s="228">
        <f t="shared" ref="AV65:AV82" si="99">AY65*AU65</f>
        <v>195.26994631185812</v>
      </c>
      <c r="AW65" s="229">
        <v>0.19289999999999999</v>
      </c>
      <c r="AX65" s="230">
        <f t="shared" ref="AX65:AX82" si="100">AZ65*AW65</f>
        <v>254.21929093201732</v>
      </c>
      <c r="AY65" s="231">
        <f t="shared" si="59"/>
        <v>1248.5290684901413</v>
      </c>
      <c r="AZ65" s="230">
        <f t="shared" si="60"/>
        <v>1317.8812386315051</v>
      </c>
      <c r="BA65" s="389">
        <f t="shared" si="32"/>
        <v>615.47980703310247</v>
      </c>
    </row>
    <row r="66" spans="1:53" x14ac:dyDescent="0.25">
      <c r="A66" s="241" t="str">
        <f>IF(D66=0, "", AZ66)</f>
        <v/>
      </c>
      <c r="C66" s="217" t="str">
        <f>IF(Helexia!G66=0,"",Helexia!G66)</f>
        <v/>
      </c>
      <c r="K66" s="224">
        <f t="shared" ref="K66:K82" si="101">D66</f>
        <v>0</v>
      </c>
      <c r="L66" s="239">
        <f t="shared" si="78"/>
        <v>0</v>
      </c>
      <c r="M66" s="225">
        <f t="shared" si="79"/>
        <v>0</v>
      </c>
      <c r="N66" s="225">
        <f t="shared" si="80"/>
        <v>0</v>
      </c>
      <c r="O66" s="225">
        <f t="shared" si="81"/>
        <v>0</v>
      </c>
      <c r="P66" s="222">
        <f t="shared" si="82"/>
        <v>0</v>
      </c>
      <c r="Q66" s="225">
        <f t="shared" si="83"/>
        <v>0</v>
      </c>
      <c r="R66" s="225">
        <f t="shared" si="84"/>
        <v>0</v>
      </c>
      <c r="S66" s="225">
        <f t="shared" si="85"/>
        <v>0</v>
      </c>
      <c r="T66" s="222">
        <v>0</v>
      </c>
      <c r="U66" s="222">
        <v>0</v>
      </c>
      <c r="V66" s="225">
        <f t="shared" ref="V66:V82" si="102">SUM(N66:U66)</f>
        <v>0</v>
      </c>
      <c r="W66" s="222">
        <f t="shared" si="86"/>
        <v>20.833333333333332</v>
      </c>
      <c r="X66" s="222">
        <f t="shared" ref="X66" si="103">500/24</f>
        <v>20.833333333333332</v>
      </c>
      <c r="Y66" s="222">
        <f t="shared" si="87"/>
        <v>18.75</v>
      </c>
      <c r="Z66" s="222">
        <f t="shared" si="88"/>
        <v>3.5714285714285716</v>
      </c>
      <c r="AA66" s="222">
        <f t="shared" si="89"/>
        <v>82.408333333333317</v>
      </c>
      <c r="AB66" s="222">
        <f t="shared" si="90"/>
        <v>87.916666666666657</v>
      </c>
      <c r="AC66" s="226">
        <f t="shared" si="91"/>
        <v>150</v>
      </c>
      <c r="AD66" s="222">
        <f t="shared" si="92"/>
        <v>66.666666666666671</v>
      </c>
      <c r="AE66" s="222">
        <f t="shared" si="93"/>
        <v>15</v>
      </c>
      <c r="AF66" s="222">
        <v>400</v>
      </c>
      <c r="AG66" s="225">
        <f t="shared" si="94"/>
        <v>865.97976190476197</v>
      </c>
      <c r="AH66" s="225">
        <f t="shared" si="95"/>
        <v>865.97976190476197</v>
      </c>
      <c r="AI66" s="227">
        <v>0.04</v>
      </c>
      <c r="AJ66" s="228">
        <f t="shared" si="96"/>
        <v>34.639190476190478</v>
      </c>
      <c r="AK66" s="229">
        <v>0.04</v>
      </c>
      <c r="AL66" s="230">
        <f t="shared" si="56"/>
        <v>52.715249545260207</v>
      </c>
      <c r="AM66" s="227">
        <v>0.01</v>
      </c>
      <c r="AN66" s="228">
        <f t="shared" si="57"/>
        <v>8.6597976190476196</v>
      </c>
      <c r="AO66" s="229">
        <v>0.01</v>
      </c>
      <c r="AP66" s="230">
        <f t="shared" si="97"/>
        <v>13.178812386315052</v>
      </c>
      <c r="AQ66" s="227">
        <v>0.1</v>
      </c>
      <c r="AR66" s="228">
        <f t="shared" si="58"/>
        <v>86.597976190476203</v>
      </c>
      <c r="AS66" s="229">
        <v>0.1</v>
      </c>
      <c r="AT66" s="230">
        <f t="shared" si="98"/>
        <v>131.7881238631505</v>
      </c>
      <c r="AU66" s="227">
        <v>0.15640000000000001</v>
      </c>
      <c r="AV66" s="228">
        <f t="shared" si="99"/>
        <v>195.26994631185812</v>
      </c>
      <c r="AW66" s="229">
        <v>0.19289999999999999</v>
      </c>
      <c r="AX66" s="230">
        <f t="shared" si="100"/>
        <v>254.21929093201732</v>
      </c>
      <c r="AY66" s="231">
        <f t="shared" si="59"/>
        <v>1248.5290684901413</v>
      </c>
      <c r="AZ66" s="230">
        <f t="shared" si="60"/>
        <v>1317.8812386315051</v>
      </c>
      <c r="BA66" s="389">
        <f t="shared" si="32"/>
        <v>615.47980703310247</v>
      </c>
    </row>
    <row r="67" spans="1:53" x14ac:dyDescent="0.25">
      <c r="A67" s="241" t="str">
        <f>IF(D67=0, "", AZ67)</f>
        <v/>
      </c>
      <c r="C67" s="217" t="str">
        <f>IF(Helexia!G67=0,"",Helexia!G67)</f>
        <v/>
      </c>
      <c r="K67" s="224">
        <f t="shared" si="101"/>
        <v>0</v>
      </c>
      <c r="L67" s="239">
        <f t="shared" si="78"/>
        <v>0</v>
      </c>
      <c r="M67" s="225">
        <f t="shared" si="79"/>
        <v>0</v>
      </c>
      <c r="N67" s="225">
        <f t="shared" si="80"/>
        <v>0</v>
      </c>
      <c r="O67" s="225">
        <f t="shared" si="81"/>
        <v>0</v>
      </c>
      <c r="P67" s="222">
        <f t="shared" si="82"/>
        <v>0</v>
      </c>
      <c r="Q67" s="225">
        <f t="shared" si="83"/>
        <v>0</v>
      </c>
      <c r="R67" s="225">
        <f t="shared" si="84"/>
        <v>0</v>
      </c>
      <c r="S67" s="225">
        <f t="shared" si="85"/>
        <v>0</v>
      </c>
      <c r="T67" s="222">
        <v>0</v>
      </c>
      <c r="U67" s="222">
        <v>0</v>
      </c>
      <c r="V67" s="225">
        <f t="shared" si="102"/>
        <v>0</v>
      </c>
      <c r="W67" s="222">
        <f t="shared" si="86"/>
        <v>20.833333333333332</v>
      </c>
      <c r="X67" s="222">
        <f t="shared" si="9"/>
        <v>20.833333333333332</v>
      </c>
      <c r="Y67" s="222">
        <f t="shared" si="87"/>
        <v>18.75</v>
      </c>
      <c r="Z67" s="222">
        <f t="shared" si="88"/>
        <v>3.5714285714285716</v>
      </c>
      <c r="AA67" s="222">
        <f t="shared" si="89"/>
        <v>82.408333333333317</v>
      </c>
      <c r="AB67" s="222">
        <f t="shared" si="90"/>
        <v>87.916666666666657</v>
      </c>
      <c r="AC67" s="226">
        <f t="shared" si="91"/>
        <v>150</v>
      </c>
      <c r="AD67" s="222">
        <f t="shared" si="92"/>
        <v>66.666666666666671</v>
      </c>
      <c r="AE67" s="222">
        <f t="shared" si="93"/>
        <v>15</v>
      </c>
      <c r="AF67" s="222">
        <v>400</v>
      </c>
      <c r="AG67" s="225">
        <f t="shared" si="94"/>
        <v>865.97976190476197</v>
      </c>
      <c r="AH67" s="225">
        <f t="shared" si="95"/>
        <v>865.97976190476197</v>
      </c>
      <c r="AI67" s="227">
        <v>0.04</v>
      </c>
      <c r="AJ67" s="228">
        <f t="shared" si="96"/>
        <v>34.639190476190478</v>
      </c>
      <c r="AK67" s="229">
        <v>0.04</v>
      </c>
      <c r="AL67" s="230">
        <f t="shared" ref="AL67:AL82" si="104">AZ67*AK67</f>
        <v>52.715249545260207</v>
      </c>
      <c r="AM67" s="227">
        <v>0.01</v>
      </c>
      <c r="AN67" s="228">
        <f t="shared" ref="AN67:AN82" si="105">AH67*AM67</f>
        <v>8.6597976190476196</v>
      </c>
      <c r="AO67" s="229">
        <v>0.01</v>
      </c>
      <c r="AP67" s="230">
        <f t="shared" si="97"/>
        <v>13.178812386315052</v>
      </c>
      <c r="AQ67" s="227">
        <v>0.1</v>
      </c>
      <c r="AR67" s="228">
        <f t="shared" ref="AR67:AR82" si="106">AH67*AQ67</f>
        <v>86.597976190476203</v>
      </c>
      <c r="AS67" s="229">
        <v>0.1</v>
      </c>
      <c r="AT67" s="230">
        <f t="shared" si="98"/>
        <v>131.7881238631505</v>
      </c>
      <c r="AU67" s="227">
        <v>0.15640000000000001</v>
      </c>
      <c r="AV67" s="228">
        <f t="shared" si="99"/>
        <v>195.26994631185812</v>
      </c>
      <c r="AW67" s="229">
        <v>0.19289999999999999</v>
      </c>
      <c r="AX67" s="230">
        <f t="shared" si="100"/>
        <v>254.21929093201732</v>
      </c>
      <c r="AY67" s="231">
        <f t="shared" ref="AY67:AY82" si="107">(AH67)/(1-AI67-AM67-AQ67-AU67)</f>
        <v>1248.5290684901413</v>
      </c>
      <c r="AZ67" s="230">
        <f t="shared" ref="AZ67:AZ82" si="108">($AH67)/(1-AK67-AO67-AS67-AW67)</f>
        <v>1317.8812386315051</v>
      </c>
      <c r="BA67" s="389">
        <f t="shared" si="32"/>
        <v>615.47980703310247</v>
      </c>
    </row>
    <row r="68" spans="1:53" x14ac:dyDescent="0.25">
      <c r="A68" s="241" t="str">
        <f>IF(D68=0, "", AZ68)</f>
        <v/>
      </c>
      <c r="C68" s="217" t="str">
        <f>IF(Helexia!G68=0,"",Helexia!G68)</f>
        <v/>
      </c>
      <c r="K68" s="224">
        <f t="shared" si="101"/>
        <v>0</v>
      </c>
      <c r="L68" s="239">
        <f t="shared" si="78"/>
        <v>0</v>
      </c>
      <c r="M68" s="225">
        <f t="shared" si="79"/>
        <v>0</v>
      </c>
      <c r="N68" s="225">
        <f t="shared" si="80"/>
        <v>0</v>
      </c>
      <c r="O68" s="225">
        <f t="shared" si="81"/>
        <v>0</v>
      </c>
      <c r="P68" s="222">
        <f t="shared" si="82"/>
        <v>0</v>
      </c>
      <c r="Q68" s="225">
        <f t="shared" si="83"/>
        <v>0</v>
      </c>
      <c r="R68" s="225">
        <f t="shared" si="84"/>
        <v>0</v>
      </c>
      <c r="S68" s="225">
        <f t="shared" si="85"/>
        <v>0</v>
      </c>
      <c r="T68" s="222">
        <v>0</v>
      </c>
      <c r="U68" s="222">
        <v>0</v>
      </c>
      <c r="V68" s="225">
        <f t="shared" si="102"/>
        <v>0</v>
      </c>
      <c r="W68" s="222">
        <f t="shared" si="86"/>
        <v>20.833333333333332</v>
      </c>
      <c r="X68" s="222">
        <f t="shared" ref="X68:X82" si="109">500/24</f>
        <v>20.833333333333332</v>
      </c>
      <c r="Y68" s="222">
        <f t="shared" si="87"/>
        <v>18.75</v>
      </c>
      <c r="Z68" s="222">
        <f t="shared" si="88"/>
        <v>3.5714285714285716</v>
      </c>
      <c r="AA68" s="222">
        <f t="shared" si="89"/>
        <v>82.408333333333317</v>
      </c>
      <c r="AB68" s="222">
        <f t="shared" si="90"/>
        <v>87.916666666666657</v>
      </c>
      <c r="AC68" s="226">
        <f t="shared" si="91"/>
        <v>150</v>
      </c>
      <c r="AD68" s="222">
        <f t="shared" si="92"/>
        <v>66.666666666666671</v>
      </c>
      <c r="AE68" s="222">
        <f t="shared" si="93"/>
        <v>15</v>
      </c>
      <c r="AF68" s="222">
        <v>400</v>
      </c>
      <c r="AG68" s="225">
        <f t="shared" si="94"/>
        <v>865.97976190476197</v>
      </c>
      <c r="AH68" s="225">
        <f t="shared" si="95"/>
        <v>865.97976190476197</v>
      </c>
      <c r="AI68" s="227">
        <v>0.04</v>
      </c>
      <c r="AJ68" s="228">
        <f t="shared" si="96"/>
        <v>34.639190476190478</v>
      </c>
      <c r="AK68" s="229">
        <v>0.04</v>
      </c>
      <c r="AL68" s="230">
        <f t="shared" si="104"/>
        <v>52.715249545260207</v>
      </c>
      <c r="AM68" s="227">
        <v>0.01</v>
      </c>
      <c r="AN68" s="228">
        <f t="shared" si="105"/>
        <v>8.6597976190476196</v>
      </c>
      <c r="AO68" s="229">
        <v>0.01</v>
      </c>
      <c r="AP68" s="230">
        <f t="shared" si="97"/>
        <v>13.178812386315052</v>
      </c>
      <c r="AQ68" s="227">
        <v>0.1</v>
      </c>
      <c r="AR68" s="228">
        <f t="shared" si="106"/>
        <v>86.597976190476203</v>
      </c>
      <c r="AS68" s="229">
        <v>0.1</v>
      </c>
      <c r="AT68" s="230">
        <f t="shared" si="98"/>
        <v>131.7881238631505</v>
      </c>
      <c r="AU68" s="227">
        <v>0.15640000000000001</v>
      </c>
      <c r="AV68" s="228">
        <f t="shared" si="99"/>
        <v>195.26994631185812</v>
      </c>
      <c r="AW68" s="229">
        <v>0.19289999999999999</v>
      </c>
      <c r="AX68" s="230">
        <f t="shared" si="100"/>
        <v>254.21929093201732</v>
      </c>
      <c r="AY68" s="231">
        <f t="shared" si="107"/>
        <v>1248.5290684901413</v>
      </c>
      <c r="AZ68" s="230">
        <f t="shared" si="108"/>
        <v>1317.8812386315051</v>
      </c>
      <c r="BA68" s="389">
        <f t="shared" ref="BA68:BA82" si="110">SUM($D68+$W68+$X68+$Y68+$Z68+$AA68+$AB68+$AC68+$AD68+$AE68)/(1-$AK68-$AO68-$AW68)</f>
        <v>615.47980703310247</v>
      </c>
    </row>
    <row r="69" spans="1:53" x14ac:dyDescent="0.25">
      <c r="A69" s="242"/>
      <c r="K69" s="224">
        <f t="shared" si="101"/>
        <v>0</v>
      </c>
      <c r="L69" s="239">
        <f t="shared" si="78"/>
        <v>0</v>
      </c>
      <c r="M69" s="225">
        <f t="shared" si="79"/>
        <v>0</v>
      </c>
      <c r="N69" s="225">
        <f t="shared" si="80"/>
        <v>0</v>
      </c>
      <c r="O69" s="225">
        <f t="shared" si="81"/>
        <v>0</v>
      </c>
      <c r="P69" s="222">
        <f t="shared" si="82"/>
        <v>0</v>
      </c>
      <c r="Q69" s="225">
        <f t="shared" si="83"/>
        <v>0</v>
      </c>
      <c r="R69" s="225">
        <f t="shared" si="84"/>
        <v>0</v>
      </c>
      <c r="S69" s="225">
        <f t="shared" si="85"/>
        <v>0</v>
      </c>
      <c r="T69" s="222">
        <v>0</v>
      </c>
      <c r="U69" s="222">
        <v>0</v>
      </c>
      <c r="V69" s="225">
        <f t="shared" si="102"/>
        <v>0</v>
      </c>
      <c r="W69" s="222">
        <f t="shared" si="86"/>
        <v>20.833333333333332</v>
      </c>
      <c r="X69" s="222">
        <f t="shared" si="109"/>
        <v>20.833333333333332</v>
      </c>
      <c r="Y69" s="222">
        <f t="shared" si="87"/>
        <v>18.75</v>
      </c>
      <c r="Z69" s="222">
        <f t="shared" si="88"/>
        <v>3.5714285714285716</v>
      </c>
      <c r="AA69" s="222">
        <f t="shared" si="89"/>
        <v>82.408333333333317</v>
      </c>
      <c r="AB69" s="222">
        <f t="shared" si="90"/>
        <v>87.916666666666657</v>
      </c>
      <c r="AC69" s="226">
        <f t="shared" si="91"/>
        <v>150</v>
      </c>
      <c r="AD69" s="222">
        <f t="shared" si="92"/>
        <v>66.666666666666671</v>
      </c>
      <c r="AE69" s="222">
        <f t="shared" si="93"/>
        <v>15</v>
      </c>
      <c r="AF69" s="222">
        <v>400</v>
      </c>
      <c r="AG69" s="225">
        <f t="shared" si="94"/>
        <v>865.97976190476197</v>
      </c>
      <c r="AH69" s="225">
        <f t="shared" si="95"/>
        <v>865.97976190476197</v>
      </c>
      <c r="AI69" s="227">
        <v>0.04</v>
      </c>
      <c r="AJ69" s="228">
        <f t="shared" si="96"/>
        <v>34.639190476190478</v>
      </c>
      <c r="AK69" s="229">
        <v>0.04</v>
      </c>
      <c r="AL69" s="230">
        <f t="shared" si="104"/>
        <v>52.715249545260207</v>
      </c>
      <c r="AM69" s="227">
        <v>0.01</v>
      </c>
      <c r="AN69" s="228">
        <f t="shared" si="105"/>
        <v>8.6597976190476196</v>
      </c>
      <c r="AO69" s="229">
        <v>0.01</v>
      </c>
      <c r="AP69" s="230">
        <f t="shared" si="97"/>
        <v>13.178812386315052</v>
      </c>
      <c r="AQ69" s="227">
        <v>0.1</v>
      </c>
      <c r="AR69" s="228">
        <f t="shared" si="106"/>
        <v>86.597976190476203</v>
      </c>
      <c r="AS69" s="229">
        <v>0.1</v>
      </c>
      <c r="AT69" s="230">
        <f t="shared" si="98"/>
        <v>131.7881238631505</v>
      </c>
      <c r="AU69" s="227">
        <v>0.15640000000000001</v>
      </c>
      <c r="AV69" s="228">
        <f t="shared" si="99"/>
        <v>195.26994631185812</v>
      </c>
      <c r="AW69" s="229">
        <v>0.19289999999999999</v>
      </c>
      <c r="AX69" s="230">
        <f t="shared" si="100"/>
        <v>254.21929093201732</v>
      </c>
      <c r="AY69" s="231">
        <f t="shared" si="107"/>
        <v>1248.5290684901413</v>
      </c>
      <c r="AZ69" s="230">
        <f t="shared" si="108"/>
        <v>1317.8812386315051</v>
      </c>
      <c r="BA69" s="389">
        <f t="shared" si="110"/>
        <v>615.47980703310247</v>
      </c>
    </row>
    <row r="70" spans="1:53" x14ac:dyDescent="0.25">
      <c r="A70" s="242"/>
      <c r="K70" s="224">
        <f t="shared" si="101"/>
        <v>0</v>
      </c>
      <c r="L70" s="239">
        <f t="shared" si="78"/>
        <v>0</v>
      </c>
      <c r="M70" s="225">
        <f t="shared" si="79"/>
        <v>0</v>
      </c>
      <c r="N70" s="225">
        <f t="shared" si="80"/>
        <v>0</v>
      </c>
      <c r="O70" s="225">
        <f t="shared" si="81"/>
        <v>0</v>
      </c>
      <c r="P70" s="222">
        <f t="shared" si="82"/>
        <v>0</v>
      </c>
      <c r="Q70" s="225">
        <f t="shared" si="83"/>
        <v>0</v>
      </c>
      <c r="R70" s="225">
        <f t="shared" si="84"/>
        <v>0</v>
      </c>
      <c r="S70" s="225">
        <f t="shared" si="85"/>
        <v>0</v>
      </c>
      <c r="T70" s="222">
        <v>0</v>
      </c>
      <c r="U70" s="222">
        <v>0</v>
      </c>
      <c r="V70" s="225">
        <f t="shared" si="102"/>
        <v>0</v>
      </c>
      <c r="W70" s="222">
        <f t="shared" si="86"/>
        <v>20.833333333333332</v>
      </c>
      <c r="X70" s="222">
        <f t="shared" si="109"/>
        <v>20.833333333333332</v>
      </c>
      <c r="Y70" s="222">
        <f t="shared" si="87"/>
        <v>18.75</v>
      </c>
      <c r="Z70" s="222">
        <f t="shared" si="88"/>
        <v>3.5714285714285716</v>
      </c>
      <c r="AA70" s="222">
        <f t="shared" si="89"/>
        <v>82.408333333333317</v>
      </c>
      <c r="AB70" s="222">
        <f t="shared" si="90"/>
        <v>87.916666666666657</v>
      </c>
      <c r="AC70" s="226">
        <f t="shared" si="91"/>
        <v>150</v>
      </c>
      <c r="AD70" s="222">
        <f t="shared" si="92"/>
        <v>66.666666666666671</v>
      </c>
      <c r="AE70" s="222">
        <f t="shared" si="93"/>
        <v>15</v>
      </c>
      <c r="AF70" s="222">
        <v>400</v>
      </c>
      <c r="AG70" s="225">
        <f t="shared" si="94"/>
        <v>865.97976190476197</v>
      </c>
      <c r="AH70" s="225">
        <f t="shared" si="95"/>
        <v>865.97976190476197</v>
      </c>
      <c r="AI70" s="227">
        <v>0.04</v>
      </c>
      <c r="AJ70" s="228">
        <f t="shared" si="96"/>
        <v>34.639190476190478</v>
      </c>
      <c r="AK70" s="229">
        <v>0.04</v>
      </c>
      <c r="AL70" s="230">
        <f t="shared" si="104"/>
        <v>52.715249545260207</v>
      </c>
      <c r="AM70" s="227">
        <v>0.01</v>
      </c>
      <c r="AN70" s="228">
        <f t="shared" si="105"/>
        <v>8.6597976190476196</v>
      </c>
      <c r="AO70" s="229">
        <v>0.01</v>
      </c>
      <c r="AP70" s="230">
        <f t="shared" si="97"/>
        <v>13.178812386315052</v>
      </c>
      <c r="AQ70" s="227">
        <v>0.1</v>
      </c>
      <c r="AR70" s="228">
        <f t="shared" si="106"/>
        <v>86.597976190476203</v>
      </c>
      <c r="AS70" s="229">
        <v>0.1</v>
      </c>
      <c r="AT70" s="230">
        <f t="shared" si="98"/>
        <v>131.7881238631505</v>
      </c>
      <c r="AU70" s="227">
        <v>0.15640000000000001</v>
      </c>
      <c r="AV70" s="228">
        <f t="shared" si="99"/>
        <v>195.26994631185812</v>
      </c>
      <c r="AW70" s="229">
        <v>0.19289999999999999</v>
      </c>
      <c r="AX70" s="230">
        <f t="shared" si="100"/>
        <v>254.21929093201732</v>
      </c>
      <c r="AY70" s="231">
        <f t="shared" si="107"/>
        <v>1248.5290684901413</v>
      </c>
      <c r="AZ70" s="230">
        <f t="shared" si="108"/>
        <v>1317.8812386315051</v>
      </c>
      <c r="BA70" s="389">
        <f t="shared" si="110"/>
        <v>615.47980703310247</v>
      </c>
    </row>
    <row r="71" spans="1:53" x14ac:dyDescent="0.25">
      <c r="A71" s="242"/>
      <c r="K71" s="224">
        <f t="shared" si="101"/>
        <v>0</v>
      </c>
      <c r="L71" s="239">
        <f t="shared" si="78"/>
        <v>0</v>
      </c>
      <c r="M71" s="225">
        <f t="shared" si="79"/>
        <v>0</v>
      </c>
      <c r="N71" s="225">
        <f t="shared" si="80"/>
        <v>0</v>
      </c>
      <c r="O71" s="225">
        <f t="shared" si="81"/>
        <v>0</v>
      </c>
      <c r="P71" s="222">
        <f t="shared" si="82"/>
        <v>0</v>
      </c>
      <c r="Q71" s="225">
        <f t="shared" si="83"/>
        <v>0</v>
      </c>
      <c r="R71" s="225">
        <f t="shared" si="84"/>
        <v>0</v>
      </c>
      <c r="S71" s="225">
        <f t="shared" si="85"/>
        <v>0</v>
      </c>
      <c r="T71" s="222">
        <v>0</v>
      </c>
      <c r="U71" s="222">
        <v>0</v>
      </c>
      <c r="V71" s="225">
        <f t="shared" si="102"/>
        <v>0</v>
      </c>
      <c r="W71" s="222">
        <f t="shared" si="86"/>
        <v>20.833333333333332</v>
      </c>
      <c r="X71" s="222">
        <f t="shared" si="109"/>
        <v>20.833333333333332</v>
      </c>
      <c r="Y71" s="222">
        <f t="shared" si="87"/>
        <v>18.75</v>
      </c>
      <c r="Z71" s="222">
        <f t="shared" si="88"/>
        <v>3.5714285714285716</v>
      </c>
      <c r="AA71" s="222">
        <f t="shared" si="89"/>
        <v>82.408333333333317</v>
      </c>
      <c r="AB71" s="222">
        <f t="shared" si="90"/>
        <v>87.916666666666657</v>
      </c>
      <c r="AC71" s="226">
        <f t="shared" si="91"/>
        <v>150</v>
      </c>
      <c r="AD71" s="222">
        <f t="shared" si="92"/>
        <v>66.666666666666671</v>
      </c>
      <c r="AE71" s="222">
        <f t="shared" si="93"/>
        <v>15</v>
      </c>
      <c r="AF71" s="222">
        <v>400</v>
      </c>
      <c r="AG71" s="225">
        <f t="shared" si="94"/>
        <v>865.97976190476197</v>
      </c>
      <c r="AH71" s="225">
        <f t="shared" si="95"/>
        <v>865.97976190476197</v>
      </c>
      <c r="AI71" s="227">
        <v>0.04</v>
      </c>
      <c r="AJ71" s="228">
        <f t="shared" si="96"/>
        <v>34.639190476190478</v>
      </c>
      <c r="AK71" s="229">
        <v>0.04</v>
      </c>
      <c r="AL71" s="230">
        <f t="shared" si="104"/>
        <v>52.715249545260207</v>
      </c>
      <c r="AM71" s="227">
        <v>0.01</v>
      </c>
      <c r="AN71" s="228">
        <f t="shared" si="105"/>
        <v>8.6597976190476196</v>
      </c>
      <c r="AO71" s="229">
        <v>0.01</v>
      </c>
      <c r="AP71" s="230">
        <f t="shared" si="97"/>
        <v>13.178812386315052</v>
      </c>
      <c r="AQ71" s="227">
        <v>0.1</v>
      </c>
      <c r="AR71" s="228">
        <f t="shared" si="106"/>
        <v>86.597976190476203</v>
      </c>
      <c r="AS71" s="229">
        <v>0.1</v>
      </c>
      <c r="AT71" s="230">
        <f t="shared" si="98"/>
        <v>131.7881238631505</v>
      </c>
      <c r="AU71" s="227">
        <v>0.15640000000000001</v>
      </c>
      <c r="AV71" s="228">
        <f t="shared" si="99"/>
        <v>195.26994631185812</v>
      </c>
      <c r="AW71" s="229">
        <v>0.19289999999999999</v>
      </c>
      <c r="AX71" s="230">
        <f t="shared" si="100"/>
        <v>254.21929093201732</v>
      </c>
      <c r="AY71" s="231">
        <f t="shared" si="107"/>
        <v>1248.5290684901413</v>
      </c>
      <c r="AZ71" s="230">
        <f t="shared" si="108"/>
        <v>1317.8812386315051</v>
      </c>
      <c r="BA71" s="389">
        <f t="shared" si="110"/>
        <v>615.47980703310247</v>
      </c>
    </row>
    <row r="72" spans="1:53" x14ac:dyDescent="0.25">
      <c r="A72" s="242"/>
      <c r="K72" s="224">
        <f t="shared" si="101"/>
        <v>0</v>
      </c>
      <c r="L72" s="239">
        <f t="shared" si="78"/>
        <v>0</v>
      </c>
      <c r="M72" s="225">
        <f t="shared" si="79"/>
        <v>0</v>
      </c>
      <c r="N72" s="225">
        <f t="shared" si="80"/>
        <v>0</v>
      </c>
      <c r="O72" s="225">
        <f t="shared" si="81"/>
        <v>0</v>
      </c>
      <c r="P72" s="222">
        <f t="shared" si="82"/>
        <v>0</v>
      </c>
      <c r="Q72" s="225">
        <f t="shared" si="83"/>
        <v>0</v>
      </c>
      <c r="R72" s="225">
        <f t="shared" si="84"/>
        <v>0</v>
      </c>
      <c r="S72" s="225">
        <f t="shared" si="85"/>
        <v>0</v>
      </c>
      <c r="T72" s="222">
        <v>0</v>
      </c>
      <c r="U72" s="222">
        <v>0</v>
      </c>
      <c r="V72" s="225">
        <f t="shared" si="102"/>
        <v>0</v>
      </c>
      <c r="W72" s="222">
        <f t="shared" si="86"/>
        <v>20.833333333333332</v>
      </c>
      <c r="X72" s="222">
        <f t="shared" si="109"/>
        <v>20.833333333333332</v>
      </c>
      <c r="Y72" s="222">
        <f t="shared" si="87"/>
        <v>18.75</v>
      </c>
      <c r="Z72" s="222">
        <f t="shared" si="88"/>
        <v>3.5714285714285716</v>
      </c>
      <c r="AA72" s="222">
        <f t="shared" si="89"/>
        <v>82.408333333333317</v>
      </c>
      <c r="AB72" s="222">
        <f t="shared" si="90"/>
        <v>87.916666666666657</v>
      </c>
      <c r="AC72" s="226">
        <f t="shared" si="91"/>
        <v>150</v>
      </c>
      <c r="AD72" s="222">
        <f t="shared" si="92"/>
        <v>66.666666666666671</v>
      </c>
      <c r="AE72" s="222">
        <f t="shared" si="93"/>
        <v>15</v>
      </c>
      <c r="AF72" s="222">
        <v>400</v>
      </c>
      <c r="AG72" s="225">
        <f t="shared" si="94"/>
        <v>865.97976190476197</v>
      </c>
      <c r="AH72" s="225">
        <f t="shared" si="95"/>
        <v>865.97976190476197</v>
      </c>
      <c r="AI72" s="227">
        <v>0.04</v>
      </c>
      <c r="AJ72" s="228">
        <f t="shared" si="96"/>
        <v>34.639190476190478</v>
      </c>
      <c r="AK72" s="229">
        <v>0.04</v>
      </c>
      <c r="AL72" s="230">
        <f t="shared" si="104"/>
        <v>52.715249545260207</v>
      </c>
      <c r="AM72" s="227">
        <v>0.01</v>
      </c>
      <c r="AN72" s="228">
        <f t="shared" si="105"/>
        <v>8.6597976190476196</v>
      </c>
      <c r="AO72" s="229">
        <v>0.01</v>
      </c>
      <c r="AP72" s="230">
        <f t="shared" si="97"/>
        <v>13.178812386315052</v>
      </c>
      <c r="AQ72" s="227">
        <v>0.1</v>
      </c>
      <c r="AR72" s="228">
        <f t="shared" si="106"/>
        <v>86.597976190476203</v>
      </c>
      <c r="AS72" s="229">
        <v>0.1</v>
      </c>
      <c r="AT72" s="230">
        <f t="shared" si="98"/>
        <v>131.7881238631505</v>
      </c>
      <c r="AU72" s="227">
        <v>0.15640000000000001</v>
      </c>
      <c r="AV72" s="228">
        <f t="shared" si="99"/>
        <v>195.26994631185812</v>
      </c>
      <c r="AW72" s="229">
        <v>0.19289999999999999</v>
      </c>
      <c r="AX72" s="230">
        <f t="shared" si="100"/>
        <v>254.21929093201732</v>
      </c>
      <c r="AY72" s="231">
        <f t="shared" si="107"/>
        <v>1248.5290684901413</v>
      </c>
      <c r="AZ72" s="230">
        <f t="shared" si="108"/>
        <v>1317.8812386315051</v>
      </c>
      <c r="BA72" s="389">
        <f t="shared" si="110"/>
        <v>615.47980703310247</v>
      </c>
    </row>
    <row r="73" spans="1:53" x14ac:dyDescent="0.25">
      <c r="A73" s="242"/>
      <c r="K73" s="224">
        <f t="shared" si="101"/>
        <v>0</v>
      </c>
      <c r="L73" s="239">
        <f t="shared" si="78"/>
        <v>0</v>
      </c>
      <c r="M73" s="225">
        <f t="shared" si="79"/>
        <v>0</v>
      </c>
      <c r="N73" s="225">
        <f t="shared" si="80"/>
        <v>0</v>
      </c>
      <c r="O73" s="225">
        <f t="shared" si="81"/>
        <v>0</v>
      </c>
      <c r="P73" s="222">
        <f t="shared" si="82"/>
        <v>0</v>
      </c>
      <c r="Q73" s="225">
        <f t="shared" si="83"/>
        <v>0</v>
      </c>
      <c r="R73" s="225">
        <f t="shared" si="84"/>
        <v>0</v>
      </c>
      <c r="S73" s="225">
        <f t="shared" si="85"/>
        <v>0</v>
      </c>
      <c r="T73" s="222">
        <v>0</v>
      </c>
      <c r="U73" s="222">
        <v>0</v>
      </c>
      <c r="V73" s="225">
        <f t="shared" si="102"/>
        <v>0</v>
      </c>
      <c r="W73" s="222">
        <f t="shared" si="86"/>
        <v>20.833333333333332</v>
      </c>
      <c r="X73" s="222">
        <f t="shared" si="109"/>
        <v>20.833333333333332</v>
      </c>
      <c r="Y73" s="222">
        <f t="shared" si="87"/>
        <v>18.75</v>
      </c>
      <c r="Z73" s="222">
        <f t="shared" si="88"/>
        <v>3.5714285714285716</v>
      </c>
      <c r="AA73" s="222">
        <f t="shared" si="89"/>
        <v>82.408333333333317</v>
      </c>
      <c r="AB73" s="222">
        <f t="shared" si="90"/>
        <v>87.916666666666657</v>
      </c>
      <c r="AC73" s="226">
        <f t="shared" si="91"/>
        <v>150</v>
      </c>
      <c r="AD73" s="222">
        <f t="shared" si="92"/>
        <v>66.666666666666671</v>
      </c>
      <c r="AE73" s="222">
        <f t="shared" si="93"/>
        <v>15</v>
      </c>
      <c r="AF73" s="222">
        <v>400</v>
      </c>
      <c r="AG73" s="225">
        <f t="shared" si="94"/>
        <v>865.97976190476197</v>
      </c>
      <c r="AH73" s="225">
        <f t="shared" si="95"/>
        <v>865.97976190476197</v>
      </c>
      <c r="AI73" s="227">
        <v>0.04</v>
      </c>
      <c r="AJ73" s="228">
        <f t="shared" si="96"/>
        <v>34.639190476190478</v>
      </c>
      <c r="AK73" s="229">
        <v>0.04</v>
      </c>
      <c r="AL73" s="230">
        <f t="shared" si="104"/>
        <v>52.715249545260207</v>
      </c>
      <c r="AM73" s="227">
        <v>0.01</v>
      </c>
      <c r="AN73" s="228">
        <f t="shared" si="105"/>
        <v>8.6597976190476196</v>
      </c>
      <c r="AO73" s="229">
        <v>0.01</v>
      </c>
      <c r="AP73" s="230">
        <f t="shared" si="97"/>
        <v>13.178812386315052</v>
      </c>
      <c r="AQ73" s="227">
        <v>0.1</v>
      </c>
      <c r="AR73" s="228">
        <f t="shared" si="106"/>
        <v>86.597976190476203</v>
      </c>
      <c r="AS73" s="229">
        <v>0.1</v>
      </c>
      <c r="AT73" s="230">
        <f t="shared" si="98"/>
        <v>131.7881238631505</v>
      </c>
      <c r="AU73" s="227">
        <v>0.15640000000000001</v>
      </c>
      <c r="AV73" s="228">
        <f t="shared" si="99"/>
        <v>195.26994631185812</v>
      </c>
      <c r="AW73" s="229">
        <v>0.19289999999999999</v>
      </c>
      <c r="AX73" s="230">
        <f t="shared" si="100"/>
        <v>254.21929093201732</v>
      </c>
      <c r="AY73" s="231">
        <f t="shared" si="107"/>
        <v>1248.5290684901413</v>
      </c>
      <c r="AZ73" s="230">
        <f t="shared" si="108"/>
        <v>1317.8812386315051</v>
      </c>
      <c r="BA73" s="389">
        <f t="shared" si="110"/>
        <v>615.47980703310247</v>
      </c>
    </row>
    <row r="74" spans="1:53" x14ac:dyDescent="0.25">
      <c r="A74" s="242"/>
      <c r="K74" s="224">
        <f t="shared" si="101"/>
        <v>0</v>
      </c>
      <c r="L74" s="239">
        <f t="shared" si="78"/>
        <v>0</v>
      </c>
      <c r="M74" s="225">
        <f t="shared" si="79"/>
        <v>0</v>
      </c>
      <c r="N74" s="225">
        <f t="shared" si="80"/>
        <v>0</v>
      </c>
      <c r="O74" s="225">
        <f t="shared" si="81"/>
        <v>0</v>
      </c>
      <c r="P74" s="222">
        <f t="shared" si="82"/>
        <v>0</v>
      </c>
      <c r="Q74" s="225">
        <f t="shared" si="83"/>
        <v>0</v>
      </c>
      <c r="R74" s="225">
        <f t="shared" si="84"/>
        <v>0</v>
      </c>
      <c r="S74" s="225">
        <f t="shared" si="85"/>
        <v>0</v>
      </c>
      <c r="T74" s="222">
        <v>0</v>
      </c>
      <c r="U74" s="222">
        <v>0</v>
      </c>
      <c r="V74" s="225">
        <f t="shared" si="102"/>
        <v>0</v>
      </c>
      <c r="W74" s="222">
        <f t="shared" si="86"/>
        <v>20.833333333333332</v>
      </c>
      <c r="X74" s="222">
        <f t="shared" si="109"/>
        <v>20.833333333333332</v>
      </c>
      <c r="Y74" s="222">
        <f t="shared" si="87"/>
        <v>18.75</v>
      </c>
      <c r="Z74" s="222">
        <f t="shared" si="88"/>
        <v>3.5714285714285716</v>
      </c>
      <c r="AA74" s="222">
        <f t="shared" si="89"/>
        <v>82.408333333333317</v>
      </c>
      <c r="AB74" s="222">
        <f t="shared" si="90"/>
        <v>87.916666666666657</v>
      </c>
      <c r="AC74" s="226">
        <f t="shared" si="91"/>
        <v>150</v>
      </c>
      <c r="AD74" s="222">
        <f t="shared" si="92"/>
        <v>66.666666666666671</v>
      </c>
      <c r="AE74" s="222">
        <f t="shared" si="93"/>
        <v>15</v>
      </c>
      <c r="AF74" s="222">
        <v>400</v>
      </c>
      <c r="AG74" s="225">
        <f t="shared" si="94"/>
        <v>865.97976190476197</v>
      </c>
      <c r="AH74" s="225">
        <f t="shared" si="95"/>
        <v>865.97976190476197</v>
      </c>
      <c r="AI74" s="227">
        <v>0.04</v>
      </c>
      <c r="AJ74" s="228">
        <f t="shared" si="96"/>
        <v>34.639190476190478</v>
      </c>
      <c r="AK74" s="229">
        <v>0.04</v>
      </c>
      <c r="AL74" s="230">
        <f t="shared" si="104"/>
        <v>52.715249545260207</v>
      </c>
      <c r="AM74" s="227">
        <v>0.01</v>
      </c>
      <c r="AN74" s="228">
        <f t="shared" si="105"/>
        <v>8.6597976190476196</v>
      </c>
      <c r="AO74" s="229">
        <v>0.01</v>
      </c>
      <c r="AP74" s="230">
        <f t="shared" si="97"/>
        <v>13.178812386315052</v>
      </c>
      <c r="AQ74" s="227">
        <v>0.1</v>
      </c>
      <c r="AR74" s="228">
        <f t="shared" si="106"/>
        <v>86.597976190476203</v>
      </c>
      <c r="AS74" s="229">
        <v>0.1</v>
      </c>
      <c r="AT74" s="230">
        <f t="shared" si="98"/>
        <v>131.7881238631505</v>
      </c>
      <c r="AU74" s="227">
        <v>0.15640000000000001</v>
      </c>
      <c r="AV74" s="228">
        <f t="shared" si="99"/>
        <v>195.26994631185812</v>
      </c>
      <c r="AW74" s="229">
        <v>0.19289999999999999</v>
      </c>
      <c r="AX74" s="230">
        <f t="shared" si="100"/>
        <v>254.21929093201732</v>
      </c>
      <c r="AY74" s="231">
        <f t="shared" si="107"/>
        <v>1248.5290684901413</v>
      </c>
      <c r="AZ74" s="230">
        <f t="shared" si="108"/>
        <v>1317.8812386315051</v>
      </c>
      <c r="BA74" s="389">
        <f t="shared" si="110"/>
        <v>615.47980703310247</v>
      </c>
    </row>
    <row r="75" spans="1:53" x14ac:dyDescent="0.25">
      <c r="A75" s="242"/>
      <c r="K75" s="224">
        <f t="shared" si="101"/>
        <v>0</v>
      </c>
      <c r="L75" s="239">
        <f t="shared" si="78"/>
        <v>0</v>
      </c>
      <c r="M75" s="225">
        <f t="shared" si="79"/>
        <v>0</v>
      </c>
      <c r="N75" s="225">
        <f t="shared" si="80"/>
        <v>0</v>
      </c>
      <c r="O75" s="225">
        <f t="shared" si="81"/>
        <v>0</v>
      </c>
      <c r="P75" s="222">
        <f t="shared" si="82"/>
        <v>0</v>
      </c>
      <c r="Q75" s="225">
        <f t="shared" si="83"/>
        <v>0</v>
      </c>
      <c r="R75" s="225">
        <f t="shared" si="84"/>
        <v>0</v>
      </c>
      <c r="S75" s="225">
        <f t="shared" si="85"/>
        <v>0</v>
      </c>
      <c r="T75" s="222">
        <v>0</v>
      </c>
      <c r="U75" s="222">
        <v>0</v>
      </c>
      <c r="V75" s="225">
        <f t="shared" si="102"/>
        <v>0</v>
      </c>
      <c r="W75" s="222">
        <f t="shared" si="86"/>
        <v>20.833333333333332</v>
      </c>
      <c r="X75" s="222">
        <f t="shared" si="109"/>
        <v>20.833333333333332</v>
      </c>
      <c r="Y75" s="222">
        <f t="shared" si="87"/>
        <v>18.75</v>
      </c>
      <c r="Z75" s="222">
        <f t="shared" si="88"/>
        <v>3.5714285714285716</v>
      </c>
      <c r="AA75" s="222">
        <f t="shared" si="89"/>
        <v>82.408333333333317</v>
      </c>
      <c r="AB75" s="222">
        <f t="shared" si="90"/>
        <v>87.916666666666657</v>
      </c>
      <c r="AC75" s="226">
        <f t="shared" si="91"/>
        <v>150</v>
      </c>
      <c r="AD75" s="222">
        <f t="shared" si="92"/>
        <v>66.666666666666671</v>
      </c>
      <c r="AE75" s="222">
        <f t="shared" si="93"/>
        <v>15</v>
      </c>
      <c r="AF75" s="222">
        <v>400</v>
      </c>
      <c r="AG75" s="225">
        <f t="shared" si="94"/>
        <v>865.97976190476197</v>
      </c>
      <c r="AH75" s="225">
        <f t="shared" si="95"/>
        <v>865.97976190476197</v>
      </c>
      <c r="AI75" s="227">
        <v>0.04</v>
      </c>
      <c r="AJ75" s="228">
        <f t="shared" si="96"/>
        <v>34.639190476190478</v>
      </c>
      <c r="AK75" s="229">
        <v>0.04</v>
      </c>
      <c r="AL75" s="230">
        <f t="shared" si="104"/>
        <v>52.715249545260207</v>
      </c>
      <c r="AM75" s="227">
        <v>0.01</v>
      </c>
      <c r="AN75" s="228">
        <f t="shared" si="105"/>
        <v>8.6597976190476196</v>
      </c>
      <c r="AO75" s="229">
        <v>0.01</v>
      </c>
      <c r="AP75" s="230">
        <f t="shared" si="97"/>
        <v>13.178812386315052</v>
      </c>
      <c r="AQ75" s="227">
        <v>0.1</v>
      </c>
      <c r="AR75" s="228">
        <f t="shared" si="106"/>
        <v>86.597976190476203</v>
      </c>
      <c r="AS75" s="229">
        <v>0.1</v>
      </c>
      <c r="AT75" s="230">
        <f t="shared" si="98"/>
        <v>131.7881238631505</v>
      </c>
      <c r="AU75" s="227">
        <v>0.15640000000000001</v>
      </c>
      <c r="AV75" s="228">
        <f t="shared" si="99"/>
        <v>195.26994631185812</v>
      </c>
      <c r="AW75" s="229">
        <v>0.19289999999999999</v>
      </c>
      <c r="AX75" s="230">
        <f t="shared" si="100"/>
        <v>254.21929093201732</v>
      </c>
      <c r="AY75" s="231">
        <f t="shared" si="107"/>
        <v>1248.5290684901413</v>
      </c>
      <c r="AZ75" s="230">
        <f t="shared" si="108"/>
        <v>1317.8812386315051</v>
      </c>
      <c r="BA75" s="389">
        <f t="shared" si="110"/>
        <v>615.47980703310247</v>
      </c>
    </row>
    <row r="76" spans="1:53" x14ac:dyDescent="0.25">
      <c r="A76" s="242"/>
      <c r="K76" s="224">
        <f t="shared" si="101"/>
        <v>0</v>
      </c>
      <c r="L76" s="239">
        <f t="shared" si="78"/>
        <v>0</v>
      </c>
      <c r="M76" s="225">
        <f t="shared" si="79"/>
        <v>0</v>
      </c>
      <c r="N76" s="225">
        <f t="shared" si="80"/>
        <v>0</v>
      </c>
      <c r="O76" s="225">
        <f t="shared" si="81"/>
        <v>0</v>
      </c>
      <c r="P76" s="222">
        <f t="shared" si="82"/>
        <v>0</v>
      </c>
      <c r="Q76" s="225">
        <f t="shared" si="83"/>
        <v>0</v>
      </c>
      <c r="R76" s="225">
        <f t="shared" si="84"/>
        <v>0</v>
      </c>
      <c r="S76" s="225">
        <f t="shared" si="85"/>
        <v>0</v>
      </c>
      <c r="T76" s="222">
        <v>0</v>
      </c>
      <c r="U76" s="222">
        <v>0</v>
      </c>
      <c r="V76" s="225">
        <f t="shared" si="102"/>
        <v>0</v>
      </c>
      <c r="W76" s="222">
        <f t="shared" si="86"/>
        <v>20.833333333333332</v>
      </c>
      <c r="X76" s="222">
        <f t="shared" si="109"/>
        <v>20.833333333333332</v>
      </c>
      <c r="Y76" s="222">
        <f t="shared" si="87"/>
        <v>18.75</v>
      </c>
      <c r="Z76" s="222">
        <f t="shared" si="88"/>
        <v>3.5714285714285716</v>
      </c>
      <c r="AA76" s="222">
        <f t="shared" si="89"/>
        <v>82.408333333333317</v>
      </c>
      <c r="AB76" s="222">
        <f t="shared" si="90"/>
        <v>87.916666666666657</v>
      </c>
      <c r="AC76" s="226">
        <f t="shared" si="91"/>
        <v>150</v>
      </c>
      <c r="AD76" s="222">
        <f t="shared" si="92"/>
        <v>66.666666666666671</v>
      </c>
      <c r="AE76" s="222">
        <f t="shared" si="93"/>
        <v>15</v>
      </c>
      <c r="AF76" s="222">
        <v>400</v>
      </c>
      <c r="AG76" s="225">
        <f t="shared" si="94"/>
        <v>865.97976190476197</v>
      </c>
      <c r="AH76" s="225">
        <f t="shared" si="95"/>
        <v>865.97976190476197</v>
      </c>
      <c r="AI76" s="227">
        <v>0.04</v>
      </c>
      <c r="AJ76" s="228">
        <f t="shared" si="96"/>
        <v>34.639190476190478</v>
      </c>
      <c r="AK76" s="229">
        <v>0.04</v>
      </c>
      <c r="AL76" s="230">
        <f t="shared" si="104"/>
        <v>52.715249545260207</v>
      </c>
      <c r="AM76" s="227">
        <v>0.01</v>
      </c>
      <c r="AN76" s="228">
        <f t="shared" si="105"/>
        <v>8.6597976190476196</v>
      </c>
      <c r="AO76" s="229">
        <v>0.01</v>
      </c>
      <c r="AP76" s="230">
        <f t="shared" si="97"/>
        <v>13.178812386315052</v>
      </c>
      <c r="AQ76" s="227">
        <v>0.1</v>
      </c>
      <c r="AR76" s="228">
        <f t="shared" si="106"/>
        <v>86.597976190476203</v>
      </c>
      <c r="AS76" s="229">
        <v>0.1</v>
      </c>
      <c r="AT76" s="230">
        <f t="shared" si="98"/>
        <v>131.7881238631505</v>
      </c>
      <c r="AU76" s="227">
        <v>0.15640000000000001</v>
      </c>
      <c r="AV76" s="228">
        <f t="shared" si="99"/>
        <v>195.26994631185812</v>
      </c>
      <c r="AW76" s="229">
        <v>0.19289999999999999</v>
      </c>
      <c r="AX76" s="230">
        <f t="shared" si="100"/>
        <v>254.21929093201732</v>
      </c>
      <c r="AY76" s="231">
        <f t="shared" si="107"/>
        <v>1248.5290684901413</v>
      </c>
      <c r="AZ76" s="230">
        <f t="shared" si="108"/>
        <v>1317.8812386315051</v>
      </c>
      <c r="BA76" s="389">
        <f t="shared" si="110"/>
        <v>615.47980703310247</v>
      </c>
    </row>
    <row r="77" spans="1:53" x14ac:dyDescent="0.25">
      <c r="A77" s="242"/>
      <c r="K77" s="224">
        <f t="shared" si="101"/>
        <v>0</v>
      </c>
      <c r="L77" s="239">
        <f t="shared" si="78"/>
        <v>0</v>
      </c>
      <c r="M77" s="225">
        <f t="shared" si="79"/>
        <v>0</v>
      </c>
      <c r="N77" s="225">
        <f t="shared" si="80"/>
        <v>0</v>
      </c>
      <c r="O77" s="225">
        <f t="shared" si="81"/>
        <v>0</v>
      </c>
      <c r="P77" s="222">
        <f t="shared" si="82"/>
        <v>0</v>
      </c>
      <c r="Q77" s="225">
        <f t="shared" si="83"/>
        <v>0</v>
      </c>
      <c r="R77" s="225">
        <f t="shared" si="84"/>
        <v>0</v>
      </c>
      <c r="S77" s="225">
        <f t="shared" si="85"/>
        <v>0</v>
      </c>
      <c r="T77" s="222">
        <v>0</v>
      </c>
      <c r="U77" s="222">
        <v>0</v>
      </c>
      <c r="V77" s="225">
        <f t="shared" si="102"/>
        <v>0</v>
      </c>
      <c r="W77" s="222">
        <f t="shared" si="86"/>
        <v>20.833333333333332</v>
      </c>
      <c r="X77" s="222">
        <f t="shared" si="109"/>
        <v>20.833333333333332</v>
      </c>
      <c r="Y77" s="222">
        <f t="shared" si="87"/>
        <v>18.75</v>
      </c>
      <c r="Z77" s="222">
        <f t="shared" si="88"/>
        <v>3.5714285714285716</v>
      </c>
      <c r="AA77" s="222">
        <f t="shared" si="89"/>
        <v>82.408333333333317</v>
      </c>
      <c r="AB77" s="222">
        <f t="shared" si="90"/>
        <v>87.916666666666657</v>
      </c>
      <c r="AC77" s="226">
        <f t="shared" si="91"/>
        <v>150</v>
      </c>
      <c r="AD77" s="222">
        <f t="shared" si="92"/>
        <v>66.666666666666671</v>
      </c>
      <c r="AE77" s="222">
        <f t="shared" si="93"/>
        <v>15</v>
      </c>
      <c r="AF77" s="222">
        <v>400</v>
      </c>
      <c r="AG77" s="225">
        <f t="shared" si="94"/>
        <v>865.97976190476197</v>
      </c>
      <c r="AH77" s="225">
        <f t="shared" si="95"/>
        <v>865.97976190476197</v>
      </c>
      <c r="AI77" s="227">
        <v>0.04</v>
      </c>
      <c r="AJ77" s="228">
        <f t="shared" si="96"/>
        <v>34.639190476190478</v>
      </c>
      <c r="AK77" s="229">
        <v>0.04</v>
      </c>
      <c r="AL77" s="230">
        <f t="shared" si="104"/>
        <v>52.715249545260207</v>
      </c>
      <c r="AM77" s="227">
        <v>0.01</v>
      </c>
      <c r="AN77" s="228">
        <f t="shared" si="105"/>
        <v>8.6597976190476196</v>
      </c>
      <c r="AO77" s="229">
        <v>0.01</v>
      </c>
      <c r="AP77" s="230">
        <f t="shared" si="97"/>
        <v>13.178812386315052</v>
      </c>
      <c r="AQ77" s="227">
        <v>0.1</v>
      </c>
      <c r="AR77" s="228">
        <f t="shared" si="106"/>
        <v>86.597976190476203</v>
      </c>
      <c r="AS77" s="229">
        <v>0.1</v>
      </c>
      <c r="AT77" s="230">
        <f t="shared" si="98"/>
        <v>131.7881238631505</v>
      </c>
      <c r="AU77" s="227">
        <v>0.15640000000000001</v>
      </c>
      <c r="AV77" s="228">
        <f t="shared" si="99"/>
        <v>195.26994631185812</v>
      </c>
      <c r="AW77" s="229">
        <v>0.19289999999999999</v>
      </c>
      <c r="AX77" s="230">
        <f t="shared" si="100"/>
        <v>254.21929093201732</v>
      </c>
      <c r="AY77" s="231">
        <f t="shared" si="107"/>
        <v>1248.5290684901413</v>
      </c>
      <c r="AZ77" s="230">
        <f t="shared" si="108"/>
        <v>1317.8812386315051</v>
      </c>
      <c r="BA77" s="389">
        <f t="shared" si="110"/>
        <v>615.47980703310247</v>
      </c>
    </row>
    <row r="78" spans="1:53" x14ac:dyDescent="0.25">
      <c r="A78" s="242"/>
      <c r="K78" s="224">
        <f t="shared" si="101"/>
        <v>0</v>
      </c>
      <c r="L78" s="239">
        <f t="shared" si="78"/>
        <v>0</v>
      </c>
      <c r="M78" s="225">
        <f t="shared" si="79"/>
        <v>0</v>
      </c>
      <c r="N78" s="225">
        <f t="shared" si="80"/>
        <v>0</v>
      </c>
      <c r="O78" s="225">
        <f t="shared" si="81"/>
        <v>0</v>
      </c>
      <c r="P78" s="222">
        <f t="shared" si="82"/>
        <v>0</v>
      </c>
      <c r="Q78" s="225">
        <f t="shared" si="83"/>
        <v>0</v>
      </c>
      <c r="R78" s="225">
        <f t="shared" si="84"/>
        <v>0</v>
      </c>
      <c r="S78" s="225">
        <f t="shared" si="85"/>
        <v>0</v>
      </c>
      <c r="T78" s="222">
        <v>0</v>
      </c>
      <c r="U78" s="222">
        <v>0</v>
      </c>
      <c r="V78" s="225">
        <f t="shared" si="102"/>
        <v>0</v>
      </c>
      <c r="W78" s="222">
        <f t="shared" si="86"/>
        <v>20.833333333333332</v>
      </c>
      <c r="X78" s="222">
        <f t="shared" si="109"/>
        <v>20.833333333333332</v>
      </c>
      <c r="Y78" s="222">
        <f t="shared" si="87"/>
        <v>18.75</v>
      </c>
      <c r="Z78" s="222">
        <f t="shared" si="88"/>
        <v>3.5714285714285716</v>
      </c>
      <c r="AA78" s="222">
        <f t="shared" si="89"/>
        <v>82.408333333333317</v>
      </c>
      <c r="AB78" s="222">
        <f t="shared" si="90"/>
        <v>87.916666666666657</v>
      </c>
      <c r="AC78" s="226">
        <f t="shared" si="91"/>
        <v>150</v>
      </c>
      <c r="AD78" s="222">
        <f t="shared" si="92"/>
        <v>66.666666666666671</v>
      </c>
      <c r="AE78" s="222">
        <f t="shared" si="93"/>
        <v>15</v>
      </c>
      <c r="AF78" s="222">
        <v>400</v>
      </c>
      <c r="AG78" s="225">
        <f t="shared" si="94"/>
        <v>865.97976190476197</v>
      </c>
      <c r="AH78" s="225">
        <f t="shared" si="95"/>
        <v>865.97976190476197</v>
      </c>
      <c r="AI78" s="227">
        <v>0.04</v>
      </c>
      <c r="AJ78" s="228">
        <f t="shared" si="96"/>
        <v>34.639190476190478</v>
      </c>
      <c r="AK78" s="229">
        <v>0.04</v>
      </c>
      <c r="AL78" s="230">
        <f t="shared" si="104"/>
        <v>52.715249545260207</v>
      </c>
      <c r="AM78" s="227">
        <v>0.01</v>
      </c>
      <c r="AN78" s="228">
        <f t="shared" si="105"/>
        <v>8.6597976190476196</v>
      </c>
      <c r="AO78" s="229">
        <v>0.01</v>
      </c>
      <c r="AP78" s="230">
        <f t="shared" si="97"/>
        <v>13.178812386315052</v>
      </c>
      <c r="AQ78" s="227">
        <v>0.1</v>
      </c>
      <c r="AR78" s="228">
        <f t="shared" si="106"/>
        <v>86.597976190476203</v>
      </c>
      <c r="AS78" s="229">
        <v>0.1</v>
      </c>
      <c r="AT78" s="230">
        <f t="shared" si="98"/>
        <v>131.7881238631505</v>
      </c>
      <c r="AU78" s="227">
        <v>0.15640000000000001</v>
      </c>
      <c r="AV78" s="228">
        <f t="shared" si="99"/>
        <v>195.26994631185812</v>
      </c>
      <c r="AW78" s="229">
        <v>0.19289999999999999</v>
      </c>
      <c r="AX78" s="230">
        <f t="shared" si="100"/>
        <v>254.21929093201732</v>
      </c>
      <c r="AY78" s="231">
        <f t="shared" si="107"/>
        <v>1248.5290684901413</v>
      </c>
      <c r="AZ78" s="230">
        <f t="shared" si="108"/>
        <v>1317.8812386315051</v>
      </c>
      <c r="BA78" s="389">
        <f t="shared" si="110"/>
        <v>615.47980703310247</v>
      </c>
    </row>
    <row r="79" spans="1:53" x14ac:dyDescent="0.25">
      <c r="A79" s="242"/>
      <c r="K79" s="224">
        <f t="shared" si="101"/>
        <v>0</v>
      </c>
      <c r="L79" s="239">
        <f t="shared" si="78"/>
        <v>0</v>
      </c>
      <c r="M79" s="225">
        <f t="shared" si="79"/>
        <v>0</v>
      </c>
      <c r="N79" s="225">
        <f t="shared" si="80"/>
        <v>0</v>
      </c>
      <c r="O79" s="225">
        <f t="shared" si="81"/>
        <v>0</v>
      </c>
      <c r="P79" s="222">
        <f t="shared" si="82"/>
        <v>0</v>
      </c>
      <c r="Q79" s="225">
        <f t="shared" si="83"/>
        <v>0</v>
      </c>
      <c r="R79" s="225">
        <f t="shared" si="84"/>
        <v>0</v>
      </c>
      <c r="S79" s="225">
        <f t="shared" si="85"/>
        <v>0</v>
      </c>
      <c r="T79" s="222">
        <v>0</v>
      </c>
      <c r="U79" s="222">
        <v>0</v>
      </c>
      <c r="V79" s="225">
        <f t="shared" si="102"/>
        <v>0</v>
      </c>
      <c r="W79" s="222">
        <f t="shared" si="86"/>
        <v>20.833333333333332</v>
      </c>
      <c r="X79" s="222">
        <f t="shared" si="109"/>
        <v>20.833333333333332</v>
      </c>
      <c r="Y79" s="222">
        <f t="shared" si="87"/>
        <v>18.75</v>
      </c>
      <c r="Z79" s="222">
        <f t="shared" si="88"/>
        <v>3.5714285714285716</v>
      </c>
      <c r="AA79" s="222">
        <f t="shared" si="89"/>
        <v>82.408333333333317</v>
      </c>
      <c r="AB79" s="222">
        <f t="shared" si="90"/>
        <v>87.916666666666657</v>
      </c>
      <c r="AC79" s="226">
        <f t="shared" si="91"/>
        <v>150</v>
      </c>
      <c r="AD79" s="222">
        <f t="shared" si="92"/>
        <v>66.666666666666671</v>
      </c>
      <c r="AE79" s="222">
        <f t="shared" si="93"/>
        <v>15</v>
      </c>
      <c r="AF79" s="222">
        <v>400</v>
      </c>
      <c r="AG79" s="225">
        <f t="shared" si="94"/>
        <v>865.97976190476197</v>
      </c>
      <c r="AH79" s="225">
        <f t="shared" si="95"/>
        <v>865.97976190476197</v>
      </c>
      <c r="AI79" s="227">
        <v>0.04</v>
      </c>
      <c r="AJ79" s="228">
        <f t="shared" si="96"/>
        <v>34.639190476190478</v>
      </c>
      <c r="AK79" s="229">
        <v>0.04</v>
      </c>
      <c r="AL79" s="230">
        <f t="shared" si="104"/>
        <v>52.715249545260207</v>
      </c>
      <c r="AM79" s="227">
        <v>0.01</v>
      </c>
      <c r="AN79" s="228">
        <f t="shared" si="105"/>
        <v>8.6597976190476196</v>
      </c>
      <c r="AO79" s="229">
        <v>0.01</v>
      </c>
      <c r="AP79" s="230">
        <f t="shared" si="97"/>
        <v>13.178812386315052</v>
      </c>
      <c r="AQ79" s="227">
        <v>0.1</v>
      </c>
      <c r="AR79" s="228">
        <f t="shared" si="106"/>
        <v>86.597976190476203</v>
      </c>
      <c r="AS79" s="229">
        <v>0.1</v>
      </c>
      <c r="AT79" s="230">
        <f t="shared" si="98"/>
        <v>131.7881238631505</v>
      </c>
      <c r="AU79" s="227">
        <v>0.15640000000000001</v>
      </c>
      <c r="AV79" s="228">
        <f t="shared" si="99"/>
        <v>195.26994631185812</v>
      </c>
      <c r="AW79" s="229">
        <v>0.19289999999999999</v>
      </c>
      <c r="AX79" s="230">
        <f t="shared" si="100"/>
        <v>254.21929093201732</v>
      </c>
      <c r="AY79" s="231">
        <f t="shared" si="107"/>
        <v>1248.5290684901413</v>
      </c>
      <c r="AZ79" s="230">
        <f t="shared" si="108"/>
        <v>1317.8812386315051</v>
      </c>
      <c r="BA79" s="389">
        <f t="shared" si="110"/>
        <v>615.47980703310247</v>
      </c>
    </row>
    <row r="80" spans="1:53" x14ac:dyDescent="0.25">
      <c r="A80" s="242"/>
      <c r="K80" s="224">
        <f t="shared" si="101"/>
        <v>0</v>
      </c>
      <c r="L80" s="239">
        <f t="shared" si="78"/>
        <v>0</v>
      </c>
      <c r="M80" s="225">
        <f t="shared" si="79"/>
        <v>0</v>
      </c>
      <c r="N80" s="225">
        <f t="shared" si="80"/>
        <v>0</v>
      </c>
      <c r="O80" s="225">
        <f t="shared" si="81"/>
        <v>0</v>
      </c>
      <c r="P80" s="222">
        <f t="shared" si="82"/>
        <v>0</v>
      </c>
      <c r="Q80" s="225">
        <f t="shared" si="83"/>
        <v>0</v>
      </c>
      <c r="R80" s="225">
        <f t="shared" si="84"/>
        <v>0</v>
      </c>
      <c r="S80" s="225">
        <f t="shared" si="85"/>
        <v>0</v>
      </c>
      <c r="T80" s="222">
        <v>0</v>
      </c>
      <c r="U80" s="222">
        <v>0</v>
      </c>
      <c r="V80" s="225">
        <f t="shared" si="102"/>
        <v>0</v>
      </c>
      <c r="W80" s="222">
        <f t="shared" si="86"/>
        <v>20.833333333333332</v>
      </c>
      <c r="X80" s="222">
        <f t="shared" si="109"/>
        <v>20.833333333333332</v>
      </c>
      <c r="Y80" s="222">
        <f t="shared" si="87"/>
        <v>18.75</v>
      </c>
      <c r="Z80" s="222">
        <f t="shared" si="88"/>
        <v>3.5714285714285716</v>
      </c>
      <c r="AA80" s="222">
        <f t="shared" si="89"/>
        <v>82.408333333333317</v>
      </c>
      <c r="AB80" s="222">
        <f t="shared" si="90"/>
        <v>87.916666666666657</v>
      </c>
      <c r="AC80" s="226">
        <f t="shared" si="91"/>
        <v>150</v>
      </c>
      <c r="AD80" s="222">
        <f t="shared" si="92"/>
        <v>66.666666666666671</v>
      </c>
      <c r="AE80" s="222">
        <f t="shared" si="93"/>
        <v>15</v>
      </c>
      <c r="AF80" s="222">
        <v>400</v>
      </c>
      <c r="AG80" s="225">
        <f t="shared" si="94"/>
        <v>865.97976190476197</v>
      </c>
      <c r="AH80" s="225">
        <f t="shared" si="95"/>
        <v>865.97976190476197</v>
      </c>
      <c r="AI80" s="227">
        <v>0.04</v>
      </c>
      <c r="AJ80" s="228">
        <f t="shared" si="96"/>
        <v>34.639190476190478</v>
      </c>
      <c r="AK80" s="229">
        <v>0.04</v>
      </c>
      <c r="AL80" s="230">
        <f t="shared" si="104"/>
        <v>52.715249545260207</v>
      </c>
      <c r="AM80" s="227">
        <v>0.01</v>
      </c>
      <c r="AN80" s="228">
        <f t="shared" si="105"/>
        <v>8.6597976190476196</v>
      </c>
      <c r="AO80" s="229">
        <v>0.01</v>
      </c>
      <c r="AP80" s="230">
        <f t="shared" si="97"/>
        <v>13.178812386315052</v>
      </c>
      <c r="AQ80" s="227">
        <v>0.1</v>
      </c>
      <c r="AR80" s="228">
        <f t="shared" si="106"/>
        <v>86.597976190476203</v>
      </c>
      <c r="AS80" s="229">
        <v>0.1</v>
      </c>
      <c r="AT80" s="230">
        <f t="shared" si="98"/>
        <v>131.7881238631505</v>
      </c>
      <c r="AU80" s="227">
        <v>0.15640000000000001</v>
      </c>
      <c r="AV80" s="228">
        <f t="shared" si="99"/>
        <v>195.26994631185812</v>
      </c>
      <c r="AW80" s="229">
        <v>0.19289999999999999</v>
      </c>
      <c r="AX80" s="230">
        <f t="shared" si="100"/>
        <v>254.21929093201732</v>
      </c>
      <c r="AY80" s="231">
        <f t="shared" si="107"/>
        <v>1248.5290684901413</v>
      </c>
      <c r="AZ80" s="230">
        <f t="shared" si="108"/>
        <v>1317.8812386315051</v>
      </c>
      <c r="BA80" s="389">
        <f t="shared" si="110"/>
        <v>615.47980703310247</v>
      </c>
    </row>
    <row r="81" spans="1:53" x14ac:dyDescent="0.25">
      <c r="A81" s="242"/>
      <c r="K81" s="224">
        <f t="shared" si="101"/>
        <v>0</v>
      </c>
      <c r="L81" s="239">
        <f t="shared" si="78"/>
        <v>0</v>
      </c>
      <c r="M81" s="225">
        <f t="shared" si="79"/>
        <v>0</v>
      </c>
      <c r="N81" s="225">
        <f t="shared" si="80"/>
        <v>0</v>
      </c>
      <c r="O81" s="225">
        <f t="shared" si="81"/>
        <v>0</v>
      </c>
      <c r="P81" s="222">
        <f t="shared" si="82"/>
        <v>0</v>
      </c>
      <c r="Q81" s="225">
        <f t="shared" si="83"/>
        <v>0</v>
      </c>
      <c r="R81" s="225">
        <f t="shared" si="84"/>
        <v>0</v>
      </c>
      <c r="S81" s="225">
        <f t="shared" si="85"/>
        <v>0</v>
      </c>
      <c r="T81" s="222">
        <v>0</v>
      </c>
      <c r="U81" s="222">
        <v>0</v>
      </c>
      <c r="V81" s="225">
        <f t="shared" si="102"/>
        <v>0</v>
      </c>
      <c r="W81" s="222">
        <f t="shared" si="86"/>
        <v>20.833333333333332</v>
      </c>
      <c r="X81" s="222">
        <f t="shared" si="109"/>
        <v>20.833333333333332</v>
      </c>
      <c r="Y81" s="222">
        <f t="shared" si="87"/>
        <v>18.75</v>
      </c>
      <c r="Z81" s="222">
        <f t="shared" si="88"/>
        <v>3.5714285714285716</v>
      </c>
      <c r="AA81" s="222">
        <f t="shared" si="89"/>
        <v>82.408333333333317</v>
      </c>
      <c r="AB81" s="222">
        <f t="shared" si="90"/>
        <v>87.916666666666657</v>
      </c>
      <c r="AC81" s="226">
        <f t="shared" si="91"/>
        <v>150</v>
      </c>
      <c r="AD81" s="222">
        <f t="shared" si="92"/>
        <v>66.666666666666671</v>
      </c>
      <c r="AE81" s="222">
        <f t="shared" si="93"/>
        <v>15</v>
      </c>
      <c r="AF81" s="222">
        <v>400</v>
      </c>
      <c r="AG81" s="225">
        <f t="shared" si="94"/>
        <v>865.97976190476197</v>
      </c>
      <c r="AH81" s="225">
        <f t="shared" si="95"/>
        <v>865.97976190476197</v>
      </c>
      <c r="AI81" s="227">
        <v>0.04</v>
      </c>
      <c r="AJ81" s="228">
        <f t="shared" si="96"/>
        <v>34.639190476190478</v>
      </c>
      <c r="AK81" s="229">
        <v>0.04</v>
      </c>
      <c r="AL81" s="230">
        <f t="shared" si="104"/>
        <v>52.715249545260207</v>
      </c>
      <c r="AM81" s="227">
        <v>0.01</v>
      </c>
      <c r="AN81" s="228">
        <f t="shared" si="105"/>
        <v>8.6597976190476196</v>
      </c>
      <c r="AO81" s="229">
        <v>0.01</v>
      </c>
      <c r="AP81" s="230">
        <f t="shared" si="97"/>
        <v>13.178812386315052</v>
      </c>
      <c r="AQ81" s="227">
        <v>0.1</v>
      </c>
      <c r="AR81" s="228">
        <f t="shared" si="106"/>
        <v>86.597976190476203</v>
      </c>
      <c r="AS81" s="229">
        <v>0.1</v>
      </c>
      <c r="AT81" s="230">
        <f t="shared" si="98"/>
        <v>131.7881238631505</v>
      </c>
      <c r="AU81" s="227">
        <v>0.15640000000000001</v>
      </c>
      <c r="AV81" s="228">
        <f t="shared" si="99"/>
        <v>195.26994631185812</v>
      </c>
      <c r="AW81" s="229">
        <v>0.19289999999999999</v>
      </c>
      <c r="AX81" s="230">
        <f t="shared" si="100"/>
        <v>254.21929093201732</v>
      </c>
      <c r="AY81" s="231">
        <f t="shared" si="107"/>
        <v>1248.5290684901413</v>
      </c>
      <c r="AZ81" s="230">
        <f t="shared" si="108"/>
        <v>1317.8812386315051</v>
      </c>
      <c r="BA81" s="389">
        <f t="shared" si="110"/>
        <v>615.47980703310247</v>
      </c>
    </row>
    <row r="82" spans="1:53" x14ac:dyDescent="0.25">
      <c r="A82" s="242"/>
      <c r="K82" s="224">
        <f t="shared" si="101"/>
        <v>0</v>
      </c>
      <c r="L82" s="239">
        <f t="shared" si="78"/>
        <v>0</v>
      </c>
      <c r="M82" s="225">
        <f t="shared" si="79"/>
        <v>0</v>
      </c>
      <c r="N82" s="225">
        <f t="shared" si="80"/>
        <v>0</v>
      </c>
      <c r="O82" s="225">
        <f t="shared" si="81"/>
        <v>0</v>
      </c>
      <c r="P82" s="222">
        <f t="shared" si="82"/>
        <v>0</v>
      </c>
      <c r="Q82" s="225">
        <f t="shared" si="83"/>
        <v>0</v>
      </c>
      <c r="R82" s="225">
        <f t="shared" si="84"/>
        <v>0</v>
      </c>
      <c r="S82" s="225">
        <f t="shared" si="85"/>
        <v>0</v>
      </c>
      <c r="T82" s="222">
        <v>0</v>
      </c>
      <c r="U82" s="222">
        <v>0</v>
      </c>
      <c r="V82" s="225">
        <f t="shared" si="102"/>
        <v>0</v>
      </c>
      <c r="W82" s="222">
        <f t="shared" si="86"/>
        <v>20.833333333333332</v>
      </c>
      <c r="X82" s="222">
        <f t="shared" si="109"/>
        <v>20.833333333333332</v>
      </c>
      <c r="Y82" s="222">
        <f t="shared" si="87"/>
        <v>18.75</v>
      </c>
      <c r="Z82" s="222">
        <f t="shared" si="88"/>
        <v>3.5714285714285716</v>
      </c>
      <c r="AA82" s="222">
        <f t="shared" si="89"/>
        <v>82.408333333333317</v>
      </c>
      <c r="AB82" s="222">
        <f t="shared" si="90"/>
        <v>87.916666666666657</v>
      </c>
      <c r="AC82" s="226">
        <f t="shared" si="91"/>
        <v>150</v>
      </c>
      <c r="AD82" s="222">
        <f t="shared" si="92"/>
        <v>66.666666666666671</v>
      </c>
      <c r="AE82" s="222">
        <f t="shared" si="93"/>
        <v>15</v>
      </c>
      <c r="AF82" s="222">
        <v>400</v>
      </c>
      <c r="AG82" s="225">
        <f t="shared" si="94"/>
        <v>865.97976190476197</v>
      </c>
      <c r="AH82" s="225">
        <f t="shared" si="95"/>
        <v>865.97976190476197</v>
      </c>
      <c r="AI82" s="227">
        <v>0.04</v>
      </c>
      <c r="AJ82" s="228">
        <f t="shared" si="96"/>
        <v>34.639190476190478</v>
      </c>
      <c r="AK82" s="229">
        <v>0.04</v>
      </c>
      <c r="AL82" s="230">
        <f t="shared" si="104"/>
        <v>52.715249545260207</v>
      </c>
      <c r="AM82" s="227">
        <v>0.01</v>
      </c>
      <c r="AN82" s="228">
        <f t="shared" si="105"/>
        <v>8.6597976190476196</v>
      </c>
      <c r="AO82" s="229">
        <v>0.01</v>
      </c>
      <c r="AP82" s="230">
        <f t="shared" si="97"/>
        <v>13.178812386315052</v>
      </c>
      <c r="AQ82" s="227">
        <v>0.1</v>
      </c>
      <c r="AR82" s="228">
        <f t="shared" si="106"/>
        <v>86.597976190476203</v>
      </c>
      <c r="AS82" s="229">
        <v>0.1</v>
      </c>
      <c r="AT82" s="230">
        <f t="shared" si="98"/>
        <v>131.7881238631505</v>
      </c>
      <c r="AU82" s="227">
        <v>0.15640000000000001</v>
      </c>
      <c r="AV82" s="228">
        <f t="shared" si="99"/>
        <v>195.26994631185812</v>
      </c>
      <c r="AW82" s="229">
        <v>0.19289999999999999</v>
      </c>
      <c r="AX82" s="230">
        <f t="shared" si="100"/>
        <v>254.21929093201732</v>
      </c>
      <c r="AY82" s="231">
        <f t="shared" si="107"/>
        <v>1248.5290684901413</v>
      </c>
      <c r="AZ82" s="230">
        <f t="shared" si="108"/>
        <v>1317.8812386315051</v>
      </c>
      <c r="BA82" s="389">
        <f t="shared" si="110"/>
        <v>615.47980703310247</v>
      </c>
    </row>
  </sheetData>
  <mergeCells count="5">
    <mergeCell ref="AU2:AV2"/>
    <mergeCell ref="AW2:AX2"/>
    <mergeCell ref="AI2:AL2"/>
    <mergeCell ref="AM2:AP2"/>
    <mergeCell ref="AQ2:AT2"/>
  </mergeCells>
  <conditionalFormatting sqref="AI4:AZ4">
    <cfRule type="cellIs" dxfId="82" priority="92" operator="equal">
      <formula>0</formula>
    </cfRule>
  </conditionalFormatting>
  <conditionalFormatting sqref="C1:C1048576">
    <cfRule type="cellIs" dxfId="81" priority="2" operator="equal">
      <formula>"Estágio"</formula>
    </cfRule>
    <cfRule type="cellIs" dxfId="80" priority="91" operator="equal">
      <formula>"PJ"</formula>
    </cfRule>
  </conditionalFormatting>
  <conditionalFormatting sqref="AI5:AZ5">
    <cfRule type="cellIs" dxfId="79" priority="90" operator="equal">
      <formula>0</formula>
    </cfRule>
  </conditionalFormatting>
  <conditionalFormatting sqref="AI6:AZ6">
    <cfRule type="cellIs" dxfId="78" priority="89" operator="equal">
      <formula>0</formula>
    </cfRule>
  </conditionalFormatting>
  <conditionalFormatting sqref="AI7:AZ7">
    <cfRule type="cellIs" dxfId="77" priority="88" operator="equal">
      <formula>0</formula>
    </cfRule>
  </conditionalFormatting>
  <conditionalFormatting sqref="AI8:AZ8">
    <cfRule type="cellIs" dxfId="76" priority="87" operator="equal">
      <formula>0</formula>
    </cfRule>
  </conditionalFormatting>
  <conditionalFormatting sqref="AI9:AZ9">
    <cfRule type="cellIs" dxfId="75" priority="86" operator="equal">
      <formula>0</formula>
    </cfRule>
  </conditionalFormatting>
  <conditionalFormatting sqref="AI10:AZ10">
    <cfRule type="cellIs" dxfId="74" priority="85" operator="equal">
      <formula>0</formula>
    </cfRule>
  </conditionalFormatting>
  <conditionalFormatting sqref="AI11:AZ11">
    <cfRule type="cellIs" dxfId="73" priority="84" operator="equal">
      <formula>0</formula>
    </cfRule>
  </conditionalFormatting>
  <conditionalFormatting sqref="AI12:AZ12">
    <cfRule type="cellIs" dxfId="72" priority="83" operator="equal">
      <formula>0</formula>
    </cfRule>
  </conditionalFormatting>
  <conditionalFormatting sqref="AI13:AZ13">
    <cfRule type="cellIs" dxfId="71" priority="82" operator="equal">
      <formula>0</formula>
    </cfRule>
  </conditionalFormatting>
  <conditionalFormatting sqref="AI14:AZ14">
    <cfRule type="cellIs" dxfId="70" priority="81" operator="equal">
      <formula>0</formula>
    </cfRule>
  </conditionalFormatting>
  <conditionalFormatting sqref="AI15:AZ15">
    <cfRule type="cellIs" dxfId="69" priority="80" operator="equal">
      <formula>0</formula>
    </cfRule>
  </conditionalFormatting>
  <conditionalFormatting sqref="AI16:AZ16">
    <cfRule type="cellIs" dxfId="68" priority="79" operator="equal">
      <formula>0</formula>
    </cfRule>
  </conditionalFormatting>
  <conditionalFormatting sqref="AI17:AZ17">
    <cfRule type="cellIs" dxfId="67" priority="78" operator="equal">
      <formula>0</formula>
    </cfRule>
  </conditionalFormatting>
  <conditionalFormatting sqref="AI18:AZ18">
    <cfRule type="cellIs" dxfId="66" priority="77" operator="equal">
      <formula>0</formula>
    </cfRule>
  </conditionalFormatting>
  <conditionalFormatting sqref="AI19:AZ19">
    <cfRule type="cellIs" dxfId="65" priority="76" operator="equal">
      <formula>0</formula>
    </cfRule>
  </conditionalFormatting>
  <conditionalFormatting sqref="AI20:AZ20">
    <cfRule type="cellIs" dxfId="64" priority="75" operator="equal">
      <formula>0</formula>
    </cfRule>
  </conditionalFormatting>
  <conditionalFormatting sqref="AI21:AZ21">
    <cfRule type="cellIs" dxfId="63" priority="74" operator="equal">
      <formula>0</formula>
    </cfRule>
  </conditionalFormatting>
  <conditionalFormatting sqref="AI22:AZ22">
    <cfRule type="cellIs" dxfId="62" priority="73" operator="equal">
      <formula>0</formula>
    </cfRule>
  </conditionalFormatting>
  <conditionalFormatting sqref="AI23:AZ23">
    <cfRule type="cellIs" dxfId="61" priority="72" operator="equal">
      <formula>0</formula>
    </cfRule>
  </conditionalFormatting>
  <conditionalFormatting sqref="AI24:AZ24">
    <cfRule type="cellIs" dxfId="60" priority="70" operator="equal">
      <formula>0</formula>
    </cfRule>
  </conditionalFormatting>
  <conditionalFormatting sqref="AI25:AZ25">
    <cfRule type="cellIs" dxfId="59" priority="69" operator="equal">
      <formula>0</formula>
    </cfRule>
  </conditionalFormatting>
  <conditionalFormatting sqref="AI26:AZ26">
    <cfRule type="cellIs" dxfId="58" priority="68" operator="equal">
      <formula>0</formula>
    </cfRule>
  </conditionalFormatting>
  <conditionalFormatting sqref="AI27:AZ27">
    <cfRule type="cellIs" dxfId="57" priority="67" operator="equal">
      <formula>0</formula>
    </cfRule>
  </conditionalFormatting>
  <conditionalFormatting sqref="AI28:AZ28">
    <cfRule type="cellIs" dxfId="56" priority="66" operator="equal">
      <formula>0</formula>
    </cfRule>
  </conditionalFormatting>
  <conditionalFormatting sqref="AI29:AZ29">
    <cfRule type="cellIs" dxfId="55" priority="65" operator="equal">
      <formula>0</formula>
    </cfRule>
  </conditionalFormatting>
  <conditionalFormatting sqref="AI30:AZ30">
    <cfRule type="cellIs" dxfId="54" priority="64" operator="equal">
      <formula>0</formula>
    </cfRule>
  </conditionalFormatting>
  <conditionalFormatting sqref="AI31:AZ31">
    <cfRule type="cellIs" dxfId="53" priority="63" operator="equal">
      <formula>0</formula>
    </cfRule>
  </conditionalFormatting>
  <conditionalFormatting sqref="AI32:AZ32">
    <cfRule type="cellIs" dxfId="52" priority="62" operator="equal">
      <formula>0</formula>
    </cfRule>
  </conditionalFormatting>
  <conditionalFormatting sqref="AI33:AZ33">
    <cfRule type="cellIs" dxfId="51" priority="61" operator="equal">
      <formula>0</formula>
    </cfRule>
  </conditionalFormatting>
  <conditionalFormatting sqref="AI34:AZ34">
    <cfRule type="cellIs" dxfId="50" priority="60" operator="equal">
      <formula>0</formula>
    </cfRule>
  </conditionalFormatting>
  <conditionalFormatting sqref="AI35:AZ35">
    <cfRule type="cellIs" dxfId="49" priority="59" operator="equal">
      <formula>0</formula>
    </cfRule>
  </conditionalFormatting>
  <conditionalFormatting sqref="AI36:AZ36">
    <cfRule type="cellIs" dxfId="48" priority="58" operator="equal">
      <formula>0</formula>
    </cfRule>
  </conditionalFormatting>
  <conditionalFormatting sqref="AI37:AZ37">
    <cfRule type="cellIs" dxfId="47" priority="57" operator="equal">
      <formula>0</formula>
    </cfRule>
  </conditionalFormatting>
  <conditionalFormatting sqref="AI38:AZ38">
    <cfRule type="cellIs" dxfId="46" priority="56" operator="equal">
      <formula>0</formula>
    </cfRule>
  </conditionalFormatting>
  <conditionalFormatting sqref="AI39:AZ39">
    <cfRule type="cellIs" dxfId="45" priority="55" operator="equal">
      <formula>0</formula>
    </cfRule>
  </conditionalFormatting>
  <conditionalFormatting sqref="AI40:AZ40">
    <cfRule type="cellIs" dxfId="44" priority="54" operator="equal">
      <formula>0</formula>
    </cfRule>
  </conditionalFormatting>
  <conditionalFormatting sqref="AI41:AZ41">
    <cfRule type="cellIs" dxfId="43" priority="53" operator="equal">
      <formula>0</formula>
    </cfRule>
  </conditionalFormatting>
  <conditionalFormatting sqref="AI42:AZ42">
    <cfRule type="cellIs" dxfId="42" priority="52" operator="equal">
      <formula>0</formula>
    </cfRule>
  </conditionalFormatting>
  <conditionalFormatting sqref="AI43:AZ43">
    <cfRule type="cellIs" dxfId="41" priority="51" operator="equal">
      <formula>0</formula>
    </cfRule>
  </conditionalFormatting>
  <conditionalFormatting sqref="AI44:AZ44">
    <cfRule type="cellIs" dxfId="40" priority="50" operator="equal">
      <formula>0</formula>
    </cfRule>
  </conditionalFormatting>
  <conditionalFormatting sqref="AI45:AZ45">
    <cfRule type="cellIs" dxfId="39" priority="49" operator="equal">
      <formula>0</formula>
    </cfRule>
  </conditionalFormatting>
  <conditionalFormatting sqref="AI46:AZ46">
    <cfRule type="cellIs" dxfId="38" priority="48" operator="equal">
      <formula>0</formula>
    </cfRule>
  </conditionalFormatting>
  <conditionalFormatting sqref="AI47:AZ47">
    <cfRule type="cellIs" dxfId="37" priority="47" operator="equal">
      <formula>0</formula>
    </cfRule>
  </conditionalFormatting>
  <conditionalFormatting sqref="AI48:AZ48">
    <cfRule type="cellIs" dxfId="36" priority="46" operator="equal">
      <formula>0</formula>
    </cfRule>
  </conditionalFormatting>
  <conditionalFormatting sqref="AI49:AZ49">
    <cfRule type="cellIs" dxfId="35" priority="45" operator="equal">
      <formula>0</formula>
    </cfRule>
  </conditionalFormatting>
  <conditionalFormatting sqref="AI50:AZ50">
    <cfRule type="cellIs" dxfId="34" priority="44" operator="equal">
      <formula>0</formula>
    </cfRule>
  </conditionalFormatting>
  <conditionalFormatting sqref="AI52:AZ52">
    <cfRule type="cellIs" dxfId="33" priority="43" operator="equal">
      <formula>0</formula>
    </cfRule>
  </conditionalFormatting>
  <conditionalFormatting sqref="AI53:AZ53">
    <cfRule type="cellIs" dxfId="32" priority="42" operator="equal">
      <formula>0</formula>
    </cfRule>
  </conditionalFormatting>
  <conditionalFormatting sqref="AI54:AZ54">
    <cfRule type="cellIs" dxfId="31" priority="41" operator="equal">
      <formula>0</formula>
    </cfRule>
  </conditionalFormatting>
  <conditionalFormatting sqref="AI55:AZ55">
    <cfRule type="cellIs" dxfId="30" priority="40" operator="equal">
      <formula>0</formula>
    </cfRule>
  </conditionalFormatting>
  <conditionalFormatting sqref="AI56:AZ56">
    <cfRule type="cellIs" dxfId="29" priority="39" operator="equal">
      <formula>0</formula>
    </cfRule>
  </conditionalFormatting>
  <conditionalFormatting sqref="AI57:AZ57">
    <cfRule type="cellIs" dxfId="28" priority="38" operator="equal">
      <formula>0</formula>
    </cfRule>
  </conditionalFormatting>
  <conditionalFormatting sqref="AI58:AZ58">
    <cfRule type="cellIs" dxfId="27" priority="37" operator="equal">
      <formula>0</formula>
    </cfRule>
  </conditionalFormatting>
  <conditionalFormatting sqref="AI59:AZ59">
    <cfRule type="cellIs" dxfId="26" priority="36" operator="equal">
      <formula>0</formula>
    </cfRule>
  </conditionalFormatting>
  <conditionalFormatting sqref="AI66:AZ66">
    <cfRule type="cellIs" dxfId="25" priority="28" operator="equal">
      <formula>0</formula>
    </cfRule>
  </conditionalFormatting>
  <conditionalFormatting sqref="AI60:AZ60">
    <cfRule type="cellIs" dxfId="24" priority="27" operator="equal">
      <formula>0</formula>
    </cfRule>
  </conditionalFormatting>
  <conditionalFormatting sqref="AI61:AZ61">
    <cfRule type="cellIs" dxfId="23" priority="25" operator="equal">
      <formula>0</formula>
    </cfRule>
  </conditionalFormatting>
  <conditionalFormatting sqref="AI62:AZ62">
    <cfRule type="cellIs" dxfId="22" priority="23" operator="equal">
      <formula>0</formula>
    </cfRule>
  </conditionalFormatting>
  <conditionalFormatting sqref="AI63:AZ63">
    <cfRule type="cellIs" dxfId="21" priority="22" operator="equal">
      <formula>0</formula>
    </cfRule>
  </conditionalFormatting>
  <conditionalFormatting sqref="AI64:AZ64">
    <cfRule type="cellIs" dxfId="20" priority="21" operator="equal">
      <formula>0</formula>
    </cfRule>
  </conditionalFormatting>
  <conditionalFormatting sqref="AI65:AZ65">
    <cfRule type="cellIs" dxfId="19" priority="20" operator="equal">
      <formula>0</formula>
    </cfRule>
  </conditionalFormatting>
  <conditionalFormatting sqref="AI67:AZ67">
    <cfRule type="cellIs" dxfId="18" priority="19" operator="equal">
      <formula>0</formula>
    </cfRule>
  </conditionalFormatting>
  <conditionalFormatting sqref="AI68:AZ68">
    <cfRule type="cellIs" dxfId="17" priority="18" operator="equal">
      <formula>0</formula>
    </cfRule>
  </conditionalFormatting>
  <conditionalFormatting sqref="AI69:AZ69">
    <cfRule type="cellIs" dxfId="16" priority="17" operator="equal">
      <formula>0</formula>
    </cfRule>
  </conditionalFormatting>
  <conditionalFormatting sqref="AI70:AZ70">
    <cfRule type="cellIs" dxfId="15" priority="16" operator="equal">
      <formula>0</formula>
    </cfRule>
  </conditionalFormatting>
  <conditionalFormatting sqref="AI71:AZ71">
    <cfRule type="cellIs" dxfId="14" priority="15" operator="equal">
      <formula>0</formula>
    </cfRule>
  </conditionalFormatting>
  <conditionalFormatting sqref="AI72:AZ72">
    <cfRule type="cellIs" dxfId="13" priority="14" operator="equal">
      <formula>0</formula>
    </cfRule>
  </conditionalFormatting>
  <conditionalFormatting sqref="AI73:AZ73">
    <cfRule type="cellIs" dxfId="12" priority="13" operator="equal">
      <formula>0</formula>
    </cfRule>
  </conditionalFormatting>
  <conditionalFormatting sqref="AI74:AZ74">
    <cfRule type="cellIs" dxfId="11" priority="12" operator="equal">
      <formula>0</formula>
    </cfRule>
  </conditionalFormatting>
  <conditionalFormatting sqref="AI75:AZ75">
    <cfRule type="cellIs" dxfId="10" priority="11" operator="equal">
      <formula>0</formula>
    </cfRule>
  </conditionalFormatting>
  <conditionalFormatting sqref="AI76:AZ76">
    <cfRule type="cellIs" dxfId="9" priority="10" operator="equal">
      <formula>0</formula>
    </cfRule>
  </conditionalFormatting>
  <conditionalFormatting sqref="AI77:AZ77">
    <cfRule type="cellIs" dxfId="8" priority="9" operator="equal">
      <formula>0</formula>
    </cfRule>
  </conditionalFormatting>
  <conditionalFormatting sqref="AI78:AZ78">
    <cfRule type="cellIs" dxfId="7" priority="8" operator="equal">
      <formula>0</formula>
    </cfRule>
  </conditionalFormatting>
  <conditionalFormatting sqref="AI79:AZ79">
    <cfRule type="cellIs" dxfId="6" priority="7" operator="equal">
      <formula>0</formula>
    </cfRule>
  </conditionalFormatting>
  <conditionalFormatting sqref="AI80:AZ80">
    <cfRule type="cellIs" dxfId="5" priority="6" operator="equal">
      <formula>0</formula>
    </cfRule>
  </conditionalFormatting>
  <conditionalFormatting sqref="AI81:AZ81">
    <cfRule type="cellIs" dxfId="4" priority="5" operator="equal">
      <formula>0</formula>
    </cfRule>
  </conditionalFormatting>
  <conditionalFormatting sqref="AI82:AZ82">
    <cfRule type="cellIs" dxfId="3" priority="4" operator="equal">
      <formula>0</formula>
    </cfRule>
  </conditionalFormatting>
  <conditionalFormatting sqref="AI3:BA3 BA4:BA82">
    <cfRule type="cellIs" dxfId="2" priority="3" operator="equal">
      <formula>0</formula>
    </cfRule>
  </conditionalFormatting>
  <conditionalFormatting sqref="AI51:AZ51">
    <cfRule type="cellIs" dxfId="1" priority="1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A834-F8DB-4A5F-A16A-50A2CEBE88EA}">
  <sheetPr codeName="Planilha11"/>
  <dimension ref="A1:L53"/>
  <sheetViews>
    <sheetView zoomScale="115" zoomScaleNormal="115" workbookViewId="0">
      <selection activeCell="K8" sqref="K8"/>
    </sheetView>
  </sheetViews>
  <sheetFormatPr defaultRowHeight="15" x14ac:dyDescent="0.25"/>
  <cols>
    <col min="1" max="1" width="11.28515625" bestFit="1" customWidth="1"/>
    <col min="2" max="2" width="18.28515625" style="104" bestFit="1" customWidth="1"/>
    <col min="3" max="3" width="28.140625" bestFit="1" customWidth="1"/>
    <col min="4" max="4" width="11.42578125" bestFit="1" customWidth="1"/>
    <col min="5" max="5" width="10.42578125" bestFit="1" customWidth="1"/>
    <col min="6" max="6" width="17.28515625" bestFit="1" customWidth="1"/>
    <col min="8" max="8" width="18.28515625" style="86" bestFit="1" customWidth="1"/>
    <col min="9" max="9" width="24.7109375" style="105" bestFit="1" customWidth="1"/>
    <col min="10" max="10" width="14.42578125" bestFit="1" customWidth="1"/>
  </cols>
  <sheetData>
    <row r="1" spans="1:12" x14ac:dyDescent="0.25">
      <c r="A1" s="89"/>
      <c r="B1" s="90"/>
      <c r="C1" s="89"/>
      <c r="D1" s="89"/>
      <c r="E1" s="89"/>
      <c r="F1" s="91"/>
      <c r="G1" s="89"/>
      <c r="H1" s="92"/>
      <c r="I1" s="93"/>
      <c r="J1" s="89"/>
      <c r="K1" s="94"/>
      <c r="L1" s="89"/>
    </row>
    <row r="2" spans="1:12" x14ac:dyDescent="0.25">
      <c r="A2" s="89"/>
      <c r="B2" s="90"/>
      <c r="C2" s="89"/>
      <c r="D2" s="89"/>
      <c r="E2" s="89"/>
      <c r="F2" s="91"/>
      <c r="G2" s="89"/>
      <c r="H2" s="92"/>
      <c r="I2" s="93"/>
      <c r="J2" s="89"/>
      <c r="K2" s="94"/>
      <c r="L2" s="89"/>
    </row>
    <row r="3" spans="1:12" ht="15" customHeight="1" x14ac:dyDescent="0.25">
      <c r="A3" s="87"/>
      <c r="B3" s="95" t="s">
        <v>160</v>
      </c>
      <c r="C3" s="96" t="s">
        <v>161</v>
      </c>
      <c r="D3" s="96" t="s">
        <v>162</v>
      </c>
      <c r="E3" s="96" t="s">
        <v>163</v>
      </c>
      <c r="F3" s="96" t="s">
        <v>164</v>
      </c>
      <c r="G3" s="97"/>
      <c r="H3" s="98"/>
      <c r="I3" s="99"/>
      <c r="J3" s="14"/>
      <c r="K3" s="100"/>
      <c r="L3" s="97"/>
    </row>
    <row r="4" spans="1:12" ht="15" customHeight="1" x14ac:dyDescent="0.25">
      <c r="A4" s="87"/>
      <c r="B4" s="101" t="str">
        <f>IF(Helexia!C3="","",LEFT(Helexia!C3,FIND(" ",Helexia!C3&amp;" ")-1)
&amp;" "&amp;
LEFT(
    MID(
        Helexia!C3,
        FIND(" ",Helexia!C3)+1,
        FIND(" ",Helexia!C3&amp;" ",FIND(" ",Helexia!C3)+1)-FIND(" ",Helexia!C3)-1
    ),
1
)&amp;".")</f>
        <v>Leandro F.</v>
      </c>
      <c r="C4" s="97" t="str">
        <f>TRIM(
IF(Helexia!E3="",
"",
IFERROR(LEFT(Helexia!E3,FIND(" -",Helexia!E3)-1),
IFERROR(LEFT(Helexia!E3,FIND("–",Helexia!E3)-1),
IFERROR(LEFT(Helexia!E3,FIND("-",Helexia!E3)-1),
IFERROR(LEFT(Helexia!E3,FIND("/",Helexia!E3)-1),
Helexia!E3))))
))</f>
        <v>Mossoró</v>
      </c>
      <c r="D4" s="102" t="str">
        <f>TRIM(Helexia!F3)</f>
        <v>RN</v>
      </c>
      <c r="E4" s="97" t="s">
        <v>165</v>
      </c>
      <c r="F4" s="100" t="str">
        <f>CONCATENATE(Helexia!J3," ",Helexia!K3)</f>
        <v xml:space="preserve"> </v>
      </c>
      <c r="G4" s="97"/>
      <c r="H4" s="98"/>
      <c r="I4" s="99"/>
      <c r="J4" s="96"/>
      <c r="K4" s="100"/>
      <c r="L4" s="97"/>
    </row>
    <row r="5" spans="1:12" ht="15" customHeight="1" x14ac:dyDescent="0.25">
      <c r="A5" s="87"/>
      <c r="B5" s="101" t="str">
        <f>IF(Helexia!C4="","",LEFT(Helexia!C4,FIND(" ",Helexia!C4&amp;" ")-1)
&amp;" "&amp;
LEFT(
    MID(
        Helexia!C4,
        FIND(" ",Helexia!C4)+1,
        FIND(" ",Helexia!C4&amp;" ",FIND(" ",Helexia!C4)+1)-FIND(" ",Helexia!C4)-1
    ),
1
)&amp;".")</f>
        <v>Mônica T.</v>
      </c>
      <c r="C5" s="97" t="str">
        <f>TRIM(
IF(Helexia!E4="",
"",
IFERROR(LEFT(Helexia!E4,FIND(" -",Helexia!E4)-1),
IFERROR(LEFT(Helexia!E4,FIND("–",Helexia!E4)-1),
IFERROR(LEFT(Helexia!E4,FIND("-",Helexia!E4)-1),
IFERROR(LEFT(Helexia!E4,FIND("/",Helexia!E4)-1),
Helexia!E4))))
))</f>
        <v>Beberibe</v>
      </c>
      <c r="D5" s="102" t="str">
        <f>TRIM(Helexia!F4)</f>
        <v>CE</v>
      </c>
      <c r="E5" s="97" t="s">
        <v>165</v>
      </c>
      <c r="F5" s="100" t="str">
        <f>CONCATENATE(Helexia!J4," ",Helexia!K4)</f>
        <v>4x4# Frota Própria</v>
      </c>
      <c r="G5" s="97"/>
      <c r="H5" s="98"/>
      <c r="I5" s="99"/>
      <c r="J5" s="96"/>
      <c r="K5" s="100"/>
      <c r="L5" s="97"/>
    </row>
    <row r="6" spans="1:12" ht="15" customHeight="1" x14ac:dyDescent="0.25">
      <c r="A6" s="87"/>
      <c r="B6" s="101" t="str">
        <f>IF(Helexia!C5="","",LEFT(Helexia!C5,FIND(" ",Helexia!C5&amp;" ")-1)
&amp;" "&amp;
LEFT(
    MID(
        Helexia!C5,
        FIND(" ",Helexia!C5)+1,
        FIND(" ",Helexia!C5&amp;" ",FIND(" ",Helexia!C5)+1)-FIND(" ",Helexia!C5)-1
    ),
1
)&amp;".")</f>
        <v>Rogério B.</v>
      </c>
      <c r="C6" s="97" t="str">
        <f>TRIM(
IF(Helexia!E5="",
"",
IFERROR(LEFT(Helexia!E5,FIND(" -",Helexia!E5)-1),
IFERROR(LEFT(Helexia!E5,FIND("–",Helexia!E5)-1),
IFERROR(LEFT(Helexia!E5,FIND("-",Helexia!E5)-1),
IFERROR(LEFT(Helexia!E5,FIND("/",Helexia!E5)-1),
Helexia!E5))))
))</f>
        <v>Paranaiba</v>
      </c>
      <c r="D6" s="102" t="str">
        <f>TRIM(Helexia!F5)</f>
        <v>MS</v>
      </c>
      <c r="E6" s="97" t="s">
        <v>165</v>
      </c>
      <c r="F6" s="100" t="str">
        <f>CONCATENATE(Helexia!J5," ",Helexia!K5)</f>
        <v>4x4# Frota Própria</v>
      </c>
      <c r="G6" s="97"/>
      <c r="H6" s="98"/>
      <c r="I6" s="99"/>
      <c r="J6" s="96"/>
      <c r="K6" s="100"/>
      <c r="L6" s="97"/>
    </row>
    <row r="7" spans="1:12" ht="15" customHeight="1" x14ac:dyDescent="0.25">
      <c r="A7" s="87"/>
      <c r="B7" s="101" t="str">
        <f>IF(Helexia!C6="","",LEFT(Helexia!C6,FIND(" ",Helexia!C6&amp;" ")-1)
&amp;" "&amp;
LEFT(
    MID(
        Helexia!C6,
        FIND(" ",Helexia!C6)+1,
        FIND(" ",Helexia!C6&amp;" ",FIND(" ",Helexia!C6)+1)-FIND(" ",Helexia!C6)-1
    ),
1
)&amp;".")</f>
        <v>Elaine P.</v>
      </c>
      <c r="C7" s="97" t="str">
        <f>TRIM(
IF(Helexia!E6="",
"",
IFERROR(LEFT(Helexia!E6,FIND(" -",Helexia!E6)-1),
IFERROR(LEFT(Helexia!E6,FIND("–",Helexia!E6)-1),
IFERROR(LEFT(Helexia!E6,FIND("-",Helexia!E6)-1),
IFERROR(LEFT(Helexia!E6,FIND("/",Helexia!E6)-1),
Helexia!E6))))
))</f>
        <v>Lorena</v>
      </c>
      <c r="D7" s="102" t="str">
        <f>TRIM(Helexia!F6)</f>
        <v>SP</v>
      </c>
      <c r="E7" s="97" t="s">
        <v>165</v>
      </c>
      <c r="F7" s="100" t="str">
        <f>CONCATENATE(Helexia!J6," ",Helexia!K6)</f>
        <v>4x4# Frota Própria</v>
      </c>
      <c r="G7" s="97"/>
      <c r="H7" s="98"/>
      <c r="I7" s="99"/>
      <c r="J7" s="96"/>
      <c r="K7" s="100"/>
      <c r="L7" s="97"/>
    </row>
    <row r="8" spans="1:12" ht="15" customHeight="1" x14ac:dyDescent="0.25">
      <c r="A8" s="87"/>
      <c r="B8" s="101" t="str">
        <f>IF(Helexia!C7="","",LEFT(Helexia!C7,FIND(" ",Helexia!C7&amp;" ")-1)
&amp;" "&amp;
LEFT(
    MID(
        Helexia!C7,
        FIND(" ",Helexia!C7)+1,
        FIND(" ",Helexia!C7&amp;" ",FIND(" ",Helexia!C7)+1)-FIND(" ",Helexia!C7)-1
    ),
1
)&amp;".")</f>
        <v>Fábio C.</v>
      </c>
      <c r="C8" s="97" t="str">
        <f>TRIM(
IF(Helexia!E7="",
"",
IFERROR(LEFT(Helexia!E7,FIND(" -",Helexia!E7)-1),
IFERROR(LEFT(Helexia!E7,FIND("–",Helexia!E7)-1),
IFERROR(LEFT(Helexia!E7,FIND("-",Helexia!E7)-1),
IFERROR(LEFT(Helexia!E7,FIND("/",Helexia!E7)-1),
Helexia!E7))))
))</f>
        <v>Guararapes</v>
      </c>
      <c r="D8" s="102" t="str">
        <f>TRIM(Helexia!F7)</f>
        <v>SP</v>
      </c>
      <c r="E8" s="97" t="s">
        <v>165</v>
      </c>
      <c r="F8" s="100" t="str">
        <f>CONCATENATE(Helexia!J7," ",Helexia!K7)</f>
        <v>4x4# Frota Própria</v>
      </c>
      <c r="G8" s="97"/>
      <c r="H8" s="98"/>
      <c r="I8" s="99"/>
      <c r="J8" s="96"/>
      <c r="K8" s="100"/>
      <c r="L8" s="97"/>
    </row>
    <row r="9" spans="1:12" ht="15" customHeight="1" x14ac:dyDescent="0.25">
      <c r="A9" s="87"/>
      <c r="B9" s="101" t="str">
        <f>IF(Helexia!C8="","",LEFT(Helexia!C8,FIND(" ",Helexia!C8&amp;" ")-1)
&amp;" "&amp;
LEFT(
    MID(
        Helexia!C8,
        FIND(" ",Helexia!C8)+1,
        FIND(" ",Helexia!C8&amp;" ",FIND(" ",Helexia!C8)+1)-FIND(" ",Helexia!C8)-1
    ),
1
)&amp;".")</f>
        <v>Patrícia A.</v>
      </c>
      <c r="C9" s="97" t="str">
        <f>TRIM(
IF(Helexia!E8="",
"",
IFERROR(LEFT(Helexia!E8,FIND(" -",Helexia!E8)-1),
IFERROR(LEFT(Helexia!E8,FIND("–",Helexia!E8)-1),
IFERROR(LEFT(Helexia!E8,FIND("-",Helexia!E8)-1),
IFERROR(LEFT(Helexia!E8,FIND("/",Helexia!E8)-1),
Helexia!E8))))
))</f>
        <v>Cassilândia</v>
      </c>
      <c r="D9" s="102" t="str">
        <f>TRIM(Helexia!F8)</f>
        <v>MS</v>
      </c>
      <c r="E9" s="97" t="s">
        <v>165</v>
      </c>
      <c r="F9" s="100" t="str">
        <f>CONCATENATE(Helexia!J8," ",Helexia!K8)</f>
        <v xml:space="preserve"> </v>
      </c>
      <c r="G9" s="97"/>
      <c r="H9" s="98"/>
      <c r="I9" s="99"/>
      <c r="J9" s="96"/>
      <c r="K9" s="100"/>
      <c r="L9" s="97"/>
    </row>
    <row r="10" spans="1:12" ht="15" customHeight="1" x14ac:dyDescent="0.25">
      <c r="A10" s="87"/>
      <c r="B10" s="101" t="str">
        <f>IF(Helexia!C9="","",LEFT(Helexia!C9,FIND(" ",Helexia!C9&amp;" ")-1)
&amp;" "&amp;
LEFT(
    MID(
        Helexia!C9,
        FIND(" ",Helexia!C9)+1,
        FIND(" ",Helexia!C9&amp;" ",FIND(" ",Helexia!C9)+1)-FIND(" ",Helexia!C9)-1
    ),
1
)&amp;".")</f>
        <v>Vinícius M.</v>
      </c>
      <c r="C10" s="97" t="str">
        <f>TRIM(
IF(Helexia!E9="",
"",
IFERROR(LEFT(Helexia!E9,FIND(" -",Helexia!E9)-1),
IFERROR(LEFT(Helexia!E9,FIND("–",Helexia!E9)-1),
IFERROR(LEFT(Helexia!E9,FIND("-",Helexia!E9)-1),
IFERROR(LEFT(Helexia!E9,FIND("/",Helexia!E9)-1),
Helexia!E9))))
))</f>
        <v>Rolim de Moura</v>
      </c>
      <c r="D10" s="102" t="str">
        <f>TRIM(Helexia!F9)</f>
        <v>RO</v>
      </c>
      <c r="E10" s="97" t="s">
        <v>165</v>
      </c>
      <c r="F10" s="100" t="str">
        <f>CONCATENATE(Helexia!J9," ",Helexia!K9)</f>
        <v xml:space="preserve"> </v>
      </c>
      <c r="G10" s="97"/>
      <c r="H10" s="98"/>
      <c r="I10" s="99"/>
      <c r="J10" s="96"/>
      <c r="K10" s="100"/>
      <c r="L10" s="97"/>
    </row>
    <row r="11" spans="1:12" ht="15" customHeight="1" x14ac:dyDescent="0.25">
      <c r="A11" s="87"/>
      <c r="B11" s="101" t="str">
        <f>IF(Helexia!C10="","",LEFT(Helexia!C10,FIND(" ",Helexia!C10&amp;" ")-1)
&amp;" "&amp;
LEFT(
    MID(
        Helexia!C10,
        FIND(" ",Helexia!C10)+1,
        FIND(" ",Helexia!C10&amp;" ",FIND(" ",Helexia!C10)+1)-FIND(" ",Helexia!C10)-1
    ),
1
)&amp;".")</f>
        <v>Cláudia P.</v>
      </c>
      <c r="C11" s="97" t="str">
        <f>TRIM(
IF(Helexia!E10="",
"",
IFERROR(LEFT(Helexia!E10,FIND(" -",Helexia!E10)-1),
IFERROR(LEFT(Helexia!E10,FIND("–",Helexia!E10)-1),
IFERROR(LEFT(Helexia!E10,FIND("-",Helexia!E10)-1),
IFERROR(LEFT(Helexia!E10,FIND("/",Helexia!E10)-1),
Helexia!E10))))
))</f>
        <v>Rolim de Moura</v>
      </c>
      <c r="D11" s="102" t="str">
        <f>TRIM(Helexia!F10)</f>
        <v>RO</v>
      </c>
      <c r="E11" s="97" t="s">
        <v>165</v>
      </c>
      <c r="F11" s="100" t="str">
        <f>CONCATENATE(Helexia!J10," ",Helexia!K10)</f>
        <v>4x2 Localiza</v>
      </c>
      <c r="G11" s="97"/>
      <c r="H11" s="98"/>
      <c r="I11" s="99"/>
      <c r="J11" s="96"/>
      <c r="K11" s="100"/>
      <c r="L11" s="97"/>
    </row>
    <row r="12" spans="1:12" ht="15" customHeight="1" x14ac:dyDescent="0.25">
      <c r="A12" s="87"/>
      <c r="B12" s="101" t="str">
        <f>IF(Helexia!C11="","",LEFT(Helexia!C11,FIND(" ",Helexia!C11&amp;" ")-1)
&amp;" "&amp;
LEFT(
    MID(
        Helexia!C11,
        FIND(" ",Helexia!C11)+1,
        FIND(" ",Helexia!C11&amp;" ",FIND(" ",Helexia!C11)+1)-FIND(" ",Helexia!C11)-1
    ),
1
)&amp;".")</f>
        <v>Renato G.</v>
      </c>
      <c r="C12" s="97" t="str">
        <f>TRIM(
IF(Helexia!E11="",
"",
IFERROR(LEFT(Helexia!E11,FIND(" -",Helexia!E11)-1),
IFERROR(LEFT(Helexia!E11,FIND("–",Helexia!E11)-1),
IFERROR(LEFT(Helexia!E11,FIND("-",Helexia!E11)-1),
IFERROR(LEFT(Helexia!E11,FIND("/",Helexia!E11)-1),
Helexia!E11))))
))</f>
        <v>Beberibe</v>
      </c>
      <c r="D12" s="102" t="str">
        <f>TRIM(Helexia!F11)</f>
        <v>CE</v>
      </c>
      <c r="E12" s="97" t="s">
        <v>165</v>
      </c>
      <c r="F12" s="100" t="str">
        <f>CONCATENATE(Helexia!J11," ",Helexia!K11)</f>
        <v>4x2 Localiza</v>
      </c>
      <c r="G12" s="97"/>
      <c r="H12" s="98"/>
      <c r="I12" s="99"/>
      <c r="J12" s="96"/>
      <c r="K12" s="100"/>
      <c r="L12" s="97"/>
    </row>
    <row r="13" spans="1:12" ht="15" customHeight="1" x14ac:dyDescent="0.25">
      <c r="A13" s="87"/>
      <c r="B13" s="101" t="str">
        <f>IF(Helexia!C12="","",LEFT(Helexia!C12,FIND(" ",Helexia!C12&amp;" ")-1)
&amp;" "&amp;
LEFT(
    MID(
        Helexia!C12,
        FIND(" ",Helexia!C12)+1,
        FIND(" ",Helexia!C12&amp;" ",FIND(" ",Helexia!C12)+1)-FIND(" ",Helexia!C12)-1
    ),
1
)&amp;".")</f>
        <v>Silvia M.</v>
      </c>
      <c r="C13" s="97" t="str">
        <f>TRIM(
IF(Helexia!E12="",
"",
IFERROR(LEFT(Helexia!E12,FIND(" -",Helexia!E12)-1),
IFERROR(LEFT(Helexia!E12,FIND("–",Helexia!E12)-1),
IFERROR(LEFT(Helexia!E12,FIND("-",Helexia!E12)-1),
IFERROR(LEFT(Helexia!E12,FIND("/",Helexia!E12)-1),
Helexia!E12))))
))</f>
        <v>Rodando o BR</v>
      </c>
      <c r="D13" s="102" t="str">
        <f>TRIM(Helexia!F12)</f>
        <v>BR</v>
      </c>
      <c r="E13" s="97" t="s">
        <v>165</v>
      </c>
      <c r="F13" s="100" t="str">
        <f>CONCATENATE(Helexia!J12," ",Helexia!K12)</f>
        <v>4x2 Frota Própria</v>
      </c>
      <c r="G13" s="97"/>
      <c r="H13" s="98"/>
      <c r="I13" s="99"/>
      <c r="J13" s="96"/>
      <c r="K13" s="100"/>
      <c r="L13" s="97"/>
    </row>
    <row r="14" spans="1:12" ht="15" customHeight="1" x14ac:dyDescent="0.25">
      <c r="A14" s="87"/>
      <c r="B14" s="101" t="str">
        <f>IF(Helexia!C13="","",LEFT(Helexia!C13,FIND(" ",Helexia!C13&amp;" ")-1)
&amp;" "&amp;
LEFT(
    MID(
        Helexia!C13,
        FIND(" ",Helexia!C13)+1,
        FIND(" ",Helexia!C13&amp;" ",FIND(" ",Helexia!C13)+1)-FIND(" ",Helexia!C13)-1
    ),
1
)&amp;".")</f>
        <v>Daniel A.</v>
      </c>
      <c r="C14" s="97" t="str">
        <f>TRIM(
IF(Helexia!E13="",
"",
IFERROR(LEFT(Helexia!E13,FIND(" -",Helexia!E13)-1),
IFERROR(LEFT(Helexia!E13,FIND("–",Helexia!E13)-1),
IFERROR(LEFT(Helexia!E13,FIND("-",Helexia!E13)-1),
IFERROR(LEFT(Helexia!E13,FIND("/",Helexia!E13)-1),
Helexia!E13))))
))</f>
        <v>Cidade Gaúcha</v>
      </c>
      <c r="D14" s="102" t="str">
        <f>TRIM(Helexia!F13)</f>
        <v>PR</v>
      </c>
      <c r="E14" s="97" t="s">
        <v>165</v>
      </c>
      <c r="F14" s="100" t="str">
        <f>CONCATENATE(Helexia!J13," ",Helexia!K13)</f>
        <v>4x2 Localiza</v>
      </c>
      <c r="G14" s="97"/>
      <c r="H14" s="98"/>
      <c r="I14" s="99"/>
      <c r="J14" s="96"/>
      <c r="K14" s="100"/>
      <c r="L14" s="97"/>
    </row>
    <row r="15" spans="1:12" ht="15" customHeight="1" x14ac:dyDescent="0.25">
      <c r="A15" s="87"/>
      <c r="B15" s="101" t="str">
        <f>IF(Helexia!C14="","",LEFT(Helexia!C14,FIND(" ",Helexia!C14&amp;" ")-1)
&amp;" "&amp;
LEFT(
    MID(
        Helexia!C14,
        FIND(" ",Helexia!C14)+1,
        FIND(" ",Helexia!C14&amp;" ",FIND(" ",Helexia!C14)+1)-FIND(" ",Helexia!C14)-1
    ),
1
)&amp;".")</f>
        <v>Juliane C.</v>
      </c>
      <c r="C15" s="97" t="str">
        <f>TRIM(
IF(Helexia!E14="",
"",
IFERROR(LEFT(Helexia!E14,FIND(" -",Helexia!E14)-1),
IFERROR(LEFT(Helexia!E14,FIND("–",Helexia!E14)-1),
IFERROR(LEFT(Helexia!E14,FIND("-",Helexia!E14)-1),
IFERROR(LEFT(Helexia!E14,FIND("/",Helexia!E14)-1),
Helexia!E14))))
))</f>
        <v>Cezarina</v>
      </c>
      <c r="D15" s="102" t="str">
        <f>TRIM(Helexia!F14)</f>
        <v>GO</v>
      </c>
      <c r="E15" s="97" t="s">
        <v>165</v>
      </c>
      <c r="F15" s="100" t="str">
        <f>CONCATENATE(Helexia!J14," ",Helexia!K14)</f>
        <v>4x2 Frota Própria</v>
      </c>
      <c r="G15" s="97"/>
      <c r="H15" s="103"/>
      <c r="I15" s="97"/>
      <c r="J15" s="96"/>
      <c r="K15" s="100"/>
      <c r="L15" s="97"/>
    </row>
    <row r="16" spans="1:12" ht="15" customHeight="1" x14ac:dyDescent="0.25">
      <c r="A16" s="87"/>
      <c r="B16" s="101" t="str">
        <f>IF(Helexia!C15="","",LEFT(Helexia!C15,FIND(" ",Helexia!C15&amp;" ")-1)
&amp;" "&amp;
LEFT(
    MID(
        Helexia!C15,
        FIND(" ",Helexia!C15)+1,
        FIND(" ",Helexia!C15&amp;" ",FIND(" ",Helexia!C15)+1)-FIND(" ",Helexia!C15)-1
    ),
1
)&amp;".")</f>
        <v>Mauro S.</v>
      </c>
      <c r="C16" s="97" t="str">
        <f>TRIM(
IF(Helexia!E15="",
"",
IFERROR(LEFT(Helexia!E15,FIND(" -",Helexia!E15)-1),
IFERROR(LEFT(Helexia!E15,FIND("–",Helexia!E15)-1),
IFERROR(LEFT(Helexia!E15,FIND("-",Helexia!E15)-1),
IFERROR(LEFT(Helexia!E15,FIND("/",Helexia!E15)-1),
Helexia!E15))))
))</f>
        <v>Cidade Gaúcha</v>
      </c>
      <c r="D16" s="102" t="str">
        <f>TRIM(Helexia!F15)</f>
        <v>PR</v>
      </c>
      <c r="E16" s="97" t="s">
        <v>165</v>
      </c>
      <c r="F16" s="100" t="str">
        <f>CONCATENATE(Helexia!J15," ",Helexia!K15)</f>
        <v xml:space="preserve"> </v>
      </c>
      <c r="G16" s="97"/>
      <c r="H16" s="98"/>
      <c r="I16" s="99"/>
      <c r="J16" s="96"/>
      <c r="K16" s="100"/>
      <c r="L16" s="97"/>
    </row>
    <row r="17" spans="1:12" ht="15" customHeight="1" x14ac:dyDescent="0.25">
      <c r="A17" s="87"/>
      <c r="B17" s="101" t="str">
        <f>IF(Helexia!C16="","",LEFT(Helexia!C16,FIND(" ",Helexia!C16&amp;" ")-1)
&amp;" "&amp;
LEFT(
    MID(
        Helexia!C16,
        FIND(" ",Helexia!C16)+1,
        FIND(" ",Helexia!C16&amp;" ",FIND(" ",Helexia!C16)+1)-FIND(" ",Helexia!C16)-1
    ),
1
)&amp;".")</f>
        <v>Tatiana B.</v>
      </c>
      <c r="C17" s="97" t="str">
        <f>TRIM(
IF(Helexia!E16="",
"",
IFERROR(LEFT(Helexia!E16,FIND(" -",Helexia!E16)-1),
IFERROR(LEFT(Helexia!E16,FIND("–",Helexia!E16)-1),
IFERROR(LEFT(Helexia!E16,FIND("-",Helexia!E16)-1),
IFERROR(LEFT(Helexia!E16,FIND("/",Helexia!E16)-1),
Helexia!E16))))
))</f>
        <v>Cotia</v>
      </c>
      <c r="D17" s="102" t="str">
        <f>TRIM(Helexia!F16)</f>
        <v>SP</v>
      </c>
      <c r="E17" s="97" t="s">
        <v>165</v>
      </c>
      <c r="F17" s="100" t="str">
        <f>CONCATENATE(Helexia!J16," ",Helexia!K16)</f>
        <v>4x2 Localiza</v>
      </c>
      <c r="G17" s="97"/>
      <c r="H17" s="98"/>
      <c r="I17" s="99"/>
      <c r="J17" s="96"/>
      <c r="K17" s="100"/>
      <c r="L17" s="97"/>
    </row>
    <row r="18" spans="1:12" ht="15" customHeight="1" x14ac:dyDescent="0.25">
      <c r="A18" s="87"/>
      <c r="B18" s="101" t="str">
        <f>IF(Helexia!C17="","",LEFT(Helexia!C17,FIND(" ",Helexia!C17&amp;" ")-1)
&amp;" "&amp;
LEFT(
    MID(
        Helexia!C17,
        FIND(" ",Helexia!C17)+1,
        FIND(" ",Helexia!C17&amp;" ",FIND(" ",Helexia!C17)+1)-FIND(" ",Helexia!C17)-1
    ),
1
)&amp;".")</f>
        <v>Alex R.</v>
      </c>
      <c r="C18" s="97" t="str">
        <f>TRIM(
IF(Helexia!E17="",
"",
IFERROR(LEFT(Helexia!E17,FIND(" -",Helexia!E17)-1),
IFERROR(LEFT(Helexia!E17,FIND("–",Helexia!E17)-1),
IFERROR(LEFT(Helexia!E17,FIND("-",Helexia!E17)-1),
IFERROR(LEFT(Helexia!E17,FIND("/",Helexia!E17)-1),
Helexia!E17))))
))</f>
        <v>Paranavaí</v>
      </c>
      <c r="D18" s="102" t="str">
        <f>TRIM(Helexia!F17)</f>
        <v>PR</v>
      </c>
      <c r="E18" s="97" t="s">
        <v>165</v>
      </c>
      <c r="F18" s="100" t="str">
        <f>CONCATENATE(Helexia!J17," ",Helexia!K17)</f>
        <v>4x2 Localiza</v>
      </c>
      <c r="G18" s="97"/>
      <c r="H18" s="98"/>
      <c r="I18" s="99"/>
      <c r="J18" s="96"/>
      <c r="K18" s="100"/>
      <c r="L18" s="97"/>
    </row>
    <row r="19" spans="1:12" ht="15" customHeight="1" x14ac:dyDescent="0.25">
      <c r="A19" s="87"/>
      <c r="B19" s="101" t="str">
        <f>IF(Helexia!C18="","",LEFT(Helexia!C18,FIND(" ",Helexia!C18&amp;" ")-1)
&amp;" "&amp;
LEFT(
    MID(
        Helexia!C18,
        FIND(" ",Helexia!C18)+1,
        FIND(" ",Helexia!C18&amp;" ",FIND(" ",Helexia!C18)+1)-FIND(" ",Helexia!C18)-1
    ),
1
)&amp;".")</f>
        <v>Eduardo T.</v>
      </c>
      <c r="C19" s="97" t="str">
        <f>TRIM(
IF(Helexia!E18="",
"",
IFERROR(LEFT(Helexia!E18,FIND(" -",Helexia!E18)-1),
IFERROR(LEFT(Helexia!E18,FIND("–",Helexia!E18)-1),
IFERROR(LEFT(Helexia!E18,FIND("-",Helexia!E18)-1),
IFERROR(LEFT(Helexia!E18,FIND("/",Helexia!E18)-1),
Helexia!E18))))
))</f>
        <v>Gauaratinguetá</v>
      </c>
      <c r="D19" s="102" t="str">
        <f>TRIM(Helexia!F18)</f>
        <v>SP</v>
      </c>
      <c r="E19" s="97" t="s">
        <v>165</v>
      </c>
      <c r="F19" s="100" t="str">
        <f>CONCATENATE(Helexia!J18," ",Helexia!K18)</f>
        <v xml:space="preserve"> </v>
      </c>
      <c r="G19" s="97"/>
      <c r="H19" s="98"/>
      <c r="I19" s="99"/>
      <c r="J19" s="96"/>
      <c r="K19" s="100"/>
      <c r="L19" s="97"/>
    </row>
    <row r="20" spans="1:12" ht="15" customHeight="1" x14ac:dyDescent="0.25">
      <c r="A20" s="87"/>
      <c r="B20" s="101" t="str">
        <f>IF(Helexia!C19="","",LEFT(Helexia!C19,FIND(" ",Helexia!C19&amp;" ")-1)
&amp;" "&amp;
LEFT(
    MID(
        Helexia!C19,
        FIND(" ",Helexia!C19)+1,
        FIND(" ",Helexia!C19&amp;" ",FIND(" ",Helexia!C19)+1)-FIND(" ",Helexia!C19)-1
    ),
1
)&amp;".")</f>
        <v>Bianca L.</v>
      </c>
      <c r="C20" s="97" t="str">
        <f>TRIM(
IF(Helexia!E19="",
"",
IFERROR(LEFT(Helexia!E19,FIND(" -",Helexia!E19)-1),
IFERROR(LEFT(Helexia!E19,FIND("–",Helexia!E19)-1),
IFERROR(LEFT(Helexia!E19,FIND("-",Helexia!E19)-1),
IFERROR(LEFT(Helexia!E19,FIND("/",Helexia!E19)-1),
Helexia!E19))))
))</f>
        <v>Beberibe</v>
      </c>
      <c r="D20" s="102" t="str">
        <f>TRIM(Helexia!F19)</f>
        <v>CE</v>
      </c>
      <c r="E20" s="97" t="s">
        <v>165</v>
      </c>
      <c r="F20" s="100" t="str">
        <f>CONCATENATE(Helexia!J19," ",Helexia!K19)</f>
        <v xml:space="preserve"> </v>
      </c>
      <c r="G20" s="97"/>
      <c r="H20" s="98"/>
      <c r="I20" s="99"/>
      <c r="J20" s="96"/>
      <c r="K20" s="100"/>
      <c r="L20" s="97"/>
    </row>
    <row r="21" spans="1:12" ht="15" customHeight="1" x14ac:dyDescent="0.25">
      <c r="A21" s="87"/>
      <c r="B21" s="101" t="str">
        <f>IF(Helexia!C20="","",LEFT(Helexia!C20,FIND(" ",Helexia!C20&amp;" ")-1)
&amp;" "&amp;
LEFT(
    MID(
        Helexia!C20,
        FIND(" ",Helexia!C20)+1,
        FIND(" ",Helexia!C20&amp;" ",FIND(" ",Helexia!C20)+1)-FIND(" ",Helexia!C20)-1
    ),
1
)&amp;".")</f>
        <v>Samuel T.</v>
      </c>
      <c r="C21" s="97" t="str">
        <f>TRIM(
IF(Helexia!E20="",
"",
IFERROR(LEFT(Helexia!E20,FIND(" -",Helexia!E20)-1),
IFERROR(LEFT(Helexia!E20,FIND("–",Helexia!E20)-1),
IFERROR(LEFT(Helexia!E20,FIND("-",Helexia!E20)-1),
IFERROR(LEFT(Helexia!E20,FIND("/",Helexia!E20)-1),
Helexia!E20))))
))</f>
        <v>Charqueadas</v>
      </c>
      <c r="D21" s="102" t="str">
        <f>TRIM(Helexia!F20)</f>
        <v>RS</v>
      </c>
      <c r="E21" s="97" t="s">
        <v>165</v>
      </c>
      <c r="F21" s="100" t="str">
        <f>CONCATENATE(Helexia!J20," ",Helexia!K20)</f>
        <v>4x2 Frota Própria</v>
      </c>
      <c r="G21" s="97"/>
      <c r="H21" s="98"/>
      <c r="I21" s="99"/>
      <c r="J21" s="96"/>
      <c r="K21" s="100"/>
      <c r="L21" s="97"/>
    </row>
    <row r="22" spans="1:12" ht="15" customHeight="1" x14ac:dyDescent="0.25">
      <c r="A22" s="87"/>
      <c r="B22" s="101" t="str">
        <f>IF(Helexia!C21="","",LEFT(Helexia!C21,FIND(" ",Helexia!C21&amp;" ")-1)
&amp;" "&amp;
LEFT(
    MID(
        Helexia!C21,
        FIND(" ",Helexia!C21)+1,
        FIND(" ",Helexia!C21&amp;" ",FIND(" ",Helexia!C21)+1)-FIND(" ",Helexia!C21)-1
    ),
1
)&amp;".")</f>
        <v>Priscila A.</v>
      </c>
      <c r="C22" s="97" t="str">
        <f>TRIM(
IF(Helexia!E21="",
"",
IFERROR(LEFT(Helexia!E21,FIND(" -",Helexia!E21)-1),
IFERROR(LEFT(Helexia!E21,FIND("–",Helexia!E21)-1),
IFERROR(LEFT(Helexia!E21,FIND("-",Helexia!E21)-1),
IFERROR(LEFT(Helexia!E21,FIND("/",Helexia!E21)-1),
Helexia!E21))))
))</f>
        <v>Munhoz de Melo</v>
      </c>
      <c r="D22" s="102" t="str">
        <f>TRIM(Helexia!F21)</f>
        <v>PR</v>
      </c>
      <c r="E22" s="97" t="s">
        <v>165</v>
      </c>
      <c r="F22" s="100" t="str">
        <f>CONCATENATE(Helexia!J21," ",Helexia!K21)</f>
        <v>4x2 Localiza</v>
      </c>
      <c r="G22" s="97"/>
      <c r="H22" s="98"/>
      <c r="I22" s="99"/>
      <c r="J22" s="96"/>
      <c r="K22" s="100"/>
      <c r="L22" s="97"/>
    </row>
    <row r="23" spans="1:12" ht="15" customHeight="1" x14ac:dyDescent="0.25">
      <c r="A23" s="87"/>
      <c r="B23" s="101" t="str">
        <f>IF(Helexia!C22="","",LEFT(Helexia!C22,FIND(" ",Helexia!C22&amp;" ")-1)
&amp;" "&amp;
LEFT(
    MID(
        Helexia!C22,
        FIND(" ",Helexia!C22)+1,
        FIND(" ",Helexia!C22&amp;" ",FIND(" ",Helexia!C22)+1)-FIND(" ",Helexia!C22)-1
    ),
1
)&amp;".")</f>
        <v>Henrique V.</v>
      </c>
      <c r="C23" s="97" t="str">
        <f>TRIM(
IF(Helexia!E22="",
"",
IFERROR(LEFT(Helexia!E22,FIND(" -",Helexia!E22)-1),
IFERROR(LEFT(Helexia!E22,FIND("–",Helexia!E22)-1),
IFERROR(LEFT(Helexia!E22,FIND("-",Helexia!E22)-1),
IFERROR(LEFT(Helexia!E22,FIND("/",Helexia!E22)-1),
Helexia!E22))))
))</f>
        <v>Rio Verde</v>
      </c>
      <c r="D23" s="102" t="str">
        <f>TRIM(Helexia!F22)</f>
        <v>GO</v>
      </c>
      <c r="E23" s="97" t="s">
        <v>165</v>
      </c>
      <c r="F23" s="100" t="str">
        <f>CONCATENATE(Helexia!J22," ",Helexia!K22)</f>
        <v>4x2 Localiza</v>
      </c>
      <c r="G23" s="97"/>
      <c r="H23" s="98"/>
      <c r="I23" s="99"/>
      <c r="J23" s="96"/>
      <c r="K23" s="100"/>
      <c r="L23" s="97"/>
    </row>
    <row r="24" spans="1:12" ht="15" customHeight="1" x14ac:dyDescent="0.25">
      <c r="A24" s="87"/>
      <c r="B24" s="101" t="str">
        <f>IF(Helexia!C23="","",LEFT(Helexia!C23,FIND(" ",Helexia!C23&amp;" ")-1)
&amp;" "&amp;
LEFT(
    MID(
        Helexia!C23,
        FIND(" ",Helexia!C23)+1,
        FIND(" ",Helexia!C23&amp;" ",FIND(" ",Helexia!C23)+1)-FIND(" ",Helexia!C23)-1
    ),
1
)&amp;".")</f>
        <v>André L.</v>
      </c>
      <c r="C24" s="97" t="str">
        <f>TRIM(
IF(Helexia!E23="",
"",
IFERROR(LEFT(Helexia!E23,FIND(" -",Helexia!E23)-1),
IFERROR(LEFT(Helexia!E23,FIND("–",Helexia!E23)-1),
IFERROR(LEFT(Helexia!E23,FIND("-",Helexia!E23)-1),
IFERROR(LEFT(Helexia!E23,FIND("/",Helexia!E23)-1),
Helexia!E23))))
))</f>
        <v>Caçapava</v>
      </c>
      <c r="D24" s="102" t="str">
        <f>TRIM(Helexia!F23)</f>
        <v>SP</v>
      </c>
      <c r="E24" s="97" t="s">
        <v>165</v>
      </c>
      <c r="F24" s="100" t="str">
        <f>CONCATENATE(Helexia!J23," ",Helexia!K23)</f>
        <v>4x2 Localiza</v>
      </c>
      <c r="G24" s="97"/>
      <c r="H24" s="98"/>
      <c r="I24" s="99"/>
      <c r="J24" s="96"/>
      <c r="K24" s="100"/>
      <c r="L24" s="97"/>
    </row>
    <row r="25" spans="1:12" ht="15" customHeight="1" x14ac:dyDescent="0.25">
      <c r="A25" s="87"/>
      <c r="B25" s="101" t="str">
        <f>IF(Helexia!C24="","",LEFT(Helexia!C24,FIND(" ",Helexia!C24&amp;" ")-1)
&amp;" "&amp;
LEFT(
    MID(
        Helexia!C24,
        FIND(" ",Helexia!C24)+1,
        FIND(" ",Helexia!C24&amp;" ",FIND(" ",Helexia!C24)+1)-FIND(" ",Helexia!C24)-1
    ),
1
)&amp;".")</f>
        <v>Camila N.</v>
      </c>
      <c r="C25" s="97" t="str">
        <f>TRIM(
IF(Helexia!E24="",
"",
IFERROR(LEFT(Helexia!E24,FIND(" -",Helexia!E24)-1),
IFERROR(LEFT(Helexia!E24,FIND("–",Helexia!E24)-1),
IFERROR(LEFT(Helexia!E24,FIND("-",Helexia!E24)-1),
IFERROR(LEFT(Helexia!E24,FIND("/",Helexia!E24)-1),
Helexia!E24))))
))</f>
        <v>Goiânia</v>
      </c>
      <c r="D25" s="102" t="str">
        <f>TRIM(Helexia!F24)</f>
        <v>GO</v>
      </c>
      <c r="E25" s="97" t="s">
        <v>165</v>
      </c>
      <c r="F25" s="100" t="str">
        <f>CONCATENATE(Helexia!J24," ",Helexia!K24)</f>
        <v>4x2 Localiza</v>
      </c>
      <c r="G25" s="97"/>
      <c r="H25" s="98"/>
      <c r="I25" s="99"/>
      <c r="J25" s="96"/>
      <c r="K25" s="100"/>
      <c r="L25" s="97"/>
    </row>
    <row r="26" spans="1:12" ht="15" customHeight="1" x14ac:dyDescent="0.25">
      <c r="A26" s="87"/>
      <c r="B26" s="101" t="str">
        <f>IF(Helexia!C25="","",LEFT(Helexia!C25,FIND(" ",Helexia!C25&amp;" ")-1)
&amp;" "&amp;
LEFT(
    MID(
        Helexia!C25,
        FIND(" ",Helexia!C25)+1,
        FIND(" ",Helexia!C25&amp;" ",FIND(" ",Helexia!C25)+1)-FIND(" ",Helexia!C25)-1
    ),
1
)&amp;".")</f>
        <v>João V.</v>
      </c>
      <c r="C26" s="97" t="str">
        <f>TRIM(
IF(Helexia!E25="",
"",
IFERROR(LEFT(Helexia!E25,FIND(" -",Helexia!E25)-1),
IFERROR(LEFT(Helexia!E25,FIND("–",Helexia!E25)-1),
IFERROR(LEFT(Helexia!E25,FIND("-",Helexia!E25)-1),
IFERROR(LEFT(Helexia!E25,FIND("/",Helexia!E25)-1),
Helexia!E25))))
))</f>
        <v>Carnaubal</v>
      </c>
      <c r="D26" s="102" t="str">
        <f>TRIM(Helexia!F25)</f>
        <v>CE</v>
      </c>
      <c r="E26" s="97" t="s">
        <v>165</v>
      </c>
      <c r="F26" s="100" t="str">
        <f>CONCATENATE(Helexia!J25," ",Helexia!K25)</f>
        <v xml:space="preserve"> </v>
      </c>
      <c r="G26" s="97"/>
      <c r="H26" s="98"/>
      <c r="I26" s="99"/>
      <c r="J26" s="96"/>
      <c r="K26" s="100"/>
      <c r="L26" s="97"/>
    </row>
    <row r="27" spans="1:12" ht="15" customHeight="1" x14ac:dyDescent="0.25">
      <c r="A27" s="87"/>
      <c r="B27" s="101" t="str">
        <f>IF(Helexia!C26="","",LEFT(Helexia!C26,FIND(" ",Helexia!C26&amp;" ")-1)
&amp;" "&amp;
LEFT(
    MID(
        Helexia!C26,
        FIND(" ",Helexia!C26)+1,
        FIND(" ",Helexia!C26&amp;" ",FIND(" ",Helexia!C26)+1)-FIND(" ",Helexia!C26)-1
    ),
1
)&amp;".")</f>
        <v>Renata S.</v>
      </c>
      <c r="C27" s="97" t="str">
        <f>TRIM(
IF(Helexia!E26="",
"",
IFERROR(LEFT(Helexia!E26,FIND(" -",Helexia!E26)-1),
IFERROR(LEFT(Helexia!E26,FIND("–",Helexia!E26)-1),
IFERROR(LEFT(Helexia!E26,FIND("-",Helexia!E26)-1),
IFERROR(LEFT(Helexia!E26,FIND("/",Helexia!E26)-1),
Helexia!E26))))
))</f>
        <v>Carnaubal</v>
      </c>
      <c r="D27" s="102" t="str">
        <f>TRIM(Helexia!F26)</f>
        <v>CE</v>
      </c>
      <c r="E27" s="97" t="s">
        <v>165</v>
      </c>
      <c r="F27" s="100" t="str">
        <f>CONCATENATE(Helexia!J26," ",Helexia!K26)</f>
        <v>4x2 Frota Própria</v>
      </c>
      <c r="G27" s="97"/>
      <c r="H27" s="98"/>
      <c r="I27" s="99"/>
      <c r="J27" s="96"/>
      <c r="K27" s="100"/>
      <c r="L27" s="97"/>
    </row>
    <row r="28" spans="1:12" ht="15" customHeight="1" x14ac:dyDescent="0.25">
      <c r="A28" s="87"/>
      <c r="B28" s="101" t="str">
        <f>IF(Helexia!C27="","",LEFT(Helexia!C27,FIND(" ",Helexia!C27&amp;" ")-1)
&amp;" "&amp;
LEFT(
    MID(
        Helexia!C27,
        FIND(" ",Helexia!C27)+1,
        FIND(" ",Helexia!C27&amp;" ",FIND(" ",Helexia!C27)+1)-FIND(" ",Helexia!C27)-1
    ),
1
)&amp;".")</f>
        <v>Igor V.</v>
      </c>
      <c r="C28" s="97" t="str">
        <f>TRIM(
IF(Helexia!E27="",
"",
IFERROR(LEFT(Helexia!E27,FIND(" -",Helexia!E27)-1),
IFERROR(LEFT(Helexia!E27,FIND("–",Helexia!E27)-1),
IFERROR(LEFT(Helexia!E27,FIND("-",Helexia!E27)-1),
IFERROR(LEFT(Helexia!E27,FIND("/",Helexia!E27)-1),
Helexia!E27))))
))</f>
        <v>São Jerônimo</v>
      </c>
      <c r="D28" s="102" t="str">
        <f>TRIM(Helexia!F27)</f>
        <v>RS</v>
      </c>
      <c r="E28" s="97" t="s">
        <v>165</v>
      </c>
      <c r="F28" s="100" t="str">
        <f>CONCATENATE(Helexia!J27," ",Helexia!K27)</f>
        <v xml:space="preserve"> </v>
      </c>
      <c r="G28" s="97"/>
      <c r="H28" s="98"/>
      <c r="I28" s="99"/>
      <c r="J28" s="96"/>
      <c r="K28" s="100"/>
      <c r="L28" s="97"/>
    </row>
    <row r="29" spans="1:12" ht="15" customHeight="1" x14ac:dyDescent="0.25">
      <c r="A29" s="87"/>
      <c r="B29" s="101" t="str">
        <f>IF(Helexia!C28="","",LEFT(Helexia!C28,FIND(" ",Helexia!C28&amp;" ")-1)
&amp;" "&amp;
LEFT(
    MID(
        Helexia!C28,
        FIND(" ",Helexia!C28)+1,
        FIND(" ",Helexia!C28&amp;" ",FIND(" ",Helexia!C28)+1)-FIND(" ",Helexia!C28)-1
    ),
1
)&amp;".")</f>
        <v>Lucas R.</v>
      </c>
      <c r="C29" s="97" t="str">
        <f>TRIM(
IF(Helexia!E28="",
"",
IFERROR(LEFT(Helexia!E28,FIND(" -",Helexia!E28)-1),
IFERROR(LEFT(Helexia!E28,FIND("–",Helexia!E28)-1),
IFERROR(LEFT(Helexia!E28,FIND("-",Helexia!E28)-1),
IFERROR(LEFT(Helexia!E28,FIND("/",Helexia!E28)-1),
Helexia!E28))))
))</f>
        <v>Rio Verde</v>
      </c>
      <c r="D29" s="102" t="str">
        <f>TRIM(Helexia!F28)</f>
        <v>GO</v>
      </c>
      <c r="E29" s="97" t="s">
        <v>165</v>
      </c>
      <c r="F29" s="100" t="str">
        <f>CONCATENATE(Helexia!J28," ",Helexia!K28)</f>
        <v xml:space="preserve"> </v>
      </c>
      <c r="G29" s="97"/>
      <c r="H29" s="98"/>
      <c r="I29" s="99"/>
      <c r="J29" s="96"/>
      <c r="K29" s="100"/>
      <c r="L29" s="97"/>
    </row>
    <row r="30" spans="1:12" ht="15" customHeight="1" x14ac:dyDescent="0.25">
      <c r="A30" s="87"/>
      <c r="B30" s="101" t="str">
        <f>IF(Helexia!C29="","",LEFT(Helexia!C29,FIND(" ",Helexia!C29&amp;" ")-1)
&amp;" "&amp;
LEFT(
    MID(
        Helexia!C29,
        FIND(" ",Helexia!C29)+1,
        FIND(" ",Helexia!C29&amp;" ",FIND(" ",Helexia!C29)+1)-FIND(" ",Helexia!C29)-1
    ),
1
)&amp;".")</f>
        <v>Ana B.</v>
      </c>
      <c r="C30" s="97" t="str">
        <f>TRIM(
IF(Helexia!E29="",
"",
IFERROR(LEFT(Helexia!E29,FIND(" -",Helexia!E29)-1),
IFERROR(LEFT(Helexia!E29,FIND("–",Helexia!E29)-1),
IFERROR(LEFT(Helexia!E29,FIND("-",Helexia!E29)-1),
IFERROR(LEFT(Helexia!E29,FIND("/",Helexia!E29)-1),
Helexia!E29))))
))</f>
        <v>Cassilândia</v>
      </c>
      <c r="D30" s="102" t="str">
        <f>TRIM(Helexia!F29)</f>
        <v>MS</v>
      </c>
      <c r="E30" s="97" t="s">
        <v>165</v>
      </c>
      <c r="F30" s="100" t="str">
        <f>CONCATENATE(Helexia!J29," ",Helexia!K29)</f>
        <v>4x2 Localiza</v>
      </c>
      <c r="G30" s="97"/>
      <c r="H30" s="98"/>
      <c r="I30" s="99"/>
      <c r="J30" s="96"/>
      <c r="K30" s="100"/>
      <c r="L30" s="97"/>
    </row>
    <row r="31" spans="1:12" ht="15" customHeight="1" x14ac:dyDescent="0.25">
      <c r="A31" s="87"/>
      <c r="B31" s="101" t="str">
        <f>IF(Helexia!C30="","",LEFT(Helexia!C30,FIND(" ",Helexia!C30&amp;" ")-1)
&amp;" "&amp;
LEFT(
    MID(
        Helexia!C30,
        FIND(" ",Helexia!C30)+1,
        FIND(" ",Helexia!C30&amp;" ",FIND(" ",Helexia!C30)+1)-FIND(" ",Helexia!C30)-1
    ),
1
)&amp;".")</f>
        <v>Marcelo A.</v>
      </c>
      <c r="C31" s="97" t="str">
        <f>TRIM(
IF(Helexia!E30="",
"",
IFERROR(LEFT(Helexia!E30,FIND(" -",Helexia!E30)-1),
IFERROR(LEFT(Helexia!E30,FIND("–",Helexia!E30)-1),
IFERROR(LEFT(Helexia!E30,FIND("-",Helexia!E30)-1),
IFERROR(LEFT(Helexia!E30,FIND("/",Helexia!E30)-1),
Helexia!E30))))
))</f>
        <v>Paranavaí</v>
      </c>
      <c r="D31" s="102" t="str">
        <f>TRIM(Helexia!F30)</f>
        <v>PR</v>
      </c>
      <c r="E31" s="97" t="s">
        <v>165</v>
      </c>
      <c r="F31" s="100" t="str">
        <f>CONCATENATE(Helexia!J30," ",Helexia!K30)</f>
        <v xml:space="preserve"> </v>
      </c>
      <c r="G31" s="97"/>
      <c r="H31" s="98"/>
      <c r="I31" s="99"/>
      <c r="J31" s="96"/>
      <c r="K31" s="100"/>
      <c r="L31" s="97"/>
    </row>
    <row r="32" spans="1:12" ht="15" customHeight="1" x14ac:dyDescent="0.25">
      <c r="A32" s="87"/>
      <c r="B32" s="101" t="str">
        <f>IF(Helexia!C31="","",LEFT(Helexia!C31,FIND(" ",Helexia!C31&amp;" ")-1)
&amp;" "&amp;
LEFT(
    MID(
        Helexia!C31,
        FIND(" ",Helexia!C31)+1,
        FIND(" ",Helexia!C31&amp;" ",FIND(" ",Helexia!C31)+1)-FIND(" ",Helexia!C31)-1
    ),
1
)&amp;".")</f>
        <v>Carolina V.</v>
      </c>
      <c r="C32" s="97" t="str">
        <f>TRIM(
IF(Helexia!E31="",
"",
IFERROR(LEFT(Helexia!E31,FIND(" -",Helexia!E31)-1),
IFERROR(LEFT(Helexia!E31,FIND("–",Helexia!E31)-1),
IFERROR(LEFT(Helexia!E31,FIND("-",Helexia!E31)-1),
IFERROR(LEFT(Helexia!E31,FIND("/",Helexia!E31)-1),
Helexia!E31))))
))</f>
        <v>Caçapava</v>
      </c>
      <c r="D32" s="102" t="str">
        <f>TRIM(Helexia!F31)</f>
        <v>SP</v>
      </c>
      <c r="E32" s="97" t="s">
        <v>165</v>
      </c>
      <c r="F32" s="100" t="str">
        <f>CONCATENATE(Helexia!J31," ",Helexia!K31)</f>
        <v xml:space="preserve"> </v>
      </c>
      <c r="G32" s="97"/>
      <c r="H32" s="98"/>
      <c r="I32" s="99"/>
      <c r="J32" s="96"/>
      <c r="K32" s="100"/>
      <c r="L32" s="97"/>
    </row>
    <row r="33" spans="1:12" ht="15" customHeight="1" x14ac:dyDescent="0.25">
      <c r="A33" s="87"/>
      <c r="B33" s="101" t="str">
        <f>IF(Helexia!C32="","",LEFT(Helexia!C32,FIND(" ",Helexia!C32&amp;" ")-1)
&amp;" "&amp;
LEFT(
    MID(
        Helexia!C32,
        FIND(" ",Helexia!C32)+1,
        FIND(" ",Helexia!C32&amp;" ",FIND(" ",Helexia!C32)+1)-FIND(" ",Helexia!C32)-1
    ),
1
)&amp;".")</f>
        <v>Felipe O.</v>
      </c>
      <c r="C33" s="97" t="str">
        <f>TRIM(
IF(Helexia!E32="",
"",
IFERROR(LEFT(Helexia!E32,FIND(" -",Helexia!E32)-1),
IFERROR(LEFT(Helexia!E32,FIND("–",Helexia!E32)-1),
IFERROR(LEFT(Helexia!E32,FIND("-",Helexia!E32)-1),
IFERROR(LEFT(Helexia!E32,FIND("/",Helexia!E32)-1),
Helexia!E32))))
))</f>
        <v>Iranduba</v>
      </c>
      <c r="D33" s="102" t="str">
        <f>TRIM(Helexia!F32)</f>
        <v>AM</v>
      </c>
      <c r="E33" s="97" t="s">
        <v>165</v>
      </c>
      <c r="F33" s="100" t="str">
        <f>CONCATENATE(Helexia!J32," ",Helexia!K32)</f>
        <v>4x2 Localiza</v>
      </c>
      <c r="G33" s="97"/>
      <c r="H33" s="98"/>
      <c r="I33" s="99"/>
      <c r="J33" s="96"/>
      <c r="K33" s="100"/>
      <c r="L33" s="97"/>
    </row>
    <row r="34" spans="1:12" ht="15" customHeight="1" x14ac:dyDescent="0.25">
      <c r="A34" s="87"/>
      <c r="B34" s="101" t="str">
        <f>IF(Helexia!C33="","",LEFT(Helexia!C33,FIND(" ",Helexia!C33&amp;" ")-1)
&amp;" "&amp;
LEFT(
    MID(
        Helexia!C33,
        FIND(" ",Helexia!C33)+1,
        FIND(" ",Helexia!C33&amp;" ",FIND(" ",Helexia!C33)+1)-FIND(" ",Helexia!C33)-1
    ),
1
)&amp;".")</f>
        <v>Nathalia F.</v>
      </c>
      <c r="C34" s="97" t="str">
        <f>TRIM(
IF(Helexia!E33="",
"",
IFERROR(LEFT(Helexia!E33,FIND(" -",Helexia!E33)-1),
IFERROR(LEFT(Helexia!E33,FIND("–",Helexia!E33)-1),
IFERROR(LEFT(Helexia!E33,FIND("-",Helexia!E33)-1),
IFERROR(LEFT(Helexia!E33,FIND("/",Helexia!E33)-1),
Helexia!E33))))
))</f>
        <v>Iranduba</v>
      </c>
      <c r="D34" s="102" t="str">
        <f>TRIM(Helexia!F33)</f>
        <v>AM</v>
      </c>
      <c r="E34" s="97" t="s">
        <v>165</v>
      </c>
      <c r="F34" s="100" t="str">
        <f>CONCATENATE(Helexia!J33," ",Helexia!K33)</f>
        <v xml:space="preserve"> </v>
      </c>
      <c r="G34" s="97"/>
      <c r="H34" s="98"/>
      <c r="I34" s="99"/>
      <c r="J34" s="96"/>
      <c r="K34" s="100"/>
      <c r="L34" s="97"/>
    </row>
    <row r="35" spans="1:12" ht="15" customHeight="1" x14ac:dyDescent="0.25">
      <c r="A35" s="87"/>
      <c r="B35" s="101" t="str">
        <f>IF(Helexia!C34="","",LEFT(Helexia!C34,FIND(" ",Helexia!C34&amp;" ")-1)
&amp;" "&amp;
LEFT(
    MID(
        Helexia!C34,
        FIND(" ",Helexia!C34)+1,
        FIND(" ",Helexia!C34&amp;" ",FIND(" ",Helexia!C34)+1)-FIND(" ",Helexia!C34)-1
    ),
1
)&amp;".")</f>
        <v>Roberto C.</v>
      </c>
      <c r="C35" s="97" t="str">
        <f>TRIM(
IF(Helexia!E34="",
"",
IFERROR(LEFT(Helexia!E34,FIND(" -",Helexia!E34)-1),
IFERROR(LEFT(Helexia!E34,FIND("–",Helexia!E34)-1),
IFERROR(LEFT(Helexia!E34,FIND("-",Helexia!E34)-1),
IFERROR(LEFT(Helexia!E34,FIND("/",Helexia!E34)-1),
Helexia!E34))))
))</f>
        <v>Paranaíba</v>
      </c>
      <c r="D35" s="102" t="str">
        <f>TRIM(Helexia!F34)</f>
        <v>MS</v>
      </c>
      <c r="E35" s="97" t="s">
        <v>165</v>
      </c>
      <c r="F35" s="100" t="str">
        <f>CONCATENATE(Helexia!J34," ",Helexia!K34)</f>
        <v xml:space="preserve"> </v>
      </c>
      <c r="G35" s="97"/>
      <c r="H35" s="98"/>
      <c r="I35" s="99"/>
      <c r="J35" s="96"/>
      <c r="K35" s="100"/>
      <c r="L35" s="97"/>
    </row>
    <row r="36" spans="1:12" ht="15" customHeight="1" x14ac:dyDescent="0.25">
      <c r="A36" s="87"/>
      <c r="B36" s="101" t="str">
        <f>IF(Helexia!C35="","",LEFT(Helexia!C35,FIND(" ",Helexia!C35&amp;" ")-1)
&amp;" "&amp;
LEFT(
    MID(
        Helexia!C35,
        FIND(" ",Helexia!C35)+1,
        FIND(" ",Helexia!C35&amp;" ",FIND(" ",Helexia!C35)+1)-FIND(" ",Helexia!C35)-1
    ),
1
)&amp;".")</f>
        <v>Luiza B.</v>
      </c>
      <c r="C36" s="97" t="str">
        <f>TRIM(
IF(Helexia!E35="",
"",
IFERROR(LEFT(Helexia!E35,FIND(" -",Helexia!E35)-1),
IFERROR(LEFT(Helexia!E35,FIND("–",Helexia!E35)-1),
IFERROR(LEFT(Helexia!E35,FIND("-",Helexia!E35)-1),
IFERROR(LEFT(Helexia!E35,FIND("/",Helexia!E35)-1),
Helexia!E35))))
))</f>
        <v>Andradina</v>
      </c>
      <c r="D36" s="102" t="str">
        <f>TRIM(Helexia!F35)</f>
        <v>SP</v>
      </c>
      <c r="E36" s="97" t="s">
        <v>165</v>
      </c>
      <c r="F36" s="100" t="str">
        <f>CONCATENATE(Helexia!J35," ",Helexia!K35)</f>
        <v>4x2 Localiza</v>
      </c>
      <c r="G36" s="97"/>
      <c r="H36" s="98"/>
      <c r="I36" s="99"/>
      <c r="J36" s="96"/>
      <c r="K36" s="100"/>
      <c r="L36" s="97"/>
    </row>
    <row r="37" spans="1:12" ht="15" customHeight="1" x14ac:dyDescent="0.25">
      <c r="A37" s="87"/>
      <c r="B37" s="101" t="str">
        <f>IF(Helexia!C36="","",LEFT(Helexia!C36,FIND(" ",Helexia!C36&amp;" ")-1)
&amp;" "&amp;
LEFT(
    MID(
        Helexia!C36,
        FIND(" ",Helexia!C36)+1,
        FIND(" ",Helexia!C36&amp;" ",FIND(" ",Helexia!C36)+1)-FIND(" ",Helexia!C36)-1
    ),
1
)&amp;".")</f>
        <v>Pedro H.</v>
      </c>
      <c r="C37" s="97" t="str">
        <f>TRIM(
IF(Helexia!E36="",
"",
IFERROR(LEFT(Helexia!E36,FIND(" -",Helexia!E36)-1),
IFERROR(LEFT(Helexia!E36,FIND("–",Helexia!E36)-1),
IFERROR(LEFT(Helexia!E36,FIND("-",Helexia!E36)-1),
IFERROR(LEFT(Helexia!E36,FIND("/",Helexia!E36)-1),
Helexia!E36))))
))</f>
        <v>Munhoz de Melo</v>
      </c>
      <c r="D37" s="102" t="str">
        <f>TRIM(Helexia!F36)</f>
        <v>PR</v>
      </c>
      <c r="E37" s="97" t="s">
        <v>165</v>
      </c>
      <c r="F37" s="100" t="str">
        <f>CONCATENATE(Helexia!J36," ",Helexia!K36)</f>
        <v xml:space="preserve"> </v>
      </c>
      <c r="G37" s="97"/>
      <c r="H37" s="98"/>
      <c r="I37" s="99"/>
      <c r="J37" s="96"/>
      <c r="K37" s="100"/>
      <c r="L37" s="97"/>
    </row>
    <row r="38" spans="1:12" ht="15" customHeight="1" x14ac:dyDescent="0.25">
      <c r="A38" s="87"/>
      <c r="B38" s="101" t="str">
        <f>IF(Helexia!C37="","",LEFT(Helexia!C37,FIND(" ",Helexia!C37&amp;" ")-1)
&amp;" "&amp;
LEFT(
    MID(
        Helexia!C37,
        FIND(" ",Helexia!C37)+1,
        FIND(" ",Helexia!C37&amp;" ",FIND(" ",Helexia!C37)+1)-FIND(" ",Helexia!C37)-1
    ),
1
)&amp;".")</f>
        <v>Sofia M.</v>
      </c>
      <c r="C38" s="97" t="str">
        <f>TRIM(
IF(Helexia!E37="",
"",
IFERROR(LEFT(Helexia!E37,FIND(" -",Helexia!E37)-1),
IFERROR(LEFT(Helexia!E37,FIND("–",Helexia!E37)-1),
IFERROR(LEFT(Helexia!E37,FIND("-",Helexia!E37)-1),
IFERROR(LEFT(Helexia!E37,FIND("/",Helexia!E37)-1),
Helexia!E37))))
))</f>
        <v>Euclides da Cunha Paulista</v>
      </c>
      <c r="D38" s="102" t="str">
        <f>TRIM(Helexia!F37)</f>
        <v>SP</v>
      </c>
      <c r="E38" s="97" t="s">
        <v>165</v>
      </c>
      <c r="F38" s="100" t="str">
        <f>CONCATENATE(Helexia!J37," ",Helexia!K37)</f>
        <v>4x2 Localiza</v>
      </c>
      <c r="G38" s="97"/>
      <c r="H38" s="98"/>
      <c r="I38" s="99"/>
      <c r="J38" s="96"/>
      <c r="K38" s="100"/>
      <c r="L38" s="97"/>
    </row>
    <row r="39" spans="1:12" ht="15" customHeight="1" x14ac:dyDescent="0.25">
      <c r="A39" s="87"/>
      <c r="B39" s="101" t="str">
        <f>IF(Helexia!C38="","",LEFT(Helexia!C38,FIND(" ",Helexia!C38&amp;" ")-1)
&amp;" "&amp;
LEFT(
    MID(
        Helexia!C38,
        FIND(" ",Helexia!C38)+1,
        FIND(" ",Helexia!C38&amp;" ",FIND(" ",Helexia!C38)+1)-FIND(" ",Helexia!C38)-1
    ),
1
)&amp;".")</f>
        <v/>
      </c>
      <c r="C39" s="97" t="str">
        <f>TRIM(
IF(Helexia!E38="",
"",
IFERROR(LEFT(Helexia!E38,FIND(" -",Helexia!E38)-1),
IFERROR(LEFT(Helexia!E38,FIND("–",Helexia!E38)-1),
IFERROR(LEFT(Helexia!E38,FIND("-",Helexia!E38)-1),
IFERROR(LEFT(Helexia!E38,FIND("/",Helexia!E38)-1),
Helexia!E38))))
))</f>
        <v/>
      </c>
      <c r="D39" s="102" t="str">
        <f>TRIM(Helexia!F38)</f>
        <v/>
      </c>
      <c r="E39" s="97" t="s">
        <v>165</v>
      </c>
      <c r="F39" s="100" t="str">
        <f>CONCATENATE(Helexia!J38," ",Helexia!K38)</f>
        <v xml:space="preserve"> </v>
      </c>
      <c r="G39" s="97"/>
      <c r="H39" s="98"/>
      <c r="I39" s="99"/>
      <c r="J39" s="96"/>
      <c r="K39" s="100"/>
      <c r="L39" s="97"/>
    </row>
    <row r="40" spans="1:12" ht="15" customHeight="1" x14ac:dyDescent="0.25">
      <c r="A40" s="87"/>
      <c r="B40" s="101" t="str">
        <f>IF(Helexia!C39="","",LEFT(Helexia!C39,FIND(" ",Helexia!C39&amp;" ")-1)
&amp;" "&amp;
LEFT(
    MID(
        Helexia!C39,
        FIND(" ",Helexia!C39)+1,
        FIND(" ",Helexia!C39&amp;" ",FIND(" ",Helexia!C39)+1)-FIND(" ",Helexia!C39)-1
    ),
1
)&amp;".")</f>
        <v/>
      </c>
      <c r="C40" s="97" t="str">
        <f>TRIM(
IF(Helexia!E39="",
"",
IFERROR(LEFT(Helexia!E39,FIND(" -",Helexia!E39)-1),
IFERROR(LEFT(Helexia!E39,FIND("–",Helexia!E39)-1),
IFERROR(LEFT(Helexia!E39,FIND("-",Helexia!E39)-1),
IFERROR(LEFT(Helexia!E39,FIND("/",Helexia!E39)-1),
Helexia!E39))))
))</f>
        <v/>
      </c>
      <c r="D40" s="102" t="str">
        <f>TRIM(Helexia!F39)</f>
        <v/>
      </c>
      <c r="E40" s="97" t="s">
        <v>165</v>
      </c>
      <c r="F40" s="100" t="str">
        <f>CONCATENATE(Helexia!J39," ",Helexia!K39)</f>
        <v xml:space="preserve"> </v>
      </c>
      <c r="G40" s="97"/>
      <c r="H40" s="98"/>
      <c r="I40" s="99"/>
      <c r="J40" s="96"/>
      <c r="K40" s="100"/>
      <c r="L40" s="97"/>
    </row>
    <row r="41" spans="1:12" ht="15" customHeight="1" x14ac:dyDescent="0.25">
      <c r="A41" s="87"/>
      <c r="B41" s="101" t="str">
        <f>IF(Helexia!C40="","",LEFT(Helexia!C40,FIND(" ",Helexia!C40&amp;" ")-1)
&amp;" "&amp;
LEFT(
    MID(
        Helexia!C40,
        FIND(" ",Helexia!C40)+1,
        FIND(" ",Helexia!C40&amp;" ",FIND(" ",Helexia!C40)+1)-FIND(" ",Helexia!C40)-1
    ),
1
)&amp;".")</f>
        <v/>
      </c>
      <c r="C41" s="97" t="str">
        <f>TRIM(
IF(Helexia!E40="",
"",
IFERROR(LEFT(Helexia!E40,FIND(" -",Helexia!E40)-1),
IFERROR(LEFT(Helexia!E40,FIND("–",Helexia!E40)-1),
IFERROR(LEFT(Helexia!E40,FIND("-",Helexia!E40)-1),
IFERROR(LEFT(Helexia!E40,FIND("/",Helexia!E40)-1),
Helexia!E40))))
))</f>
        <v/>
      </c>
      <c r="D41" s="102" t="str">
        <f>TRIM(Helexia!F40)</f>
        <v/>
      </c>
      <c r="E41" s="97" t="s">
        <v>165</v>
      </c>
      <c r="F41" s="100" t="str">
        <f>CONCATENATE(Helexia!J40," ",Helexia!K40)</f>
        <v xml:space="preserve"> </v>
      </c>
      <c r="G41" s="97"/>
      <c r="H41" s="98"/>
      <c r="I41" s="99"/>
      <c r="J41" s="96"/>
      <c r="K41" s="100"/>
      <c r="L41" s="97"/>
    </row>
    <row r="42" spans="1:12" ht="15" customHeight="1" x14ac:dyDescent="0.25">
      <c r="A42" s="87"/>
      <c r="B42" s="101" t="str">
        <f>IF(Helexia!C41="","",LEFT(Helexia!C41,FIND(" ",Helexia!C41&amp;" ")-1)
&amp;" "&amp;
LEFT(
    MID(
        Helexia!C41,
        FIND(" ",Helexia!C41)+1,
        FIND(" ",Helexia!C41&amp;" ",FIND(" ",Helexia!C41)+1)-FIND(" ",Helexia!C41)-1
    ),
1
)&amp;".")</f>
        <v/>
      </c>
      <c r="C42" s="97" t="str">
        <f>TRIM(
IF(Helexia!E41="",
"",
IFERROR(LEFT(Helexia!E41,FIND(" -",Helexia!E41)-1),
IFERROR(LEFT(Helexia!E41,FIND("–",Helexia!E41)-1),
IFERROR(LEFT(Helexia!E41,FIND("-",Helexia!E41)-1),
IFERROR(LEFT(Helexia!E41,FIND("/",Helexia!E41)-1),
Helexia!E41))))
))</f>
        <v/>
      </c>
      <c r="D42" s="102" t="str">
        <f>TRIM(Helexia!F41)</f>
        <v/>
      </c>
      <c r="E42" s="97" t="s">
        <v>165</v>
      </c>
      <c r="F42" s="100" t="str">
        <f>CONCATENATE(Helexia!J41," ",Helexia!K41)</f>
        <v xml:space="preserve"> </v>
      </c>
      <c r="G42" s="97"/>
      <c r="H42" s="98"/>
      <c r="I42" s="99"/>
      <c r="J42" s="96"/>
      <c r="K42" s="100"/>
      <c r="L42" s="97"/>
    </row>
    <row r="43" spans="1:12" ht="15" customHeight="1" x14ac:dyDescent="0.25">
      <c r="A43" s="87"/>
      <c r="B43" s="101" t="str">
        <f>IF(Helexia!C42="","",LEFT(Helexia!C42,FIND(" ",Helexia!C42&amp;" ")-1)
&amp;" "&amp;
LEFT(
    MID(
        Helexia!C42,
        FIND(" ",Helexia!C42)+1,
        FIND(" ",Helexia!C42&amp;" ",FIND(" ",Helexia!C42)+1)-FIND(" ",Helexia!C42)-1
    ),
1
)&amp;".")</f>
        <v/>
      </c>
      <c r="C43" s="97" t="str">
        <f>TRIM(
IF(Helexia!E42="",
"",
IFERROR(LEFT(Helexia!E42,FIND(" -",Helexia!E42)-1),
IFERROR(LEFT(Helexia!E42,FIND("–",Helexia!E42)-1),
IFERROR(LEFT(Helexia!E42,FIND("-",Helexia!E42)-1),
IFERROR(LEFT(Helexia!E42,FIND("/",Helexia!E42)-1),
Helexia!E42))))
))</f>
        <v/>
      </c>
      <c r="D43" s="102" t="str">
        <f>TRIM(Helexia!F42)</f>
        <v/>
      </c>
      <c r="E43" s="97" t="s">
        <v>165</v>
      </c>
      <c r="F43" s="100" t="str">
        <f>CONCATENATE(Helexia!J42," ",Helexia!K42)</f>
        <v xml:space="preserve"> </v>
      </c>
      <c r="G43" s="97"/>
      <c r="H43" s="98"/>
      <c r="I43" s="99"/>
      <c r="J43" s="96"/>
      <c r="K43" s="100"/>
      <c r="L43" s="97"/>
    </row>
    <row r="44" spans="1:12" ht="15" customHeight="1" x14ac:dyDescent="0.25">
      <c r="A44" s="87"/>
      <c r="B44" s="101" t="str">
        <f>IF(Helexia!C43="","",LEFT(Helexia!C43,FIND(" ",Helexia!C43&amp;" ")-1)
&amp;" "&amp;
LEFT(
    MID(
        Helexia!C43,
        FIND(" ",Helexia!C43)+1,
        FIND(" ",Helexia!C43&amp;" ",FIND(" ",Helexia!C43)+1)-FIND(" ",Helexia!C43)-1
    ),
1
)&amp;".")</f>
        <v/>
      </c>
      <c r="C44" s="97" t="str">
        <f>TRIM(
IF(Helexia!E43="",
"",
IFERROR(LEFT(Helexia!E43,FIND(" -",Helexia!E43)-1),
IFERROR(LEFT(Helexia!E43,FIND("–",Helexia!E43)-1),
IFERROR(LEFT(Helexia!E43,FIND("-",Helexia!E43)-1),
IFERROR(LEFT(Helexia!E43,FIND("/",Helexia!E43)-1),
Helexia!E43))))
))</f>
        <v/>
      </c>
      <c r="D44" s="102" t="str">
        <f>TRIM(Helexia!F43)</f>
        <v/>
      </c>
      <c r="E44" s="97" t="s">
        <v>165</v>
      </c>
      <c r="F44" s="100" t="str">
        <f>CONCATENATE(Helexia!J43," ",Helexia!K43)</f>
        <v xml:space="preserve"> </v>
      </c>
      <c r="G44" s="100"/>
      <c r="H44" s="98"/>
      <c r="I44" s="99"/>
      <c r="J44" s="96"/>
      <c r="K44" s="100"/>
      <c r="L44" s="100"/>
    </row>
    <row r="45" spans="1:12" x14ac:dyDescent="0.25">
      <c r="A45" s="87"/>
      <c r="B45" s="101" t="str">
        <f>IF(Helexia!C44="","",LEFT(Helexia!C44,FIND(" ",Helexia!C44&amp;" ")-1)
&amp;" "&amp;
LEFT(
    MID(
        Helexia!C44,
        FIND(" ",Helexia!C44)+1,
        FIND(" ",Helexia!C44&amp;" ",FIND(" ",Helexia!C44)+1)-FIND(" ",Helexia!C44)-1
    ),
1
)&amp;".")</f>
        <v/>
      </c>
      <c r="C45" s="97" t="str">
        <f>TRIM(
IF(Helexia!E44="",
"",
IFERROR(LEFT(Helexia!E44,FIND(" -",Helexia!E44)-1),
IFERROR(LEFT(Helexia!E44,FIND("–",Helexia!E44)-1),
IFERROR(LEFT(Helexia!E44,FIND("-",Helexia!E44)-1),
IFERROR(LEFT(Helexia!E44,FIND("/",Helexia!E44)-1),
Helexia!E44))))
))</f>
        <v/>
      </c>
      <c r="D45" s="102" t="str">
        <f>TRIM(Helexia!F44)</f>
        <v/>
      </c>
      <c r="E45" s="97" t="s">
        <v>165</v>
      </c>
      <c r="F45" s="100" t="str">
        <f>CONCATENATE(Helexia!J44," ",Helexia!K44)</f>
        <v xml:space="preserve"> </v>
      </c>
      <c r="G45" s="100"/>
      <c r="H45" s="98"/>
      <c r="I45" s="99"/>
      <c r="J45" s="87"/>
      <c r="K45" s="100"/>
      <c r="L45" s="100"/>
    </row>
    <row r="46" spans="1:12" x14ac:dyDescent="0.25">
      <c r="A46" s="87"/>
      <c r="B46" s="101" t="str">
        <f>IF(Helexia!C45="","",LEFT(Helexia!C45,FIND(" ",Helexia!C45&amp;" ")-1)
&amp;" "&amp;
LEFT(
    MID(
        Helexia!C45,
        FIND(" ",Helexia!C45)+1,
        FIND(" ",Helexia!C45&amp;" ",FIND(" ",Helexia!C45)+1)-FIND(" ",Helexia!C45)-1
    ),
1
)&amp;".")</f>
        <v/>
      </c>
      <c r="C46" s="97" t="str">
        <f>TRIM(
IF(Helexia!E45="",
"",
IFERROR(LEFT(Helexia!E45,FIND(" -",Helexia!E45)-1),
IFERROR(LEFT(Helexia!E45,FIND("–",Helexia!E45)-1),
IFERROR(LEFT(Helexia!E45,FIND("-",Helexia!E45)-1),
IFERROR(LEFT(Helexia!E45,FIND("/",Helexia!E45)-1),
Helexia!E45))))
))</f>
        <v/>
      </c>
      <c r="D46" s="102" t="str">
        <f>TRIM(Helexia!F45)</f>
        <v/>
      </c>
      <c r="E46" s="97" t="s">
        <v>165</v>
      </c>
      <c r="F46" s="100" t="str">
        <f>CONCATENATE(Helexia!J45," ",Helexia!K45)</f>
        <v xml:space="preserve"> </v>
      </c>
      <c r="G46" s="100"/>
      <c r="H46" s="98"/>
      <c r="I46" s="99"/>
      <c r="J46" s="87"/>
      <c r="K46" s="100"/>
      <c r="L46" s="100"/>
    </row>
    <row r="47" spans="1:12" x14ac:dyDescent="0.25">
      <c r="A47" s="87"/>
      <c r="B47" s="101" t="str">
        <f>IF(Helexia!C46="","",LEFT(Helexia!C46,FIND(" ",Helexia!C46&amp;" ")-1)
&amp;" "&amp;
LEFT(
    MID(
        Helexia!C46,
        FIND(" ",Helexia!C46)+1,
        FIND(" ",Helexia!C46&amp;" ",FIND(" ",Helexia!C46)+1)-FIND(" ",Helexia!C46)-1
    ),
1
)&amp;".")</f>
        <v/>
      </c>
      <c r="C47" s="97" t="str">
        <f>TRIM(
IF(Helexia!E46="",
"",
IFERROR(LEFT(Helexia!E46,FIND(" -",Helexia!E46)-1),
IFERROR(LEFT(Helexia!E46,FIND("–",Helexia!E46)-1),
IFERROR(LEFT(Helexia!E46,FIND("-",Helexia!E46)-1),
IFERROR(LEFT(Helexia!E46,FIND("/",Helexia!E46)-1),
Helexia!E46))))
))</f>
        <v/>
      </c>
      <c r="D47" s="102" t="str">
        <f>TRIM(Helexia!F46)</f>
        <v/>
      </c>
      <c r="E47" s="97" t="s">
        <v>165</v>
      </c>
      <c r="F47" s="100" t="str">
        <f>CONCATENATE(Helexia!J46," ",Helexia!K46)</f>
        <v xml:space="preserve"> </v>
      </c>
      <c r="G47" s="100"/>
      <c r="H47" s="98"/>
      <c r="I47" s="99"/>
      <c r="J47" s="87"/>
      <c r="K47" s="100"/>
      <c r="L47" s="100"/>
    </row>
    <row r="48" spans="1:12" x14ac:dyDescent="0.25">
      <c r="A48" s="87"/>
      <c r="B48" s="101" t="str">
        <f>IF(Helexia!C47="","",LEFT(Helexia!C47,FIND(" ",Helexia!C47&amp;" ")-1)
&amp;" "&amp;
LEFT(
    MID(
        Helexia!C47,
        FIND(" ",Helexia!C47)+1,
        FIND(" ",Helexia!C47&amp;" ",FIND(" ",Helexia!C47)+1)-FIND(" ",Helexia!C47)-1
    ),
1
)&amp;".")</f>
        <v/>
      </c>
      <c r="C48" s="97" t="str">
        <f>TRIM(
IF(Helexia!E47="",
"",
IFERROR(LEFT(Helexia!E47,FIND(" -",Helexia!E47)-1),
IFERROR(LEFT(Helexia!E47,FIND("–",Helexia!E47)-1),
IFERROR(LEFT(Helexia!E47,FIND("-",Helexia!E47)-1),
IFERROR(LEFT(Helexia!E47,FIND("/",Helexia!E47)-1),
Helexia!E47))))
))</f>
        <v/>
      </c>
      <c r="D48" s="102" t="str">
        <f>TRIM(Helexia!F47)</f>
        <v/>
      </c>
      <c r="E48" s="97" t="s">
        <v>165</v>
      </c>
      <c r="F48" s="100" t="str">
        <f>CONCATENATE(Helexia!J47," ",Helexia!K47)</f>
        <v xml:space="preserve"> </v>
      </c>
      <c r="G48" s="100"/>
      <c r="H48" s="98"/>
      <c r="I48" s="99"/>
      <c r="J48" s="87"/>
      <c r="K48" s="100"/>
      <c r="L48" s="100"/>
    </row>
    <row r="49" spans="1:12" ht="15" customHeight="1" x14ac:dyDescent="0.25">
      <c r="A49" s="87"/>
      <c r="B49" s="101" t="str">
        <f>IF(Helexia!C48="","",LEFT(Helexia!C48,FIND(" ",Helexia!C48&amp;" ")-1)
&amp;" "&amp;
LEFT(
    MID(
        Helexia!C48,
        FIND(" ",Helexia!C48)+1,
        FIND(" ",Helexia!C48&amp;" ",FIND(" ",Helexia!C48)+1)-FIND(" ",Helexia!C48)-1
    ),
1
)&amp;".")</f>
        <v/>
      </c>
      <c r="C49" s="97" t="str">
        <f>TRIM(
IF(Helexia!E48="",
"",
IFERROR(LEFT(Helexia!E48,FIND(" -",Helexia!E48)-1),
IFERROR(LEFT(Helexia!E48,FIND("–",Helexia!E48)-1),
IFERROR(LEFT(Helexia!E48,FIND("-",Helexia!E48)-1),
IFERROR(LEFT(Helexia!E48,FIND("/",Helexia!E48)-1),
Helexia!E48))))
))</f>
        <v/>
      </c>
      <c r="D49" s="102" t="str">
        <f>TRIM(Helexia!F48)</f>
        <v/>
      </c>
      <c r="E49" s="97" t="s">
        <v>165</v>
      </c>
      <c r="F49" s="100" t="str">
        <f>CONCATENATE(Helexia!J48," ",Helexia!K48)</f>
        <v xml:space="preserve"> </v>
      </c>
      <c r="G49" s="100"/>
      <c r="H49" s="98"/>
      <c r="I49" s="99"/>
      <c r="J49" s="87"/>
      <c r="K49" s="100"/>
      <c r="L49" s="100"/>
    </row>
    <row r="50" spans="1:12" ht="15" customHeight="1" x14ac:dyDescent="0.25">
      <c r="A50" s="87"/>
      <c r="B50" s="101" t="str">
        <f>IF(Helexia!C49="","",LEFT(Helexia!C49,FIND(" ",Helexia!C49&amp;" ")-1)
&amp;" "&amp;
LEFT(
    MID(
        Helexia!C49,
        FIND(" ",Helexia!C49)+1,
        FIND(" ",Helexia!C49&amp;" ",FIND(" ",Helexia!C49)+1)-FIND(" ",Helexia!C49)-1
    ),
1
)&amp;".")</f>
        <v/>
      </c>
      <c r="C50" s="97" t="str">
        <f>TRIM(
IF(Helexia!E49="",
"",
IFERROR(LEFT(Helexia!E49,FIND(" -",Helexia!E49)-1),
IFERROR(LEFT(Helexia!E49,FIND("–",Helexia!E49)-1),
IFERROR(LEFT(Helexia!E49,FIND("-",Helexia!E49)-1),
IFERROR(LEFT(Helexia!E49,FIND("/",Helexia!E49)-1),
Helexia!E49))))
))</f>
        <v/>
      </c>
      <c r="D50" s="102" t="str">
        <f>TRIM(Helexia!F49)</f>
        <v/>
      </c>
      <c r="E50" s="97" t="s">
        <v>165</v>
      </c>
      <c r="F50" s="100" t="str">
        <f>CONCATENATE(Helexia!J49," ",Helexia!K49)</f>
        <v xml:space="preserve"> </v>
      </c>
      <c r="G50" s="100"/>
      <c r="H50" s="98"/>
      <c r="I50" s="99"/>
      <c r="J50" s="87"/>
      <c r="K50" s="100"/>
      <c r="L50" s="100"/>
    </row>
    <row r="51" spans="1:12" ht="15" customHeight="1" x14ac:dyDescent="0.25">
      <c r="A51" s="87"/>
      <c r="B51" s="101" t="str">
        <f>IF(Helexia!C50="","",LEFT(Helexia!C50,FIND(" ",Helexia!C50&amp;" ")-1)
&amp;" "&amp;
LEFT(
    MID(
        Helexia!C50,
        FIND(" ",Helexia!C50)+1,
        FIND(" ",Helexia!C50&amp;" ",FIND(" ",Helexia!C50)+1)-FIND(" ",Helexia!C50)-1
    ),
1
)&amp;".")</f>
        <v/>
      </c>
      <c r="C51" s="97" t="str">
        <f>TRIM(
IF(Helexia!E50="",
"",
IFERROR(LEFT(Helexia!E50,FIND(" -",Helexia!E50)-1),
IFERROR(LEFT(Helexia!E50,FIND("–",Helexia!E50)-1),
IFERROR(LEFT(Helexia!E50,FIND("-",Helexia!E50)-1),
IFERROR(LEFT(Helexia!E50,FIND("/",Helexia!E50)-1),
Helexia!E50))))
))</f>
        <v/>
      </c>
      <c r="D51" s="102" t="str">
        <f>TRIM(Helexia!F50)</f>
        <v/>
      </c>
      <c r="E51" s="97" t="s">
        <v>165</v>
      </c>
      <c r="F51" s="100" t="str">
        <f>CONCATENATE(Helexia!J50," ",Helexia!K50)</f>
        <v xml:space="preserve"> </v>
      </c>
      <c r="G51" s="100"/>
      <c r="H51" s="98"/>
      <c r="I51" s="99"/>
      <c r="J51" s="87"/>
      <c r="K51" s="100"/>
      <c r="L51" s="100"/>
    </row>
    <row r="52" spans="1:12" ht="15" customHeight="1" x14ac:dyDescent="0.25">
      <c r="A52" s="87"/>
      <c r="B52" s="101" t="str">
        <f>IF(Helexia!C51="","",LEFT(Helexia!C51,FIND(" ",Helexia!C51&amp;" ")-1)
&amp;" "&amp;
LEFT(
    MID(
        Helexia!C51,
        FIND(" ",Helexia!C51)+1,
        FIND(" ",Helexia!C51&amp;" ",FIND(" ",Helexia!C51)+1)-FIND(" ",Helexia!C51)-1
    ),
1
)&amp;".")</f>
        <v/>
      </c>
      <c r="C52" s="97" t="str">
        <f>TRIM(
IF(Helexia!E51="",
"",
IFERROR(LEFT(Helexia!E51,FIND(" -",Helexia!E51)-1),
IFERROR(LEFT(Helexia!E51,FIND("–",Helexia!E51)-1),
IFERROR(LEFT(Helexia!E51,FIND("-",Helexia!E51)-1),
IFERROR(LEFT(Helexia!E51,FIND("/",Helexia!E51)-1),
Helexia!E51))))
))</f>
        <v/>
      </c>
      <c r="D52" s="102" t="str">
        <f>TRIM(Helexia!F51)</f>
        <v/>
      </c>
      <c r="E52" s="97" t="s">
        <v>165</v>
      </c>
      <c r="F52" s="100" t="str">
        <f>CONCATENATE(Helexia!J51," ",Helexia!K51)</f>
        <v xml:space="preserve"> </v>
      </c>
      <c r="G52" s="100"/>
      <c r="H52" s="98"/>
      <c r="I52" s="99"/>
      <c r="J52" s="87"/>
      <c r="K52" s="100"/>
      <c r="L52" s="100"/>
    </row>
    <row r="53" spans="1:12" x14ac:dyDescent="0.25">
      <c r="A53" s="87"/>
      <c r="B53" s="101"/>
      <c r="C53" s="97"/>
      <c r="D53" s="97"/>
      <c r="E53" s="97"/>
      <c r="F53" s="100"/>
      <c r="G53" s="87"/>
      <c r="H53" s="98"/>
      <c r="I53" s="99"/>
      <c r="J53" s="87"/>
      <c r="K53" s="103"/>
      <c r="L53" s="87"/>
    </row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9</vt:i4>
      </vt:variant>
    </vt:vector>
  </HeadingPairs>
  <TitlesOfParts>
    <vt:vector size="21" baseType="lpstr">
      <vt:lpstr>Capa</vt:lpstr>
      <vt:lpstr>Mapa</vt:lpstr>
      <vt:lpstr>Helexia</vt:lpstr>
      <vt:lpstr>TI</vt:lpstr>
      <vt:lpstr>Equipamentos</vt:lpstr>
      <vt:lpstr>HSE-Jurídico</vt:lpstr>
      <vt:lpstr>Faturamento</vt:lpstr>
      <vt:lpstr>Gráficos</vt:lpstr>
      <vt:lpstr>Pontos de Atenção</vt:lpstr>
      <vt:lpstr>MWp</vt:lpstr>
      <vt:lpstr>Salários</vt:lpstr>
      <vt:lpstr>Source</vt:lpstr>
      <vt:lpstr>Capa!Area_de_impressao</vt:lpstr>
      <vt:lpstr>Equipamentos!Area_de_impressao</vt:lpstr>
      <vt:lpstr>Faturamento!Area_de_impressao</vt:lpstr>
      <vt:lpstr>Gráficos!Area_de_impressao</vt:lpstr>
      <vt:lpstr>Helexia!Area_de_impressao</vt:lpstr>
      <vt:lpstr>'HSE-Jurídico'!Area_de_impressao</vt:lpstr>
      <vt:lpstr>Mapa!Area_de_impressao</vt:lpstr>
      <vt:lpstr>'Pontos de Atenção'!Area_de_impressao</vt:lpstr>
      <vt:lpstr>TI!Area_de_impressao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Windcraft</dc:creator>
  <cp:lastModifiedBy>Windcraft</cp:lastModifiedBy>
  <cp:lastPrinted>2026-02-23T16:36:51Z</cp:lastPrinted>
  <dcterms:created xsi:type="dcterms:W3CDTF">2015-06-05T18:19:34Z</dcterms:created>
  <dcterms:modified xsi:type="dcterms:W3CDTF">2026-02-24T12:25:34Z</dcterms:modified>
</cp:coreProperties>
</file>