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never" codeName="EstaPastaDeTrabalho"/>
  <mc:AlternateContent xmlns:mc="http://schemas.openxmlformats.org/markup-compatibility/2006">
    <mc:Choice Requires="x15">
      <x15ac:absPath xmlns:x15ac="http://schemas.microsoft.com/office/spreadsheetml/2010/11/ac" url="C:\Users\Windcraft\Desktop\"/>
    </mc:Choice>
  </mc:AlternateContent>
  <xr:revisionPtr revIDLastSave="0" documentId="13_ncr:1_{0AA5C233-980F-4686-AFE7-65622E3E309E}" xr6:coauthVersionLast="47" xr6:coauthVersionMax="47" xr10:uidLastSave="{00000000-0000-0000-0000-000000000000}"/>
  <bookViews>
    <workbookView xWindow="20370" yWindow="-120" windowWidth="24240" windowHeight="13020" tabRatio="790" activeTab="9" xr2:uid="{00000000-000D-0000-FFFF-FFFF00000000}"/>
  </bookViews>
  <sheets>
    <sheet name="Capa" sheetId="1" r:id="rId1"/>
    <sheet name="Mapa" sheetId="5" r:id="rId2"/>
    <sheet name="Helexia" sheetId="4" r:id="rId3"/>
    <sheet name="TI" sheetId="8" r:id="rId4"/>
    <sheet name="Equipamentos" sheetId="18" r:id="rId5"/>
    <sheet name="HSE-Jurídico" sheetId="13" r:id="rId6"/>
    <sheet name="Faturamento" sheetId="16" r:id="rId7"/>
    <sheet name="Gráficos" sheetId="6" r:id="rId8"/>
    <sheet name="Pontos de Atenção" sheetId="11" r:id="rId9"/>
    <sheet name="MWp" sheetId="3" r:id="rId10"/>
    <sheet name="Salários" sheetId="17" r:id="rId11"/>
    <sheet name="Source" sheetId="7" r:id="rId12"/>
  </sheets>
  <definedNames>
    <definedName name="_xlnm._FilterDatabase" localSheetId="6" hidden="1">Faturamento!$A$6:$M$14</definedName>
    <definedName name="_xlnm._FilterDatabase" localSheetId="2" hidden="1">Helexia!$C$2:$L$65</definedName>
    <definedName name="_xlnm._FilterDatabase" localSheetId="10" hidden="1">Salários!$A$2:$D$62</definedName>
    <definedName name="_xlchart.v5.0" hidden="1">Source!$B$3:$D$3</definedName>
    <definedName name="_xlchart.v5.1" hidden="1">Source!$B$4:$D$52</definedName>
    <definedName name="_xlchart.v5.2" hidden="1">Source!$E$3</definedName>
    <definedName name="_xlchart.v5.3" hidden="1">Source!$E$4:$E$52</definedName>
    <definedName name="Abr" localSheetId="6">Faturamento!DaysAndWeeks+DATE(Faturamento!CalendárioYear,4,1)-WEEKDAY(DATE(Faturamento!CalendárioYear,4,1),Faturamento!OpçãodeDiadaSemana)+1</definedName>
    <definedName name="Abr" localSheetId="2">Helexia!DaysAndWeeks+DATE(CalendárioYear,4,1)-WEEKDAY(DATE(CalendárioYear,4,1),Helexia!OpçãodeDiadaSemana)+1</definedName>
    <definedName name="Abr" localSheetId="1">Mapa!DaysAndWeeks+DATE(CalendárioYear,4,1)-WEEKDAY(DATE(CalendárioYear,4,1),Mapa!OpçãodeDiadaSemana)+1</definedName>
    <definedName name="Abr" localSheetId="9">MWp!DaysAndWeeks+DATE(MWp!CalendárioYear,4,1)-WEEKDAY(DATE(MWp!CalendárioYear,4,1),MWp!OpçãodeDiadaSemana)+1</definedName>
    <definedName name="Abr" localSheetId="10">Salários!DaysAndWeeks+DATE(Salários!CalendárioYear,4,1)-WEEKDAY(DATE(Salários!CalendárioYear,4,1),Salários!OpçãodeDiadaSemana)+1</definedName>
    <definedName name="Abr" localSheetId="11">Source!DaysAndWeeks+DATE(CalendárioYear,4,1)-WEEKDAY(DATE(CalendárioYear,4,1),Source!OpçãodeDiadaSemana)+1</definedName>
    <definedName name="Abr">DaysAndWeeks+DATE(CalendárioYear,4,1)-WEEKDAY(DATE(CalendárioYear,4,1),OpçãodeDiadaSemana)+1</definedName>
    <definedName name="Ago" localSheetId="6">Faturamento!DaysAndWeeks+DATE(Faturamento!CalendárioYear,8,1)-WEEKDAY(DATE(Faturamento!CalendárioYear,8,1),Faturamento!OpçãodeDiadaSemana)+1</definedName>
    <definedName name="Ago" localSheetId="2">Helexia!DaysAndWeeks+DATE(CalendárioYear,8,1)-WEEKDAY(DATE(CalendárioYear,8,1),Helexia!OpçãodeDiadaSemana)+1</definedName>
    <definedName name="Ago" localSheetId="1">Mapa!DaysAndWeeks+DATE(CalendárioYear,8,1)-WEEKDAY(DATE(CalendárioYear,8,1),Mapa!OpçãodeDiadaSemana)+1</definedName>
    <definedName name="Ago" localSheetId="9">MWp!DaysAndWeeks+DATE(MWp!CalendárioYear,8,1)-WEEKDAY(DATE(MWp!CalendárioYear,8,1),MWp!OpçãodeDiadaSemana)+1</definedName>
    <definedName name="Ago" localSheetId="10">Salários!DaysAndWeeks+DATE(Salários!CalendárioYear,8,1)-WEEKDAY(DATE(Salários!CalendárioYear,8,1),Salários!OpçãodeDiadaSemana)+1</definedName>
    <definedName name="Ago" localSheetId="11">Source!DaysAndWeeks+DATE(CalendárioYear,8,1)-WEEKDAY(DATE(CalendárioYear,8,1),Source!OpçãodeDiadaSemana)+1</definedName>
    <definedName name="Ago">DaysAndWeeks+DATE(CalendárioYear,8,1)-WEEKDAY(DATE(CalendárioYear,8,1),OpçãodeDiadaSemana)+1</definedName>
    <definedName name="_xlnm.Print_Area" localSheetId="0">Capa!$A$1:$Q$40</definedName>
    <definedName name="_xlnm.Print_Area" localSheetId="4">Equipamentos!$A$1:$AB$27</definedName>
    <definedName name="_xlnm.Print_Area" localSheetId="6">Faturamento!$A$1:$AA$27</definedName>
    <definedName name="_xlnm.Print_Area" localSheetId="7">Gráficos!$A$1:$N$17</definedName>
    <definedName name="_xlnm.Print_Area" localSheetId="2">Helexia!$C$1:$N$65</definedName>
    <definedName name="_xlnm.Print_Area" localSheetId="5">'HSE-Jurídico'!$A$1:$N$54</definedName>
    <definedName name="_xlnm.Print_Area" localSheetId="1">Mapa!$A$1:$O$38</definedName>
    <definedName name="_xlnm.Print_Area" localSheetId="8">'Pontos de Atenção'!$A$1:$H$30</definedName>
    <definedName name="_xlnm.Print_Area" localSheetId="3">TI!$A$1:$G$38</definedName>
    <definedName name="CabeçalhosdeDia" localSheetId="6">LEFT(TEXT(#REF!,"ddd"),1)</definedName>
    <definedName name="CabeçalhosdeDia" localSheetId="9">LEFT(TEXT(#REF!,"ddd"),1)</definedName>
    <definedName name="CabeçalhosdeDia" localSheetId="10">LEFT(TEXT(#REF!,"ddd"),1)</definedName>
    <definedName name="CabeçalhosdeDia">LEFT(TEXT(#REF!,"ddd"),1)</definedName>
    <definedName name="CabeçalhosdeMês" localSheetId="6">UPPER(TEXT(#REF!,"mmmm"))</definedName>
    <definedName name="CabeçalhosdeMês" localSheetId="9">UPPER(TEXT(#REF!,"mmmm"))</definedName>
    <definedName name="CabeçalhosdeMês" localSheetId="10">UPPER(TEXT(#REF!,"mmmm"))</definedName>
    <definedName name="CabeçalhosdeMês">UPPER(TEXT(#REF!,"mmmm"))</definedName>
    <definedName name="Calendário" localSheetId="6">Faturamento!DaysAndWeeks + DateOfFirst - WEEKDAY(DateOfFirst,2)</definedName>
    <definedName name="Calendário" localSheetId="2">Helexia!DaysAndWeeks + DateOfFirst - WEEKDAY(DateOfFirst,2)</definedName>
    <definedName name="Calendário" localSheetId="1">Mapa!DaysAndWeeks + DateOfFirst - WEEKDAY(DateOfFirst,2)</definedName>
    <definedName name="Calendário" localSheetId="9">MWp!DaysAndWeeks + DateOfFirst - WEEKDAY(DateOfFirst,2)</definedName>
    <definedName name="Calendário" localSheetId="10">Salários!DaysAndWeeks + DateOfFirst - WEEKDAY(DateOfFirst,2)</definedName>
    <definedName name="Calendário" localSheetId="11">Source!DaysAndWeeks + DateOfFirst - WEEKDAY(DateOfFirst,2)</definedName>
    <definedName name="Calendário">DaysAndWeeks + DateOfFirst - WEEKDAY(DateOfFirst,2)</definedName>
    <definedName name="CalendárioYear" localSheetId="6">#REF!</definedName>
    <definedName name="CalendárioYear" localSheetId="9">#REF!</definedName>
    <definedName name="CalendárioYear" localSheetId="10">#REF!</definedName>
    <definedName name="CalendárioYear">#REF!</definedName>
    <definedName name="Contrato" localSheetId="6">#REF!</definedName>
    <definedName name="Contrato" localSheetId="10">#REF!</definedName>
    <definedName name="Contrato">#REF!</definedName>
    <definedName name="DaysAndWeeks" localSheetId="6">{0,1,2,3,4,5,6} + {0;1;2;3;4;5}*7</definedName>
    <definedName name="DaysAndWeeks" localSheetId="2">{0,1,2,3,4,5,6} + {0;1;2;3;4;5}*7</definedName>
    <definedName name="DaysAndWeeks" localSheetId="1">{0,1,2,3,4,5,6} + {0;1;2;3;4;5}*7</definedName>
    <definedName name="DaysAndWeeks" localSheetId="9">{0,1,2,3,4,5,6} + {0;1;2;3;4;5}*7</definedName>
    <definedName name="DaysAndWeeks" localSheetId="10">{0,1,2,3,4,5,6} + {0;1;2;3;4;5}*7</definedName>
    <definedName name="DaysAndWeeks" localSheetId="11">{0,1,2,3,4,5,6} + {0;1;2;3;4;5}*7</definedName>
    <definedName name="DaysAndWeeks">{0,1,2,3,4,5,6} + {0;1;2;3;4;5}*7</definedName>
    <definedName name="Dez" localSheetId="6">Faturamento!DaysAndWeeks+DATE(Faturamento!CalendárioYear,12,1)-WEEKDAY(DATE(Faturamento!CalendárioYear,12,1),Faturamento!OpçãodeDiadaSemana)+1</definedName>
    <definedName name="Dez" localSheetId="2">Helexia!DaysAndWeeks+DATE(CalendárioYear,12,1)-WEEKDAY(DATE(CalendárioYear,12,1),Helexia!OpçãodeDiadaSemana)+1</definedName>
    <definedName name="Dez" localSheetId="1">Mapa!DaysAndWeeks+DATE(CalendárioYear,12,1)-WEEKDAY(DATE(CalendárioYear,12,1),Mapa!OpçãodeDiadaSemana)+1</definedName>
    <definedName name="Dez" localSheetId="9">MWp!DaysAndWeeks+DATE(MWp!CalendárioYear,12,1)-WEEKDAY(DATE(MWp!CalendárioYear,12,1),MWp!OpçãodeDiadaSemana)+1</definedName>
    <definedName name="Dez" localSheetId="10">Salários!DaysAndWeeks+DATE(Salários!CalendárioYear,12,1)-WEEKDAY(DATE(Salários!CalendárioYear,12,1),Salários!OpçãodeDiadaSemana)+1</definedName>
    <definedName name="Dez" localSheetId="11">Source!DaysAndWeeks+DATE(CalendárioYear,12,1)-WEEKDAY(DATE(CalendárioYear,12,1),Source!OpçãodeDiadaSemana)+1</definedName>
    <definedName name="Dez">DaysAndWeeks+DATE(CalendárioYear,12,1)-WEEKDAY(DATE(CalendárioYear,12,1),OpçãodeDiadaSemana)+1</definedName>
    <definedName name="DiasÚteis" localSheetId="6">{"segunda-feira","terça-feira","quarta-feira","quinta-feira","sexta-feira","sábado","domingo"}</definedName>
    <definedName name="DiasÚteis" localSheetId="2">{"segunda-feira","terça-feira","quarta-feira","quinta-feira","sexta-feira","sábado","domingo"}</definedName>
    <definedName name="DiasÚteis" localSheetId="1">{"segunda-feira","terça-feira","quarta-feira","quinta-feira","sexta-feira","sábado","domingo"}</definedName>
    <definedName name="DiasÚteis" localSheetId="9">{"segunda-feira","terça-feira","quarta-feira","quinta-feira","sexta-feira","sábado","domingo"}</definedName>
    <definedName name="DiasÚteis" localSheetId="10">{"segunda-feira","terça-feira","quarta-feira","quinta-feira","sexta-feira","sábado","domingo"}</definedName>
    <definedName name="DiasÚteis" localSheetId="11">{"segunda-feira","terça-feira","quarta-feira","quinta-feira","sexta-feira","sábado","domingo"}</definedName>
    <definedName name="DiasÚteis">{"segunda-feira","terça-feira","quarta-feira","quinta-feira","sexta-feira","sábado","domingo"}</definedName>
    <definedName name="Fev" localSheetId="6">Faturamento!DaysAndWeeks+DATE(Faturamento!CalendárioYear,2,1)-WEEKDAY(DATE(Faturamento!CalendárioYear,2,1),Faturamento!OpçãodeDiadaSemana)+1</definedName>
    <definedName name="Fev" localSheetId="2">Helexia!DaysAndWeeks+DATE(CalendárioYear,2,1)-WEEKDAY(DATE(CalendárioYear,2,1),Helexia!OpçãodeDiadaSemana)+1</definedName>
    <definedName name="Fev" localSheetId="1">Mapa!DaysAndWeeks+DATE(CalendárioYear,2,1)-WEEKDAY(DATE(CalendárioYear,2,1),Mapa!OpçãodeDiadaSemana)+1</definedName>
    <definedName name="Fev" localSheetId="9">MWp!DaysAndWeeks+DATE(MWp!CalendárioYear,2,1)-WEEKDAY(DATE(MWp!CalendárioYear,2,1),MWp!OpçãodeDiadaSemana)+1</definedName>
    <definedName name="Fev" localSheetId="10">Salários!DaysAndWeeks+DATE(Salários!CalendárioYear,2,1)-WEEKDAY(DATE(Salários!CalendárioYear,2,1),Salários!OpçãodeDiadaSemana)+1</definedName>
    <definedName name="Fev" localSheetId="11">Source!DaysAndWeeks+DATE(CalendárioYear,2,1)-WEEKDAY(DATE(CalendárioYear,2,1),Source!OpçãodeDiadaSemana)+1</definedName>
    <definedName name="Fev">DaysAndWeeks+DATE(CalendárioYear,2,1)-WEEKDAY(DATE(CalendárioYear,2,1),OpçãodeDiadaSemana)+1</definedName>
    <definedName name="Filtro_Val">#REF!</definedName>
    <definedName name="IníciodaSemana" localSheetId="6">#REF!</definedName>
    <definedName name="IníciodaSemana" localSheetId="9">#REF!</definedName>
    <definedName name="IníciodaSemana" localSheetId="10">#REF!</definedName>
    <definedName name="IníciodaSemana">#REF!</definedName>
    <definedName name="IR">#REF!</definedName>
    <definedName name="Jan" localSheetId="6">Faturamento!DaysAndWeeks+DATE(Faturamento!CalendárioYear,1,1)-WEEKDAY(DATE(Faturamento!CalendárioYear,1,1),Faturamento!OpçãodeDiadaSemana)+1</definedName>
    <definedName name="Jan" localSheetId="2">Helexia!DaysAndWeeks+DATE(CalendárioYear,1,1)-WEEKDAY(DATE(CalendárioYear,1,1),Helexia!OpçãodeDiadaSemana)+1</definedName>
    <definedName name="Jan" localSheetId="1">Mapa!DaysAndWeeks+DATE(CalendárioYear,1,1)-WEEKDAY(DATE(CalendárioYear,1,1),Mapa!OpçãodeDiadaSemana)+1</definedName>
    <definedName name="Jan" localSheetId="9">MWp!DaysAndWeeks+DATE(MWp!CalendárioYear,1,1)-WEEKDAY(DATE(MWp!CalendárioYear,1,1),MWp!OpçãodeDiadaSemana)+1</definedName>
    <definedName name="Jan" localSheetId="10">Salários!DaysAndWeeks+DATE(Salários!CalendárioYear,1,1)-WEEKDAY(DATE(Salários!CalendárioYear,1,1),Salários!OpçãodeDiadaSemana)+1</definedName>
    <definedName name="Jan" localSheetId="11">Source!DaysAndWeeks+DATE(CalendárioYear,1,1)-WEEKDAY(DATE(CalendárioYear,1,1),Source!OpçãodeDiadaSemana)+1</definedName>
    <definedName name="Jan">DaysAndWeeks+DATE(CalendárioYear,1,1)-WEEKDAY(DATE(CalendárioYear,1,1),OpçãodeDiadaSemana)+1</definedName>
    <definedName name="Jul" localSheetId="6">Faturamento!DaysAndWeeks+DATE(Faturamento!CalendárioYear,7,1)-WEEKDAY(DATE(Faturamento!CalendárioYear,7,1),Faturamento!OpçãodeDiadaSemana)+1</definedName>
    <definedName name="Jul" localSheetId="2">Helexia!DaysAndWeeks+DATE(CalendárioYear,7,1)-WEEKDAY(DATE(CalendárioYear,7,1),Helexia!OpçãodeDiadaSemana)+1</definedName>
    <definedName name="Jul" localSheetId="1">Mapa!DaysAndWeeks+DATE(CalendárioYear,7,1)-WEEKDAY(DATE(CalendárioYear,7,1),Mapa!OpçãodeDiadaSemana)+1</definedName>
    <definedName name="Jul" localSheetId="9">MWp!DaysAndWeeks+DATE(MWp!CalendárioYear,7,1)-WEEKDAY(DATE(MWp!CalendárioYear,7,1),MWp!OpçãodeDiadaSemana)+1</definedName>
    <definedName name="Jul" localSheetId="10">Salários!DaysAndWeeks+DATE(Salários!CalendárioYear,7,1)-WEEKDAY(DATE(Salários!CalendárioYear,7,1),Salários!OpçãodeDiadaSemana)+1</definedName>
    <definedName name="Jul" localSheetId="11">Source!DaysAndWeeks+DATE(CalendárioYear,7,1)-WEEKDAY(DATE(CalendárioYear,7,1),Source!OpçãodeDiadaSemana)+1</definedName>
    <definedName name="Jul">DaysAndWeeks+DATE(CalendárioYear,7,1)-WEEKDAY(DATE(CalendárioYear,7,1),OpçãodeDiadaSemana)+1</definedName>
    <definedName name="Jun" localSheetId="6">Faturamento!DaysAndWeeks+DATE(Faturamento!CalendárioYear,6,1)-WEEKDAY(DATE(Faturamento!CalendárioYear,6,1),Faturamento!OpçãodeDiadaSemana)+1</definedName>
    <definedName name="Jun" localSheetId="2">Helexia!DaysAndWeeks+DATE(CalendárioYear,6,1)-WEEKDAY(DATE(CalendárioYear,6,1),Helexia!OpçãodeDiadaSemana)+1</definedName>
    <definedName name="Jun" localSheetId="1">Mapa!DaysAndWeeks+DATE(CalendárioYear,6,1)-WEEKDAY(DATE(CalendárioYear,6,1),Mapa!OpçãodeDiadaSemana)+1</definedName>
    <definedName name="Jun" localSheetId="9">MWp!DaysAndWeeks+DATE(MWp!CalendárioYear,6,1)-WEEKDAY(DATE(MWp!CalendárioYear,6,1),MWp!OpçãodeDiadaSemana)+1</definedName>
    <definedName name="Jun" localSheetId="10">Salários!DaysAndWeeks+DATE(Salários!CalendárioYear,6,1)-WEEKDAY(DATE(Salários!CalendárioYear,6,1),Salários!OpçãodeDiadaSemana)+1</definedName>
    <definedName name="Jun" localSheetId="11">Source!DaysAndWeeks+DATE(CalendárioYear,6,1)-WEEKDAY(DATE(CalendárioYear,6,1),Source!OpçãodeDiadaSemana)+1</definedName>
    <definedName name="Jun">DaysAndWeeks+DATE(CalendárioYear,6,1)-WEEKDAY(DATE(CalendárioYear,6,1),OpçãodeDiadaSemana)+1</definedName>
    <definedName name="Maio" localSheetId="6">Faturamento!DaysAndWeeks+DATE(Faturamento!CalendárioYear,5,1)-WEEKDAY(DATE(Faturamento!CalendárioYear,5,1),Faturamento!OpçãodeDiadaSemana)+1</definedName>
    <definedName name="Maio" localSheetId="2">Helexia!DaysAndWeeks+DATE(CalendárioYear,5,1)-WEEKDAY(DATE(CalendárioYear,5,1),Helexia!OpçãodeDiadaSemana)+1</definedName>
    <definedName name="Maio" localSheetId="1">Mapa!DaysAndWeeks+DATE(CalendárioYear,5,1)-WEEKDAY(DATE(CalendárioYear,5,1),Mapa!OpçãodeDiadaSemana)+1</definedName>
    <definedName name="Maio" localSheetId="9">MWp!DaysAndWeeks+DATE(MWp!CalendárioYear,5,1)-WEEKDAY(DATE(MWp!CalendárioYear,5,1),MWp!OpçãodeDiadaSemana)+1</definedName>
    <definedName name="Maio" localSheetId="10">Salários!DaysAndWeeks+DATE(Salários!CalendárioYear,5,1)-WEEKDAY(DATE(Salários!CalendárioYear,5,1),Salários!OpçãodeDiadaSemana)+1</definedName>
    <definedName name="Maio" localSheetId="11">Source!DaysAndWeeks+DATE(CalendárioYear,5,1)-WEEKDAY(DATE(CalendárioYear,5,1),Source!OpçãodeDiadaSemana)+1</definedName>
    <definedName name="Maio">DaysAndWeeks+DATE(CalendárioYear,5,1)-WEEKDAY(DATE(CalendárioYear,5,1),OpçãodeDiadaSemana)+1</definedName>
    <definedName name="Mar" localSheetId="6">Faturamento!DaysAndWeeks+DATE(Faturamento!CalendárioYear,3,1)-WEEKDAY(DATE(Faturamento!CalendárioYear,3,1),Faturamento!OpçãodeDiadaSemana)+1</definedName>
    <definedName name="Mar" localSheetId="2">Helexia!DaysAndWeeks+DATE(CalendárioYear,3,1)-WEEKDAY(DATE(CalendárioYear,3,1),Helexia!OpçãodeDiadaSemana)+1</definedName>
    <definedName name="Mar" localSheetId="1">Mapa!DaysAndWeeks+DATE(CalendárioYear,3,1)-WEEKDAY(DATE(CalendárioYear,3,1),Mapa!OpçãodeDiadaSemana)+1</definedName>
    <definedName name="Mar" localSheetId="9">MWp!DaysAndWeeks+DATE(MWp!CalendárioYear,3,1)-WEEKDAY(DATE(MWp!CalendárioYear,3,1),MWp!OpçãodeDiadaSemana)+1</definedName>
    <definedName name="Mar" localSheetId="10">Salários!DaysAndWeeks+DATE(Salários!CalendárioYear,3,1)-WEEKDAY(DATE(Salários!CalendárioYear,3,1),Salários!OpçãodeDiadaSemana)+1</definedName>
    <definedName name="Mar" localSheetId="11">Source!DaysAndWeeks+DATE(CalendárioYear,3,1)-WEEKDAY(DATE(CalendárioYear,3,1),Source!OpçãodeDiadaSemana)+1</definedName>
    <definedName name="Mar">DaysAndWeeks+DATE(CalendárioYear,3,1)-WEEKDAY(DATE(CalendárioYear,3,1),OpçãodeDiadaSemana)+1</definedName>
    <definedName name="Nov" localSheetId="6">Faturamento!DaysAndWeeks+DATE(Faturamento!CalendárioYear,11,1)-WEEKDAY(DATE(Faturamento!CalendárioYear,11,1),Faturamento!OpçãodeDiadaSemana)+1</definedName>
    <definedName name="Nov" localSheetId="2">Helexia!DaysAndWeeks+DATE(CalendárioYear,11,1)-WEEKDAY(DATE(CalendárioYear,11,1),Helexia!OpçãodeDiadaSemana)+1</definedName>
    <definedName name="Nov" localSheetId="1">Mapa!DaysAndWeeks+DATE(CalendárioYear,11,1)-WEEKDAY(DATE(CalendárioYear,11,1),Mapa!OpçãodeDiadaSemana)+1</definedName>
    <definedName name="Nov" localSheetId="9">MWp!DaysAndWeeks+DATE(MWp!CalendárioYear,11,1)-WEEKDAY(DATE(MWp!CalendárioYear,11,1),MWp!OpçãodeDiadaSemana)+1</definedName>
    <definedName name="Nov" localSheetId="10">Salários!DaysAndWeeks+DATE(Salários!CalendárioYear,11,1)-WEEKDAY(DATE(Salários!CalendárioYear,11,1),Salários!OpçãodeDiadaSemana)+1</definedName>
    <definedName name="Nov" localSheetId="11">Source!DaysAndWeeks+DATE(CalendárioYear,11,1)-WEEKDAY(DATE(CalendárioYear,11,1),Source!OpçãodeDiadaSemana)+1</definedName>
    <definedName name="Nov">DaysAndWeeks+DATE(CalendárioYear,11,1)-WEEKDAY(DATE(CalendárioYear,11,1),OpçãodeDiadaSemana)+1</definedName>
    <definedName name="OpçãodeDiadaSemana" localSheetId="6">MATCH(Faturamento!IníciodaSemana,Faturamento!DiasÚteis,0)+10</definedName>
    <definedName name="OpçãodeDiadaSemana" localSheetId="2">MATCH(IníciodaSemana,Helexia!DiasÚteis,0)+10</definedName>
    <definedName name="OpçãodeDiadaSemana" localSheetId="1">MATCH(IníciodaSemana,Mapa!DiasÚteis,0)+10</definedName>
    <definedName name="OpçãodeDiadaSemana" localSheetId="9">MATCH(MWp!IníciodaSemana,MWp!DiasÚteis,0)+10</definedName>
    <definedName name="OpçãodeDiadaSemana" localSheetId="10">MATCH(Salários!IníciodaSemana,Salários!DiasÚteis,0)+10</definedName>
    <definedName name="OpçãodeDiadaSemana" localSheetId="11">MATCH(IníciodaSemana,Source!DiasÚteis,0)+10</definedName>
    <definedName name="OpçãodeDiadaSemana">MATCH(IníciodaSemana,DiasÚteis,0)+10</definedName>
    <definedName name="Out" localSheetId="6">Faturamento!DaysAndWeeks+DATE(Faturamento!CalendárioYear,10,1)-WEEKDAY(DATE(Faturamento!CalendárioYear,10,1),Faturamento!OpçãodeDiadaSemana)+1</definedName>
    <definedName name="Out" localSheetId="2">Helexia!DaysAndWeeks+DATE(CalendárioYear,10,1)-WEEKDAY(DATE(CalendárioYear,10,1),Helexia!OpçãodeDiadaSemana)+1</definedName>
    <definedName name="Out" localSheetId="1">Mapa!DaysAndWeeks+DATE(CalendárioYear,10,1)-WEEKDAY(DATE(CalendárioYear,10,1),Mapa!OpçãodeDiadaSemana)+1</definedName>
    <definedName name="Out" localSheetId="9">MWp!DaysAndWeeks+DATE(MWp!CalendárioYear,10,1)-WEEKDAY(DATE(MWp!CalendárioYear,10,1),MWp!OpçãodeDiadaSemana)+1</definedName>
    <definedName name="Out" localSheetId="10">Salários!DaysAndWeeks+DATE(Salários!CalendárioYear,10,1)-WEEKDAY(DATE(Salários!CalendárioYear,10,1),Salários!OpçãodeDiadaSemana)+1</definedName>
    <definedName name="Out" localSheetId="11">Source!DaysAndWeeks+DATE(CalendárioYear,10,1)-WEEKDAY(DATE(CalendárioYear,10,1),Source!OpçãodeDiadaSemana)+1</definedName>
    <definedName name="Out">DaysAndWeeks+DATE(CalendárioYear,10,1)-WEEKDAY(DATE(CalendárioYear,10,1),OpçãodeDiadaSemana)+1</definedName>
    <definedName name="Set" localSheetId="6">Faturamento!DaysAndWeeks+DATE(Faturamento!CalendárioYear,9,1)-WEEKDAY(DATE(Faturamento!CalendárioYear,9,1),Faturamento!OpçãodeDiadaSemana)+1</definedName>
    <definedName name="Set" localSheetId="2">Helexia!DaysAndWeeks+DATE(CalendárioYear,9,1)-WEEKDAY(DATE(CalendárioYear,9,1),Helexia!OpçãodeDiadaSemana)+1</definedName>
    <definedName name="Set" localSheetId="1">Mapa!DaysAndWeeks+DATE(CalendárioYear,9,1)-WEEKDAY(DATE(CalendárioYear,9,1),Mapa!OpçãodeDiadaSemana)+1</definedName>
    <definedName name="Set" localSheetId="9">MWp!DaysAndWeeks+DATE(MWp!CalendárioYear,9,1)-WEEKDAY(DATE(MWp!CalendárioYear,9,1),MWp!OpçãodeDiadaSemana)+1</definedName>
    <definedName name="Set" localSheetId="10">Salários!DaysAndWeeks+DATE(Salários!CalendárioYear,9,1)-WEEKDAY(DATE(Salários!CalendárioYear,9,1),Salários!OpçãodeDiadaSemana)+1</definedName>
    <definedName name="Set" localSheetId="11">Source!DaysAndWeeks+DATE(CalendárioYear,9,1)-WEEKDAY(DATE(CalendárioYear,9,1),Source!OpçãodeDiadaSemana)+1</definedName>
    <definedName name="Set">DaysAndWeeks+DATE(CalendárioYear,9,1)-WEEKDAY(DATE(CalendárioYear,9,1),OpçãodeDiadaSemana)+1</definedName>
    <definedName name="teste" localSheetId="6">OFFSET(#REF!,0,0,1,COUNTIFS(#REF!,"&gt;0"))</definedName>
    <definedName name="teste" localSheetId="10">OFFSET(#REF!,0,0,1,COUNTIFS(#REF!,"&gt;0"))</definedName>
    <definedName name="teste">OFFSET(#REF!,0,0,1,COUNTIFS(#REF!,"&gt;0"))</definedName>
    <definedName name="TIPO">#REF!</definedName>
    <definedName name="wrn.PENDENCIAS.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17" l="1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3" i="17"/>
  <c r="Q7" i="6"/>
  <c r="U2" i="6" a="1"/>
  <c r="U2" i="6" s="1"/>
  <c r="I15" i="16"/>
  <c r="E14" i="16"/>
  <c r="F14" i="16"/>
  <c r="G14" i="16"/>
  <c r="H14" i="16"/>
  <c r="I14" i="16"/>
  <c r="J14" i="16"/>
  <c r="K14" i="16"/>
  <c r="L14" i="16"/>
  <c r="L15" i="16" s="1"/>
  <c r="M14" i="16"/>
  <c r="M15" i="16" s="1"/>
  <c r="N14" i="16"/>
  <c r="O14" i="16"/>
  <c r="P14" i="16"/>
  <c r="Q14" i="16"/>
  <c r="Q15" i="16" s="1"/>
  <c r="R14" i="16"/>
  <c r="S14" i="16"/>
  <c r="T14" i="16"/>
  <c r="U14" i="16"/>
  <c r="U15" i="16" s="1"/>
  <c r="V14" i="16"/>
  <c r="W14" i="16"/>
  <c r="X14" i="16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4" i="8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4" i="7"/>
  <c r="Z9" i="16"/>
  <c r="Z14" i="16" s="1"/>
  <c r="AA9" i="16"/>
  <c r="AA14" i="16" s="1"/>
  <c r="Y9" i="16"/>
  <c r="Y14" i="16" s="1"/>
  <c r="Y15" i="16" s="1"/>
  <c r="X15" i="16" l="1"/>
  <c r="P15" i="16"/>
  <c r="H15" i="16"/>
  <c r="V15" i="16"/>
  <c r="N15" i="16"/>
  <c r="T15" i="16"/>
  <c r="F15" i="16"/>
  <c r="R15" i="16"/>
  <c r="J15" i="16"/>
  <c r="AA15" i="16"/>
  <c r="W15" i="16"/>
  <c r="O15" i="16"/>
  <c r="G15" i="16"/>
  <c r="Z15" i="16"/>
  <c r="S15" i="16"/>
  <c r="K15" i="16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9" i="7"/>
  <c r="D40" i="7"/>
  <c r="D41" i="7"/>
  <c r="D42" i="7"/>
  <c r="D43" i="7"/>
  <c r="D44" i="7"/>
  <c r="D45" i="7"/>
  <c r="D46" i="7"/>
  <c r="D47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H65" i="4" l="1" a="1"/>
  <c r="H65" i="4" s="1"/>
  <c r="Q2" i="6" a="1"/>
  <c r="Q2" i="6" s="1"/>
  <c r="C5" i="17" l="1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I37" i="4" s="1"/>
  <c r="C38" i="17"/>
  <c r="I38" i="4" s="1"/>
  <c r="C39" i="17"/>
  <c r="I39" i="4" s="1"/>
  <c r="C40" i="17"/>
  <c r="I40" i="4" s="1"/>
  <c r="C41" i="17"/>
  <c r="I41" i="4" s="1"/>
  <c r="C42" i="17"/>
  <c r="I42" i="4" s="1"/>
  <c r="C43" i="17"/>
  <c r="I43" i="4" s="1"/>
  <c r="C44" i="17"/>
  <c r="I44" i="4" s="1"/>
  <c r="C45" i="17"/>
  <c r="I45" i="4" s="1"/>
  <c r="C46" i="17"/>
  <c r="I46" i="4" s="1"/>
  <c r="C47" i="17"/>
  <c r="I47" i="4" s="1"/>
  <c r="C48" i="17"/>
  <c r="I48" i="4" s="1"/>
  <c r="C49" i="17"/>
  <c r="I49" i="4" s="1"/>
  <c r="C50" i="17"/>
  <c r="I50" i="4" s="1"/>
  <c r="C51" i="17"/>
  <c r="I51" i="4" s="1"/>
  <c r="C52" i="17"/>
  <c r="I52" i="4" s="1"/>
  <c r="C53" i="17"/>
  <c r="I53" i="4" s="1"/>
  <c r="C54" i="17"/>
  <c r="C55" i="17"/>
  <c r="I55" i="4" s="1"/>
  <c r="C56" i="17"/>
  <c r="I56" i="4" s="1"/>
  <c r="C57" i="17"/>
  <c r="I57" i="4" s="1"/>
  <c r="C58" i="17"/>
  <c r="C59" i="17"/>
  <c r="C60" i="17"/>
  <c r="I60" i="4" s="1"/>
  <c r="C61" i="17"/>
  <c r="I61" i="4" s="1"/>
  <c r="C62" i="17"/>
  <c r="I62" i="4" s="1"/>
  <c r="C63" i="17"/>
  <c r="I63" i="4" s="1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AE51" i="17"/>
  <c r="AD51" i="17"/>
  <c r="AC51" i="17"/>
  <c r="AB51" i="17"/>
  <c r="AA51" i="17"/>
  <c r="Z51" i="17"/>
  <c r="Y51" i="17"/>
  <c r="X51" i="17"/>
  <c r="W51" i="17"/>
  <c r="K51" i="17"/>
  <c r="L51" i="17" s="1"/>
  <c r="M51" i="17" s="1"/>
  <c r="P51" i="17" s="1"/>
  <c r="BA51" i="17" l="1"/>
  <c r="AG51" i="17"/>
  <c r="R51" i="17"/>
  <c r="N51" i="17"/>
  <c r="O51" i="17"/>
  <c r="Q51" i="17" s="1"/>
  <c r="S51" i="17" l="1"/>
  <c r="V51" i="17" s="1"/>
  <c r="AH51" i="17" s="1"/>
  <c r="AR51" i="17" l="1"/>
  <c r="AN51" i="17"/>
  <c r="AJ51" i="17"/>
  <c r="AZ51" i="17"/>
  <c r="AY51" i="17"/>
  <c r="AX51" i="17" l="1"/>
  <c r="AT51" i="17"/>
  <c r="AP51" i="17"/>
  <c r="AL51" i="17"/>
  <c r="AV51" i="17"/>
  <c r="L65" i="4" l="1" a="1"/>
  <c r="L65" i="4" s="1"/>
  <c r="A64" i="17" l="1"/>
  <c r="A65" i="17"/>
  <c r="A66" i="17"/>
  <c r="A67" i="17"/>
  <c r="A68" i="17"/>
  <c r="C66" i="17"/>
  <c r="C64" i="17"/>
  <c r="C65" i="17"/>
  <c r="B64" i="17"/>
  <c r="B65" i="17"/>
  <c r="C67" i="17"/>
  <c r="C68" i="17"/>
  <c r="F63" i="4"/>
  <c r="D14" i="16" l="1"/>
  <c r="C14" i="16"/>
  <c r="B14" i="16"/>
  <c r="E15" i="16" l="1"/>
  <c r="D15" i="16"/>
  <c r="B16" i="16"/>
  <c r="C15" i="16"/>
  <c r="Q4" i="6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D19" i="7" s="1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D38" i="7" s="1"/>
  <c r="F47" i="4"/>
  <c r="D48" i="7" s="1"/>
  <c r="F48" i="4"/>
  <c r="D49" i="7" s="1"/>
  <c r="F3" i="3" l="1"/>
  <c r="F2" i="3"/>
  <c r="K4" i="17" l="1"/>
  <c r="K5" i="17"/>
  <c r="L5" i="17" s="1"/>
  <c r="M5" i="17" s="1"/>
  <c r="K6" i="17"/>
  <c r="L6" i="17" s="1"/>
  <c r="M6" i="17" s="1"/>
  <c r="K7" i="17"/>
  <c r="K8" i="17"/>
  <c r="L8" i="17" s="1"/>
  <c r="M8" i="17" s="1"/>
  <c r="P8" i="17" s="1"/>
  <c r="K9" i="17"/>
  <c r="L9" i="17" s="1"/>
  <c r="M9" i="17" s="1"/>
  <c r="K10" i="17"/>
  <c r="L10" i="17" s="1"/>
  <c r="M10" i="17" s="1"/>
  <c r="K11" i="17"/>
  <c r="L11" i="17" s="1"/>
  <c r="M11" i="17" s="1"/>
  <c r="K12" i="17"/>
  <c r="K13" i="17"/>
  <c r="K14" i="17"/>
  <c r="L14" i="17" s="1"/>
  <c r="M14" i="17" s="1"/>
  <c r="K15" i="17"/>
  <c r="L15" i="17" s="1"/>
  <c r="M15" i="17" s="1"/>
  <c r="K16" i="17"/>
  <c r="L16" i="17" s="1"/>
  <c r="M16" i="17" s="1"/>
  <c r="K17" i="17"/>
  <c r="L17" i="17" s="1"/>
  <c r="M17" i="17" s="1"/>
  <c r="K18" i="17"/>
  <c r="L18" i="17" s="1"/>
  <c r="M18" i="17" s="1"/>
  <c r="K19" i="17"/>
  <c r="L19" i="17" s="1"/>
  <c r="M19" i="17" s="1"/>
  <c r="K20" i="17"/>
  <c r="K21" i="17"/>
  <c r="L21" i="17" s="1"/>
  <c r="M21" i="17" s="1"/>
  <c r="K22" i="17"/>
  <c r="L22" i="17" s="1"/>
  <c r="M22" i="17" s="1"/>
  <c r="K23" i="17"/>
  <c r="K24" i="17"/>
  <c r="L24" i="17" s="1"/>
  <c r="M24" i="17" s="1"/>
  <c r="K25" i="17"/>
  <c r="L25" i="17" s="1"/>
  <c r="M25" i="17" s="1"/>
  <c r="K26" i="17"/>
  <c r="L26" i="17" s="1"/>
  <c r="M26" i="17" s="1"/>
  <c r="K27" i="17"/>
  <c r="L27" i="17" s="1"/>
  <c r="M27" i="17" s="1"/>
  <c r="K28" i="17"/>
  <c r="L28" i="17" s="1"/>
  <c r="M28" i="17" s="1"/>
  <c r="K29" i="17"/>
  <c r="L29" i="17" s="1"/>
  <c r="M29" i="17" s="1"/>
  <c r="K30" i="17"/>
  <c r="L30" i="17" s="1"/>
  <c r="M30" i="17" s="1"/>
  <c r="K31" i="17"/>
  <c r="L31" i="17" s="1"/>
  <c r="M31" i="17" s="1"/>
  <c r="K32" i="17"/>
  <c r="L32" i="17" s="1"/>
  <c r="M32" i="17" s="1"/>
  <c r="K33" i="17"/>
  <c r="L33" i="17" s="1"/>
  <c r="M33" i="17" s="1"/>
  <c r="K34" i="17"/>
  <c r="L34" i="17" s="1"/>
  <c r="M34" i="17" s="1"/>
  <c r="K35" i="17"/>
  <c r="L35" i="17" s="1"/>
  <c r="M35" i="17" s="1"/>
  <c r="K36" i="17"/>
  <c r="L36" i="17" s="1"/>
  <c r="M36" i="17" s="1"/>
  <c r="K37" i="17"/>
  <c r="L37" i="17" s="1"/>
  <c r="M37" i="17" s="1"/>
  <c r="K38" i="17"/>
  <c r="K39" i="17"/>
  <c r="L39" i="17" s="1"/>
  <c r="M39" i="17" s="1"/>
  <c r="K40" i="17"/>
  <c r="L40" i="17" s="1"/>
  <c r="M40" i="17" s="1"/>
  <c r="K41" i="17"/>
  <c r="L41" i="17" s="1"/>
  <c r="M41" i="17" s="1"/>
  <c r="K42" i="17"/>
  <c r="L42" i="17" s="1"/>
  <c r="M42" i="17" s="1"/>
  <c r="K43" i="17"/>
  <c r="L43" i="17" s="1"/>
  <c r="M43" i="17" s="1"/>
  <c r="K44" i="17"/>
  <c r="L44" i="17" s="1"/>
  <c r="M44" i="17" s="1"/>
  <c r="K45" i="17"/>
  <c r="L45" i="17" s="1"/>
  <c r="M45" i="17" s="1"/>
  <c r="K46" i="17"/>
  <c r="L46" i="17" s="1"/>
  <c r="M46" i="17" s="1"/>
  <c r="K47" i="17"/>
  <c r="L47" i="17" s="1"/>
  <c r="M47" i="17" s="1"/>
  <c r="K48" i="17"/>
  <c r="L48" i="17" s="1"/>
  <c r="M48" i="17" s="1"/>
  <c r="K49" i="17"/>
  <c r="L49" i="17" s="1"/>
  <c r="M49" i="17" s="1"/>
  <c r="K50" i="17"/>
  <c r="L50" i="17" s="1"/>
  <c r="M50" i="17" s="1"/>
  <c r="P50" i="17" s="1"/>
  <c r="K52" i="17"/>
  <c r="L52" i="17" s="1"/>
  <c r="M52" i="17" s="1"/>
  <c r="K53" i="17"/>
  <c r="L53" i="17" s="1"/>
  <c r="M53" i="17" s="1"/>
  <c r="K54" i="17"/>
  <c r="L54" i="17" s="1"/>
  <c r="M54" i="17" s="1"/>
  <c r="K55" i="17"/>
  <c r="L55" i="17" s="1"/>
  <c r="M55" i="17" s="1"/>
  <c r="K56" i="17"/>
  <c r="L56" i="17" s="1"/>
  <c r="M56" i="17" s="1"/>
  <c r="K57" i="17"/>
  <c r="L57" i="17" s="1"/>
  <c r="M57" i="17" s="1"/>
  <c r="K58" i="17"/>
  <c r="L58" i="17" s="1"/>
  <c r="M58" i="17" s="1"/>
  <c r="K59" i="17"/>
  <c r="L59" i="17" s="1"/>
  <c r="M59" i="17" s="1"/>
  <c r="K60" i="17"/>
  <c r="L60" i="17" s="1"/>
  <c r="M60" i="17" s="1"/>
  <c r="K61" i="17"/>
  <c r="L61" i="17" s="1"/>
  <c r="M61" i="17" s="1"/>
  <c r="K62" i="17"/>
  <c r="L62" i="17" s="1"/>
  <c r="M62" i="17" s="1"/>
  <c r="K63" i="17"/>
  <c r="L63" i="17" s="1"/>
  <c r="M63" i="17" s="1"/>
  <c r="R63" i="17" s="1"/>
  <c r="K64" i="17"/>
  <c r="L64" i="17" s="1"/>
  <c r="M64" i="17" s="1"/>
  <c r="K65" i="17"/>
  <c r="L65" i="17" s="1"/>
  <c r="M65" i="17" s="1"/>
  <c r="P65" i="17" s="1"/>
  <c r="K66" i="17"/>
  <c r="L66" i="17" s="1"/>
  <c r="M66" i="17" s="1"/>
  <c r="K67" i="17"/>
  <c r="L67" i="17" s="1"/>
  <c r="M67" i="17" s="1"/>
  <c r="K68" i="17"/>
  <c r="L68" i="17" s="1"/>
  <c r="M68" i="17" s="1"/>
  <c r="K69" i="17"/>
  <c r="L69" i="17" s="1"/>
  <c r="M69" i="17" s="1"/>
  <c r="K70" i="17"/>
  <c r="L70" i="17" s="1"/>
  <c r="M70" i="17" s="1"/>
  <c r="K71" i="17"/>
  <c r="L71" i="17" s="1"/>
  <c r="M71" i="17" s="1"/>
  <c r="K72" i="17"/>
  <c r="L72" i="17" s="1"/>
  <c r="M72" i="17" s="1"/>
  <c r="K73" i="17"/>
  <c r="L73" i="17" s="1"/>
  <c r="M73" i="17" s="1"/>
  <c r="K74" i="17"/>
  <c r="L74" i="17" s="1"/>
  <c r="M74" i="17" s="1"/>
  <c r="K75" i="17"/>
  <c r="L75" i="17" s="1"/>
  <c r="M75" i="17" s="1"/>
  <c r="K76" i="17"/>
  <c r="L76" i="17" s="1"/>
  <c r="M76" i="17" s="1"/>
  <c r="K77" i="17"/>
  <c r="K78" i="17"/>
  <c r="L78" i="17" s="1"/>
  <c r="M78" i="17" s="1"/>
  <c r="K79" i="17"/>
  <c r="L79" i="17" s="1"/>
  <c r="M79" i="17" s="1"/>
  <c r="K80" i="17"/>
  <c r="L80" i="17" s="1"/>
  <c r="M80" i="17" s="1"/>
  <c r="K81" i="17"/>
  <c r="L81" i="17" s="1"/>
  <c r="M81" i="17" s="1"/>
  <c r="K82" i="17"/>
  <c r="L82" i="17" s="1"/>
  <c r="M82" i="17" s="1"/>
  <c r="K3" i="17"/>
  <c r="L3" i="17" s="1"/>
  <c r="M3" i="17" s="1"/>
  <c r="C4" i="17"/>
  <c r="C3" i="17"/>
  <c r="AE3" i="17"/>
  <c r="AD3" i="17"/>
  <c r="AC3" i="17"/>
  <c r="AB3" i="17"/>
  <c r="AA3" i="17"/>
  <c r="Z3" i="17"/>
  <c r="Y3" i="17"/>
  <c r="X3" i="17"/>
  <c r="W3" i="17"/>
  <c r="AE82" i="17"/>
  <c r="AD82" i="17"/>
  <c r="AC82" i="17"/>
  <c r="AB82" i="17"/>
  <c r="AA82" i="17"/>
  <c r="Z82" i="17"/>
  <c r="Y82" i="17"/>
  <c r="X82" i="17"/>
  <c r="W82" i="17"/>
  <c r="AE81" i="17"/>
  <c r="AD81" i="17"/>
  <c r="AC81" i="17"/>
  <c r="AB81" i="17"/>
  <c r="AA81" i="17"/>
  <c r="Z81" i="17"/>
  <c r="Y81" i="17"/>
  <c r="X81" i="17"/>
  <c r="W81" i="17"/>
  <c r="AE80" i="17"/>
  <c r="AD80" i="17"/>
  <c r="AC80" i="17"/>
  <c r="AB80" i="17"/>
  <c r="AA80" i="17"/>
  <c r="Z80" i="17"/>
  <c r="Y80" i="17"/>
  <c r="X80" i="17"/>
  <c r="W80" i="17"/>
  <c r="AE79" i="17"/>
  <c r="AD79" i="17"/>
  <c r="AC79" i="17"/>
  <c r="AB79" i="17"/>
  <c r="AA79" i="17"/>
  <c r="Z79" i="17"/>
  <c r="Y79" i="17"/>
  <c r="X79" i="17"/>
  <c r="W79" i="17"/>
  <c r="AE78" i="17"/>
  <c r="AD78" i="17"/>
  <c r="AC78" i="17"/>
  <c r="AB78" i="17"/>
  <c r="AA78" i="17"/>
  <c r="Z78" i="17"/>
  <c r="Y78" i="17"/>
  <c r="X78" i="17"/>
  <c r="W78" i="17"/>
  <c r="BA78" i="17" s="1"/>
  <c r="AE77" i="17"/>
  <c r="AD77" i="17"/>
  <c r="AC77" i="17"/>
  <c r="AB77" i="17"/>
  <c r="AA77" i="17"/>
  <c r="Z77" i="17"/>
  <c r="Y77" i="17"/>
  <c r="X77" i="17"/>
  <c r="W77" i="17"/>
  <c r="L77" i="17"/>
  <c r="M77" i="17" s="1"/>
  <c r="AE76" i="17"/>
  <c r="AD76" i="17"/>
  <c r="AC76" i="17"/>
  <c r="AB76" i="17"/>
  <c r="AA76" i="17"/>
  <c r="Z76" i="17"/>
  <c r="Y76" i="17"/>
  <c r="X76" i="17"/>
  <c r="W76" i="17"/>
  <c r="AE75" i="17"/>
  <c r="AD75" i="17"/>
  <c r="AC75" i="17"/>
  <c r="AB75" i="17"/>
  <c r="AA75" i="17"/>
  <c r="Z75" i="17"/>
  <c r="Y75" i="17"/>
  <c r="X75" i="17"/>
  <c r="W75" i="17"/>
  <c r="AE74" i="17"/>
  <c r="AD74" i="17"/>
  <c r="AC74" i="17"/>
  <c r="AB74" i="17"/>
  <c r="AA74" i="17"/>
  <c r="Z74" i="17"/>
  <c r="Y74" i="17"/>
  <c r="X74" i="17"/>
  <c r="W74" i="17"/>
  <c r="AE73" i="17"/>
  <c r="AD73" i="17"/>
  <c r="AC73" i="17"/>
  <c r="AB73" i="17"/>
  <c r="AA73" i="17"/>
  <c r="Z73" i="17"/>
  <c r="Y73" i="17"/>
  <c r="X73" i="17"/>
  <c r="W73" i="17"/>
  <c r="AE72" i="17"/>
  <c r="AD72" i="17"/>
  <c r="AC72" i="17"/>
  <c r="AB72" i="17"/>
  <c r="AA72" i="17"/>
  <c r="Z72" i="17"/>
  <c r="Y72" i="17"/>
  <c r="X72" i="17"/>
  <c r="W72" i="17"/>
  <c r="AE71" i="17"/>
  <c r="AD71" i="17"/>
  <c r="AC71" i="17"/>
  <c r="AB71" i="17"/>
  <c r="AA71" i="17"/>
  <c r="Z71" i="17"/>
  <c r="Y71" i="17"/>
  <c r="X71" i="17"/>
  <c r="W71" i="17"/>
  <c r="BA71" i="17" s="1"/>
  <c r="AE70" i="17"/>
  <c r="AD70" i="17"/>
  <c r="AC70" i="17"/>
  <c r="AB70" i="17"/>
  <c r="AA70" i="17"/>
  <c r="Z70" i="17"/>
  <c r="Y70" i="17"/>
  <c r="X70" i="17"/>
  <c r="W70" i="17"/>
  <c r="AE69" i="17"/>
  <c r="AD69" i="17"/>
  <c r="AC69" i="17"/>
  <c r="AB69" i="17"/>
  <c r="AA69" i="17"/>
  <c r="Z69" i="17"/>
  <c r="Y69" i="17"/>
  <c r="X69" i="17"/>
  <c r="W69" i="17"/>
  <c r="AE68" i="17"/>
  <c r="AD68" i="17"/>
  <c r="AC68" i="17"/>
  <c r="AB68" i="17"/>
  <c r="AA68" i="17"/>
  <c r="Z68" i="17"/>
  <c r="Y68" i="17"/>
  <c r="X68" i="17"/>
  <c r="W68" i="17"/>
  <c r="AE67" i="17"/>
  <c r="AD67" i="17"/>
  <c r="AC67" i="17"/>
  <c r="AB67" i="17"/>
  <c r="AA67" i="17"/>
  <c r="Z67" i="17"/>
  <c r="Y67" i="17"/>
  <c r="X67" i="17"/>
  <c r="W67" i="17"/>
  <c r="AE65" i="17"/>
  <c r="AD65" i="17"/>
  <c r="AC65" i="17"/>
  <c r="AB65" i="17"/>
  <c r="AA65" i="17"/>
  <c r="Z65" i="17"/>
  <c r="Y65" i="17"/>
  <c r="X65" i="17"/>
  <c r="W65" i="17"/>
  <c r="AE64" i="17"/>
  <c r="AD64" i="17"/>
  <c r="AC64" i="17"/>
  <c r="AB64" i="17"/>
  <c r="AA64" i="17"/>
  <c r="Z64" i="17"/>
  <c r="Y64" i="17"/>
  <c r="X64" i="17"/>
  <c r="W64" i="17"/>
  <c r="AE63" i="17"/>
  <c r="AD63" i="17"/>
  <c r="AC63" i="17"/>
  <c r="AB63" i="17"/>
  <c r="AA63" i="17"/>
  <c r="Z63" i="17"/>
  <c r="Y63" i="17"/>
  <c r="X63" i="17"/>
  <c r="W63" i="17"/>
  <c r="AE62" i="17"/>
  <c r="AD62" i="17"/>
  <c r="AC62" i="17"/>
  <c r="AB62" i="17"/>
  <c r="AA62" i="17"/>
  <c r="Z62" i="17"/>
  <c r="Y62" i="17"/>
  <c r="X62" i="17"/>
  <c r="W62" i="17"/>
  <c r="AE61" i="17"/>
  <c r="AD61" i="17"/>
  <c r="AC61" i="17"/>
  <c r="AB61" i="17"/>
  <c r="AA61" i="17"/>
  <c r="Z61" i="17"/>
  <c r="Y61" i="17"/>
  <c r="X61" i="17"/>
  <c r="W61" i="17"/>
  <c r="AE60" i="17"/>
  <c r="AD60" i="17"/>
  <c r="AC60" i="17"/>
  <c r="AB60" i="17"/>
  <c r="AA60" i="17"/>
  <c r="Z60" i="17"/>
  <c r="Y60" i="17"/>
  <c r="X60" i="17"/>
  <c r="W60" i="17"/>
  <c r="AE66" i="17"/>
  <c r="AD66" i="17"/>
  <c r="AC66" i="17"/>
  <c r="AB66" i="17"/>
  <c r="AA66" i="17"/>
  <c r="Z66" i="17"/>
  <c r="Y66" i="17"/>
  <c r="X66" i="17"/>
  <c r="W66" i="17"/>
  <c r="AE59" i="17"/>
  <c r="AD59" i="17"/>
  <c r="AC59" i="17"/>
  <c r="AB59" i="17"/>
  <c r="AA59" i="17"/>
  <c r="Z59" i="17"/>
  <c r="Y59" i="17"/>
  <c r="X59" i="17"/>
  <c r="W59" i="17"/>
  <c r="AE58" i="17"/>
  <c r="AD58" i="17"/>
  <c r="AC58" i="17"/>
  <c r="AB58" i="17"/>
  <c r="AA58" i="17"/>
  <c r="Z58" i="17"/>
  <c r="Y58" i="17"/>
  <c r="X58" i="17"/>
  <c r="W58" i="17"/>
  <c r="AE57" i="17"/>
  <c r="AD57" i="17"/>
  <c r="AC57" i="17"/>
  <c r="AB57" i="17"/>
  <c r="AA57" i="17"/>
  <c r="Z57" i="17"/>
  <c r="Y57" i="17"/>
  <c r="X57" i="17"/>
  <c r="W57" i="17"/>
  <c r="AE56" i="17"/>
  <c r="AD56" i="17"/>
  <c r="AC56" i="17"/>
  <c r="AB56" i="17"/>
  <c r="AA56" i="17"/>
  <c r="Z56" i="17"/>
  <c r="Y56" i="17"/>
  <c r="X56" i="17"/>
  <c r="W56" i="17"/>
  <c r="AE55" i="17"/>
  <c r="AD55" i="17"/>
  <c r="AC55" i="17"/>
  <c r="AB55" i="17"/>
  <c r="AA55" i="17"/>
  <c r="Z55" i="17"/>
  <c r="Y55" i="17"/>
  <c r="X55" i="17"/>
  <c r="W55" i="17"/>
  <c r="AE54" i="17"/>
  <c r="AD54" i="17"/>
  <c r="AC54" i="17"/>
  <c r="AB54" i="17"/>
  <c r="AA54" i="17"/>
  <c r="Z54" i="17"/>
  <c r="Y54" i="17"/>
  <c r="X54" i="17"/>
  <c r="W54" i="17"/>
  <c r="AE53" i="17"/>
  <c r="AD53" i="17"/>
  <c r="AC53" i="17"/>
  <c r="AB53" i="17"/>
  <c r="AA53" i="17"/>
  <c r="Z53" i="17"/>
  <c r="Y53" i="17"/>
  <c r="X53" i="17"/>
  <c r="W53" i="17"/>
  <c r="AE52" i="17"/>
  <c r="AD52" i="17"/>
  <c r="AC52" i="17"/>
  <c r="AB52" i="17"/>
  <c r="AA52" i="17"/>
  <c r="Z52" i="17"/>
  <c r="Y52" i="17"/>
  <c r="X52" i="17"/>
  <c r="W52" i="17"/>
  <c r="AE50" i="17"/>
  <c r="AD50" i="17"/>
  <c r="AC50" i="17"/>
  <c r="AB50" i="17"/>
  <c r="AA50" i="17"/>
  <c r="Z50" i="17"/>
  <c r="Y50" i="17"/>
  <c r="X50" i="17"/>
  <c r="W50" i="17"/>
  <c r="AE49" i="17"/>
  <c r="AD49" i="17"/>
  <c r="AC49" i="17"/>
  <c r="AB49" i="17"/>
  <c r="AA49" i="17"/>
  <c r="Z49" i="17"/>
  <c r="Y49" i="17"/>
  <c r="X49" i="17"/>
  <c r="W49" i="17"/>
  <c r="AE48" i="17"/>
  <c r="AD48" i="17"/>
  <c r="AC48" i="17"/>
  <c r="AB48" i="17"/>
  <c r="AA48" i="17"/>
  <c r="Z48" i="17"/>
  <c r="Y48" i="17"/>
  <c r="X48" i="17"/>
  <c r="W48" i="17"/>
  <c r="AE47" i="17"/>
  <c r="AD47" i="17"/>
  <c r="AC47" i="17"/>
  <c r="AB47" i="17"/>
  <c r="AA47" i="17"/>
  <c r="Z47" i="17"/>
  <c r="Y47" i="17"/>
  <c r="X47" i="17"/>
  <c r="W47" i="17"/>
  <c r="AE46" i="17"/>
  <c r="AD46" i="17"/>
  <c r="AC46" i="17"/>
  <c r="AB46" i="17"/>
  <c r="AA46" i="17"/>
  <c r="Z46" i="17"/>
  <c r="Y46" i="17"/>
  <c r="X46" i="17"/>
  <c r="W46" i="17"/>
  <c r="AE45" i="17"/>
  <c r="AD45" i="17"/>
  <c r="AC45" i="17"/>
  <c r="AB45" i="17"/>
  <c r="AA45" i="17"/>
  <c r="Z45" i="17"/>
  <c r="Y45" i="17"/>
  <c r="X45" i="17"/>
  <c r="W45" i="17"/>
  <c r="AE44" i="17"/>
  <c r="AD44" i="17"/>
  <c r="AC44" i="17"/>
  <c r="AB44" i="17"/>
  <c r="AA44" i="17"/>
  <c r="Z44" i="17"/>
  <c r="Y44" i="17"/>
  <c r="X44" i="17"/>
  <c r="W44" i="17"/>
  <c r="AE43" i="17"/>
  <c r="AD43" i="17"/>
  <c r="AC43" i="17"/>
  <c r="AB43" i="17"/>
  <c r="AA43" i="17"/>
  <c r="Z43" i="17"/>
  <c r="Y43" i="17"/>
  <c r="X43" i="17"/>
  <c r="W43" i="17"/>
  <c r="AE42" i="17"/>
  <c r="AD42" i="17"/>
  <c r="AC42" i="17"/>
  <c r="AB42" i="17"/>
  <c r="AA42" i="17"/>
  <c r="Z42" i="17"/>
  <c r="Y42" i="17"/>
  <c r="X42" i="17"/>
  <c r="W42" i="17"/>
  <c r="AE41" i="17"/>
  <c r="AD41" i="17"/>
  <c r="AC41" i="17"/>
  <c r="AB41" i="17"/>
  <c r="AA41" i="17"/>
  <c r="Z41" i="17"/>
  <c r="Y41" i="17"/>
  <c r="X41" i="17"/>
  <c r="W41" i="17"/>
  <c r="AE40" i="17"/>
  <c r="AD40" i="17"/>
  <c r="AC40" i="17"/>
  <c r="AB40" i="17"/>
  <c r="AA40" i="17"/>
  <c r="Z40" i="17"/>
  <c r="Y40" i="17"/>
  <c r="X40" i="17"/>
  <c r="W40" i="17"/>
  <c r="AE39" i="17"/>
  <c r="AD39" i="17"/>
  <c r="AC39" i="17"/>
  <c r="AB39" i="17"/>
  <c r="AA39" i="17"/>
  <c r="Z39" i="17"/>
  <c r="Y39" i="17"/>
  <c r="X39" i="17"/>
  <c r="W39" i="17"/>
  <c r="AE38" i="17"/>
  <c r="AD38" i="17"/>
  <c r="AC38" i="17"/>
  <c r="AB38" i="17"/>
  <c r="AA38" i="17"/>
  <c r="Z38" i="17"/>
  <c r="Y38" i="17"/>
  <c r="X38" i="17"/>
  <c r="W38" i="17"/>
  <c r="L38" i="17"/>
  <c r="M38" i="17" s="1"/>
  <c r="AE37" i="17"/>
  <c r="AD37" i="17"/>
  <c r="AC37" i="17"/>
  <c r="AB37" i="17"/>
  <c r="AA37" i="17"/>
  <c r="Z37" i="17"/>
  <c r="Y37" i="17"/>
  <c r="X37" i="17"/>
  <c r="W37" i="17"/>
  <c r="AE36" i="17"/>
  <c r="AD36" i="17"/>
  <c r="AC36" i="17"/>
  <c r="AB36" i="17"/>
  <c r="AA36" i="17"/>
  <c r="Z36" i="17"/>
  <c r="Y36" i="17"/>
  <c r="X36" i="17"/>
  <c r="W36" i="17"/>
  <c r="AE35" i="17"/>
  <c r="AD35" i="17"/>
  <c r="AC35" i="17"/>
  <c r="AB35" i="17"/>
  <c r="AA35" i="17"/>
  <c r="Z35" i="17"/>
  <c r="Y35" i="17"/>
  <c r="X35" i="17"/>
  <c r="W35" i="17"/>
  <c r="AE34" i="17"/>
  <c r="AD34" i="17"/>
  <c r="AC34" i="17"/>
  <c r="AB34" i="17"/>
  <c r="AA34" i="17"/>
  <c r="Z34" i="17"/>
  <c r="Y34" i="17"/>
  <c r="X34" i="17"/>
  <c r="W34" i="17"/>
  <c r="AE33" i="17"/>
  <c r="AD33" i="17"/>
  <c r="AC33" i="17"/>
  <c r="AB33" i="17"/>
  <c r="AA33" i="17"/>
  <c r="Z33" i="17"/>
  <c r="Y33" i="17"/>
  <c r="X33" i="17"/>
  <c r="W33" i="17"/>
  <c r="AE32" i="17"/>
  <c r="AD32" i="17"/>
  <c r="AC32" i="17"/>
  <c r="AB32" i="17"/>
  <c r="AA32" i="17"/>
  <c r="Z32" i="17"/>
  <c r="Y32" i="17"/>
  <c r="X32" i="17"/>
  <c r="W32" i="17"/>
  <c r="AE31" i="17"/>
  <c r="AD31" i="17"/>
  <c r="AC31" i="17"/>
  <c r="AB31" i="17"/>
  <c r="AA31" i="17"/>
  <c r="Z31" i="17"/>
  <c r="Y31" i="17"/>
  <c r="X31" i="17"/>
  <c r="W31" i="17"/>
  <c r="AE30" i="17"/>
  <c r="AD30" i="17"/>
  <c r="AC30" i="17"/>
  <c r="AB30" i="17"/>
  <c r="AA30" i="17"/>
  <c r="Z30" i="17"/>
  <c r="Y30" i="17"/>
  <c r="X30" i="17"/>
  <c r="W30" i="17"/>
  <c r="AE29" i="17"/>
  <c r="AD29" i="17"/>
  <c r="AC29" i="17"/>
  <c r="AB29" i="17"/>
  <c r="AA29" i="17"/>
  <c r="Z29" i="17"/>
  <c r="Y29" i="17"/>
  <c r="X29" i="17"/>
  <c r="W29" i="17"/>
  <c r="AE28" i="17"/>
  <c r="AD28" i="17"/>
  <c r="AC28" i="17"/>
  <c r="AB28" i="17"/>
  <c r="AA28" i="17"/>
  <c r="Z28" i="17"/>
  <c r="Y28" i="17"/>
  <c r="X28" i="17"/>
  <c r="W28" i="17"/>
  <c r="AE27" i="17"/>
  <c r="AD27" i="17"/>
  <c r="AC27" i="17"/>
  <c r="AB27" i="17"/>
  <c r="AA27" i="17"/>
  <c r="Z27" i="17"/>
  <c r="Y27" i="17"/>
  <c r="X27" i="17"/>
  <c r="W27" i="17"/>
  <c r="AE26" i="17"/>
  <c r="AD26" i="17"/>
  <c r="AC26" i="17"/>
  <c r="AB26" i="17"/>
  <c r="AA26" i="17"/>
  <c r="Z26" i="17"/>
  <c r="Y26" i="17"/>
  <c r="X26" i="17"/>
  <c r="W26" i="17"/>
  <c r="AE25" i="17"/>
  <c r="AD25" i="17"/>
  <c r="AC25" i="17"/>
  <c r="AB25" i="17"/>
  <c r="AA25" i="17"/>
  <c r="Z25" i="17"/>
  <c r="Y25" i="17"/>
  <c r="X25" i="17"/>
  <c r="W25" i="17"/>
  <c r="AE24" i="17"/>
  <c r="AD24" i="17"/>
  <c r="AC24" i="17"/>
  <c r="AB24" i="17"/>
  <c r="AA24" i="17"/>
  <c r="Z24" i="17"/>
  <c r="Y24" i="17"/>
  <c r="X24" i="17"/>
  <c r="W24" i="17"/>
  <c r="AE23" i="17"/>
  <c r="AD23" i="17"/>
  <c r="AC23" i="17"/>
  <c r="AB23" i="17"/>
  <c r="AA23" i="17"/>
  <c r="Z23" i="17"/>
  <c r="Y23" i="17"/>
  <c r="X23" i="17"/>
  <c r="W23" i="17"/>
  <c r="L23" i="17"/>
  <c r="M23" i="17" s="1"/>
  <c r="AE22" i="17"/>
  <c r="AD22" i="17"/>
  <c r="AC22" i="17"/>
  <c r="AB22" i="17"/>
  <c r="AA22" i="17"/>
  <c r="Z22" i="17"/>
  <c r="Y22" i="17"/>
  <c r="X22" i="17"/>
  <c r="W22" i="17"/>
  <c r="AE21" i="17"/>
  <c r="AD21" i="17"/>
  <c r="AC21" i="17"/>
  <c r="AB21" i="17"/>
  <c r="AA21" i="17"/>
  <c r="Z21" i="17"/>
  <c r="Y21" i="17"/>
  <c r="X21" i="17"/>
  <c r="W21" i="17"/>
  <c r="AE20" i="17"/>
  <c r="AD20" i="17"/>
  <c r="AC20" i="17"/>
  <c r="AB20" i="17"/>
  <c r="AA20" i="17"/>
  <c r="Z20" i="17"/>
  <c r="Y20" i="17"/>
  <c r="X20" i="17"/>
  <c r="W20" i="17"/>
  <c r="L20" i="17"/>
  <c r="M20" i="17" s="1"/>
  <c r="AE19" i="17"/>
  <c r="AD19" i="17"/>
  <c r="AC19" i="17"/>
  <c r="AB19" i="17"/>
  <c r="AA19" i="17"/>
  <c r="Z19" i="17"/>
  <c r="Y19" i="17"/>
  <c r="X19" i="17"/>
  <c r="W19" i="17"/>
  <c r="AE18" i="17"/>
  <c r="AD18" i="17"/>
  <c r="AC18" i="17"/>
  <c r="AB18" i="17"/>
  <c r="AA18" i="17"/>
  <c r="Z18" i="17"/>
  <c r="Y18" i="17"/>
  <c r="X18" i="17"/>
  <c r="W18" i="17"/>
  <c r="AE17" i="17"/>
  <c r="AD17" i="17"/>
  <c r="AC17" i="17"/>
  <c r="AB17" i="17"/>
  <c r="AA17" i="17"/>
  <c r="Z17" i="17"/>
  <c r="Y17" i="17"/>
  <c r="X17" i="17"/>
  <c r="W17" i="17"/>
  <c r="AE16" i="17"/>
  <c r="AD16" i="17"/>
  <c r="AC16" i="17"/>
  <c r="AB16" i="17"/>
  <c r="AA16" i="17"/>
  <c r="Z16" i="17"/>
  <c r="Y16" i="17"/>
  <c r="X16" i="17"/>
  <c r="W16" i="17"/>
  <c r="AE15" i="17"/>
  <c r="AD15" i="17"/>
  <c r="AC15" i="17"/>
  <c r="AB15" i="17"/>
  <c r="AA15" i="17"/>
  <c r="Z15" i="17"/>
  <c r="Y15" i="17"/>
  <c r="X15" i="17"/>
  <c r="W15" i="17"/>
  <c r="AE14" i="17"/>
  <c r="AD14" i="17"/>
  <c r="AC14" i="17"/>
  <c r="AB14" i="17"/>
  <c r="AA14" i="17"/>
  <c r="Z14" i="17"/>
  <c r="Y14" i="17"/>
  <c r="X14" i="17"/>
  <c r="W14" i="17"/>
  <c r="AE13" i="17"/>
  <c r="AD13" i="17"/>
  <c r="AC13" i="17"/>
  <c r="AB13" i="17"/>
  <c r="AA13" i="17"/>
  <c r="Z13" i="17"/>
  <c r="Y13" i="17"/>
  <c r="X13" i="17"/>
  <c r="W13" i="17"/>
  <c r="L13" i="17"/>
  <c r="M13" i="17" s="1"/>
  <c r="AE12" i="17"/>
  <c r="AD12" i="17"/>
  <c r="AC12" i="17"/>
  <c r="AB12" i="17"/>
  <c r="AA12" i="17"/>
  <c r="Z12" i="17"/>
  <c r="Y12" i="17"/>
  <c r="X12" i="17"/>
  <c r="W12" i="17"/>
  <c r="L12" i="17"/>
  <c r="M12" i="17" s="1"/>
  <c r="AE11" i="17"/>
  <c r="AD11" i="17"/>
  <c r="AC11" i="17"/>
  <c r="AB11" i="17"/>
  <c r="AA11" i="17"/>
  <c r="Z11" i="17"/>
  <c r="Y11" i="17"/>
  <c r="X11" i="17"/>
  <c r="W11" i="17"/>
  <c r="AE10" i="17"/>
  <c r="AD10" i="17"/>
  <c r="AC10" i="17"/>
  <c r="AB10" i="17"/>
  <c r="AA10" i="17"/>
  <c r="Z10" i="17"/>
  <c r="Y10" i="17"/>
  <c r="X10" i="17"/>
  <c r="W10" i="17"/>
  <c r="AE9" i="17"/>
  <c r="AD9" i="17"/>
  <c r="AC9" i="17"/>
  <c r="AB9" i="17"/>
  <c r="AA9" i="17"/>
  <c r="Z9" i="17"/>
  <c r="Y9" i="17"/>
  <c r="X9" i="17"/>
  <c r="W9" i="17"/>
  <c r="AE8" i="17"/>
  <c r="AD8" i="17"/>
  <c r="AC8" i="17"/>
  <c r="AB8" i="17"/>
  <c r="AA8" i="17"/>
  <c r="Z8" i="17"/>
  <c r="Y8" i="17"/>
  <c r="X8" i="17"/>
  <c r="W8" i="17"/>
  <c r="AE7" i="17"/>
  <c r="AD7" i="17"/>
  <c r="AC7" i="17"/>
  <c r="AB7" i="17"/>
  <c r="AA7" i="17"/>
  <c r="Z7" i="17"/>
  <c r="Y7" i="17"/>
  <c r="X7" i="17"/>
  <c r="W7" i="17"/>
  <c r="L7" i="17"/>
  <c r="M7" i="17" s="1"/>
  <c r="AE6" i="17"/>
  <c r="AD6" i="17"/>
  <c r="AC6" i="17"/>
  <c r="AB6" i="17"/>
  <c r="AA6" i="17"/>
  <c r="Z6" i="17"/>
  <c r="Y6" i="17"/>
  <c r="X6" i="17"/>
  <c r="W6" i="17"/>
  <c r="AE5" i="17"/>
  <c r="AD5" i="17"/>
  <c r="AC5" i="17"/>
  <c r="AB5" i="17"/>
  <c r="AA5" i="17"/>
  <c r="Z5" i="17"/>
  <c r="Y5" i="17"/>
  <c r="X5" i="17"/>
  <c r="W5" i="17"/>
  <c r="B4" i="17"/>
  <c r="B3" i="17"/>
  <c r="BA56" i="17" l="1"/>
  <c r="BA41" i="17"/>
  <c r="BA26" i="17"/>
  <c r="BA34" i="17"/>
  <c r="BA48" i="17"/>
  <c r="BA66" i="17"/>
  <c r="BA11" i="17"/>
  <c r="BA6" i="17"/>
  <c r="BA12" i="17"/>
  <c r="BA19" i="17"/>
  <c r="BA25" i="17"/>
  <c r="BA33" i="17"/>
  <c r="BA40" i="17"/>
  <c r="BA47" i="17"/>
  <c r="BA55" i="17"/>
  <c r="BA62" i="17"/>
  <c r="BA77" i="17"/>
  <c r="BA63" i="17"/>
  <c r="BA7" i="17"/>
  <c r="BA13" i="17"/>
  <c r="BA27" i="17"/>
  <c r="BA35" i="17"/>
  <c r="BA42" i="17"/>
  <c r="BA49" i="17"/>
  <c r="BA57" i="17"/>
  <c r="BA64" i="17"/>
  <c r="BA72" i="17"/>
  <c r="BA79" i="17"/>
  <c r="BA20" i="17"/>
  <c r="BA8" i="17"/>
  <c r="BA14" i="17"/>
  <c r="BA21" i="17"/>
  <c r="BA28" i="17"/>
  <c r="BA36" i="17"/>
  <c r="BA43" i="17"/>
  <c r="BA50" i="17"/>
  <c r="BA58" i="17"/>
  <c r="BA65" i="17"/>
  <c r="BA73" i="17"/>
  <c r="BA80" i="17"/>
  <c r="BA9" i="17"/>
  <c r="BA15" i="17"/>
  <c r="BA22" i="17"/>
  <c r="BA29" i="17"/>
  <c r="BA37" i="17"/>
  <c r="BA44" i="17"/>
  <c r="BA52" i="17"/>
  <c r="BA59" i="17"/>
  <c r="BA67" i="17"/>
  <c r="BA74" i="17"/>
  <c r="BA81" i="17"/>
  <c r="BA53" i="17"/>
  <c r="BA68" i="17"/>
  <c r="BA75" i="17"/>
  <c r="BA82" i="17"/>
  <c r="BA10" i="17"/>
  <c r="BA30" i="17"/>
  <c r="BA23" i="17"/>
  <c r="BA38" i="17"/>
  <c r="BA54" i="17"/>
  <c r="BA60" i="17"/>
  <c r="BA69" i="17"/>
  <c r="BA76" i="17"/>
  <c r="BA3" i="17"/>
  <c r="BA16" i="17"/>
  <c r="BA45" i="17"/>
  <c r="BA17" i="17"/>
  <c r="BA31" i="17"/>
  <c r="BA5" i="17"/>
  <c r="BA18" i="17"/>
  <c r="BA24" i="17"/>
  <c r="BA32" i="17"/>
  <c r="BA39" i="17"/>
  <c r="BA46" i="17"/>
  <c r="BA61" i="17"/>
  <c r="BA70" i="17"/>
  <c r="AG3" i="17"/>
  <c r="P3" i="17"/>
  <c r="O3" i="17"/>
  <c r="N3" i="17"/>
  <c r="R3" i="17"/>
  <c r="AG72" i="17"/>
  <c r="AG79" i="17"/>
  <c r="AG64" i="17"/>
  <c r="AG68" i="17"/>
  <c r="AG76" i="17"/>
  <c r="AG80" i="17"/>
  <c r="AG66" i="17"/>
  <c r="AG56" i="17"/>
  <c r="AG53" i="17"/>
  <c r="AG13" i="17"/>
  <c r="AG17" i="17"/>
  <c r="AG21" i="17"/>
  <c r="AG57" i="17"/>
  <c r="AG6" i="17"/>
  <c r="AG24" i="17"/>
  <c r="AG28" i="17"/>
  <c r="AG32" i="17"/>
  <c r="AG36" i="17"/>
  <c r="AG40" i="17"/>
  <c r="AG44" i="17"/>
  <c r="AG48" i="17"/>
  <c r="AG10" i="17"/>
  <c r="AG14" i="17"/>
  <c r="AG18" i="17"/>
  <c r="AG60" i="17"/>
  <c r="AG69" i="17"/>
  <c r="AG7" i="17"/>
  <c r="AG11" i="17"/>
  <c r="AG19" i="17"/>
  <c r="AG22" i="17"/>
  <c r="AG25" i="17"/>
  <c r="AG29" i="17"/>
  <c r="AG33" i="17"/>
  <c r="AG37" i="17"/>
  <c r="AG41" i="17"/>
  <c r="AG45" i="17"/>
  <c r="AG49" i="17"/>
  <c r="AG62" i="17"/>
  <c r="AG70" i="17"/>
  <c r="AG73" i="17"/>
  <c r="AG15" i="17"/>
  <c r="AG16" i="17"/>
  <c r="AG26" i="17"/>
  <c r="AG30" i="17"/>
  <c r="AG34" i="17"/>
  <c r="AG46" i="17"/>
  <c r="AG50" i="17"/>
  <c r="AG54" i="17"/>
  <c r="AG65" i="17"/>
  <c r="AG74" i="17"/>
  <c r="AG77" i="17"/>
  <c r="AG8" i="17"/>
  <c r="AG23" i="17"/>
  <c r="AG38" i="17"/>
  <c r="AG42" i="17"/>
  <c r="AG58" i="17"/>
  <c r="AG78" i="17"/>
  <c r="AG81" i="17"/>
  <c r="AG12" i="17"/>
  <c r="AG20" i="17"/>
  <c r="AG55" i="17"/>
  <c r="AG59" i="17"/>
  <c r="AG67" i="17"/>
  <c r="AG71" i="17"/>
  <c r="AG82" i="17"/>
  <c r="AG5" i="17"/>
  <c r="AG9" i="17"/>
  <c r="AG27" i="17"/>
  <c r="AG31" i="17"/>
  <c r="AG35" i="17"/>
  <c r="AG39" i="17"/>
  <c r="AG43" i="17"/>
  <c r="AG47" i="17"/>
  <c r="AG52" i="17"/>
  <c r="AG61" i="17"/>
  <c r="AG63" i="17"/>
  <c r="AG75" i="17"/>
  <c r="P46" i="17"/>
  <c r="R46" i="17"/>
  <c r="R78" i="17"/>
  <c r="P78" i="17"/>
  <c r="P30" i="17"/>
  <c r="R30" i="17"/>
  <c r="P82" i="17"/>
  <c r="R82" i="17"/>
  <c r="R50" i="17"/>
  <c r="N63" i="17"/>
  <c r="N65" i="17"/>
  <c r="O63" i="17"/>
  <c r="O65" i="17"/>
  <c r="S65" i="17" s="1"/>
  <c r="R65" i="17"/>
  <c r="R75" i="17"/>
  <c r="P75" i="17"/>
  <c r="O75" i="17"/>
  <c r="N75" i="17"/>
  <c r="O81" i="17"/>
  <c r="P81" i="17"/>
  <c r="N81" i="17"/>
  <c r="R81" i="17"/>
  <c r="R76" i="17"/>
  <c r="N76" i="17"/>
  <c r="P76" i="17"/>
  <c r="O76" i="17"/>
  <c r="R79" i="17"/>
  <c r="P79" i="17"/>
  <c r="O79" i="17"/>
  <c r="N79" i="17"/>
  <c r="O77" i="17"/>
  <c r="P77" i="17"/>
  <c r="N77" i="17"/>
  <c r="R77" i="17"/>
  <c r="N80" i="17"/>
  <c r="R80" i="17"/>
  <c r="P80" i="17"/>
  <c r="O80" i="17"/>
  <c r="N78" i="17"/>
  <c r="N82" i="17"/>
  <c r="O78" i="17"/>
  <c r="O82" i="17"/>
  <c r="N68" i="17"/>
  <c r="R68" i="17"/>
  <c r="P68" i="17"/>
  <c r="O68" i="17"/>
  <c r="N72" i="17"/>
  <c r="R72" i="17"/>
  <c r="P72" i="17"/>
  <c r="O72" i="17"/>
  <c r="O69" i="17"/>
  <c r="N69" i="17"/>
  <c r="P69" i="17"/>
  <c r="R69" i="17"/>
  <c r="O73" i="17"/>
  <c r="P73" i="17"/>
  <c r="N73" i="17"/>
  <c r="R73" i="17"/>
  <c r="P70" i="17"/>
  <c r="O70" i="17"/>
  <c r="N70" i="17"/>
  <c r="R70" i="17"/>
  <c r="P74" i="17"/>
  <c r="O74" i="17"/>
  <c r="N74" i="17"/>
  <c r="R74" i="17"/>
  <c r="R67" i="17"/>
  <c r="P67" i="17"/>
  <c r="O67" i="17"/>
  <c r="N67" i="17"/>
  <c r="R71" i="17"/>
  <c r="P71" i="17"/>
  <c r="O71" i="17"/>
  <c r="N71" i="17"/>
  <c r="O61" i="17"/>
  <c r="N61" i="17"/>
  <c r="P61" i="17"/>
  <c r="R61" i="17"/>
  <c r="R62" i="17"/>
  <c r="P62" i="17"/>
  <c r="O62" i="17"/>
  <c r="N62" i="17"/>
  <c r="O64" i="17"/>
  <c r="P64" i="17"/>
  <c r="N64" i="17"/>
  <c r="R64" i="17"/>
  <c r="R60" i="17"/>
  <c r="P60" i="17"/>
  <c r="O60" i="17"/>
  <c r="N60" i="17"/>
  <c r="P63" i="17"/>
  <c r="P66" i="17"/>
  <c r="O66" i="17"/>
  <c r="N66" i="17"/>
  <c r="R66" i="17"/>
  <c r="R57" i="17"/>
  <c r="N57" i="17"/>
  <c r="P57" i="17"/>
  <c r="O57" i="17"/>
  <c r="R53" i="17"/>
  <c r="N53" i="17"/>
  <c r="P53" i="17"/>
  <c r="O53" i="17"/>
  <c r="O54" i="17"/>
  <c r="N54" i="17"/>
  <c r="P54" i="17"/>
  <c r="R54" i="17"/>
  <c r="O58" i="17"/>
  <c r="N58" i="17"/>
  <c r="P58" i="17"/>
  <c r="R58" i="17"/>
  <c r="P55" i="17"/>
  <c r="O55" i="17"/>
  <c r="N55" i="17"/>
  <c r="R55" i="17"/>
  <c r="R52" i="17"/>
  <c r="P52" i="17"/>
  <c r="O52" i="17"/>
  <c r="N52" i="17"/>
  <c r="P59" i="17"/>
  <c r="O59" i="17"/>
  <c r="N59" i="17"/>
  <c r="R59" i="17"/>
  <c r="R56" i="17"/>
  <c r="P56" i="17"/>
  <c r="O56" i="17"/>
  <c r="N56" i="17"/>
  <c r="O45" i="17"/>
  <c r="N45" i="17"/>
  <c r="P45" i="17"/>
  <c r="R45" i="17"/>
  <c r="N48" i="17"/>
  <c r="R48" i="17"/>
  <c r="P48" i="17"/>
  <c r="O48" i="17"/>
  <c r="O49" i="17"/>
  <c r="P49" i="17"/>
  <c r="N49" i="17"/>
  <c r="R49" i="17"/>
  <c r="R43" i="17"/>
  <c r="P43" i="17"/>
  <c r="O43" i="17"/>
  <c r="N43" i="17"/>
  <c r="R44" i="17"/>
  <c r="P44" i="17"/>
  <c r="O44" i="17"/>
  <c r="N44" i="17"/>
  <c r="R47" i="17"/>
  <c r="P47" i="17"/>
  <c r="O47" i="17"/>
  <c r="N47" i="17"/>
  <c r="N46" i="17"/>
  <c r="N50" i="17"/>
  <c r="O46" i="17"/>
  <c r="O50" i="17"/>
  <c r="Q50" i="17" s="1"/>
  <c r="R35" i="17"/>
  <c r="P35" i="17"/>
  <c r="O35" i="17"/>
  <c r="N35" i="17"/>
  <c r="R39" i="17"/>
  <c r="P39" i="17"/>
  <c r="O39" i="17"/>
  <c r="N39" i="17"/>
  <c r="R36" i="17"/>
  <c r="P36" i="17"/>
  <c r="O36" i="17"/>
  <c r="N36" i="17"/>
  <c r="R40" i="17"/>
  <c r="P40" i="17"/>
  <c r="O40" i="17"/>
  <c r="N40" i="17"/>
  <c r="O37" i="17"/>
  <c r="N37" i="17"/>
  <c r="R37" i="17"/>
  <c r="P37" i="17"/>
  <c r="O41" i="17"/>
  <c r="N41" i="17"/>
  <c r="R41" i="17"/>
  <c r="P41" i="17"/>
  <c r="P42" i="17"/>
  <c r="O42" i="17"/>
  <c r="N42" i="17"/>
  <c r="R42" i="17"/>
  <c r="P38" i="17"/>
  <c r="O38" i="17"/>
  <c r="N38" i="17"/>
  <c r="R38" i="17"/>
  <c r="N28" i="17"/>
  <c r="R28" i="17"/>
  <c r="P28" i="17"/>
  <c r="O28" i="17"/>
  <c r="R31" i="17"/>
  <c r="P31" i="17"/>
  <c r="O31" i="17"/>
  <c r="N31" i="17"/>
  <c r="O29" i="17"/>
  <c r="N29" i="17"/>
  <c r="P29" i="17"/>
  <c r="R29" i="17"/>
  <c r="R32" i="17"/>
  <c r="P32" i="17"/>
  <c r="O32" i="17"/>
  <c r="N32" i="17"/>
  <c r="O33" i="17"/>
  <c r="N33" i="17"/>
  <c r="P33" i="17"/>
  <c r="R33" i="17"/>
  <c r="R27" i="17"/>
  <c r="P27" i="17"/>
  <c r="O27" i="17"/>
  <c r="N27" i="17"/>
  <c r="R34" i="17"/>
  <c r="P34" i="17"/>
  <c r="O34" i="17"/>
  <c r="N34" i="17"/>
  <c r="N30" i="17"/>
  <c r="O30" i="17"/>
  <c r="N21" i="17"/>
  <c r="R21" i="17"/>
  <c r="P21" i="17"/>
  <c r="O21" i="17"/>
  <c r="R24" i="17"/>
  <c r="P24" i="17"/>
  <c r="O24" i="17"/>
  <c r="N24" i="17"/>
  <c r="O22" i="17"/>
  <c r="N22" i="17"/>
  <c r="P22" i="17"/>
  <c r="R22" i="17"/>
  <c r="O25" i="17"/>
  <c r="N25" i="17"/>
  <c r="P25" i="17"/>
  <c r="R25" i="17"/>
  <c r="P23" i="17"/>
  <c r="O23" i="17"/>
  <c r="N23" i="17"/>
  <c r="R23" i="17"/>
  <c r="P26" i="17"/>
  <c r="O26" i="17"/>
  <c r="N26" i="17"/>
  <c r="R26" i="17"/>
  <c r="R20" i="17"/>
  <c r="P20" i="17"/>
  <c r="O20" i="17"/>
  <c r="N20" i="17"/>
  <c r="R12" i="17"/>
  <c r="P12" i="17"/>
  <c r="N12" i="17"/>
  <c r="O12" i="17"/>
  <c r="R16" i="17"/>
  <c r="P16" i="17"/>
  <c r="O16" i="17"/>
  <c r="N16" i="17"/>
  <c r="R13" i="17"/>
  <c r="P13" i="17"/>
  <c r="O13" i="17"/>
  <c r="N13" i="17"/>
  <c r="R17" i="17"/>
  <c r="P17" i="17"/>
  <c r="O17" i="17"/>
  <c r="N17" i="17"/>
  <c r="O14" i="17"/>
  <c r="N14" i="17"/>
  <c r="R14" i="17"/>
  <c r="P14" i="17"/>
  <c r="O18" i="17"/>
  <c r="N18" i="17"/>
  <c r="R18" i="17"/>
  <c r="P18" i="17"/>
  <c r="P15" i="17"/>
  <c r="O15" i="17"/>
  <c r="N15" i="17"/>
  <c r="R15" i="17"/>
  <c r="P19" i="17"/>
  <c r="O19" i="17"/>
  <c r="N19" i="17"/>
  <c r="R19" i="17"/>
  <c r="O10" i="17"/>
  <c r="P10" i="17"/>
  <c r="N10" i="17"/>
  <c r="R10" i="17"/>
  <c r="P11" i="17"/>
  <c r="O11" i="17"/>
  <c r="N11" i="17"/>
  <c r="R11" i="17"/>
  <c r="P9" i="17"/>
  <c r="O9" i="17"/>
  <c r="N9" i="17"/>
  <c r="R9" i="17"/>
  <c r="R8" i="17"/>
  <c r="N8" i="17"/>
  <c r="O8" i="17"/>
  <c r="Q8" i="17" s="1"/>
  <c r="P7" i="17"/>
  <c r="O7" i="17"/>
  <c r="N7" i="17"/>
  <c r="R7" i="17"/>
  <c r="O6" i="17"/>
  <c r="N6" i="17"/>
  <c r="P6" i="17"/>
  <c r="R6" i="17"/>
  <c r="N5" i="17"/>
  <c r="P5" i="17"/>
  <c r="O5" i="17"/>
  <c r="R5" i="17"/>
  <c r="Q30" i="17" l="1"/>
  <c r="S66" i="17"/>
  <c r="Q80" i="17"/>
  <c r="S76" i="17"/>
  <c r="Q13" i="17"/>
  <c r="Q37" i="17"/>
  <c r="S17" i="17"/>
  <c r="Q16" i="17"/>
  <c r="S3" i="17"/>
  <c r="Q3" i="17"/>
  <c r="S35" i="17"/>
  <c r="Q7" i="17"/>
  <c r="Q82" i="17"/>
  <c r="Q23" i="17"/>
  <c r="S71" i="17"/>
  <c r="S18" i="17"/>
  <c r="S15" i="17"/>
  <c r="S26" i="17"/>
  <c r="Q38" i="17"/>
  <c r="S39" i="17"/>
  <c r="S59" i="17"/>
  <c r="S80" i="17"/>
  <c r="S46" i="17"/>
  <c r="Q22" i="17"/>
  <c r="Q74" i="17"/>
  <c r="Q75" i="17"/>
  <c r="Q25" i="17"/>
  <c r="S6" i="17"/>
  <c r="Q11" i="17"/>
  <c r="S19" i="17"/>
  <c r="Q46" i="17"/>
  <c r="Q63" i="17"/>
  <c r="S73" i="17"/>
  <c r="S77" i="17"/>
  <c r="S22" i="17"/>
  <c r="S41" i="17"/>
  <c r="Q65" i="17"/>
  <c r="S69" i="17"/>
  <c r="S5" i="17"/>
  <c r="S42" i="17"/>
  <c r="Q49" i="17"/>
  <c r="Q45" i="17"/>
  <c r="S54" i="17"/>
  <c r="Q60" i="17"/>
  <c r="Q61" i="17"/>
  <c r="Q70" i="17"/>
  <c r="Q79" i="17"/>
  <c r="S34" i="17"/>
  <c r="S52" i="17"/>
  <c r="S72" i="17"/>
  <c r="S48" i="17"/>
  <c r="Q10" i="17"/>
  <c r="S24" i="17"/>
  <c r="S31" i="17"/>
  <c r="Q14" i="17"/>
  <c r="S12" i="17"/>
  <c r="Q21" i="17"/>
  <c r="Q28" i="17"/>
  <c r="S47" i="17"/>
  <c r="S58" i="17"/>
  <c r="S53" i="17"/>
  <c r="Q67" i="17"/>
  <c r="Q68" i="17"/>
  <c r="S81" i="17"/>
  <c r="S21" i="17"/>
  <c r="Q33" i="17"/>
  <c r="Q29" i="17"/>
  <c r="S28" i="17"/>
  <c r="Q44" i="17"/>
  <c r="Q57" i="17"/>
  <c r="S62" i="17"/>
  <c r="Q71" i="17"/>
  <c r="S68" i="17"/>
  <c r="S82" i="17"/>
  <c r="Q41" i="17"/>
  <c r="Q18" i="17"/>
  <c r="Q36" i="17"/>
  <c r="Q35" i="17"/>
  <c r="S50" i="17"/>
  <c r="V50" i="17" s="1"/>
  <c r="S9" i="17"/>
  <c r="S27" i="17"/>
  <c r="S55" i="17"/>
  <c r="Q78" i="17"/>
  <c r="S78" i="17"/>
  <c r="S79" i="17"/>
  <c r="Q77" i="17"/>
  <c r="Q76" i="17"/>
  <c r="Q81" i="17"/>
  <c r="V81" i="17" s="1"/>
  <c r="S75" i="17"/>
  <c r="S70" i="17"/>
  <c r="Q69" i="17"/>
  <c r="S67" i="17"/>
  <c r="S74" i="17"/>
  <c r="Q73" i="17"/>
  <c r="Q72" i="17"/>
  <c r="S63" i="17"/>
  <c r="Q64" i="17"/>
  <c r="S60" i="17"/>
  <c r="Q62" i="17"/>
  <c r="S61" i="17"/>
  <c r="S64" i="17"/>
  <c r="Q66" i="17"/>
  <c r="S57" i="17"/>
  <c r="Q56" i="17"/>
  <c r="Q59" i="17"/>
  <c r="Q54" i="17"/>
  <c r="Q58" i="17"/>
  <c r="Q53" i="17"/>
  <c r="S56" i="17"/>
  <c r="Q52" i="17"/>
  <c r="Q55" i="17"/>
  <c r="Q43" i="17"/>
  <c r="V43" i="17" s="1"/>
  <c r="Q48" i="17"/>
  <c r="V48" i="17" s="1"/>
  <c r="S45" i="17"/>
  <c r="Q47" i="17"/>
  <c r="V47" i="17" s="1"/>
  <c r="S43" i="17"/>
  <c r="S44" i="17"/>
  <c r="S49" i="17"/>
  <c r="S38" i="17"/>
  <c r="Q42" i="17"/>
  <c r="V42" i="17" s="1"/>
  <c r="Q40" i="17"/>
  <c r="S36" i="17"/>
  <c r="S37" i="17"/>
  <c r="S40" i="17"/>
  <c r="Q39" i="17"/>
  <c r="S29" i="17"/>
  <c r="Q34" i="17"/>
  <c r="Q32" i="17"/>
  <c r="V32" i="17" s="1"/>
  <c r="S33" i="17"/>
  <c r="S30" i="17"/>
  <c r="Q27" i="17"/>
  <c r="S32" i="17"/>
  <c r="Q31" i="17"/>
  <c r="Q20" i="17"/>
  <c r="Q26" i="17"/>
  <c r="S25" i="17"/>
  <c r="S20" i="17"/>
  <c r="S23" i="17"/>
  <c r="Q24" i="17"/>
  <c r="Q15" i="17"/>
  <c r="Q17" i="17"/>
  <c r="S16" i="17"/>
  <c r="Q12" i="17"/>
  <c r="Q19" i="17"/>
  <c r="S13" i="17"/>
  <c r="S14" i="17"/>
  <c r="S10" i="17"/>
  <c r="S11" i="17"/>
  <c r="S8" i="17"/>
  <c r="Q9" i="17"/>
  <c r="Q6" i="17"/>
  <c r="V6" i="17" s="1"/>
  <c r="S7" i="17"/>
  <c r="Q5" i="17"/>
  <c r="V22" i="17" l="1"/>
  <c r="V73" i="17"/>
  <c r="V54" i="17"/>
  <c r="V3" i="17"/>
  <c r="V19" i="17"/>
  <c r="AH19" i="17" s="1"/>
  <c r="AR19" i="17" s="1"/>
  <c r="V56" i="17"/>
  <c r="AH56" i="17" s="1"/>
  <c r="AZ56" i="17" s="1"/>
  <c r="V55" i="17"/>
  <c r="V70" i="17"/>
  <c r="V66" i="17"/>
  <c r="AH66" i="17" s="1"/>
  <c r="AY66" i="17" s="1"/>
  <c r="V77" i="17"/>
  <c r="AH77" i="17" s="1"/>
  <c r="AZ77" i="17" s="1"/>
  <c r="V74" i="17"/>
  <c r="V15" i="17"/>
  <c r="V17" i="17"/>
  <c r="V71" i="17"/>
  <c r="AH71" i="17" s="1"/>
  <c r="AN71" i="17" s="1"/>
  <c r="V53" i="17"/>
  <c r="V67" i="17"/>
  <c r="V34" i="17"/>
  <c r="AH34" i="17" s="1"/>
  <c r="AJ34" i="17" s="1"/>
  <c r="V76" i="17"/>
  <c r="AH76" i="17" s="1"/>
  <c r="V14" i="17"/>
  <c r="V31" i="17"/>
  <c r="V39" i="17"/>
  <c r="AH39" i="17" s="1"/>
  <c r="AN39" i="17" s="1"/>
  <c r="V69" i="17"/>
  <c r="AH69" i="17" s="1"/>
  <c r="AJ69" i="17" s="1"/>
  <c r="V41" i="17"/>
  <c r="AH41" i="17" s="1"/>
  <c r="AN41" i="17" s="1"/>
  <c r="V16" i="17"/>
  <c r="AH16" i="17" s="1"/>
  <c r="AN16" i="17" s="1"/>
  <c r="V18" i="17"/>
  <c r="AH18" i="17" s="1"/>
  <c r="AJ18" i="17" s="1"/>
  <c r="V58" i="17"/>
  <c r="AH58" i="17" s="1"/>
  <c r="AZ58" i="17" s="1"/>
  <c r="I58" i="4" s="1"/>
  <c r="V59" i="17"/>
  <c r="AH59" i="17" s="1"/>
  <c r="AR59" i="17" s="1"/>
  <c r="V63" i="17"/>
  <c r="V57" i="17"/>
  <c r="AH57" i="17" s="1"/>
  <c r="AZ57" i="17" s="1"/>
  <c r="V79" i="17"/>
  <c r="AH79" i="17" s="1"/>
  <c r="AN79" i="17" s="1"/>
  <c r="V36" i="17"/>
  <c r="V82" i="17"/>
  <c r="V10" i="17"/>
  <c r="V60" i="17"/>
  <c r="AH60" i="17" s="1"/>
  <c r="AZ60" i="17" s="1"/>
  <c r="V25" i="17"/>
  <c r="V38" i="17"/>
  <c r="AH38" i="17" s="1"/>
  <c r="V80" i="17"/>
  <c r="AH80" i="17" s="1"/>
  <c r="V72" i="17"/>
  <c r="AH72" i="17" s="1"/>
  <c r="AJ72" i="17" s="1"/>
  <c r="V45" i="17"/>
  <c r="AH45" i="17" s="1"/>
  <c r="AR45" i="17" s="1"/>
  <c r="V5" i="17"/>
  <c r="V20" i="17"/>
  <c r="AH20" i="17" s="1"/>
  <c r="AJ20" i="17" s="1"/>
  <c r="V40" i="17"/>
  <c r="AH40" i="17" s="1"/>
  <c r="AR40" i="17" s="1"/>
  <c r="V64" i="17"/>
  <c r="V21" i="17"/>
  <c r="V49" i="17"/>
  <c r="AH49" i="17" s="1"/>
  <c r="AY49" i="17" s="1"/>
  <c r="V68" i="17"/>
  <c r="AH68" i="17" s="1"/>
  <c r="AZ68" i="17" s="1"/>
  <c r="V75" i="17"/>
  <c r="AH75" i="17" s="1"/>
  <c r="AZ75" i="17" s="1"/>
  <c r="V12" i="17"/>
  <c r="V52" i="17"/>
  <c r="AH52" i="17" s="1"/>
  <c r="AZ52" i="17" s="1"/>
  <c r="V35" i="17"/>
  <c r="AH35" i="17" s="1"/>
  <c r="AZ35" i="17" s="1"/>
  <c r="I35" i="4" s="1"/>
  <c r="V44" i="17"/>
  <c r="AH44" i="17" s="1"/>
  <c r="AN44" i="17" s="1"/>
  <c r="V61" i="17"/>
  <c r="AH61" i="17" s="1"/>
  <c r="AJ61" i="17" s="1"/>
  <c r="V23" i="17"/>
  <c r="AH23" i="17" s="1"/>
  <c r="AJ23" i="17" s="1"/>
  <c r="V37" i="17"/>
  <c r="AH37" i="17" s="1"/>
  <c r="AN37" i="17" s="1"/>
  <c r="V26" i="17"/>
  <c r="AH26" i="17" s="1"/>
  <c r="AJ26" i="17" s="1"/>
  <c r="V24" i="17"/>
  <c r="AH24" i="17" s="1"/>
  <c r="AZ24" i="17" s="1"/>
  <c r="I24" i="4" s="1"/>
  <c r="V62" i="17"/>
  <c r="V78" i="17"/>
  <c r="AH78" i="17" s="1"/>
  <c r="AZ78" i="17" s="1"/>
  <c r="V29" i="17"/>
  <c r="AH29" i="17" s="1"/>
  <c r="AY29" i="17" s="1"/>
  <c r="V11" i="17"/>
  <c r="AH11" i="17" s="1"/>
  <c r="AY11" i="17" s="1"/>
  <c r="V13" i="17"/>
  <c r="AH13" i="17" s="1"/>
  <c r="V9" i="17"/>
  <c r="AH9" i="17" s="1"/>
  <c r="AR9" i="17" s="1"/>
  <c r="V27" i="17"/>
  <c r="AH27" i="17" s="1"/>
  <c r="AN27" i="17" s="1"/>
  <c r="V30" i="17"/>
  <c r="AH30" i="17" s="1"/>
  <c r="AR30" i="17" s="1"/>
  <c r="V33" i="17"/>
  <c r="AH33" i="17" s="1"/>
  <c r="AR33" i="17" s="1"/>
  <c r="V28" i="17"/>
  <c r="AH28" i="17" s="1"/>
  <c r="AN28" i="17" s="1"/>
  <c r="V7" i="17"/>
  <c r="AH7" i="17" s="1"/>
  <c r="AN7" i="17" s="1"/>
  <c r="V8" i="17"/>
  <c r="AH8" i="17" s="1"/>
  <c r="AZ8" i="17" s="1"/>
  <c r="I8" i="4" s="1"/>
  <c r="V46" i="17"/>
  <c r="AH46" i="17" s="1"/>
  <c r="AH50" i="17"/>
  <c r="AZ50" i="17" s="1"/>
  <c r="V65" i="17"/>
  <c r="AH65" i="17" s="1"/>
  <c r="AH5" i="17"/>
  <c r="AJ5" i="17" s="1"/>
  <c r="AH3" i="17"/>
  <c r="AR3" i="17" s="1"/>
  <c r="AH17" i="17"/>
  <c r="AZ17" i="17" s="1"/>
  <c r="I17" i="4" s="1"/>
  <c r="AH15" i="17"/>
  <c r="AJ15" i="17" s="1"/>
  <c r="AH55" i="17"/>
  <c r="AJ55" i="17" s="1"/>
  <c r="AH73" i="17"/>
  <c r="AR73" i="17" s="1"/>
  <c r="AH10" i="17"/>
  <c r="AY10" i="17" s="1"/>
  <c r="AH82" i="17"/>
  <c r="AY82" i="17" s="1"/>
  <c r="AH53" i="17"/>
  <c r="AZ53" i="17" s="1"/>
  <c r="AH21" i="17"/>
  <c r="AN21" i="17" s="1"/>
  <c r="AH62" i="17"/>
  <c r="AR62" i="17" s="1"/>
  <c r="AH42" i="17"/>
  <c r="AR42" i="17" s="1"/>
  <c r="AH74" i="17"/>
  <c r="AJ74" i="17" s="1"/>
  <c r="AH63" i="17"/>
  <c r="AR63" i="17" s="1"/>
  <c r="AH22" i="17"/>
  <c r="AR22" i="17" s="1"/>
  <c r="AH70" i="17"/>
  <c r="AJ70" i="17" s="1"/>
  <c r="AH36" i="17"/>
  <c r="AY36" i="17" s="1"/>
  <c r="AH43" i="17"/>
  <c r="AN43" i="17" s="1"/>
  <c r="AH54" i="17"/>
  <c r="AY54" i="17" s="1"/>
  <c r="AH67" i="17"/>
  <c r="AR67" i="17" s="1"/>
  <c r="AH6" i="17"/>
  <c r="AJ6" i="17" s="1"/>
  <c r="AH25" i="17"/>
  <c r="AR25" i="17" s="1"/>
  <c r="AH47" i="17"/>
  <c r="AZ47" i="17" s="1"/>
  <c r="AH31" i="17"/>
  <c r="AR31" i="17" s="1"/>
  <c r="AH48" i="17"/>
  <c r="AN48" i="17" s="1"/>
  <c r="AH64" i="17"/>
  <c r="AR64" i="17" s="1"/>
  <c r="AH12" i="17"/>
  <c r="AZ12" i="17" s="1"/>
  <c r="I12" i="4" s="1"/>
  <c r="AH14" i="17"/>
  <c r="AY14" i="17" s="1"/>
  <c r="AH32" i="17"/>
  <c r="AN32" i="17" s="1"/>
  <c r="AH81" i="17"/>
  <c r="AR81" i="17" s="1"/>
  <c r="AZ45" i="17" l="1"/>
  <c r="AY76" i="17"/>
  <c r="AR76" i="17"/>
  <c r="AR38" i="17"/>
  <c r="AZ38" i="17"/>
  <c r="AY38" i="17"/>
  <c r="AJ45" i="17"/>
  <c r="AZ80" i="17"/>
  <c r="AN80" i="17"/>
  <c r="AR41" i="17"/>
  <c r="AY41" i="17"/>
  <c r="AZ41" i="17"/>
  <c r="AR13" i="17"/>
  <c r="AN13" i="17"/>
  <c r="AZ13" i="17"/>
  <c r="I13" i="4" s="1"/>
  <c r="AY13" i="17"/>
  <c r="AJ13" i="17"/>
  <c r="AR16" i="17"/>
  <c r="AR80" i="17"/>
  <c r="AN8" i="17"/>
  <c r="AY16" i="17"/>
  <c r="AZ16" i="17"/>
  <c r="AJ16" i="17"/>
  <c r="AJ80" i="17"/>
  <c r="AY80" i="17"/>
  <c r="AJ41" i="17"/>
  <c r="AN46" i="17"/>
  <c r="AR46" i="17"/>
  <c r="AZ46" i="17"/>
  <c r="AY46" i="17"/>
  <c r="AJ46" i="17"/>
  <c r="AR65" i="17"/>
  <c r="AN65" i="17"/>
  <c r="AZ65" i="17"/>
  <c r="AJ65" i="17"/>
  <c r="AY65" i="17"/>
  <c r="AN45" i="17"/>
  <c r="AJ8" i="17"/>
  <c r="AY45" i="17"/>
  <c r="AR8" i="17"/>
  <c r="AY8" i="17"/>
  <c r="AJ50" i="17"/>
  <c r="AN52" i="17"/>
  <c r="AN38" i="17"/>
  <c r="AY50" i="17"/>
  <c r="AV50" i="17" s="1"/>
  <c r="AN50" i="17"/>
  <c r="AR50" i="17"/>
  <c r="AJ38" i="17"/>
  <c r="AN75" i="17"/>
  <c r="AJ66" i="17"/>
  <c r="AY37" i="17"/>
  <c r="AZ49" i="17"/>
  <c r="AT49" i="17" s="1"/>
  <c r="AR57" i="17"/>
  <c r="AR36" i="17"/>
  <c r="AY42" i="17"/>
  <c r="AN30" i="17"/>
  <c r="AJ30" i="17"/>
  <c r="AY30" i="17"/>
  <c r="AZ30" i="17"/>
  <c r="AR23" i="17"/>
  <c r="AZ18" i="17"/>
  <c r="I18" i="4" s="1"/>
  <c r="AY17" i="17"/>
  <c r="AN11" i="17"/>
  <c r="AZ11" i="17"/>
  <c r="AZ5" i="17"/>
  <c r="I5" i="4" s="1"/>
  <c r="AN5" i="17"/>
  <c r="AR5" i="17"/>
  <c r="AY5" i="17"/>
  <c r="AY75" i="17"/>
  <c r="AJ76" i="17"/>
  <c r="AZ76" i="17"/>
  <c r="AL76" i="17" s="1"/>
  <c r="AN76" i="17"/>
  <c r="AN19" i="17"/>
  <c r="AN57" i="17"/>
  <c r="AJ75" i="17"/>
  <c r="AJ10" i="17"/>
  <c r="AN42" i="17"/>
  <c r="AZ48" i="17"/>
  <c r="AL48" i="17" s="1"/>
  <c r="AR48" i="17"/>
  <c r="AR35" i="17"/>
  <c r="AR14" i="17"/>
  <c r="AZ39" i="17"/>
  <c r="AZ66" i="17"/>
  <c r="AJ73" i="17"/>
  <c r="AJ27" i="17"/>
  <c r="AR53" i="17"/>
  <c r="AY62" i="17"/>
  <c r="AN10" i="17"/>
  <c r="AN14" i="17"/>
  <c r="AN53" i="17"/>
  <c r="AZ63" i="17"/>
  <c r="AN35" i="17"/>
  <c r="AZ42" i="17"/>
  <c r="AP42" i="17" s="1"/>
  <c r="AJ52" i="17"/>
  <c r="AN60" i="17"/>
  <c r="AR17" i="17"/>
  <c r="AY28" i="17"/>
  <c r="AJ49" i="17"/>
  <c r="AR52" i="17"/>
  <c r="AV29" i="17"/>
  <c r="AV10" i="17"/>
  <c r="AV41" i="17"/>
  <c r="AV38" i="17"/>
  <c r="AY70" i="17"/>
  <c r="AV14" i="17"/>
  <c r="AV82" i="17"/>
  <c r="AV66" i="17"/>
  <c r="AJ19" i="17"/>
  <c r="AV49" i="17"/>
  <c r="AZ19" i="17"/>
  <c r="I19" i="4" s="1"/>
  <c r="AJ17" i="17"/>
  <c r="AY25" i="17"/>
  <c r="AV76" i="17"/>
  <c r="AV36" i="17"/>
  <c r="AV11" i="17"/>
  <c r="AV54" i="17"/>
  <c r="AV16" i="17"/>
  <c r="AN17" i="17"/>
  <c r="AJ37" i="17"/>
  <c r="AR60" i="17"/>
  <c r="AY15" i="17"/>
  <c r="AZ15" i="17"/>
  <c r="I15" i="4" s="1"/>
  <c r="AN24" i="17"/>
  <c r="AN59" i="17"/>
  <c r="AY64" i="17"/>
  <c r="AN25" i="17"/>
  <c r="AR37" i="17"/>
  <c r="AJ42" i="17"/>
  <c r="AZ59" i="17"/>
  <c r="AJ60" i="17"/>
  <c r="AZ73" i="17"/>
  <c r="AJ35" i="17"/>
  <c r="AJ39" i="17"/>
  <c r="AN66" i="17"/>
  <c r="AY72" i="17"/>
  <c r="AZ82" i="17"/>
  <c r="AR11" i="17"/>
  <c r="AY19" i="17"/>
  <c r="AY35" i="17"/>
  <c r="AY39" i="17"/>
  <c r="AY52" i="17"/>
  <c r="AR66" i="17"/>
  <c r="AJ62" i="17"/>
  <c r="AR75" i="17"/>
  <c r="AN3" i="17"/>
  <c r="AJ3" i="17"/>
  <c r="AZ3" i="17"/>
  <c r="AY3" i="17"/>
  <c r="AZ28" i="17"/>
  <c r="I28" i="4" s="1"/>
  <c r="AJ14" i="17"/>
  <c r="AZ32" i="17"/>
  <c r="I32" i="4" s="1"/>
  <c r="AZ14" i="17"/>
  <c r="I14" i="4" s="1"/>
  <c r="AR28" i="17"/>
  <c r="AR39" i="17"/>
  <c r="AY53" i="17"/>
  <c r="AY60" i="17"/>
  <c r="AN63" i="17"/>
  <c r="AZ72" i="17"/>
  <c r="AY22" i="17"/>
  <c r="AR24" i="17"/>
  <c r="AR55" i="17"/>
  <c r="AN15" i="17"/>
  <c r="AZ20" i="17"/>
  <c r="I20" i="4" s="1"/>
  <c r="AJ56" i="17"/>
  <c r="AY55" i="17"/>
  <c r="AN73" i="17"/>
  <c r="AY9" i="17"/>
  <c r="AY18" i="17"/>
  <c r="AR15" i="17"/>
  <c r="AZ25" i="17"/>
  <c r="I25" i="4" s="1"/>
  <c r="AJ28" i="17"/>
  <c r="AY56" i="17"/>
  <c r="AZ55" i="17"/>
  <c r="AY73" i="17"/>
  <c r="AN82" i="17"/>
  <c r="AN26" i="17"/>
  <c r="AN22" i="17"/>
  <c r="AY20" i="17"/>
  <c r="AZ36" i="17"/>
  <c r="I36" i="4" s="1"/>
  <c r="AJ48" i="17"/>
  <c r="AZ70" i="17"/>
  <c r="AZ22" i="17"/>
  <c r="I22" i="4" s="1"/>
  <c r="AZ6" i="17"/>
  <c r="I6" i="4" s="1"/>
  <c r="AY48" i="17"/>
  <c r="AJ71" i="17"/>
  <c r="AN6" i="17"/>
  <c r="AY71" i="17"/>
  <c r="AR47" i="17"/>
  <c r="AY44" i="17"/>
  <c r="AY47" i="17"/>
  <c r="AJ63" i="17"/>
  <c r="AJ77" i="17"/>
  <c r="AR82" i="17"/>
  <c r="AY63" i="17"/>
  <c r="AJ44" i="17"/>
  <c r="AY27" i="17"/>
  <c r="AJ11" i="17"/>
  <c r="AN18" i="17"/>
  <c r="AY26" i="17"/>
  <c r="AJ25" i="17"/>
  <c r="AZ34" i="17"/>
  <c r="I34" i="4" s="1"/>
  <c r="AR27" i="17"/>
  <c r="AR49" i="17"/>
  <c r="AZ61" i="17"/>
  <c r="AY67" i="17"/>
  <c r="AJ9" i="17"/>
  <c r="AR18" i="17"/>
  <c r="AZ26" i="17"/>
  <c r="I26" i="4" s="1"/>
  <c r="AR29" i="17"/>
  <c r="AR56" i="17"/>
  <c r="AJ59" i="17"/>
  <c r="AZ62" i="17"/>
  <c r="AR61" i="17"/>
  <c r="AR71" i="17"/>
  <c r="AN74" i="17"/>
  <c r="AY21" i="17"/>
  <c r="AJ57" i="17"/>
  <c r="AZ37" i="17"/>
  <c r="AN56" i="17"/>
  <c r="AN55" i="17"/>
  <c r="AY57" i="17"/>
  <c r="AZ71" i="17"/>
  <c r="AR10" i="17"/>
  <c r="AN36" i="17"/>
  <c r="AN47" i="17"/>
  <c r="AJ53" i="17"/>
  <c r="AN58" i="17"/>
  <c r="AY6" i="17"/>
  <c r="AN68" i="17"/>
  <c r="AN72" i="17"/>
  <c r="AN49" i="17"/>
  <c r="AR44" i="17"/>
  <c r="AY59" i="17"/>
  <c r="AR21" i="17"/>
  <c r="AN70" i="17"/>
  <c r="AY74" i="17"/>
  <c r="AN23" i="17"/>
  <c r="AN34" i="17"/>
  <c r="AN33" i="17"/>
  <c r="AJ36" i="17"/>
  <c r="AY58" i="17"/>
  <c r="AJ54" i="17"/>
  <c r="AZ69" i="17"/>
  <c r="AR70" i="17"/>
  <c r="AZ74" i="17"/>
  <c r="AZ81" i="17"/>
  <c r="AJ82" i="17"/>
  <c r="AZ21" i="17"/>
  <c r="I21" i="4" s="1"/>
  <c r="AN54" i="17"/>
  <c r="AR7" i="17"/>
  <c r="AJ7" i="17"/>
  <c r="AZ23" i="17"/>
  <c r="I23" i="4" s="1"/>
  <c r="AJ24" i="17"/>
  <c r="AY34" i="17"/>
  <c r="AY33" i="17"/>
  <c r="AN69" i="17"/>
  <c r="AY7" i="17"/>
  <c r="AZ9" i="17"/>
  <c r="I9" i="4" s="1"/>
  <c r="AY24" i="17"/>
  <c r="AN20" i="17"/>
  <c r="AJ29" i="17"/>
  <c r="AZ44" i="17"/>
  <c r="AR58" i="17"/>
  <c r="AN61" i="17"/>
  <c r="AR69" i="17"/>
  <c r="AR74" i="17"/>
  <c r="AZ7" i="17"/>
  <c r="I7" i="4" s="1"/>
  <c r="AZ10" i="17"/>
  <c r="I10" i="4" s="1"/>
  <c r="AY23" i="17"/>
  <c r="AJ33" i="17"/>
  <c r="AJ58" i="17"/>
  <c r="AZ54" i="17"/>
  <c r="I54" i="4" s="1"/>
  <c r="AN62" i="17"/>
  <c r="AY61" i="17"/>
  <c r="AY69" i="17"/>
  <c r="AN77" i="17"/>
  <c r="AJ21" i="17"/>
  <c r="AR77" i="17"/>
  <c r="AJ81" i="17"/>
  <c r="AN9" i="17"/>
  <c r="AR20" i="17"/>
  <c r="AZ27" i="17"/>
  <c r="I27" i="4" s="1"/>
  <c r="AR6" i="17"/>
  <c r="AR26" i="17"/>
  <c r="AR34" i="17"/>
  <c r="AR54" i="17"/>
  <c r="AY77" i="17"/>
  <c r="AY78" i="17"/>
  <c r="AZ33" i="17"/>
  <c r="I33" i="4" s="1"/>
  <c r="AR72" i="17"/>
  <c r="AJ22" i="17"/>
  <c r="AR12" i="17"/>
  <c r="AR68" i="17"/>
  <c r="AJ43" i="17"/>
  <c r="AY43" i="17"/>
  <c r="AJ67" i="17"/>
  <c r="AR43" i="17"/>
  <c r="AJ68" i="17"/>
  <c r="AZ43" i="17"/>
  <c r="AY68" i="17"/>
  <c r="AN67" i="17"/>
  <c r="AL5" i="17"/>
  <c r="AJ32" i="17"/>
  <c r="AP5" i="17"/>
  <c r="AJ31" i="17"/>
  <c r="AN64" i="17"/>
  <c r="AZ67" i="17"/>
  <c r="AR78" i="17"/>
  <c r="AR32" i="17"/>
  <c r="AZ29" i="17"/>
  <c r="I29" i="4" s="1"/>
  <c r="AY31" i="17"/>
  <c r="AZ40" i="17"/>
  <c r="AN78" i="17"/>
  <c r="AN12" i="17"/>
  <c r="AN29" i="17"/>
  <c r="AZ31" i="17"/>
  <c r="I31" i="4" s="1"/>
  <c r="AN40" i="17"/>
  <c r="AJ47" i="17"/>
  <c r="AZ64" i="17"/>
  <c r="AJ78" i="17"/>
  <c r="AR79" i="17"/>
  <c r="AJ79" i="17"/>
  <c r="AY32" i="17"/>
  <c r="AY79" i="17"/>
  <c r="AZ79" i="17"/>
  <c r="AJ40" i="17"/>
  <c r="AN31" i="17"/>
  <c r="AY40" i="17"/>
  <c r="AY12" i="17"/>
  <c r="AJ64" i="17"/>
  <c r="AY81" i="17"/>
  <c r="AJ12" i="17"/>
  <c r="AN81" i="17"/>
  <c r="AL78" i="17"/>
  <c r="AX78" i="17"/>
  <c r="AT78" i="17"/>
  <c r="AP78" i="17"/>
  <c r="AP75" i="17"/>
  <c r="AL75" i="17"/>
  <c r="AX75" i="17"/>
  <c r="AT75" i="17"/>
  <c r="AT80" i="17"/>
  <c r="AP80" i="17"/>
  <c r="AL80" i="17"/>
  <c r="AX80" i="17"/>
  <c r="AX77" i="17"/>
  <c r="AT77" i="17"/>
  <c r="AP77" i="17"/>
  <c r="AL77" i="17"/>
  <c r="AT76" i="17"/>
  <c r="AP76" i="17"/>
  <c r="AT68" i="17"/>
  <c r="AP68" i="17"/>
  <c r="AL68" i="17"/>
  <c r="AX68" i="17"/>
  <c r="AP60" i="17"/>
  <c r="AL60" i="17"/>
  <c r="AX60" i="17"/>
  <c r="AT60" i="17"/>
  <c r="AP56" i="17"/>
  <c r="AL56" i="17"/>
  <c r="AX56" i="17"/>
  <c r="AT56" i="17"/>
  <c r="AX58" i="17"/>
  <c r="AT58" i="17"/>
  <c r="AP58" i="17"/>
  <c r="AL58" i="17"/>
  <c r="AT53" i="17"/>
  <c r="AP53" i="17"/>
  <c r="AL53" i="17"/>
  <c r="AX53" i="17"/>
  <c r="AP52" i="17"/>
  <c r="AL52" i="17"/>
  <c r="AX52" i="17"/>
  <c r="AT52" i="17"/>
  <c r="AT57" i="17"/>
  <c r="AP57" i="17"/>
  <c r="AL57" i="17"/>
  <c r="AX57" i="17"/>
  <c r="AX49" i="17"/>
  <c r="AX46" i="17"/>
  <c r="AT46" i="17"/>
  <c r="AP46" i="17"/>
  <c r="AP47" i="17"/>
  <c r="AL47" i="17"/>
  <c r="AX47" i="17"/>
  <c r="AT47" i="17"/>
  <c r="AL50" i="17"/>
  <c r="AX50" i="17"/>
  <c r="AT50" i="17"/>
  <c r="AP50" i="17"/>
  <c r="AX45" i="17"/>
  <c r="AT45" i="17"/>
  <c r="AP45" i="17"/>
  <c r="AL45" i="17"/>
  <c r="AP35" i="17"/>
  <c r="AL35" i="17"/>
  <c r="AX35" i="17"/>
  <c r="AT35" i="17"/>
  <c r="AX41" i="17"/>
  <c r="AT41" i="17"/>
  <c r="AP41" i="17"/>
  <c r="AL41" i="17"/>
  <c r="AL38" i="17"/>
  <c r="AX38" i="17"/>
  <c r="AT38" i="17"/>
  <c r="AP38" i="17"/>
  <c r="AT24" i="17"/>
  <c r="AP24" i="17"/>
  <c r="AL24" i="17"/>
  <c r="AX24" i="17"/>
  <c r="AL13" i="17"/>
  <c r="AX13" i="17"/>
  <c r="AP12" i="17"/>
  <c r="AL12" i="17"/>
  <c r="AX12" i="17"/>
  <c r="AT12" i="17"/>
  <c r="AT17" i="17"/>
  <c r="AP17" i="17"/>
  <c r="AL17" i="17"/>
  <c r="AX17" i="17"/>
  <c r="AL16" i="17"/>
  <c r="AX8" i="17"/>
  <c r="AT8" i="17"/>
  <c r="AP8" i="17"/>
  <c r="AL8" i="17"/>
  <c r="AV80" i="17" l="1"/>
  <c r="AX5" i="17"/>
  <c r="AX16" i="17"/>
  <c r="AT5" i="17"/>
  <c r="AP65" i="17"/>
  <c r="AV13" i="17"/>
  <c r="AP13" i="17"/>
  <c r="AT13" i="17"/>
  <c r="AL46" i="17"/>
  <c r="AL11" i="17"/>
  <c r="I11" i="4"/>
  <c r="AL59" i="17"/>
  <c r="I59" i="4"/>
  <c r="AL30" i="17"/>
  <c r="I30" i="4"/>
  <c r="AT16" i="17"/>
  <c r="I16" i="4"/>
  <c r="AV65" i="17"/>
  <c r="AP16" i="17"/>
  <c r="AT42" i="17"/>
  <c r="AV46" i="17"/>
  <c r="AP11" i="17"/>
  <c r="AT11" i="17"/>
  <c r="AX11" i="17"/>
  <c r="AV75" i="17"/>
  <c r="AL49" i="17"/>
  <c r="AT65" i="17"/>
  <c r="AP49" i="17"/>
  <c r="AL65" i="17"/>
  <c r="AX65" i="17"/>
  <c r="AV8" i="17"/>
  <c r="AV45" i="17"/>
  <c r="AV17" i="17"/>
  <c r="AL69" i="17"/>
  <c r="AP30" i="17"/>
  <c r="AP79" i="17"/>
  <c r="AT30" i="17"/>
  <c r="AV5" i="17"/>
  <c r="AX42" i="17"/>
  <c r="AP69" i="17"/>
  <c r="AL42" i="17"/>
  <c r="AX76" i="17"/>
  <c r="AP70" i="17"/>
  <c r="AV37" i="17"/>
  <c r="AX48" i="17"/>
  <c r="AT73" i="17"/>
  <c r="AT72" i="17"/>
  <c r="AX62" i="17"/>
  <c r="AT61" i="17"/>
  <c r="AL54" i="17"/>
  <c r="AV42" i="17"/>
  <c r="AX30" i="17"/>
  <c r="AV30" i="17"/>
  <c r="AP26" i="17"/>
  <c r="AT22" i="17"/>
  <c r="AP19" i="17"/>
  <c r="AL18" i="17"/>
  <c r="AT18" i="17"/>
  <c r="AP18" i="17"/>
  <c r="AX18" i="17"/>
  <c r="AP15" i="17"/>
  <c r="AL10" i="17"/>
  <c r="AP7" i="17"/>
  <c r="AP3" i="17"/>
  <c r="AX27" i="17"/>
  <c r="AT48" i="17"/>
  <c r="AL19" i="17"/>
  <c r="AP48" i="17"/>
  <c r="AL20" i="17"/>
  <c r="AX39" i="17"/>
  <c r="AX20" i="17"/>
  <c r="AP20" i="17"/>
  <c r="AL39" i="17"/>
  <c r="AP66" i="17"/>
  <c r="AP39" i="17"/>
  <c r="AX70" i="17"/>
  <c r="AX26" i="17"/>
  <c r="AX66" i="17"/>
  <c r="AV62" i="17"/>
  <c r="AT39" i="17"/>
  <c r="AL25" i="17"/>
  <c r="AP25" i="17"/>
  <c r="AT66" i="17"/>
  <c r="AX14" i="17"/>
  <c r="AL66" i="17"/>
  <c r="AL63" i="17"/>
  <c r="AT15" i="17"/>
  <c r="AX63" i="17"/>
  <c r="AP63" i="17"/>
  <c r="AT19" i="17"/>
  <c r="AT63" i="17"/>
  <c r="AX19" i="17"/>
  <c r="AT27" i="17"/>
  <c r="AV77" i="17"/>
  <c r="AP9" i="17"/>
  <c r="AV27" i="17"/>
  <c r="AL61" i="17"/>
  <c r="AV12" i="17"/>
  <c r="AV68" i="17"/>
  <c r="AP54" i="17"/>
  <c r="AV7" i="17"/>
  <c r="AV58" i="17"/>
  <c r="AV59" i="17"/>
  <c r="AV71" i="17"/>
  <c r="AX36" i="17"/>
  <c r="AX55" i="17"/>
  <c r="AV22" i="17"/>
  <c r="AX32" i="17"/>
  <c r="AP82" i="17"/>
  <c r="AP73" i="17"/>
  <c r="AP61" i="17"/>
  <c r="AV20" i="17"/>
  <c r="AV33" i="17"/>
  <c r="AP34" i="17"/>
  <c r="AP28" i="17"/>
  <c r="AV52" i="17"/>
  <c r="AP59" i="17"/>
  <c r="AV15" i="17"/>
  <c r="AV25" i="17"/>
  <c r="AL43" i="17"/>
  <c r="AX37" i="17"/>
  <c r="AX72" i="17"/>
  <c r="AL15" i="17"/>
  <c r="AX44" i="17"/>
  <c r="AX81" i="17"/>
  <c r="AV21" i="17"/>
  <c r="AV32" i="17"/>
  <c r="AP62" i="17"/>
  <c r="AV56" i="17"/>
  <c r="AV72" i="17"/>
  <c r="AV23" i="17"/>
  <c r="AV34" i="17"/>
  <c r="AL26" i="17"/>
  <c r="AV48" i="17"/>
  <c r="AV60" i="17"/>
  <c r="AV39" i="17"/>
  <c r="AL14" i="17"/>
  <c r="AT25" i="17"/>
  <c r="AT28" i="17"/>
  <c r="AL55" i="17"/>
  <c r="AT79" i="17"/>
  <c r="AV31" i="17"/>
  <c r="AV69" i="17"/>
  <c r="AP10" i="17"/>
  <c r="AX74" i="17"/>
  <c r="AV26" i="17"/>
  <c r="AL6" i="17"/>
  <c r="AV53" i="17"/>
  <c r="AV35" i="17"/>
  <c r="AV79" i="17"/>
  <c r="AL29" i="17"/>
  <c r="AL33" i="17"/>
  <c r="AV61" i="17"/>
  <c r="AT7" i="17"/>
  <c r="AL23" i="17"/>
  <c r="AV74" i="17"/>
  <c r="AP71" i="17"/>
  <c r="AV47" i="17"/>
  <c r="AP22" i="17"/>
  <c r="AV18" i="17"/>
  <c r="AV28" i="17"/>
  <c r="AV43" i="17"/>
  <c r="AX61" i="17"/>
  <c r="AV40" i="17"/>
  <c r="AV63" i="17"/>
  <c r="AV55" i="17"/>
  <c r="AP14" i="17"/>
  <c r="AX25" i="17"/>
  <c r="AT59" i="17"/>
  <c r="AT9" i="17"/>
  <c r="AT14" i="17"/>
  <c r="AT20" i="17"/>
  <c r="AX59" i="17"/>
  <c r="AT62" i="17"/>
  <c r="AP72" i="17"/>
  <c r="AL81" i="17"/>
  <c r="AV81" i="17"/>
  <c r="AV78" i="17"/>
  <c r="AV24" i="17"/>
  <c r="AX69" i="17"/>
  <c r="AV6" i="17"/>
  <c r="AV57" i="17"/>
  <c r="AV67" i="17"/>
  <c r="AV44" i="17"/>
  <c r="AT70" i="17"/>
  <c r="AV73" i="17"/>
  <c r="AV9" i="17"/>
  <c r="AV19" i="17"/>
  <c r="AV64" i="17"/>
  <c r="AV70" i="17"/>
  <c r="AL36" i="17"/>
  <c r="AX73" i="17"/>
  <c r="AP29" i="17"/>
  <c r="AT55" i="17"/>
  <c r="AT71" i="17"/>
  <c r="AL72" i="17"/>
  <c r="AL82" i="17"/>
  <c r="AV3" i="17"/>
  <c r="I3" i="4"/>
  <c r="AT81" i="17"/>
  <c r="AT82" i="17"/>
  <c r="AT3" i="17"/>
  <c r="AX22" i="17"/>
  <c r="AX3" i="17"/>
  <c r="AL32" i="17"/>
  <c r="AX82" i="17"/>
  <c r="AX15" i="17"/>
  <c r="AT32" i="17"/>
  <c r="AL73" i="17"/>
  <c r="AL28" i="17"/>
  <c r="AL3" i="17"/>
  <c r="AX7" i="17"/>
  <c r="AT36" i="17"/>
  <c r="AL22" i="17"/>
  <c r="AP32" i="17"/>
  <c r="AP36" i="17"/>
  <c r="AL70" i="17"/>
  <c r="AP81" i="17"/>
  <c r="AX28" i="17"/>
  <c r="AP55" i="17"/>
  <c r="AP6" i="17"/>
  <c r="AP23" i="17"/>
  <c r="AT6" i="17"/>
  <c r="AX29" i="17"/>
  <c r="AX6" i="17"/>
  <c r="AT23" i="17"/>
  <c r="AT34" i="17"/>
  <c r="AT37" i="17"/>
  <c r="AT26" i="17"/>
  <c r="AX34" i="17"/>
  <c r="AL62" i="17"/>
  <c r="AT69" i="17"/>
  <c r="AX43" i="17"/>
  <c r="AP74" i="17"/>
  <c r="AT74" i="17"/>
  <c r="AL34" i="17"/>
  <c r="AL37" i="17"/>
  <c r="AP37" i="17"/>
  <c r="AT43" i="17"/>
  <c r="AL74" i="17"/>
  <c r="AX71" i="17"/>
  <c r="AX23" i="17"/>
  <c r="AL71" i="17"/>
  <c r="AX64" i="17"/>
  <c r="AT21" i="17"/>
  <c r="AX21" i="17"/>
  <c r="AL21" i="17"/>
  <c r="AP21" i="17"/>
  <c r="AT67" i="17"/>
  <c r="AX9" i="17"/>
  <c r="AT10" i="17"/>
  <c r="AL27" i="17"/>
  <c r="AX67" i="17"/>
  <c r="AL9" i="17"/>
  <c r="AX10" i="17"/>
  <c r="AP31" i="17"/>
  <c r="AP27" i="17"/>
  <c r="AP67" i="17"/>
  <c r="AP33" i="17"/>
  <c r="AL44" i="17"/>
  <c r="AT33" i="17"/>
  <c r="AP44" i="17"/>
  <c r="AT54" i="17"/>
  <c r="AL7" i="17"/>
  <c r="AX33" i="17"/>
  <c r="AT44" i="17"/>
  <c r="AP43" i="17"/>
  <c r="AX54" i="17"/>
  <c r="AT40" i="17"/>
  <c r="AP64" i="17"/>
  <c r="AT64" i="17"/>
  <c r="AL64" i="17"/>
  <c r="AT31" i="17"/>
  <c r="AX40" i="17"/>
  <c r="AX31" i="17"/>
  <c r="AL40" i="17"/>
  <c r="AX79" i="17"/>
  <c r="AT29" i="17"/>
  <c r="AL31" i="17"/>
  <c r="AP40" i="17"/>
  <c r="AL67" i="17"/>
  <c r="AL79" i="17"/>
  <c r="F49" i="4" l="1"/>
  <c r="D50" i="7" s="1"/>
  <c r="F50" i="4"/>
  <c r="D51" i="7" s="1"/>
  <c r="F51" i="4"/>
  <c r="D52" i="7" s="1"/>
  <c r="F52" i="4"/>
  <c r="F53" i="4"/>
  <c r="F54" i="4"/>
  <c r="F55" i="4"/>
  <c r="F56" i="4"/>
  <c r="F57" i="4"/>
  <c r="F58" i="4"/>
  <c r="F59" i="4"/>
  <c r="F60" i="4"/>
  <c r="F61" i="4"/>
  <c r="F62" i="4"/>
  <c r="L4" i="17" l="1"/>
  <c r="AE4" i="17" l="1"/>
  <c r="AD4" i="17"/>
  <c r="AC4" i="17"/>
  <c r="AB4" i="17"/>
  <c r="AA4" i="17"/>
  <c r="Z4" i="17"/>
  <c r="Y4" i="17"/>
  <c r="X4" i="17"/>
  <c r="W4" i="17"/>
  <c r="M4" i="17"/>
  <c r="BA4" i="17" l="1"/>
  <c r="AG4" i="17"/>
  <c r="N4" i="17"/>
  <c r="R4" i="17"/>
  <c r="P4" i="17"/>
  <c r="O4" i="17"/>
  <c r="S4" i="17" l="1"/>
  <c r="Q4" i="17"/>
  <c r="V4" i="17" s="1"/>
  <c r="AH4" i="17" l="1"/>
  <c r="AY4" i="17" s="1"/>
  <c r="AV4" i="17" l="1"/>
  <c r="AN4" i="17"/>
  <c r="AZ4" i="17"/>
  <c r="AR4" i="17"/>
  <c r="AJ4" i="17"/>
  <c r="AX4" i="17" l="1"/>
  <c r="AL4" i="17"/>
  <c r="AP4" i="17"/>
  <c r="AT4" i="17"/>
  <c r="I4" i="4" l="1"/>
  <c r="H64" i="4" s="1"/>
  <c r="I64" i="4" l="1"/>
  <c r="F4" i="7"/>
  <c r="C4" i="7"/>
  <c r="AE79" i="4" l="1"/>
  <c r="AD79" i="4"/>
  <c r="AC79" i="4"/>
  <c r="AB79" i="4"/>
  <c r="AA79" i="4"/>
  <c r="Z79" i="4"/>
  <c r="Y79" i="4"/>
  <c r="X79" i="4"/>
  <c r="W79" i="4"/>
  <c r="V79" i="4"/>
  <c r="U79" i="4"/>
  <c r="L64" i="4"/>
  <c r="AA71" i="4"/>
  <c r="AE70" i="4"/>
  <c r="D101" i="3"/>
  <c r="C99" i="3"/>
  <c r="C100" i="3" s="1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G3" i="3"/>
  <c r="E97" i="3" s="1"/>
  <c r="D97" i="3"/>
  <c r="E3" i="3"/>
  <c r="C97" i="3" s="1"/>
  <c r="C98" i="3" s="1"/>
  <c r="G2" i="3"/>
  <c r="E95" i="3" s="1"/>
  <c r="D95" i="3"/>
  <c r="E2" i="3"/>
  <c r="C95" i="3" s="1"/>
  <c r="D2" i="3"/>
  <c r="C101" i="3" s="1"/>
  <c r="E101" i="3" s="1"/>
  <c r="C2" i="3"/>
  <c r="Q8" i="6" l="1"/>
  <c r="Q3" i="6" s="1"/>
  <c r="Q5" i="6" s="1"/>
  <c r="D99" i="3"/>
  <c r="D100" i="3" s="1"/>
  <c r="X68" i="4"/>
  <c r="AA69" i="4"/>
  <c r="X70" i="4"/>
  <c r="AA80" i="4"/>
  <c r="AE77" i="4"/>
  <c r="AB71" i="4"/>
  <c r="T79" i="4"/>
  <c r="AC69" i="4"/>
  <c r="X77" i="4"/>
  <c r="X72" i="4"/>
  <c r="Y77" i="4"/>
  <c r="U80" i="4"/>
  <c r="AE72" i="4"/>
  <c r="AB80" i="4"/>
  <c r="AE68" i="4"/>
  <c r="D4" i="7"/>
  <c r="AA78" i="4"/>
  <c r="AB69" i="4"/>
  <c r="Y68" i="4"/>
  <c r="U71" i="4"/>
  <c r="Z68" i="4"/>
  <c r="V69" i="4"/>
  <c r="AD69" i="4"/>
  <c r="Z70" i="4"/>
  <c r="V71" i="4"/>
  <c r="AD71" i="4"/>
  <c r="Z72" i="4"/>
  <c r="Z77" i="4"/>
  <c r="V78" i="4"/>
  <c r="AD78" i="4"/>
  <c r="V80" i="4"/>
  <c r="AD80" i="4"/>
  <c r="Y70" i="4"/>
  <c r="AC80" i="4"/>
  <c r="AA68" i="4"/>
  <c r="W69" i="4"/>
  <c r="AE69" i="4"/>
  <c r="AA70" i="4"/>
  <c r="W71" i="4"/>
  <c r="AE71" i="4"/>
  <c r="AA72" i="4"/>
  <c r="AA77" i="4"/>
  <c r="W78" i="4"/>
  <c r="AE78" i="4"/>
  <c r="W80" i="4"/>
  <c r="AE80" i="4"/>
  <c r="U69" i="4"/>
  <c r="AB68" i="4"/>
  <c r="X69" i="4"/>
  <c r="AB70" i="4"/>
  <c r="X71" i="4"/>
  <c r="AB72" i="4"/>
  <c r="AB77" i="4"/>
  <c r="X78" i="4"/>
  <c r="X80" i="4"/>
  <c r="AB78" i="4"/>
  <c r="U78" i="4"/>
  <c r="U68" i="4"/>
  <c r="AC68" i="4"/>
  <c r="Y69" i="4"/>
  <c r="U70" i="4"/>
  <c r="AC70" i="4"/>
  <c r="Y71" i="4"/>
  <c r="U72" i="4"/>
  <c r="AC72" i="4"/>
  <c r="U77" i="4"/>
  <c r="AC77" i="4"/>
  <c r="Y78" i="4"/>
  <c r="Y80" i="4"/>
  <c r="Y72" i="4"/>
  <c r="V68" i="4"/>
  <c r="AD68" i="4"/>
  <c r="Z69" i="4"/>
  <c r="V70" i="4"/>
  <c r="AD70" i="4"/>
  <c r="Z71" i="4"/>
  <c r="V72" i="4"/>
  <c r="AD72" i="4"/>
  <c r="V77" i="4"/>
  <c r="AD77" i="4"/>
  <c r="Z78" i="4"/>
  <c r="Z80" i="4"/>
  <c r="AC71" i="4"/>
  <c r="AC78" i="4"/>
  <c r="W68" i="4"/>
  <c r="W70" i="4"/>
  <c r="W72" i="4"/>
  <c r="W77" i="4"/>
  <c r="E98" i="3"/>
  <c r="D98" i="3"/>
  <c r="C106" i="3"/>
  <c r="C96" i="3"/>
  <c r="C104" i="3"/>
  <c r="D96" i="3"/>
  <c r="E96" i="3"/>
  <c r="E99" i="3" l="1"/>
  <c r="E100" i="3" s="1"/>
  <c r="V81" i="4"/>
  <c r="W81" i="4"/>
  <c r="AD81" i="4"/>
  <c r="AD73" i="4"/>
  <c r="X81" i="4"/>
  <c r="Y81" i="4"/>
  <c r="AE81" i="4"/>
  <c r="X73" i="4"/>
  <c r="T72" i="4"/>
  <c r="AE73" i="4"/>
  <c r="T80" i="4"/>
  <c r="AA73" i="4"/>
  <c r="AA81" i="4"/>
  <c r="AC81" i="4"/>
  <c r="AC73" i="4"/>
  <c r="Y73" i="4"/>
  <c r="T68" i="4"/>
  <c r="D103" i="3" s="1"/>
  <c r="U73" i="4"/>
  <c r="U81" i="4"/>
  <c r="T77" i="4"/>
  <c r="T78" i="4"/>
  <c r="AB73" i="4"/>
  <c r="V73" i="4"/>
  <c r="T69" i="4"/>
  <c r="D105" i="3" s="1"/>
  <c r="W73" i="4"/>
  <c r="T70" i="4"/>
  <c r="AB81" i="4"/>
  <c r="Z73" i="4"/>
  <c r="Z81" i="4"/>
  <c r="T71" i="4"/>
  <c r="E103" i="3" l="1"/>
  <c r="D104" i="3"/>
  <c r="E105" i="3"/>
  <c r="D106" i="3"/>
  <c r="T81" i="4"/>
  <c r="T7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<sst xmlns="http://schemas.openxmlformats.org/spreadsheetml/2006/main" count="1390" uniqueCount="659">
  <si>
    <t>WINDCRAFT ENGENHARIA</t>
  </si>
  <si>
    <t>RELATÓRIO GERENCIAL</t>
  </si>
  <si>
    <t>Setor de Operação e Manutenção - Solar</t>
  </si>
  <si>
    <t xml:space="preserve">Cliente: </t>
  </si>
  <si>
    <t xml:space="preserve">Responsável: </t>
  </si>
  <si>
    <t>Igor Medeiros</t>
  </si>
  <si>
    <t>Helexia</t>
  </si>
  <si>
    <t>CIDADES</t>
  </si>
  <si>
    <t>USINA
TOTAIS</t>
  </si>
  <si>
    <t>UF
TOTAL</t>
  </si>
  <si>
    <t>POTÊNCIA 
PICO (MWp)
TOTAL</t>
  </si>
  <si>
    <t>POTÊNCIA 
PICO (MWp)
ATIVAS</t>
  </si>
  <si>
    <t>POTÊNCIA 
PICO (MWp)
OFF</t>
  </si>
  <si>
    <t xml:space="preserve">Aux. </t>
  </si>
  <si>
    <t>Manacapuru</t>
  </si>
  <si>
    <t>AM</t>
  </si>
  <si>
    <t>Iranduba</t>
  </si>
  <si>
    <t>Presidente Figueiredo</t>
  </si>
  <si>
    <t>.</t>
  </si>
  <si>
    <t>Coração de Maria</t>
  </si>
  <si>
    <t>BA</t>
  </si>
  <si>
    <t>Tucano</t>
  </si>
  <si>
    <t>Beberibe</t>
  </si>
  <si>
    <t>Cascavel</t>
  </si>
  <si>
    <t>CE</t>
  </si>
  <si>
    <t>Nova Russas</t>
  </si>
  <si>
    <t>Monsenhor Tabosa</t>
  </si>
  <si>
    <t>Varjota</t>
  </si>
  <si>
    <t>Jaguaruana</t>
  </si>
  <si>
    <t>Santa Quitéria</t>
  </si>
  <si>
    <t>Marco</t>
  </si>
  <si>
    <t>Carnaubal</t>
  </si>
  <si>
    <t>Bela Vista de Goiás</t>
  </si>
  <si>
    <t>Guapó</t>
  </si>
  <si>
    <t>Cezarina</t>
  </si>
  <si>
    <t>Rio Verde</t>
  </si>
  <si>
    <t>Ouro</t>
  </si>
  <si>
    <t>Paranaíba</t>
  </si>
  <si>
    <t>GO</t>
  </si>
  <si>
    <t>Cassilândia</t>
  </si>
  <si>
    <t>Paraíso das Águas</t>
  </si>
  <si>
    <t>Vertentes</t>
  </si>
  <si>
    <t>Afrânio</t>
  </si>
  <si>
    <t>Alto Paraná</t>
  </si>
  <si>
    <t>Amaporã</t>
  </si>
  <si>
    <t>MS</t>
  </si>
  <si>
    <t>Cidade Gaúcha</t>
  </si>
  <si>
    <t>Colorado</t>
  </si>
  <si>
    <t>Paranavaí</t>
  </si>
  <si>
    <t>Iguaraçu</t>
  </si>
  <si>
    <t>Loanda</t>
  </si>
  <si>
    <t>Munhoz de Melo</t>
  </si>
  <si>
    <t>Nova Esperança</t>
  </si>
  <si>
    <t>PE</t>
  </si>
  <si>
    <t>Apucarana</t>
  </si>
  <si>
    <t>Rolândia</t>
  </si>
  <si>
    <t>Governador Dix-Sept Rosado</t>
  </si>
  <si>
    <t>PR</t>
  </si>
  <si>
    <t>Touros</t>
  </si>
  <si>
    <t>Riacho da Cruz</t>
  </si>
  <si>
    <t>Rolim de Moura</t>
  </si>
  <si>
    <t>Tapes</t>
  </si>
  <si>
    <t>Charqueadas</t>
  </si>
  <si>
    <t>São Jerônimo</t>
  </si>
  <si>
    <t>Euclides da Cunha Paulista</t>
  </si>
  <si>
    <t>Presidente Alves</t>
  </si>
  <si>
    <t>Guararapes</t>
  </si>
  <si>
    <t>Santo Antônio do Aracanguá</t>
  </si>
  <si>
    <t>Barretos</t>
  </si>
  <si>
    <t>Presidente Venceslau</t>
  </si>
  <si>
    <t>Lorena</t>
  </si>
  <si>
    <t>RN</t>
  </si>
  <si>
    <t>Cruzeiro</t>
  </si>
  <si>
    <t>Caçapava</t>
  </si>
  <si>
    <t>Taquarituba</t>
  </si>
  <si>
    <t>Cotia</t>
  </si>
  <si>
    <t>Itapevi</t>
  </si>
  <si>
    <t>Embu-Guaçu</t>
  </si>
  <si>
    <t>RO</t>
  </si>
  <si>
    <t>RS</t>
  </si>
  <si>
    <t>SP</t>
  </si>
  <si>
    <t>TOTAL</t>
  </si>
  <si>
    <t>ATIVAS</t>
  </si>
  <si>
    <t>NÃO ATIVAS</t>
  </si>
  <si>
    <t>POTÊNCIA PICO (MWp)</t>
  </si>
  <si>
    <t>USINAS</t>
  </si>
  <si>
    <t>ESTADOS</t>
  </si>
  <si>
    <t>AM, BA, CE, GO, MS, PE, PR, RN, RO, RS, SP</t>
  </si>
  <si>
    <t xml:space="preserve"> CE, GO, MS, PR, 
RN, RO, RS, SP</t>
  </si>
  <si>
    <t>AM, BA, PE</t>
  </si>
  <si>
    <t>TÉCNICOS (Campo)</t>
  </si>
  <si>
    <t>MWp/Técnico</t>
  </si>
  <si>
    <t>-</t>
  </si>
  <si>
    <t>MANTENEDOR (Campo)</t>
  </si>
  <si>
    <t>MWp/Mantenedor</t>
  </si>
  <si>
    <t>Controle de Mobilização</t>
  </si>
  <si>
    <t>FUNCIONÁRIO</t>
  </si>
  <si>
    <t>Função</t>
  </si>
  <si>
    <t>CIDADE BASE</t>
  </si>
  <si>
    <t>UF</t>
  </si>
  <si>
    <t>MODALIDADE</t>
  </si>
  <si>
    <t>CUSTO COM
REMUNERAÇÃO</t>
  </si>
  <si>
    <t>VEÍCULO</t>
  </si>
  <si>
    <t>LOCADORA</t>
  </si>
  <si>
    <t>VALOR
MENSAL</t>
  </si>
  <si>
    <t>Jefferson Willian da Silva</t>
  </si>
  <si>
    <t>Técnico de O&amp;M</t>
  </si>
  <si>
    <t>Mossoró/RN</t>
  </si>
  <si>
    <t>CLT</t>
  </si>
  <si>
    <t>Mantenedor</t>
  </si>
  <si>
    <t>Dioleno Moreira da Silva</t>
  </si>
  <si>
    <t>Beberibe/CE</t>
  </si>
  <si>
    <t>4x4#</t>
  </si>
  <si>
    <t>Flávio Henrique Mente Olivio</t>
  </si>
  <si>
    <t>Euclides da Cunha Paulista/SP</t>
  </si>
  <si>
    <t>Ualas Henrique Melo dos Santos Yoshida</t>
  </si>
  <si>
    <t>Paranaiba/MS</t>
  </si>
  <si>
    <t>Pedro Henrique de Oliveira</t>
  </si>
  <si>
    <t>Lorena/SP</t>
  </si>
  <si>
    <t>Jefferson Henrique de Carvalho Fernandes</t>
  </si>
  <si>
    <t>Guararapes/SP</t>
  </si>
  <si>
    <t>Cassilândia/MS</t>
  </si>
  <si>
    <t>Alisson Martins Raasch</t>
  </si>
  <si>
    <t>Rolim de Moura/RO</t>
  </si>
  <si>
    <t>4x2</t>
  </si>
  <si>
    <t>José Filipe Cândido</t>
  </si>
  <si>
    <t>Munhoz de Melo/PR</t>
  </si>
  <si>
    <t>4x4</t>
  </si>
  <si>
    <t>Luiz Antonio Ribeiro</t>
  </si>
  <si>
    <t>Cidade Gaúcha/PR</t>
  </si>
  <si>
    <t>Anderson Fellipe Rodrigues da Silva</t>
  </si>
  <si>
    <t>Cezarina/GO</t>
  </si>
  <si>
    <t>Celso Gabriel Fernandes dos Santos</t>
  </si>
  <si>
    <t>Paranavaí/PR</t>
  </si>
  <si>
    <t>José Roberto Azevedo Neto</t>
  </si>
  <si>
    <t>Charqueadas/RS</t>
  </si>
  <si>
    <t>Paranaíba/MS</t>
  </si>
  <si>
    <t>Carnaubal/CE</t>
  </si>
  <si>
    <t>Jonatha Teixeira de Oliveira</t>
  </si>
  <si>
    <t>Alvaro Correia Bentes Neto</t>
  </si>
  <si>
    <t>Kevin Franklin Fernandes Rodrigues</t>
  </si>
  <si>
    <t>Técnico - CO</t>
  </si>
  <si>
    <t>Rafael Martins de Araújo Ferreira</t>
  </si>
  <si>
    <t>Coordenador de O&amp;M</t>
  </si>
  <si>
    <t>PJ</t>
  </si>
  <si>
    <t>Andreas Fenner</t>
  </si>
  <si>
    <t>Estagiário</t>
  </si>
  <si>
    <t>Djavan Lucas de Oliveira Freire</t>
  </si>
  <si>
    <t>Miqueas Marcos Silva Bezerra</t>
  </si>
  <si>
    <t>Gabriel Beserra Lima da Silva</t>
  </si>
  <si>
    <t>Estágio</t>
  </si>
  <si>
    <t>Mateus Henrique Batista Ribeiro</t>
  </si>
  <si>
    <t>Custo com Locação Veículos</t>
  </si>
  <si>
    <t>Faturamento Mensal</t>
  </si>
  <si>
    <t>Faturamento com Veículo</t>
  </si>
  <si>
    <t>CONTADOR TOTAL - Colaboradores</t>
  </si>
  <si>
    <t xml:space="preserve">Notas e Instruções das Fórmulas: </t>
  </si>
  <si>
    <t>FUNÇÃO</t>
  </si>
  <si>
    <t>QTD</t>
  </si>
  <si>
    <t>CAMPO</t>
  </si>
  <si>
    <t>CONTADOR TOTAL - Veículos</t>
  </si>
  <si>
    <t>Faturamento Mensal &amp; Veículo</t>
  </si>
  <si>
    <t>Esse faturamento é um valor calculado com Base no BM</t>
  </si>
  <si>
    <t>CENTRO DE OPERAÇÕES</t>
  </si>
  <si>
    <t xml:space="preserve">Calculo Porcentagem </t>
  </si>
  <si>
    <t>Custo de Mão-de-obra em relação ao faturamento</t>
  </si>
  <si>
    <t>O valor resultante tem que ser a porcentagem em relação ao total pelo custo de mão de obra</t>
  </si>
  <si>
    <t xml:space="preserve">Como Achar o BM pra colocar aqui? </t>
  </si>
  <si>
    <t>Insere o BM como copiar\colar</t>
  </si>
  <si>
    <t xml:space="preserve">Como calcular o salário? </t>
  </si>
  <si>
    <t xml:space="preserve">É necessário entrar no contracheque do pessoal e olhar o "salário mensalista"  desscrito em um dos tópicos, não o salário liquido nem bruto! </t>
  </si>
  <si>
    <t xml:space="preserve">Categorização dos gastos reais: </t>
  </si>
  <si>
    <t>● Terceirizados – Gastos retirando às categorias:
VLC, VCB, VMN, VIA</t>
  </si>
  <si>
    <t>● Remuneração – Somente as categorias abaixo:
REM e REE</t>
  </si>
  <si>
    <t>LOCAÇÃO</t>
  </si>
  <si>
    <t>● Veículos – Pode pegar no Relatório Gerencial</t>
  </si>
  <si>
    <t xml:space="preserve">● Hospedagem e viagens não pode criar devido a soma e subitração necessária na clara e no extrato da inter e por ser um valor já  colocado em outra parte do relatório gerencial então não é necessário. </t>
  </si>
  <si>
    <t>FROTA PRÓPRIA</t>
  </si>
  <si>
    <t>4x2#</t>
  </si>
  <si>
    <t xml:space="preserve">Consultar Dados:  </t>
  </si>
  <si>
    <t xml:space="preserve">Rh -por email- com o controle de pessoal; Logística presencialmente para os carros; Igor presencialmente para Potência  (MWP) e cidades; Financeiro para BM, abastecimentos, CDG e extrato; </t>
  </si>
  <si>
    <t>Nome</t>
  </si>
  <si>
    <t>Cidade</t>
  </si>
  <si>
    <t>Estado</t>
  </si>
  <si>
    <t>País</t>
  </si>
  <si>
    <t>Carros</t>
  </si>
  <si>
    <t>BR</t>
  </si>
  <si>
    <t>Fluxo Financeiro Real</t>
  </si>
  <si>
    <t>Faturamento</t>
  </si>
  <si>
    <t>Impostos</t>
  </si>
  <si>
    <t>Lucro</t>
  </si>
  <si>
    <t>Custo Real</t>
  </si>
  <si>
    <t>Automático</t>
  </si>
  <si>
    <t xml:space="preserve">Aluguel Carros </t>
  </si>
  <si>
    <t>Remuneração</t>
  </si>
  <si>
    <t>Terceiros</t>
  </si>
  <si>
    <t>Informações Básicas</t>
  </si>
  <si>
    <t>ANOTAÇÕES DE RESPONSABILIDADE TÉCNICA - CREA</t>
  </si>
  <si>
    <t>#</t>
  </si>
  <si>
    <t>UFV</t>
  </si>
  <si>
    <t>CIDADE</t>
  </si>
  <si>
    <t>CLIENTE</t>
  </si>
  <si>
    <t>CONTRATO</t>
  </si>
  <si>
    <t>RESPONSÁVEL TÉCNICO</t>
  </si>
  <si>
    <t>ART OBRA/SERVIÇO</t>
  </si>
  <si>
    <t>STATUS</t>
  </si>
  <si>
    <t>INICIO</t>
  </si>
  <si>
    <t>TÉRMINO</t>
  </si>
  <si>
    <t>ASSINATURAS</t>
  </si>
  <si>
    <t>HELEXIA</t>
  </si>
  <si>
    <t>Igor José Nunes Medeiros</t>
  </si>
  <si>
    <t>Engenheiro Civil / Engenheiro Eletricista</t>
  </si>
  <si>
    <t>EMITIDO</t>
  </si>
  <si>
    <t>OK</t>
  </si>
  <si>
    <t>PROJETO</t>
  </si>
  <si>
    <t>SEGMENTO</t>
  </si>
  <si>
    <t>INÍCIO</t>
  </si>
  <si>
    <t>NÃO EMITIDA</t>
  </si>
  <si>
    <t>PENDENTE</t>
  </si>
  <si>
    <t>CONTRATO DE PRESTAÇÃO DE SERVIÇOS DE ADMINISTRAÇÃO, OPERAÇÃO E MANUTENÇÃO
DE USINAS FOTOVOLTAICAS - HELEXIA</t>
  </si>
  <si>
    <t>SOLAR</t>
  </si>
  <si>
    <t>Sem contrato</t>
  </si>
  <si>
    <t>REFERENCIA BM-24- Outubro/2025</t>
  </si>
  <si>
    <t>Escopo Atual - Veículos</t>
  </si>
  <si>
    <t>Cezrina</t>
  </si>
  <si>
    <t>Eng. Civil / Eng. Eletricista</t>
  </si>
  <si>
    <t>CONTROLE DE HSE - PGR E PCMSO</t>
  </si>
  <si>
    <t>ESTADO</t>
  </si>
  <si>
    <t>DOCUMENTO</t>
  </si>
  <si>
    <t>RESPONSÁVEL 
TÉCNICO</t>
  </si>
  <si>
    <t xml:space="preserve">REV. </t>
  </si>
  <si>
    <t>EMISSÃO</t>
  </si>
  <si>
    <t>VALIDADE</t>
  </si>
  <si>
    <t>CONTRATO DE PRESTAÇÃO DE SERVIÇOS DE ADMINISTRAÇÃO, OPERAÇÃO E MANUTENÇÃO</t>
  </si>
  <si>
    <t>ART - PGR LTCAT</t>
  </si>
  <si>
    <t>Eng.Segurança</t>
  </si>
  <si>
    <t>RV00</t>
  </si>
  <si>
    <t>PGR</t>
  </si>
  <si>
    <t>RV01</t>
  </si>
  <si>
    <t>LTCAT</t>
  </si>
  <si>
    <t>PCMSO</t>
  </si>
  <si>
    <t>Médico do Trabalho</t>
  </si>
  <si>
    <t>FATURAMENTO BRUTO</t>
  </si>
  <si>
    <t>UFVS CONTRATO</t>
  </si>
  <si>
    <t>UFVS SEM CONTRATO</t>
  </si>
  <si>
    <t>VEÍCULOS</t>
  </si>
  <si>
    <t>HORAS EXTRAS</t>
  </si>
  <si>
    <t>CRESCIMENTO MENSAL</t>
  </si>
  <si>
    <t>Contrato</t>
  </si>
  <si>
    <t>Operacional</t>
  </si>
  <si>
    <t>Administrativo</t>
  </si>
  <si>
    <t>BOM – Estamos atendendo de forma satisfatória</t>
  </si>
  <si>
    <t>REGULAR – Item merece atenção</t>
  </si>
  <si>
    <t>RUIM – Precisamos trabalhar para melhorar</t>
  </si>
  <si>
    <t>ACIONAMENTO EQUIPE DE CAMPO – O Centro de Operações tem se dedicado intensamente ao acionamento das equipes diariamente.
SUPRIMENTOS - Estamos realizando aquisições e enviando equipamentos para garantia de maneira satisfatória. Essa atividade demanda um tempo considerável dos técnicos. Estamos avaliando a possibilidade de transferir essa responsabilidade para a LOGÍSTICA do escritório.</t>
  </si>
  <si>
    <t>PARADAS ANUAIS – Iniciamos as primeiras paradas anuais e estamos aguardando os relatórios de fechamento para dar início às demais paradas. Já temos usinas com atrasos, e estamos planejando retomar as atividades em abril de 2025.
RELATÓRIOS DE ENGENHARIA – Estamos enfrentando atrasos na elaboração dos relatórios de engenharia, uma atividade que era predominantemente realizada pelos estagiários que solicitaram demissão. Para resolver essa situação, iremos mobilizar novos estagiários e designar um dos técnicos para supervisionar esse processo.
ESTUDOS DE EFICIÊNCIA – Devido à alta demanda operacional, o Coordenador de Engenharia não tem conseguido realizar os estudos de eficiência para os clientes. Este item é um diferencial importante, mas requer mão de obra mais técnica e especializada.</t>
  </si>
  <si>
    <t>PREVENTIVAS – Realizamos aproximadamente 263 atividades preventivas por semana, totalizando cerca de 1052 atividades por mês. Além disso, lidamos com outras ordens de serviço para atividades corretivas. Um desafio adicional é a dificuldade técnica da mão de obra, que muitas vezes resulta na necessidade de revisar os relatórios. Estamos em processo de mudança de software, mas essa situação também reflete a escassez de mão de obra para o acompanhamento de várias usinas.
CFTV – O sistema de supervisão atual é ineficiente. Recentemente, enfrentamos alguns roubos em algumas usinas durante a noite. Embora tenhamos iniciado o monitoramento noturno em um regime de 12/36, é impossível assumir toda a responsabilidade patrimonial relacionada a esse item.</t>
  </si>
  <si>
    <t xml:space="preserve">HSE – A quantidade de documentação exigida por nossa contratante é alta, porém estabilizou-se após a divisão com 3 TST´s dando apoio a área. 
Logística – Veiculos: Permanece faltando rastreadores, porém está com o controle muito melhor. </t>
  </si>
  <si>
    <t>RH – FOLHAS DE PONTO – Mensalmente, precisamos verificar todas as horas extras dos funcionários, validar e reunir as horas e sobreavisos para inclusão na medição. Esse processo tem atrasado constantemente nossa medição. A partir de abril de 2025, será solicitado que o RH se reúna com o coordenador e apresente as horas extras e sobreaviso no formato adequado para os Boletins de Medição.
RH – RECRUTAMENTO – Após o estudo sobre o In-Hire, descobriu-se que para os mantenedores de campo ainda se necessita sempre os contatar pois poucos realmente param para usar o Linkedin ou alguma plataforma de recrutamento, portanto, ainda permanece regular. 
JURIDICO – Estamos firmando diversos contratos de serviços com PJ’s independentes, porém na área de ART´s ainda falta a automatização do processo. 
FINANCEIRO – Necessita melhorar cada vez mais a precisão dos gastos e diminuir da entrega de custos.</t>
  </si>
  <si>
    <t>Salário Base</t>
  </si>
  <si>
    <t>Periculosidade</t>
  </si>
  <si>
    <t>Salário Bruto</t>
  </si>
  <si>
    <t>Inss + FGTS</t>
  </si>
  <si>
    <t>Provisão de Férias</t>
  </si>
  <si>
    <t xml:space="preserve">Provisão de 13º </t>
  </si>
  <si>
    <t>Provisão Imposto sobre 13º+Férias</t>
  </si>
  <si>
    <t>Provisão Aviso Rescisão</t>
  </si>
  <si>
    <t>Provisão FGTS Rescisão</t>
  </si>
  <si>
    <t xml:space="preserve">Contra-cheque Diária-Alimentação </t>
  </si>
  <si>
    <t>Encargos</t>
  </si>
  <si>
    <t>Aso ADM</t>
  </si>
  <si>
    <t>Aso PER</t>
  </si>
  <si>
    <t>Aso DEM</t>
  </si>
  <si>
    <t>PPRA/PCMSO</t>
  </si>
  <si>
    <t>NR´s (2025)</t>
  </si>
  <si>
    <t>E.P.I´s (2025)</t>
  </si>
  <si>
    <t xml:space="preserve">Notebook </t>
  </si>
  <si>
    <t>Celulares</t>
  </si>
  <si>
    <t>Seguro de Vida</t>
  </si>
  <si>
    <t xml:space="preserve">Plano de Saúde </t>
  </si>
  <si>
    <t>COMPLEMENTARES</t>
  </si>
  <si>
    <t>Custo Básico</t>
  </si>
  <si>
    <r>
      <t xml:space="preserve">Lucro
</t>
    </r>
    <r>
      <rPr>
        <i/>
        <sz val="10"/>
        <color theme="1"/>
        <rFont val="Calibri"/>
        <family val="2"/>
        <scheme val="minor"/>
      </rPr>
      <t/>
    </r>
  </si>
  <si>
    <t>Salario Base</t>
  </si>
  <si>
    <t>Salário Final</t>
  </si>
  <si>
    <r>
      <t xml:space="preserve">O cálculo para contagem agora é automático então você tem que escrever </t>
    </r>
    <r>
      <rPr>
        <u/>
        <sz val="12"/>
        <color rgb="FF002060"/>
        <rFont val="Times New Roman"/>
        <family val="1"/>
      </rPr>
      <t>exatamente</t>
    </r>
    <r>
      <rPr>
        <sz val="12"/>
        <color rgb="FF002060"/>
        <rFont val="Times New Roman"/>
        <family val="1"/>
      </rPr>
      <t xml:space="preserve"> o nome do tópico caso haja edição (Tipo "Estagiário"). </t>
    </r>
  </si>
  <si>
    <t>Windcraft - Controle de Estoque</t>
  </si>
  <si>
    <t>Funcionário</t>
  </si>
  <si>
    <t>Número de Patrimônio</t>
  </si>
  <si>
    <t>Processador</t>
  </si>
  <si>
    <t>RAM</t>
  </si>
  <si>
    <t>Espaço no SSD</t>
  </si>
  <si>
    <t>Observações</t>
  </si>
  <si>
    <t>Asus 245</t>
  </si>
  <si>
    <t xml:space="preserve">Intel(R) Celeron(R) N4000 CPU @ 1.10GHz, 2 Cores, 4 Threads </t>
  </si>
  <si>
    <t>4Gb</t>
  </si>
  <si>
    <t>240Gb</t>
  </si>
  <si>
    <t>Dell 3</t>
  </si>
  <si>
    <t xml:space="preserve">i3 4th Gen CPU @ 3.4 GHz, 2 Cores, 4 Threads </t>
  </si>
  <si>
    <t xml:space="preserve">Intel Celeron N3350 CPU @ 1.10GHz, 2 Cores, 4 Threads </t>
  </si>
  <si>
    <t>Dell 303</t>
  </si>
  <si>
    <t xml:space="preserve">i5 8350U CPU @ 1.70Ghz, 4 Cores, 8 Threads </t>
  </si>
  <si>
    <t>8Gb</t>
  </si>
  <si>
    <t>256Gb</t>
  </si>
  <si>
    <t>Moto G05 277</t>
  </si>
  <si>
    <t>Lenovo 47</t>
  </si>
  <si>
    <t xml:space="preserve">Intel Celeron(R) N4000 CPU @ 1.10GHz, 2 Cores, 4 Threads </t>
  </si>
  <si>
    <t>Lenovo S145-15IWL</t>
  </si>
  <si>
    <t xml:space="preserve">Core i5 CPU @ 1.80GHz, 4 Cores, 8 Threads </t>
  </si>
  <si>
    <t xml:space="preserve">i5 8265U CPU @ 1.60GHz, 4 Cores, 8 Threads </t>
  </si>
  <si>
    <t>Lenovo 305</t>
  </si>
  <si>
    <t xml:space="preserve">IdeaPad S145 Intel® Celeron N4000 CPU @ 1.10GHz, 2 Cores, 4 Threads </t>
  </si>
  <si>
    <t>500Gb</t>
  </si>
  <si>
    <t>Lenovo 301</t>
  </si>
  <si>
    <t xml:space="preserve">i5 7200U CPU @ 2.5GHz, 2 Cores, 4 Threads </t>
  </si>
  <si>
    <t>A13 Preto</t>
  </si>
  <si>
    <t>Lenovo 48</t>
  </si>
  <si>
    <t xml:space="preserve">Intel® Celeron N4000 CPU @ 1.10GHz, 2 Cores, 4 Threads </t>
  </si>
  <si>
    <t>450Gb</t>
  </si>
  <si>
    <t>A32 Preto 471</t>
  </si>
  <si>
    <t>Acer 119</t>
  </si>
  <si>
    <t xml:space="preserve">i3 1005G1 CPU @ 3.0GHz, 2 Cores, 4 Threads </t>
  </si>
  <si>
    <t>Breno da Silva Rodrigues</t>
  </si>
  <si>
    <t>Lenovo 475</t>
  </si>
  <si>
    <t>A14 Preto 461</t>
  </si>
  <si>
    <t>i5 8th Gen</t>
  </si>
  <si>
    <t>A32 Preto 459</t>
  </si>
  <si>
    <t>Lenovo 250</t>
  </si>
  <si>
    <t xml:space="preserve">Intel® Celeron N4020 CPU @2.6GHZ, 2 Cores, 4 Threads </t>
  </si>
  <si>
    <t>128Gb</t>
  </si>
  <si>
    <t>Dupla do Allison Raasch</t>
  </si>
  <si>
    <t>A32 Preto 474</t>
  </si>
  <si>
    <t>Dell 311</t>
  </si>
  <si>
    <t xml:space="preserve">i3 6006U CPU @ 2.0GHz, 2 Cores, 4 Threads </t>
  </si>
  <si>
    <t>Asus 217</t>
  </si>
  <si>
    <t xml:space="preserve">i3 7020U CPU @ 2.3GHz, 2 Cores, 4 Threads </t>
  </si>
  <si>
    <t xml:space="preserve">i5 7300U CPU @ 2.6GHz, 2 Cores, 4 Threads </t>
  </si>
  <si>
    <t>Jediel Feitosa em posse: A32 Lilas 473</t>
  </si>
  <si>
    <t>Asus 231</t>
  </si>
  <si>
    <t xml:space="preserve">i3 7020 CPU @ 2,3 GHz, 2 Cores, 4 Threads </t>
  </si>
  <si>
    <t>128 Gb</t>
  </si>
  <si>
    <t xml:space="preserve">i5 8350U CPU @1.7GHz, 4Cores, 8 threads </t>
  </si>
  <si>
    <t>8gb</t>
  </si>
  <si>
    <t>240gb</t>
  </si>
  <si>
    <t>Desmobilizado</t>
  </si>
  <si>
    <t>HP 467</t>
  </si>
  <si>
    <t xml:space="preserve">i5 4300U CPU @ 1.9 GHZ, 2 cores, 4 threads </t>
  </si>
  <si>
    <t>Redmi 14C</t>
  </si>
  <si>
    <t>Intel Celeron</t>
  </si>
  <si>
    <t>120 Gb</t>
  </si>
  <si>
    <t>A14 Preto 462</t>
  </si>
  <si>
    <t>Dell 495</t>
  </si>
  <si>
    <t>Intel(R) Celeron(R) N4020</t>
  </si>
  <si>
    <t>4 GB</t>
  </si>
  <si>
    <t>128 GB</t>
  </si>
  <si>
    <t>Lenovo 264</t>
  </si>
  <si>
    <t>i5 7200U CPU @ 2.5 GHz</t>
  </si>
  <si>
    <t>i5-12450H</t>
  </si>
  <si>
    <t>ThinkPad 389</t>
  </si>
  <si>
    <t>i5 8350U</t>
  </si>
  <si>
    <t>16Gb</t>
  </si>
  <si>
    <t>Lenovo 015</t>
  </si>
  <si>
    <t>Core i5 8th Gen</t>
  </si>
  <si>
    <t>256 Gb</t>
  </si>
  <si>
    <t>Asus 225</t>
  </si>
  <si>
    <t>240 Gb</t>
  </si>
  <si>
    <t>Dell 436</t>
  </si>
  <si>
    <t>i5-8365U</t>
  </si>
  <si>
    <t>HP 448</t>
  </si>
  <si>
    <t>i5 8365U</t>
  </si>
  <si>
    <t>N/A</t>
  </si>
  <si>
    <t>Thinkpad 476</t>
  </si>
  <si>
    <t>Marcelo de Freitas Viana</t>
  </si>
  <si>
    <t>Gustavo dos Santos Moura</t>
  </si>
  <si>
    <t>Edson Pereira Barbosa</t>
  </si>
  <si>
    <t>Thiago de Andrade Lima</t>
  </si>
  <si>
    <t>Douglas Rodrigo do Santos Lima</t>
  </si>
  <si>
    <t>Bruno Rocha Pestana</t>
  </si>
  <si>
    <t>Rio Verde-GO</t>
  </si>
  <si>
    <t>Goiânia – GO</t>
  </si>
  <si>
    <t>São Jerônimo - RS</t>
  </si>
  <si>
    <t>Cassilândia – MS</t>
  </si>
  <si>
    <t>Paranavaí – PR</t>
  </si>
  <si>
    <t>Caçapava – SP</t>
  </si>
  <si>
    <t>Iranduba – AM</t>
  </si>
  <si>
    <t>André Silva de Oliveira</t>
  </si>
  <si>
    <t>Rebeca de Andrade Alves</t>
  </si>
  <si>
    <t xml:space="preserve">Hospedagem </t>
  </si>
  <si>
    <t>Modalidade</t>
  </si>
  <si>
    <r>
      <t xml:space="preserve">Taxa Administrativa 
</t>
    </r>
    <r>
      <rPr>
        <i/>
        <sz val="10"/>
        <color theme="1"/>
        <rFont val="Times New Roman"/>
        <family val="1"/>
      </rPr>
      <t xml:space="preserve">(Escritorio e estrutura de suporte, adm e TI)
</t>
    </r>
  </si>
  <si>
    <r>
      <t xml:space="preserve">Taxa de Risco
</t>
    </r>
    <r>
      <rPr>
        <sz val="10"/>
        <color theme="1"/>
        <rFont val="Times New Roman"/>
        <family val="1"/>
      </rPr>
      <t xml:space="preserve">Insegurança no orçamento por falta de especificações
</t>
    </r>
  </si>
  <si>
    <r>
      <t xml:space="preserve">Imposto Nota
</t>
    </r>
    <r>
      <rPr>
        <i/>
        <sz val="10"/>
        <color rgb="FF00B050"/>
        <rFont val="Times New Roman"/>
        <family val="1"/>
      </rPr>
      <t xml:space="preserve">12,68%=
16,33-3,65
</t>
    </r>
    <r>
      <rPr>
        <b/>
        <i/>
        <sz val="10"/>
        <color rgb="FF00B050"/>
        <rFont val="Times New Roman"/>
        <family val="1"/>
      </rPr>
      <t>COM REIDE</t>
    </r>
  </si>
  <si>
    <r>
      <t xml:space="preserve">Imposto Nota
</t>
    </r>
    <r>
      <rPr>
        <i/>
        <sz val="10"/>
        <color theme="1"/>
        <rFont val="Times New Roman"/>
        <family val="1"/>
      </rPr>
      <t xml:space="preserve">16,33
</t>
    </r>
  </si>
  <si>
    <r>
      <t xml:space="preserve">VALOR FINAL </t>
    </r>
    <r>
      <rPr>
        <b/>
        <i/>
        <sz val="10"/>
        <rFont val="Times New Roman"/>
        <family val="1"/>
      </rPr>
      <t>(Mês)  COM REIDE</t>
    </r>
  </si>
  <si>
    <r>
      <t xml:space="preserve">VALOR FINAL </t>
    </r>
    <r>
      <rPr>
        <i/>
        <sz val="10"/>
        <rFont val="Times New Roman"/>
        <family val="1"/>
      </rPr>
      <t>(Mês)  SEM REIDE</t>
    </r>
  </si>
  <si>
    <t>Nomes</t>
  </si>
  <si>
    <t>Jedson Leandro Siqueira</t>
  </si>
  <si>
    <t>Auxiliar para Bater Dados</t>
  </si>
  <si>
    <t>Andradina/SP</t>
  </si>
  <si>
    <t>Frota Própria</t>
  </si>
  <si>
    <t>Localiza</t>
  </si>
  <si>
    <t>Vencida</t>
  </si>
  <si>
    <t>TOTAL GERAL</t>
  </si>
  <si>
    <t>Manual (SEM VLC, VCB, VMN, REE, REM)</t>
  </si>
  <si>
    <t>Automático se Faturamento Completo</t>
  </si>
  <si>
    <t>Notas</t>
  </si>
  <si>
    <t>Manual (REE &amp; REM) (Valor Líquido)</t>
  </si>
  <si>
    <t>Mão de Obra/Faturamento (Bruto)</t>
  </si>
  <si>
    <t>Fernando Lopes de Souza</t>
  </si>
  <si>
    <t>Técnico em O&amp;M</t>
  </si>
  <si>
    <t xml:space="preserve">Ficou com Carro Reserva por um período no nome de José Roberto. </t>
  </si>
  <si>
    <t>Rodando o BR</t>
  </si>
  <si>
    <t>Felipe Veloso</t>
  </si>
  <si>
    <t>Natal/RN</t>
  </si>
  <si>
    <t>Valida</t>
  </si>
  <si>
    <t xml:space="preserve">Damião Eufrasio da Silva </t>
  </si>
  <si>
    <t xml:space="preserve">Allan Raasch Duda </t>
  </si>
  <si>
    <t xml:space="preserve">Francisco Alex Desouza Nepomuceno </t>
  </si>
  <si>
    <t xml:space="preserve">Felipe Catarino Pereira Santana </t>
  </si>
  <si>
    <t xml:space="preserve">Lucas Santos do Nascimento </t>
  </si>
  <si>
    <t xml:space="preserve">João Augusto Teixeira Tavares </t>
  </si>
  <si>
    <t xml:space="preserve">Lúcio André de Souza </t>
  </si>
  <si>
    <t xml:space="preserve"> Marcos Cardoso Vieira</t>
  </si>
  <si>
    <t xml:space="preserve">Rian Carlos dos Santos Moura </t>
  </si>
  <si>
    <t xml:space="preserve">Carlos Daniel Cruz da Silva </t>
  </si>
  <si>
    <t xml:space="preserve"> Wellinton Ferreira dos Santos</t>
  </si>
  <si>
    <t>Devolveu o carro</t>
  </si>
  <si>
    <t>Carro Localiza devolvido dia 19-12-2025</t>
  </si>
  <si>
    <t xml:space="preserve">Retirou um Localiza em Janeiro </t>
  </si>
  <si>
    <t>Cotia-SP</t>
  </si>
  <si>
    <t xml:space="preserve">Rastreador
</t>
  </si>
  <si>
    <t xml:space="preserve">SIM </t>
  </si>
  <si>
    <t>NÃO</t>
  </si>
  <si>
    <t>Sem informações dadas mês 12</t>
  </si>
  <si>
    <t>Kilometragem Extra Exessiva</t>
  </si>
  <si>
    <t xml:space="preserve">Robert Marques Gonçalves </t>
  </si>
  <si>
    <t xml:space="preserve">Manualmente </t>
  </si>
  <si>
    <t>REEMBOLSO MATERIAIS/SERVIÇOS</t>
  </si>
  <si>
    <t>Multilaser 222</t>
  </si>
  <si>
    <t>Dell 437</t>
  </si>
  <si>
    <t>HP 496</t>
  </si>
  <si>
    <t>Lenovo 275</t>
  </si>
  <si>
    <t>ThinkPad 476</t>
  </si>
  <si>
    <t>Asus 229</t>
  </si>
  <si>
    <t>Acer 233</t>
  </si>
  <si>
    <t>Mês Seguinte ficou com carro reserva sem rastreador</t>
  </si>
  <si>
    <t/>
  </si>
  <si>
    <t>Elaboração:</t>
  </si>
  <si>
    <t>Leandro Farias</t>
  </si>
  <si>
    <t>Mônica Teles</t>
  </si>
  <si>
    <t>Rogério Bastos</t>
  </si>
  <si>
    <t>Elaine Pimentel</t>
  </si>
  <si>
    <t>Fábio Cunha</t>
  </si>
  <si>
    <t>Patrícia Andrade Lopes</t>
  </si>
  <si>
    <t>Vinícius Moraes Rangel</t>
  </si>
  <si>
    <t>Cláudia Peixoto Nobre</t>
  </si>
  <si>
    <t>Renato Guedes Paiva</t>
  </si>
  <si>
    <t>Silvia Matos Barreto</t>
  </si>
  <si>
    <t>Daniel Afonso Queiroz Lima</t>
  </si>
  <si>
    <t>Juliane Costa Figueiredo</t>
  </si>
  <si>
    <t>Mauro Silveira Prado</t>
  </si>
  <si>
    <t>Tatiana Borges Nascimento</t>
  </si>
  <si>
    <t>Alex Rocha Pacheco</t>
  </si>
  <si>
    <t>Eduardo Tavares Montenegro</t>
  </si>
  <si>
    <t>Bianca Lacerda Fontes</t>
  </si>
  <si>
    <t>Samuel Torres Maciel</t>
  </si>
  <si>
    <t>Priscila Azevedo Goulart</t>
  </si>
  <si>
    <t>Henrique Vidal Soares</t>
  </si>
  <si>
    <t>André Luiz Falcão Duarte</t>
  </si>
  <si>
    <t>Camila Noronha Brito</t>
  </si>
  <si>
    <t>João Victor Meireles</t>
  </si>
  <si>
    <t>Renata Salgado Motta</t>
  </si>
  <si>
    <t>Igor Valente Cruz</t>
  </si>
  <si>
    <t>Lucas Rafael Monte Verde Santos</t>
  </si>
  <si>
    <t>Ana Beatriz Rocha Diniz</t>
  </si>
  <si>
    <t>Marcelo Augusto Ferraz Pinho</t>
  </si>
  <si>
    <t>Carolina Venturini Paes</t>
  </si>
  <si>
    <t>Felipe Otávio Corrêa Leite</t>
  </si>
  <si>
    <t>Nathalia Freire Sampaio</t>
  </si>
  <si>
    <t>Roberto Caetano Nolasco</t>
  </si>
  <si>
    <t>Luiza Barcellos Antunes</t>
  </si>
  <si>
    <t>Pedro Henrique Alvarenga</t>
  </si>
  <si>
    <t>Sofia Mendes Albuquerque</t>
  </si>
  <si>
    <t>Carlos Eduardo de Almeida Pereira</t>
  </si>
  <si>
    <t>Marina Lopes da Costa Figueiredo</t>
  </si>
  <si>
    <t>Rafael Henrique do Nascimento Barros</t>
  </si>
  <si>
    <t>Ana Paula Ribeiro dos Santos Azevedo</t>
  </si>
  <si>
    <t>Felipe Augusto de Oliveira Cunha</t>
  </si>
  <si>
    <t>Luciana Martins da Rocha Pimentel</t>
  </si>
  <si>
    <t>Bruno César do Carmo Teixeira</t>
  </si>
  <si>
    <t>Patrícia Alves dos Anjos Guimarães</t>
  </si>
  <si>
    <t>Eduardo Vinícius de Azevedo Moreira</t>
  </si>
  <si>
    <t>Renata Cristina da Silva Monteiro</t>
  </si>
  <si>
    <t>Gauaratinguetá/SP</t>
  </si>
  <si>
    <t>Dupla do Samuel Torres Maciel</t>
  </si>
  <si>
    <t>Dupla do Renato Guedes Paiva</t>
  </si>
  <si>
    <t>Entec Technologies</t>
  </si>
  <si>
    <t>CAM 555.242</t>
  </si>
  <si>
    <t>CAM 555.243</t>
  </si>
  <si>
    <t>CAM 555.244</t>
  </si>
  <si>
    <t>CAM 555.245</t>
  </si>
  <si>
    <t>CAM 555.246</t>
  </si>
  <si>
    <t>CAM 555.247</t>
  </si>
  <si>
    <t>CAM 555.248</t>
  </si>
  <si>
    <t>CAM 555.249</t>
  </si>
  <si>
    <t>CAM 555.250</t>
  </si>
  <si>
    <t>CAM 555.251</t>
  </si>
  <si>
    <t>CAM 555.252</t>
  </si>
  <si>
    <t>CAM 555.253</t>
  </si>
  <si>
    <t>CAM 555.254</t>
  </si>
  <si>
    <t>Nº 3902805928201</t>
  </si>
  <si>
    <t>Obra 1</t>
  </si>
  <si>
    <t>Obra 2</t>
  </si>
  <si>
    <t>Obra 3</t>
  </si>
  <si>
    <t>Obra 4</t>
  </si>
  <si>
    <t>Obra 5</t>
  </si>
  <si>
    <t>Obra 6</t>
  </si>
  <si>
    <t>Obra 7</t>
  </si>
  <si>
    <t>Obra 8</t>
  </si>
  <si>
    <t>Obra 9</t>
  </si>
  <si>
    <t>Obra 10</t>
  </si>
  <si>
    <t>Obra 11</t>
  </si>
  <si>
    <t>Obra 12</t>
  </si>
  <si>
    <t>Obra 13</t>
  </si>
  <si>
    <t>Obra 14</t>
  </si>
  <si>
    <t>Obra 15</t>
  </si>
  <si>
    <t>Obra 16</t>
  </si>
  <si>
    <t>Obra 17</t>
  </si>
  <si>
    <t>Obra 18</t>
  </si>
  <si>
    <t>Obra 19</t>
  </si>
  <si>
    <t>Obra 20</t>
  </si>
  <si>
    <t>Obra 21</t>
  </si>
  <si>
    <t>Obra 22</t>
  </si>
  <si>
    <t>Obra 23</t>
  </si>
  <si>
    <t>Obra 24</t>
  </si>
  <si>
    <t>Obra 25</t>
  </si>
  <si>
    <t>Obra 26</t>
  </si>
  <si>
    <t>Obra 27</t>
  </si>
  <si>
    <t>Obra 28</t>
  </si>
  <si>
    <t>Obra 29</t>
  </si>
  <si>
    <t>Obra 30</t>
  </si>
  <si>
    <t>Obra 31</t>
  </si>
  <si>
    <t>Obra 32</t>
  </si>
  <si>
    <t>Obra 33</t>
  </si>
  <si>
    <t>Obra 34</t>
  </si>
  <si>
    <t>Obra 35</t>
  </si>
  <si>
    <t>Obra 36</t>
  </si>
  <si>
    <t>Obra 37</t>
  </si>
  <si>
    <t>Obra 38</t>
  </si>
  <si>
    <t>Dr. Fulano de Tal</t>
  </si>
  <si>
    <t>Adiantamento de Operação</t>
  </si>
  <si>
    <t>Boletim Mensal 1</t>
  </si>
  <si>
    <t>Boletim Mensal 2</t>
  </si>
  <si>
    <t>Boletim Mensal 3</t>
  </si>
  <si>
    <t>Boletim Mensal 4</t>
  </si>
  <si>
    <t>Boletim Mensal 5</t>
  </si>
  <si>
    <t>Boletim Mensal 6</t>
  </si>
  <si>
    <t>Boletim Mensal 7</t>
  </si>
  <si>
    <t>Boletim Mensal 8</t>
  </si>
  <si>
    <t>Boletim Mensal 9</t>
  </si>
  <si>
    <t>Boletim Mensal 10</t>
  </si>
  <si>
    <t>Boletim Mensal 11</t>
  </si>
  <si>
    <t>Boletim Mensal 12</t>
  </si>
  <si>
    <t>Boletim Mensal 13</t>
  </si>
  <si>
    <t>Boletim Mensal 14</t>
  </si>
  <si>
    <t>Boletim Mensal 15</t>
  </si>
  <si>
    <t>Boletim Mensal 16</t>
  </si>
  <si>
    <t>Boletim Mensal 17</t>
  </si>
  <si>
    <t>Boletim Mensal 18</t>
  </si>
  <si>
    <t>Boletim Mensal 19</t>
  </si>
  <si>
    <t>Boletim Mensal 20</t>
  </si>
  <si>
    <t>Boletim Mensal 21</t>
  </si>
  <si>
    <t>Boletim Mensal 22</t>
  </si>
  <si>
    <t>Boletim Mensal 23</t>
  </si>
  <si>
    <t>Boletim Mensal 24</t>
  </si>
  <si>
    <t>Boletim Mensal 25</t>
  </si>
  <si>
    <t>Boletim Mensal 26</t>
  </si>
  <si>
    <t>Automático;</t>
  </si>
  <si>
    <t xml:space="preserve">Cartões Funcionários </t>
  </si>
  <si>
    <t>Manualmente</t>
  </si>
  <si>
    <t>Custo Relatório de Despesas Entec</t>
  </si>
  <si>
    <t>Usina 1</t>
  </si>
  <si>
    <t>Usina 2</t>
  </si>
  <si>
    <t>Usina 3</t>
  </si>
  <si>
    <t>Usina 4</t>
  </si>
  <si>
    <t>Usina 5</t>
  </si>
  <si>
    <t>Usina 6</t>
  </si>
  <si>
    <t>Usina 7</t>
  </si>
  <si>
    <t>Usina 8</t>
  </si>
  <si>
    <t>Usina 9</t>
  </si>
  <si>
    <t>Usina 10</t>
  </si>
  <si>
    <t>Usina 11</t>
  </si>
  <si>
    <t>Usina 12</t>
  </si>
  <si>
    <t>Usina 13</t>
  </si>
  <si>
    <t>Usina 14</t>
  </si>
  <si>
    <t>Usina 15</t>
  </si>
  <si>
    <t>Usina 16</t>
  </si>
  <si>
    <t>Usina 17</t>
  </si>
  <si>
    <t>Usina 18</t>
  </si>
  <si>
    <t>Usina 20</t>
  </si>
  <si>
    <t>Usina 21</t>
  </si>
  <si>
    <t>Usina 22</t>
  </si>
  <si>
    <t>Usina 23</t>
  </si>
  <si>
    <t>Usina 24</t>
  </si>
  <si>
    <t>Usina 26</t>
  </si>
  <si>
    <t>Usina 27</t>
  </si>
  <si>
    <t>Usina 28</t>
  </si>
  <si>
    <t>Usina 29</t>
  </si>
  <si>
    <t>Usina 30</t>
  </si>
  <si>
    <t>Usina 31</t>
  </si>
  <si>
    <t>Usina 33</t>
  </si>
  <si>
    <t>Usina 34</t>
  </si>
  <si>
    <t>Usina 36</t>
  </si>
  <si>
    <t>Usina 37</t>
  </si>
  <si>
    <t>Usina 38</t>
  </si>
  <si>
    <t>Usina 39</t>
  </si>
  <si>
    <t>Usina 40</t>
  </si>
  <si>
    <t>Usina 41</t>
  </si>
  <si>
    <t>Usina 42</t>
  </si>
  <si>
    <t>Usina 43</t>
  </si>
  <si>
    <t>Usina 44</t>
  </si>
  <si>
    <t>Usina 45</t>
  </si>
  <si>
    <t>Usina 46</t>
  </si>
  <si>
    <t>Usina 47</t>
  </si>
  <si>
    <t>Usina 49</t>
  </si>
  <si>
    <t>Usina 50</t>
  </si>
  <si>
    <t>Usina 51</t>
  </si>
  <si>
    <t>Usina 52</t>
  </si>
  <si>
    <t>Usina 53</t>
  </si>
  <si>
    <t>Usina 55</t>
  </si>
  <si>
    <t>Usina 56</t>
  </si>
  <si>
    <t>Usina 58</t>
  </si>
  <si>
    <t>Usina 59</t>
  </si>
  <si>
    <t>Usina 60</t>
  </si>
  <si>
    <t>Usina 62</t>
  </si>
  <si>
    <t>Usina 63</t>
  </si>
  <si>
    <t>Usina 64</t>
  </si>
  <si>
    <t>Usina 65</t>
  </si>
  <si>
    <t>Usina 66</t>
  </si>
  <si>
    <t>Usina 67</t>
  </si>
  <si>
    <t>Usina 68</t>
  </si>
  <si>
    <t>Usina 69</t>
  </si>
  <si>
    <t>Usina 70</t>
  </si>
  <si>
    <t>Usina 71</t>
  </si>
  <si>
    <t>Usina 72</t>
  </si>
  <si>
    <t>Usina 73</t>
  </si>
  <si>
    <t>Usina 74</t>
  </si>
  <si>
    <t>Usina 75</t>
  </si>
  <si>
    <t>Usina 76</t>
  </si>
  <si>
    <t>Usina 77</t>
  </si>
  <si>
    <t>Usina 78</t>
  </si>
  <si>
    <t>Usina 79</t>
  </si>
  <si>
    <t>Usina 80</t>
  </si>
  <si>
    <t>Usina 81</t>
  </si>
  <si>
    <t>Usina 82</t>
  </si>
  <si>
    <t>Usina 83</t>
  </si>
  <si>
    <t>Usina 84</t>
  </si>
  <si>
    <t>Usina 85</t>
  </si>
  <si>
    <t>Valor Final 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</si>
</sst>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"/>
    <numFmt numFmtId="165" formatCode="0.00000"/>
    <numFmt numFmtId="166" formatCode="#,##0.00_ ;\-#,##0.00\ "/>
    <numFmt numFmtId="167" formatCode="&quot;R$&quot;\ #,##0.00"/>
    <numFmt numFmtId="168" formatCode="dd"/>
    <numFmt numFmtId="169" formatCode="dd/mm/yy;@"/>
    <numFmt numFmtId="170" formatCode="\R&quot;R$&quot;\ #,##0.00"/>
    <numFmt numFmtId="171" formatCode="_-&quot;R$&quot;* #,##0.00_-;\-&quot;R$&quot;* #,##0.00_-;_-&quot;R$&quot;* &quot;-&quot;??_-;_-@_-"/>
    <numFmt numFmtId="172" formatCode="[$-416]mmm;@"/>
    <numFmt numFmtId="173" formatCode="0.0"/>
  </numFmts>
  <fonts count="1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22"/>
      <color theme="0"/>
      <name val="Times New Roman"/>
      <family val="1"/>
    </font>
    <font>
      <b/>
      <sz val="22"/>
      <color theme="0"/>
      <name val="Times New Roman"/>
      <family val="1"/>
    </font>
    <font>
      <b/>
      <sz val="14"/>
      <color theme="0"/>
      <name val="Times New Roman"/>
      <family val="1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sz val="11"/>
      <color theme="1"/>
      <name val="Calibri"/>
      <family val="2"/>
      <scheme val="minor"/>
    </font>
    <font>
      <sz val="10"/>
      <color theme="0"/>
      <name val="Times New Roman"/>
      <family val="1"/>
    </font>
    <font>
      <b/>
      <sz val="10"/>
      <color rgb="FFFFFFFF"/>
      <name val="Segoe UI"/>
      <family val="2"/>
    </font>
    <font>
      <b/>
      <sz val="18"/>
      <color theme="0"/>
      <name val="Segoe UI"/>
      <family val="2"/>
    </font>
    <font>
      <b/>
      <sz val="14"/>
      <color rgb="FFFFFFFF"/>
      <name val="Segoe UI"/>
      <family val="2"/>
    </font>
    <font>
      <b/>
      <sz val="18"/>
      <name val="Segoe UI"/>
      <family val="2"/>
    </font>
    <font>
      <i/>
      <sz val="12"/>
      <color theme="2" tint="-9.9978637043366805E-2"/>
      <name val="Segoe UI"/>
      <family val="2"/>
    </font>
    <font>
      <sz val="10"/>
      <color rgb="FF000000"/>
      <name val="Segoe UI"/>
      <family val="2"/>
    </font>
    <font>
      <sz val="10"/>
      <color theme="1"/>
      <name val="Segoe UI"/>
      <family val="2"/>
    </font>
    <font>
      <sz val="10"/>
      <color rgb="FFFFFFFF"/>
      <name val="Segoe UI"/>
      <family val="2"/>
    </font>
    <font>
      <b/>
      <sz val="18"/>
      <color rgb="FFFFFFFF"/>
      <name val="Segoe UI"/>
      <family val="2"/>
    </font>
    <font>
      <b/>
      <sz val="10"/>
      <color theme="0"/>
      <name val="Segoe UI"/>
      <family val="2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i/>
      <sz val="10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sz val="10"/>
      <color theme="0" tint="-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26"/>
      <color theme="0"/>
      <name val="Times New Roman"/>
      <family val="1"/>
    </font>
    <font>
      <b/>
      <sz val="18"/>
      <color theme="0"/>
      <name val="Arial Black"/>
      <family val="2"/>
    </font>
    <font>
      <b/>
      <sz val="12"/>
      <color theme="0"/>
      <name val="Times New Roman"/>
      <family val="1"/>
    </font>
    <font>
      <sz val="9"/>
      <color theme="1"/>
      <name val="Calibri"/>
      <family val="2"/>
    </font>
    <font>
      <sz val="11"/>
      <color rgb="FF002060"/>
      <name val="Calibri"/>
      <family val="2"/>
      <scheme val="minor"/>
    </font>
    <font>
      <b/>
      <sz val="12"/>
      <color rgb="FF002060"/>
      <name val="Times New Roman"/>
      <family val="1"/>
    </font>
    <font>
      <b/>
      <sz val="11"/>
      <color rgb="FF002060"/>
      <name val="Times New Roman"/>
      <family val="1"/>
    </font>
    <font>
      <b/>
      <i/>
      <sz val="14"/>
      <color rgb="FF002060"/>
      <name val="Times New Roman"/>
      <family val="1"/>
    </font>
    <font>
      <b/>
      <sz val="18"/>
      <color theme="0"/>
      <name val="Times New Roman"/>
      <family val="1"/>
    </font>
    <font>
      <sz val="11"/>
      <color rgb="FF002060"/>
      <name val="Times New Roman"/>
      <family val="1"/>
    </font>
    <font>
      <b/>
      <sz val="12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36"/>
      <color theme="0"/>
      <name val="Times New Roman"/>
      <family val="1"/>
    </font>
    <font>
      <b/>
      <sz val="24"/>
      <color theme="0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i/>
      <sz val="11"/>
      <color theme="2" tint="-0.499984740745262"/>
      <name val="Times New Roman"/>
      <family val="1"/>
    </font>
    <font>
      <b/>
      <i/>
      <sz val="11"/>
      <color theme="2" tint="-0.499984740745262"/>
      <name val="Times New Roman"/>
      <family val="1"/>
    </font>
    <font>
      <b/>
      <sz val="12"/>
      <color theme="1"/>
      <name val="Times New Roman"/>
      <family val="1"/>
    </font>
    <font>
      <b/>
      <sz val="11"/>
      <name val="Times New Roman"/>
      <family val="1"/>
    </font>
    <font>
      <b/>
      <sz val="14"/>
      <color theme="1"/>
      <name val="Times New Roman"/>
      <family val="1"/>
    </font>
    <font>
      <b/>
      <sz val="12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b/>
      <sz val="14"/>
      <name val="Times New Roman"/>
      <family val="1"/>
    </font>
    <font>
      <sz val="8"/>
      <color theme="1"/>
      <name val="Calibri"/>
      <family val="2"/>
      <scheme val="minor"/>
    </font>
    <font>
      <sz val="8"/>
      <color theme="1"/>
      <name val="Times New Roman"/>
      <family val="1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Microsoft JhengHei"/>
      <family val="2"/>
    </font>
    <font>
      <sz val="2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rgb="FF002060"/>
      <name val="Calibri"/>
      <family val="2"/>
      <scheme val="minor"/>
    </font>
    <font>
      <sz val="24"/>
      <color theme="0"/>
      <name val="Times New Roman"/>
      <family val="1"/>
    </font>
    <font>
      <sz val="10"/>
      <color theme="1"/>
      <name val="Times New Roman"/>
      <family val="1"/>
    </font>
    <font>
      <b/>
      <sz val="10"/>
      <color theme="0"/>
      <name val="Times New Roman"/>
      <family val="1"/>
    </font>
    <font>
      <i/>
      <sz val="10"/>
      <color theme="1"/>
      <name val="Calibri"/>
      <family val="2"/>
      <scheme val="minor"/>
    </font>
    <font>
      <sz val="12"/>
      <color rgb="FF002060"/>
      <name val="Times New Roman"/>
      <family val="1"/>
    </font>
    <font>
      <u/>
      <sz val="12"/>
      <color rgb="FF002060"/>
      <name val="Times New Roman"/>
      <family val="1"/>
    </font>
    <font>
      <sz val="10"/>
      <color rgb="FF000000"/>
      <name val="Calibri"/>
      <family val="2"/>
      <scheme val="minor"/>
    </font>
    <font>
      <b/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sz val="10"/>
      <color rgb="FF00B050"/>
      <name val="Times New Roman"/>
      <family val="1"/>
    </font>
    <font>
      <i/>
      <sz val="10"/>
      <color rgb="FF00B050"/>
      <name val="Times New Roman"/>
      <family val="1"/>
    </font>
    <font>
      <b/>
      <i/>
      <sz val="10"/>
      <color rgb="FF00B050"/>
      <name val="Times New Roman"/>
      <family val="1"/>
    </font>
    <font>
      <b/>
      <sz val="10"/>
      <name val="Times New Roman"/>
      <family val="1"/>
    </font>
    <font>
      <b/>
      <i/>
      <sz val="10"/>
      <name val="Times New Roman"/>
      <family val="1"/>
    </font>
    <font>
      <i/>
      <sz val="10"/>
      <name val="Times New Roman"/>
      <family val="1"/>
    </font>
    <font>
      <b/>
      <sz val="10"/>
      <color theme="9"/>
      <name val="Times New Roman"/>
      <family val="1"/>
    </font>
    <font>
      <sz val="10"/>
      <name val="Times New Roman"/>
      <family val="1"/>
    </font>
    <font>
      <sz val="10"/>
      <color rgb="FFFF0000"/>
      <name val="Times New Roman"/>
      <family val="1"/>
    </font>
    <font>
      <sz val="8"/>
      <name val="Times New Roman"/>
      <family val="1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color rgb="FF00206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9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sz val="12"/>
      <color rgb="FF00B050"/>
      <name val="Times New Roman"/>
      <family val="1"/>
    </font>
    <font>
      <b/>
      <sz val="20"/>
      <color theme="0"/>
      <name val="Times New Roman"/>
      <family val="1"/>
    </font>
    <font>
      <b/>
      <sz val="11"/>
      <color rgb="FF00B050"/>
      <name val="Calibri"/>
      <family val="2"/>
      <scheme val="minor"/>
    </font>
    <font>
      <b/>
      <sz val="11"/>
      <color rgb="FFCC0000"/>
      <name val="Calibri"/>
      <family val="2"/>
      <scheme val="minor"/>
    </font>
    <font>
      <b/>
      <sz val="12"/>
      <color theme="9" tint="-0.249977111117893"/>
      <name val="Times New Roman"/>
      <family val="1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4"/>
      <name val="Times New Roman"/>
      <family val="1"/>
    </font>
    <font>
      <sz val="11"/>
      <name val="Sitka Banner Semibold"/>
    </font>
    <font>
      <b/>
      <sz val="11"/>
      <name val="Sitka Banner Semibold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2"/>
      <name val="Times New Roman"/>
      <family val="1"/>
    </font>
    <font>
      <b/>
      <sz val="10"/>
      <color theme="2"/>
      <name val="Times New Roman"/>
      <family val="1"/>
    </font>
    <font>
      <b/>
      <sz val="8"/>
      <color theme="2"/>
      <name val="Times New Roman"/>
      <family val="1"/>
    </font>
    <font>
      <b/>
      <sz val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FEF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0000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rgb="FF00B0F0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rgb="FF00B0F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90" fillId="0" borderId="0"/>
    <xf numFmtId="171" fontId="8" fillId="0" borderId="0" applyFont="0" applyFill="0" applyBorder="0" applyAlignment="0" applyProtection="0"/>
    <xf numFmtId="0" fontId="24" fillId="16" borderId="20" applyNumberFormat="0" applyAlignment="0" applyProtection="0"/>
    <xf numFmtId="171" fontId="8" fillId="0" borderId="0" applyFont="0" applyFill="0" applyBorder="0" applyAlignment="0" applyProtection="0"/>
    <xf numFmtId="0" fontId="8" fillId="0" borderId="0"/>
  </cellStyleXfs>
  <cellXfs count="522">
    <xf numFmtId="0" fontId="0" fillId="0" borderId="0" xfId="0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3" fillId="3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0" fillId="3" borderId="0" xfId="0" applyFill="1" applyAlignment="1">
      <alignment vertical="top"/>
    </xf>
    <xf numFmtId="0" fontId="7" fillId="3" borderId="0" xfId="0" applyFont="1" applyFill="1" applyAlignment="1">
      <alignment vertical="top"/>
    </xf>
    <xf numFmtId="0" fontId="10" fillId="2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7" borderId="4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/>
    <xf numFmtId="0" fontId="15" fillId="8" borderId="6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16" fillId="8" borderId="7" xfId="0" applyFont="1" applyFill="1" applyBorder="1" applyAlignment="1">
      <alignment horizontal="center" vertical="center" wrapText="1"/>
    </xf>
    <xf numFmtId="165" fontId="0" fillId="8" borderId="7" xfId="0" applyNumberFormat="1" applyFill="1" applyBorder="1" applyAlignment="1">
      <alignment horizontal="center" vertical="center"/>
    </xf>
    <xf numFmtId="164" fontId="0" fillId="8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17" fillId="2" borderId="9" xfId="0" applyFont="1" applyFill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 wrapText="1"/>
    </xf>
    <xf numFmtId="2" fontId="20" fillId="8" borderId="9" xfId="0" applyNumberFormat="1" applyFont="1" applyFill="1" applyBorder="1" applyAlignment="1">
      <alignment horizontal="center" vertical="center"/>
    </xf>
    <xf numFmtId="2" fontId="21" fillId="9" borderId="9" xfId="0" applyNumberFormat="1" applyFont="1" applyFill="1" applyBorder="1" applyAlignment="1">
      <alignment horizontal="center" vertical="center"/>
    </xf>
    <xf numFmtId="2" fontId="20" fillId="10" borderId="9" xfId="0" applyNumberFormat="1" applyFont="1" applyFill="1" applyBorder="1" applyAlignment="1">
      <alignment horizontal="center" vertical="center"/>
    </xf>
    <xf numFmtId="9" fontId="22" fillId="8" borderId="9" xfId="3" applyFont="1" applyFill="1" applyBorder="1" applyAlignment="1">
      <alignment horizontal="center"/>
    </xf>
    <xf numFmtId="9" fontId="23" fillId="9" borderId="9" xfId="3" applyFont="1" applyFill="1" applyBorder="1" applyAlignment="1">
      <alignment horizontal="center"/>
    </xf>
    <xf numFmtId="9" fontId="22" fillId="10" borderId="9" xfId="3" applyFont="1" applyFill="1" applyBorder="1" applyAlignment="1">
      <alignment horizontal="center"/>
    </xf>
    <xf numFmtId="1" fontId="20" fillId="8" borderId="9" xfId="0" applyNumberFormat="1" applyFont="1" applyFill="1" applyBorder="1" applyAlignment="1">
      <alignment horizontal="center" vertical="center"/>
    </xf>
    <xf numFmtId="1" fontId="21" fillId="9" borderId="9" xfId="0" applyNumberFormat="1" applyFont="1" applyFill="1" applyBorder="1" applyAlignment="1">
      <alignment horizontal="center" vertical="center"/>
    </xf>
    <xf numFmtId="1" fontId="20" fillId="10" borderId="9" xfId="0" applyNumberFormat="1" applyFont="1" applyFill="1" applyBorder="1" applyAlignment="1">
      <alignment horizontal="center" vertical="center"/>
    </xf>
    <xf numFmtId="9" fontId="25" fillId="8" borderId="9" xfId="3" applyFont="1" applyFill="1" applyBorder="1" applyAlignment="1">
      <alignment horizontal="center" wrapText="1"/>
    </xf>
    <xf numFmtId="9" fontId="26" fillId="9" borderId="9" xfId="3" applyFont="1" applyFill="1" applyBorder="1" applyAlignment="1">
      <alignment horizontal="center" vertical="center" wrapText="1"/>
    </xf>
    <xf numFmtId="9" fontId="27" fillId="10" borderId="9" xfId="3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 wrapText="1"/>
    </xf>
    <xf numFmtId="0" fontId="28" fillId="2" borderId="12" xfId="0" applyFont="1" applyFill="1" applyBorder="1" applyAlignment="1">
      <alignment horizontal="center" vertical="center"/>
    </xf>
    <xf numFmtId="166" fontId="27" fillId="8" borderId="9" xfId="1" applyNumberFormat="1" applyFont="1" applyFill="1" applyBorder="1" applyAlignment="1">
      <alignment horizontal="center" vertical="center"/>
    </xf>
    <xf numFmtId="166" fontId="29" fillId="9" borderId="9" xfId="1" applyNumberFormat="1" applyFont="1" applyFill="1" applyBorder="1" applyAlignment="1">
      <alignment horizontal="center" vertical="center"/>
    </xf>
    <xf numFmtId="166" fontId="27" fillId="10" borderId="9" xfId="1" applyNumberFormat="1" applyFont="1" applyFill="1" applyBorder="1" applyAlignment="1">
      <alignment horizontal="center" vertical="center"/>
    </xf>
    <xf numFmtId="0" fontId="0" fillId="0" borderId="13" xfId="0" applyBorder="1"/>
    <xf numFmtId="0" fontId="0" fillId="0" borderId="0" xfId="0" applyAlignment="1">
      <alignment horizontal="center"/>
    </xf>
    <xf numFmtId="0" fontId="32" fillId="2" borderId="9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9" xfId="0" applyFont="1" applyFill="1" applyBorder="1" applyAlignment="1">
      <alignment horizontal="left" vertical="center"/>
    </xf>
    <xf numFmtId="0" fontId="32" fillId="2" borderId="9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 wrapText="1"/>
    </xf>
    <xf numFmtId="0" fontId="1" fillId="8" borderId="0" xfId="0" applyFont="1" applyFill="1" applyAlignment="1">
      <alignment horizontal="left" vertical="center"/>
    </xf>
    <xf numFmtId="0" fontId="1" fillId="8" borderId="0" xfId="2" applyNumberFormat="1" applyFont="1" applyFill="1" applyBorder="1" applyAlignment="1">
      <alignment horizontal="left" vertical="center" wrapText="1"/>
    </xf>
    <xf numFmtId="44" fontId="1" fillId="8" borderId="0" xfId="2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2" applyNumberFormat="1" applyFont="1" applyFill="1" applyBorder="1" applyAlignment="1">
      <alignment horizontal="center" vertical="center"/>
    </xf>
    <xf numFmtId="44" fontId="0" fillId="0" borderId="0" xfId="0" applyNumberFormat="1"/>
    <xf numFmtId="0" fontId="1" fillId="8" borderId="0" xfId="2" applyNumberFormat="1" applyFont="1" applyFill="1" applyBorder="1" applyAlignment="1">
      <alignment horizontal="left" vertical="center"/>
    </xf>
    <xf numFmtId="0" fontId="1" fillId="11" borderId="14" xfId="0" applyFont="1" applyFill="1" applyBorder="1" applyAlignment="1">
      <alignment horizontal="left" vertical="center"/>
    </xf>
    <xf numFmtId="0" fontId="1" fillId="11" borderId="14" xfId="0" applyFont="1" applyFill="1" applyBorder="1" applyAlignment="1">
      <alignment horizontal="left" vertical="center" wrapText="1"/>
    </xf>
    <xf numFmtId="0" fontId="1" fillId="11" borderId="14" xfId="0" applyFont="1" applyFill="1" applyBorder="1" applyAlignment="1">
      <alignment horizontal="center" vertical="center"/>
    </xf>
    <xf numFmtId="44" fontId="1" fillId="11" borderId="14" xfId="2" applyFont="1" applyFill="1" applyBorder="1" applyAlignment="1">
      <alignment horizontal="center" vertical="center"/>
    </xf>
    <xf numFmtId="44" fontId="1" fillId="11" borderId="14" xfId="0" applyNumberFormat="1" applyFont="1" applyFill="1" applyBorder="1" applyAlignment="1">
      <alignment horizontal="center" vertical="center"/>
    </xf>
    <xf numFmtId="44" fontId="0" fillId="0" borderId="0" xfId="2" applyFont="1"/>
    <xf numFmtId="0" fontId="1" fillId="11" borderId="0" xfId="0" applyFont="1" applyFill="1" applyAlignment="1">
      <alignment horizontal="left" vertical="center" wrapText="1"/>
    </xf>
    <xf numFmtId="44" fontId="1" fillId="11" borderId="0" xfId="2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44" fontId="1" fillId="11" borderId="0" xfId="0" applyNumberFormat="1" applyFont="1" applyFill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44" fontId="34" fillId="0" borderId="0" xfId="2" applyFont="1" applyAlignment="1" applyProtection="1">
      <alignment horizontal="center"/>
      <protection locked="0"/>
    </xf>
    <xf numFmtId="0" fontId="1" fillId="11" borderId="0" xfId="2" applyNumberFormat="1" applyFont="1" applyFill="1" applyBorder="1" applyAlignment="1">
      <alignment horizontal="left" vertical="center"/>
    </xf>
    <xf numFmtId="0" fontId="1" fillId="11" borderId="15" xfId="0" applyFont="1" applyFill="1" applyBorder="1" applyAlignment="1">
      <alignment horizontal="left" vertical="center"/>
    </xf>
    <xf numFmtId="0" fontId="1" fillId="11" borderId="15" xfId="0" applyFont="1" applyFill="1" applyBorder="1" applyAlignment="1">
      <alignment horizontal="left" vertical="center" wrapText="1"/>
    </xf>
    <xf numFmtId="44" fontId="1" fillId="11" borderId="15" xfId="2" applyFont="1" applyFill="1" applyBorder="1" applyAlignment="1">
      <alignment horizontal="center" vertical="center"/>
    </xf>
    <xf numFmtId="44" fontId="1" fillId="11" borderId="15" xfId="0" applyNumberFormat="1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/>
    <xf numFmtId="0" fontId="36" fillId="0" borderId="0" xfId="0" applyFont="1" applyAlignment="1">
      <alignment horizontal="left"/>
    </xf>
    <xf numFmtId="0" fontId="37" fillId="0" borderId="0" xfId="0" applyFont="1" applyAlignment="1">
      <alignment vertical="center"/>
    </xf>
    <xf numFmtId="0" fontId="38" fillId="2" borderId="1" xfId="0" applyFont="1" applyFill="1" applyBorder="1" applyAlignment="1">
      <alignment vertical="center"/>
    </xf>
    <xf numFmtId="0" fontId="38" fillId="2" borderId="2" xfId="0" applyFont="1" applyFill="1" applyBorder="1" applyAlignment="1">
      <alignment vertical="center"/>
    </xf>
    <xf numFmtId="0" fontId="38" fillId="2" borderId="2" xfId="0" applyFont="1" applyFill="1" applyBorder="1" applyAlignment="1">
      <alignment horizontal="left" vertical="center"/>
    </xf>
    <xf numFmtId="0" fontId="40" fillId="0" borderId="0" xfId="0" applyFont="1"/>
    <xf numFmtId="0" fontId="0" fillId="0" borderId="0" xfId="0" applyAlignment="1">
      <alignment horizontal="left"/>
    </xf>
    <xf numFmtId="0" fontId="0" fillId="8" borderId="0" xfId="0" applyFill="1"/>
    <xf numFmtId="0" fontId="4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0" xfId="0" applyFont="1" applyFill="1" applyAlignment="1">
      <alignment horizontal="left" vertical="top"/>
    </xf>
    <xf numFmtId="0" fontId="6" fillId="2" borderId="0" xfId="0" applyFont="1" applyFill="1" applyAlignment="1">
      <alignment vertical="top" wrapText="1"/>
    </xf>
    <xf numFmtId="0" fontId="6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top" wrapText="1"/>
    </xf>
    <xf numFmtId="0" fontId="0" fillId="8" borderId="0" xfId="0" applyFill="1" applyAlignment="1">
      <alignment horizontal="center" vertical="top"/>
    </xf>
    <xf numFmtId="0" fontId="0" fillId="8" borderId="0" xfId="0" applyFill="1" applyAlignment="1">
      <alignment horizontal="center" vertical="top" wrapText="1"/>
    </xf>
    <xf numFmtId="0" fontId="0" fillId="8" borderId="0" xfId="0" applyFill="1" applyAlignment="1">
      <alignment horizontal="right" vertical="top" wrapText="1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right"/>
    </xf>
    <xf numFmtId="0" fontId="0" fillId="8" borderId="0" xfId="0" applyFill="1" applyAlignment="1">
      <alignment vertical="top" wrapText="1"/>
    </xf>
    <xf numFmtId="0" fontId="0" fillId="8" borderId="0" xfId="0" applyFill="1" applyAlignment="1">
      <alignment vertical="top"/>
    </xf>
    <xf numFmtId="44" fontId="0" fillId="8" borderId="0" xfId="0" applyNumberFormat="1" applyFill="1" applyAlignment="1">
      <alignment horizontal="right" vertical="top" wrapText="1"/>
    </xf>
    <xf numFmtId="0" fontId="0" fillId="8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/>
    </xf>
    <xf numFmtId="0" fontId="32" fillId="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/>
    </xf>
    <xf numFmtId="0" fontId="49" fillId="8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49" fillId="11" borderId="0" xfId="0" applyFont="1" applyFill="1" applyAlignment="1">
      <alignment horizontal="center" vertical="center"/>
    </xf>
    <xf numFmtId="0" fontId="48" fillId="11" borderId="0" xfId="0" applyFont="1" applyFill="1" applyAlignment="1">
      <alignment horizontal="center" vertical="center"/>
    </xf>
    <xf numFmtId="0" fontId="51" fillId="13" borderId="0" xfId="0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7" fillId="4" borderId="0" xfId="0" applyFont="1" applyFill="1" applyAlignment="1">
      <alignment horizontal="center"/>
    </xf>
    <xf numFmtId="0" fontId="51" fillId="15" borderId="0" xfId="0" applyFont="1" applyFill="1" applyAlignment="1">
      <alignment horizontal="center" vertical="center"/>
    </xf>
    <xf numFmtId="0" fontId="55" fillId="12" borderId="0" xfId="0" applyFont="1" applyFill="1" applyAlignment="1">
      <alignment horizontal="center" vertical="center"/>
    </xf>
    <xf numFmtId="0" fontId="52" fillId="4" borderId="0" xfId="0" applyFont="1" applyFill="1" applyAlignment="1">
      <alignment horizontal="center" vertical="center"/>
    </xf>
    <xf numFmtId="0" fontId="55" fillId="13" borderId="0" xfId="0" applyFont="1" applyFill="1" applyAlignment="1">
      <alignment horizontal="center" vertical="center"/>
    </xf>
    <xf numFmtId="44" fontId="56" fillId="8" borderId="0" xfId="2" applyFont="1" applyFill="1"/>
    <xf numFmtId="0" fontId="2" fillId="8" borderId="0" xfId="0" applyFont="1" applyFill="1"/>
    <xf numFmtId="44" fontId="57" fillId="8" borderId="0" xfId="2" applyFont="1" applyFill="1"/>
    <xf numFmtId="0" fontId="0" fillId="7" borderId="0" xfId="0" applyFill="1" applyBorder="1"/>
    <xf numFmtId="0" fontId="63" fillId="0" borderId="19" xfId="0" applyFont="1" applyBorder="1" applyAlignment="1">
      <alignment horizontal="center" vertical="center" wrapText="1"/>
    </xf>
    <xf numFmtId="0" fontId="63" fillId="0" borderId="19" xfId="0" applyFont="1" applyBorder="1" applyAlignment="1">
      <alignment horizontal="center" vertical="center"/>
    </xf>
    <xf numFmtId="0" fontId="58" fillId="0" borderId="19" xfId="0" applyFont="1" applyBorder="1" applyAlignment="1">
      <alignment horizontal="center" vertical="center"/>
    </xf>
    <xf numFmtId="0" fontId="24" fillId="21" borderId="19" xfId="0" applyFont="1" applyFill="1" applyBorder="1" applyAlignment="1">
      <alignment horizontal="center" vertical="center"/>
    </xf>
    <xf numFmtId="169" fontId="0" fillId="0" borderId="19" xfId="0" applyNumberFormat="1" applyBorder="1" applyAlignment="1">
      <alignment horizontal="center" vertical="center"/>
    </xf>
    <xf numFmtId="14" fontId="24" fillId="22" borderId="19" xfId="0" applyNumberFormat="1" applyFont="1" applyFill="1" applyBorder="1" applyAlignment="1">
      <alignment horizontal="center" vertical="center"/>
    </xf>
    <xf numFmtId="14" fontId="61" fillId="6" borderId="19" xfId="0" applyNumberFormat="1" applyFont="1" applyFill="1" applyBorder="1" applyAlignment="1">
      <alignment horizontal="center" vertical="center"/>
    </xf>
    <xf numFmtId="0" fontId="58" fillId="18" borderId="19" xfId="0" applyFont="1" applyFill="1" applyBorder="1" applyAlignment="1">
      <alignment horizontal="center" vertical="center" wrapText="1"/>
    </xf>
    <xf numFmtId="0" fontId="62" fillId="2" borderId="22" xfId="0" applyFont="1" applyFill="1" applyBorder="1" applyAlignment="1">
      <alignment horizontal="center" vertical="center"/>
    </xf>
    <xf numFmtId="0" fontId="0" fillId="0" borderId="29" xfId="0" applyBorder="1"/>
    <xf numFmtId="0" fontId="0" fillId="8" borderId="30" xfId="0" applyFill="1" applyBorder="1"/>
    <xf numFmtId="0" fontId="0" fillId="0" borderId="31" xfId="0" applyBorder="1"/>
    <xf numFmtId="0" fontId="0" fillId="0" borderId="32" xfId="0" applyBorder="1"/>
    <xf numFmtId="0" fontId="64" fillId="2" borderId="0" xfId="0" applyFont="1" applyFill="1" applyAlignment="1">
      <alignment horizontal="centerContinuous" vertical="center"/>
    </xf>
    <xf numFmtId="0" fontId="64" fillId="2" borderId="0" xfId="0" applyFont="1" applyFill="1" applyAlignment="1">
      <alignment vertical="center"/>
    </xf>
    <xf numFmtId="0" fontId="62" fillId="2" borderId="0" xfId="0" applyFont="1" applyFill="1" applyAlignment="1">
      <alignment horizontal="center" vertical="center"/>
    </xf>
    <xf numFmtId="17" fontId="62" fillId="2" borderId="0" xfId="0" applyNumberFormat="1" applyFont="1" applyFill="1" applyAlignment="1">
      <alignment horizontal="center" vertical="center"/>
    </xf>
    <xf numFmtId="0" fontId="59" fillId="8" borderId="33" xfId="0" applyFont="1" applyFill="1" applyBorder="1" applyAlignment="1">
      <alignment horizontal="left" vertical="center"/>
    </xf>
    <xf numFmtId="44" fontId="20" fillId="8" borderId="33" xfId="0" quotePrefix="1" applyNumberFormat="1" applyFont="1" applyFill="1" applyBorder="1" applyAlignment="1">
      <alignment horizontal="center" vertical="center"/>
    </xf>
    <xf numFmtId="0" fontId="59" fillId="10" borderId="33" xfId="0" applyFont="1" applyFill="1" applyBorder="1" applyAlignment="1">
      <alignment horizontal="left" vertical="center"/>
    </xf>
    <xf numFmtId="44" fontId="20" fillId="10" borderId="33" xfId="0" quotePrefix="1" applyNumberFormat="1" applyFont="1" applyFill="1" applyBorder="1" applyAlignment="1">
      <alignment horizontal="center" vertical="center"/>
    </xf>
    <xf numFmtId="44" fontId="61" fillId="10" borderId="33" xfId="0" quotePrefix="1" applyNumberFormat="1" applyFont="1" applyFill="1" applyBorder="1" applyAlignment="1">
      <alignment horizontal="center" vertical="center"/>
    </xf>
    <xf numFmtId="0" fontId="58" fillId="0" borderId="0" xfId="0" applyFont="1"/>
    <xf numFmtId="0" fontId="65" fillId="13" borderId="34" xfId="0" applyFont="1" applyFill="1" applyBorder="1" applyAlignment="1">
      <alignment vertical="center"/>
    </xf>
    <xf numFmtId="44" fontId="66" fillId="12" borderId="33" xfId="0" applyNumberFormat="1" applyFont="1" applyFill="1" applyBorder="1" applyAlignment="1">
      <alignment horizontal="center" vertical="center"/>
    </xf>
    <xf numFmtId="0" fontId="65" fillId="13" borderId="36" xfId="0" applyFont="1" applyFill="1" applyBorder="1" applyAlignment="1">
      <alignment vertical="center"/>
    </xf>
    <xf numFmtId="10" fontId="66" fillId="12" borderId="33" xfId="0" applyNumberFormat="1" applyFont="1" applyFill="1" applyBorder="1" applyAlignment="1">
      <alignment horizontal="right" vertical="center"/>
    </xf>
    <xf numFmtId="10" fontId="66" fillId="12" borderId="37" xfId="0" applyNumberFormat="1" applyFont="1" applyFill="1" applyBorder="1" applyAlignment="1">
      <alignment horizontal="right" vertical="center"/>
    </xf>
    <xf numFmtId="0" fontId="0" fillId="7" borderId="0" xfId="0" applyFill="1"/>
    <xf numFmtId="0" fontId="68" fillId="2" borderId="23" xfId="0" applyFont="1" applyFill="1" applyBorder="1" applyAlignment="1">
      <alignment horizontal="center" vertical="center" wrapText="1"/>
    </xf>
    <xf numFmtId="0" fontId="68" fillId="2" borderId="23" xfId="0" applyFont="1" applyFill="1" applyBorder="1" applyAlignment="1">
      <alignment horizontal="center" vertical="center"/>
    </xf>
    <xf numFmtId="0" fontId="68" fillId="2" borderId="24" xfId="0" applyFont="1" applyFill="1" applyBorder="1" applyAlignment="1">
      <alignment horizontal="center" vertical="center"/>
    </xf>
    <xf numFmtId="0" fontId="62" fillId="7" borderId="0" xfId="0" applyFont="1" applyFill="1" applyBorder="1" applyAlignment="1">
      <alignment horizontal="center" vertical="center"/>
    </xf>
    <xf numFmtId="0" fontId="69" fillId="7" borderId="0" xfId="0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23" borderId="0" xfId="0" applyFill="1" applyBorder="1"/>
    <xf numFmtId="0" fontId="0" fillId="10" borderId="0" xfId="0" applyFill="1" applyBorder="1"/>
    <xf numFmtId="0" fontId="0" fillId="9" borderId="0" xfId="0" applyFill="1" applyBorder="1"/>
    <xf numFmtId="0" fontId="0" fillId="18" borderId="0" xfId="0" applyFill="1" applyBorder="1"/>
    <xf numFmtId="0" fontId="0" fillId="0" borderId="0" xfId="0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10" fontId="35" fillId="0" borderId="0" xfId="3" applyNumberFormat="1" applyFont="1" applyFill="1" applyBorder="1" applyAlignment="1">
      <alignment horizontal="center"/>
    </xf>
    <xf numFmtId="0" fontId="1" fillId="8" borderId="0" xfId="0" applyFont="1" applyFill="1" applyAlignment="1">
      <alignment horizontal="center" vertical="center" wrapText="1"/>
    </xf>
    <xf numFmtId="0" fontId="74" fillId="0" borderId="42" xfId="0" applyFont="1" applyBorder="1" applyAlignment="1">
      <alignment vertical="center"/>
    </xf>
    <xf numFmtId="0" fontId="74" fillId="0" borderId="44" xfId="0" applyFont="1" applyBorder="1" applyAlignment="1">
      <alignment vertical="center"/>
    </xf>
    <xf numFmtId="0" fontId="74" fillId="0" borderId="46" xfId="0" applyFont="1" applyBorder="1" applyAlignment="1">
      <alignment vertical="center"/>
    </xf>
    <xf numFmtId="9" fontId="39" fillId="0" borderId="16" xfId="3" applyFont="1" applyFill="1" applyBorder="1" applyAlignment="1">
      <alignment vertical="center" wrapText="1"/>
    </xf>
    <xf numFmtId="9" fontId="39" fillId="0" borderId="43" xfId="3" applyFont="1" applyFill="1" applyBorder="1" applyAlignment="1">
      <alignment vertical="center" wrapText="1"/>
    </xf>
    <xf numFmtId="0" fontId="74" fillId="0" borderId="4" xfId="0" applyFont="1" applyBorder="1" applyAlignment="1">
      <alignment vertical="center"/>
    </xf>
    <xf numFmtId="9" fontId="39" fillId="0" borderId="0" xfId="3" applyFont="1" applyFill="1" applyBorder="1" applyAlignment="1">
      <alignment vertical="center" wrapText="1"/>
    </xf>
    <xf numFmtId="9" fontId="39" fillId="0" borderId="5" xfId="3" applyFont="1" applyFill="1" applyBorder="1" applyAlignment="1">
      <alignment vertical="center" wrapText="1"/>
    </xf>
    <xf numFmtId="9" fontId="39" fillId="0" borderId="17" xfId="3" applyFont="1" applyFill="1" applyBorder="1" applyAlignment="1">
      <alignment vertical="center" wrapText="1"/>
    </xf>
    <xf numFmtId="9" fontId="39" fillId="0" borderId="45" xfId="3" applyFont="1" applyFill="1" applyBorder="1" applyAlignment="1">
      <alignment vertical="center" wrapText="1"/>
    </xf>
    <xf numFmtId="0" fontId="74" fillId="14" borderId="48" xfId="0" applyFont="1" applyFill="1" applyBorder="1" applyAlignment="1">
      <alignment vertical="center"/>
    </xf>
    <xf numFmtId="0" fontId="76" fillId="0" borderId="0" xfId="0" applyFont="1"/>
    <xf numFmtId="14" fontId="1" fillId="8" borderId="0" xfId="0" applyNumberFormat="1" applyFont="1" applyFill="1" applyAlignment="1">
      <alignment horizontal="center" vertical="center"/>
    </xf>
    <xf numFmtId="14" fontId="1" fillId="8" borderId="0" xfId="2" applyNumberFormat="1" applyFont="1" applyFill="1" applyBorder="1" applyAlignment="1">
      <alignment horizontal="center" vertical="center"/>
    </xf>
    <xf numFmtId="14" fontId="1" fillId="8" borderId="0" xfId="0" applyNumberFormat="1" applyFont="1" applyFill="1" applyAlignment="1">
      <alignment horizontal="center" vertical="center" wrapText="1"/>
    </xf>
    <xf numFmtId="14" fontId="1" fillId="11" borderId="14" xfId="0" applyNumberFormat="1" applyFont="1" applyFill="1" applyBorder="1" applyAlignment="1">
      <alignment horizontal="center" vertical="center"/>
    </xf>
    <xf numFmtId="14" fontId="1" fillId="11" borderId="0" xfId="0" applyNumberFormat="1" applyFont="1" applyFill="1" applyAlignment="1">
      <alignment horizontal="center" vertical="center"/>
    </xf>
    <xf numFmtId="14" fontId="1" fillId="11" borderId="15" xfId="0" applyNumberFormat="1" applyFont="1" applyFill="1" applyBorder="1" applyAlignment="1">
      <alignment horizontal="center" vertical="center"/>
    </xf>
    <xf numFmtId="0" fontId="0" fillId="12" borderId="0" xfId="0" applyFill="1"/>
    <xf numFmtId="0" fontId="7" fillId="2" borderId="9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>
      <alignment horizontal="left" vertical="center" wrapText="1"/>
    </xf>
    <xf numFmtId="0" fontId="1" fillId="11" borderId="14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>
      <alignment horizontal="center" vertical="center" wrapText="1"/>
    </xf>
    <xf numFmtId="0" fontId="1" fillId="11" borderId="15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82" fillId="30" borderId="0" xfId="0" applyFont="1" applyFill="1" applyAlignment="1">
      <alignment horizontal="left" vertical="top" wrapText="1"/>
    </xf>
    <xf numFmtId="0" fontId="9" fillId="3" borderId="0" xfId="0" applyFont="1" applyFill="1" applyBorder="1" applyAlignment="1">
      <alignment horizontal="centerContinuous" vertical="center"/>
    </xf>
    <xf numFmtId="0" fontId="9" fillId="3" borderId="0" xfId="0" applyFont="1" applyFill="1" applyAlignment="1">
      <alignment horizontal="centerContinuous" vertical="center"/>
    </xf>
    <xf numFmtId="0" fontId="9" fillId="3" borderId="41" xfId="0" applyFont="1" applyFill="1" applyBorder="1" applyAlignment="1">
      <alignment horizontal="centerContinuous" vertical="center"/>
    </xf>
    <xf numFmtId="0" fontId="9" fillId="3" borderId="40" xfId="0" applyFont="1" applyFill="1" applyBorder="1" applyAlignment="1">
      <alignment horizontal="centerContinuous" vertical="center"/>
    </xf>
    <xf numFmtId="0" fontId="71" fillId="0" borderId="0" xfId="0" applyFont="1" applyFill="1"/>
    <xf numFmtId="0" fontId="71" fillId="0" borderId="0" xfId="0" applyFont="1"/>
    <xf numFmtId="0" fontId="72" fillId="3" borderId="0" xfId="0" applyFont="1" applyFill="1" applyBorder="1" applyAlignment="1">
      <alignment horizontal="center" vertical="center"/>
    </xf>
    <xf numFmtId="0" fontId="72" fillId="3" borderId="0" xfId="0" applyFont="1" applyFill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0" fontId="9" fillId="3" borderId="41" xfId="0" applyFont="1" applyFill="1" applyBorder="1" applyAlignment="1">
      <alignment vertical="center"/>
    </xf>
    <xf numFmtId="0" fontId="71" fillId="17" borderId="40" xfId="0" applyFont="1" applyFill="1" applyBorder="1" applyAlignment="1">
      <alignment horizontal="center" vertical="center" wrapText="1"/>
    </xf>
    <xf numFmtId="0" fontId="71" fillId="30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wrapText="1"/>
    </xf>
    <xf numFmtId="0" fontId="71" fillId="17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horizontal="center" vertical="center"/>
    </xf>
    <xf numFmtId="0" fontId="86" fillId="29" borderId="0" xfId="0" applyFont="1" applyFill="1" applyAlignment="1">
      <alignment horizontal="center" vertical="center"/>
    </xf>
    <xf numFmtId="0" fontId="71" fillId="30" borderId="0" xfId="0" applyFont="1" applyFill="1" applyAlignment="1">
      <alignment horizontal="center" vertical="center"/>
    </xf>
    <xf numFmtId="0" fontId="86" fillId="0" borderId="0" xfId="0" applyFont="1" applyFill="1"/>
    <xf numFmtId="0" fontId="71" fillId="0" borderId="0" xfId="0" applyFont="1" applyBorder="1" applyAlignment="1">
      <alignment horizontal="left" wrapText="1"/>
    </xf>
    <xf numFmtId="0" fontId="71" fillId="0" borderId="0" xfId="0" applyFont="1" applyAlignment="1">
      <alignment horizontal="left" wrapText="1"/>
    </xf>
    <xf numFmtId="0" fontId="71" fillId="0" borderId="0" xfId="0" applyFont="1" applyBorder="1" applyAlignment="1">
      <alignment wrapText="1"/>
    </xf>
    <xf numFmtId="0" fontId="71" fillId="0" borderId="0" xfId="0" applyFont="1" applyBorder="1"/>
    <xf numFmtId="44" fontId="71" fillId="0" borderId="0" xfId="2" applyFont="1" applyBorder="1"/>
    <xf numFmtId="0" fontId="71" fillId="0" borderId="0" xfId="0" applyFont="1" applyAlignment="1">
      <alignment wrapText="1"/>
    </xf>
    <xf numFmtId="44" fontId="71" fillId="0" borderId="0" xfId="2" applyFont="1"/>
    <xf numFmtId="44" fontId="71" fillId="0" borderId="41" xfId="2" applyFont="1" applyBorder="1"/>
    <xf numFmtId="167" fontId="71" fillId="0" borderId="40" xfId="2" applyNumberFormat="1" applyFont="1" applyBorder="1"/>
    <xf numFmtId="44" fontId="71" fillId="0" borderId="0" xfId="0" applyNumberFormat="1" applyFont="1"/>
    <xf numFmtId="44" fontId="71" fillId="0" borderId="0" xfId="2" applyFont="1" applyAlignment="1">
      <alignment horizontal="center"/>
    </xf>
    <xf numFmtId="10" fontId="79" fillId="31" borderId="39" xfId="3" applyNumberFormat="1" applyFont="1" applyFill="1" applyBorder="1" applyAlignment="1">
      <alignment horizontal="center" vertical="center"/>
    </xf>
    <xf numFmtId="167" fontId="86" fillId="0" borderId="39" xfId="0" applyNumberFormat="1" applyFont="1" applyBorder="1" applyAlignment="1">
      <alignment horizontal="center" vertical="center"/>
    </xf>
    <xf numFmtId="10" fontId="87" fillId="31" borderId="39" xfId="3" applyNumberFormat="1" applyFont="1" applyFill="1" applyBorder="1" applyAlignment="1">
      <alignment horizontal="center" vertical="center"/>
    </xf>
    <xf numFmtId="167" fontId="87" fillId="0" borderId="39" xfId="0" applyNumberFormat="1" applyFont="1" applyBorder="1" applyAlignment="1">
      <alignment horizontal="center" vertical="center"/>
    </xf>
    <xf numFmtId="167" fontId="79" fillId="0" borderId="39" xfId="0" applyNumberFormat="1" applyFont="1" applyBorder="1" applyAlignment="1">
      <alignment horizontal="center" vertical="center"/>
    </xf>
    <xf numFmtId="0" fontId="71" fillId="0" borderId="0" xfId="0" applyFont="1" applyFill="1" applyBorder="1" applyAlignment="1">
      <alignment vertical="center" wrapText="1"/>
    </xf>
    <xf numFmtId="44" fontId="71" fillId="0" borderId="41" xfId="2" applyFont="1" applyFill="1" applyBorder="1" applyAlignment="1"/>
    <xf numFmtId="170" fontId="71" fillId="0" borderId="41" xfId="2" applyNumberFormat="1" applyFont="1" applyBorder="1"/>
    <xf numFmtId="0" fontId="71" fillId="0" borderId="41" xfId="0" applyFont="1" applyBorder="1"/>
    <xf numFmtId="0" fontId="71" fillId="0" borderId="40" xfId="0" applyFont="1" applyBorder="1"/>
    <xf numFmtId="44" fontId="9" fillId="3" borderId="40" xfId="2" applyFont="1" applyFill="1" applyBorder="1" applyAlignment="1">
      <alignment horizontal="centerContinuous" vertical="center"/>
    </xf>
    <xf numFmtId="44" fontId="71" fillId="29" borderId="40" xfId="2" applyFont="1" applyFill="1" applyBorder="1" applyAlignment="1">
      <alignment horizontal="center" vertical="center" wrapText="1"/>
    </xf>
    <xf numFmtId="44" fontId="71" fillId="0" borderId="40" xfId="2" applyFont="1" applyBorder="1"/>
    <xf numFmtId="0" fontId="9" fillId="3" borderId="0" xfId="0" applyFont="1" applyFill="1" applyBorder="1" applyAlignment="1">
      <alignment horizontal="center" vertical="top"/>
    </xf>
    <xf numFmtId="167" fontId="72" fillId="30" borderId="0" xfId="2" applyNumberFormat="1" applyFont="1" applyFill="1" applyBorder="1" applyAlignment="1">
      <alignment horizontal="center" vertical="top"/>
    </xf>
    <xf numFmtId="0" fontId="72" fillId="30" borderId="0" xfId="0" applyFont="1" applyFill="1" applyBorder="1" applyAlignment="1">
      <alignment horizontal="center" vertical="top"/>
    </xf>
    <xf numFmtId="0" fontId="71" fillId="0" borderId="0" xfId="0" applyFont="1" applyBorder="1" applyAlignment="1">
      <alignment horizontal="center" vertical="top"/>
    </xf>
    <xf numFmtId="0" fontId="71" fillId="0" borderId="0" xfId="0" applyFont="1" applyBorder="1" applyAlignment="1">
      <alignment horizontal="left" vertical="center" wrapText="1"/>
    </xf>
    <xf numFmtId="44" fontId="9" fillId="3" borderId="0" xfId="2" applyFont="1" applyFill="1" applyAlignment="1">
      <alignment horizontal="centerContinuous" vertical="center"/>
    </xf>
    <xf numFmtId="44" fontId="72" fillId="17" borderId="0" xfId="2" applyFont="1" applyFill="1" applyAlignment="1">
      <alignment horizontal="centerContinuous" vertical="center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center"/>
    </xf>
    <xf numFmtId="0" fontId="85" fillId="3" borderId="0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8" borderId="0" xfId="0" applyFill="1" applyBorder="1"/>
    <xf numFmtId="44" fontId="66" fillId="8" borderId="33" xfId="0" applyNumberFormat="1" applyFont="1" applyFill="1" applyBorder="1" applyAlignment="1">
      <alignment horizontal="right" vertical="center"/>
    </xf>
    <xf numFmtId="0" fontId="0" fillId="14" borderId="0" xfId="0" applyFill="1"/>
    <xf numFmtId="0" fontId="2" fillId="14" borderId="0" xfId="0" applyFont="1" applyFill="1" applyAlignment="1">
      <alignment horizontal="left" vertical="center"/>
    </xf>
    <xf numFmtId="0" fontId="62" fillId="2" borderId="54" xfId="0" applyFont="1" applyFill="1" applyBorder="1" applyAlignment="1">
      <alignment horizontal="center" vertical="center"/>
    </xf>
    <xf numFmtId="0" fontId="62" fillId="2" borderId="15" xfId="0" applyFont="1" applyFill="1" applyBorder="1" applyAlignment="1">
      <alignment horizontal="center" vertical="center"/>
    </xf>
    <xf numFmtId="0" fontId="62" fillId="2" borderId="55" xfId="0" applyFont="1" applyFill="1" applyBorder="1" applyAlignment="1">
      <alignment horizontal="center" vertical="center"/>
    </xf>
    <xf numFmtId="0" fontId="62" fillId="2" borderId="55" xfId="0" applyFont="1" applyFill="1" applyBorder="1" applyAlignment="1">
      <alignment horizontal="center" vertical="center" wrapText="1"/>
    </xf>
    <xf numFmtId="0" fontId="0" fillId="20" borderId="19" xfId="0" applyFill="1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58" fillId="18" borderId="56" xfId="0" applyFont="1" applyFill="1" applyBorder="1" applyAlignment="1">
      <alignment horizontal="center" vertical="center" wrapText="1"/>
    </xf>
    <xf numFmtId="0" fontId="0" fillId="0" borderId="0" xfId="0" applyFill="1"/>
    <xf numFmtId="0" fontId="62" fillId="2" borderId="61" xfId="0" applyFont="1" applyFill="1" applyBorder="1" applyAlignment="1">
      <alignment horizontal="center" vertical="center"/>
    </xf>
    <xf numFmtId="0" fontId="62" fillId="2" borderId="39" xfId="0" applyFont="1" applyFill="1" applyBorder="1" applyAlignment="1">
      <alignment horizontal="center" vertical="center"/>
    </xf>
    <xf numFmtId="0" fontId="62" fillId="2" borderId="39" xfId="0" applyFont="1" applyFill="1" applyBorder="1" applyAlignment="1">
      <alignment horizontal="center" vertical="center" wrapText="1"/>
    </xf>
    <xf numFmtId="14" fontId="0" fillId="0" borderId="19" xfId="0" applyNumberFormat="1" applyBorder="1" applyAlignment="1">
      <alignment horizontal="center" vertical="center"/>
    </xf>
    <xf numFmtId="10" fontId="92" fillId="2" borderId="35" xfId="0" applyNumberFormat="1" applyFont="1" applyFill="1" applyBorder="1" applyAlignment="1">
      <alignment horizontal="right" vertical="center"/>
    </xf>
    <xf numFmtId="44" fontId="61" fillId="10" borderId="33" xfId="2" quotePrefix="1" applyFont="1" applyFill="1" applyBorder="1" applyAlignment="1">
      <alignment horizontal="center" vertical="center"/>
    </xf>
    <xf numFmtId="0" fontId="96" fillId="12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Fill="1" applyBorder="1"/>
    <xf numFmtId="0" fontId="0" fillId="0" borderId="0" xfId="0" applyFill="1" applyBorder="1" applyAlignment="1">
      <alignment vertical="center"/>
    </xf>
    <xf numFmtId="44" fontId="35" fillId="12" borderId="0" xfId="2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right" vertical="center"/>
    </xf>
    <xf numFmtId="44" fontId="35" fillId="12" borderId="0" xfId="2" applyFont="1" applyFill="1" applyAlignment="1">
      <alignment horizontal="right" vertical="center"/>
    </xf>
    <xf numFmtId="44" fontId="0" fillId="7" borderId="0" xfId="0" applyNumberFormat="1" applyFill="1"/>
    <xf numFmtId="44" fontId="1" fillId="8" borderId="0" xfId="2" applyFont="1" applyFill="1" applyBorder="1" applyAlignment="1">
      <alignment horizontal="right" vertical="center" wrapText="1"/>
    </xf>
    <xf numFmtId="44" fontId="1" fillId="8" borderId="0" xfId="2" applyFont="1" applyFill="1" applyBorder="1" applyAlignment="1">
      <alignment horizontal="right" vertical="center"/>
    </xf>
    <xf numFmtId="44" fontId="1" fillId="11" borderId="14" xfId="2" applyFont="1" applyFill="1" applyBorder="1" applyAlignment="1">
      <alignment horizontal="right" vertical="center" wrapText="1"/>
    </xf>
    <xf numFmtId="44" fontId="1" fillId="11" borderId="0" xfId="2" applyFont="1" applyFill="1" applyBorder="1" applyAlignment="1">
      <alignment horizontal="right" vertical="center" wrapText="1"/>
    </xf>
    <xf numFmtId="44" fontId="1" fillId="11" borderId="15" xfId="2" applyFont="1" applyFill="1" applyBorder="1" applyAlignment="1">
      <alignment horizontal="right" vertical="center" wrapText="1"/>
    </xf>
    <xf numFmtId="0" fontId="1" fillId="11" borderId="0" xfId="0" applyFont="1" applyFill="1" applyBorder="1" applyAlignment="1">
      <alignment horizontal="left" vertical="center"/>
    </xf>
    <xf numFmtId="0" fontId="1" fillId="11" borderId="0" xfId="0" applyFont="1" applyFill="1" applyBorder="1" applyAlignment="1">
      <alignment horizontal="center" vertical="center"/>
    </xf>
    <xf numFmtId="14" fontId="1" fillId="11" borderId="0" xfId="0" applyNumberFormat="1" applyFont="1" applyFill="1" applyBorder="1" applyAlignment="1">
      <alignment horizontal="center" vertical="center"/>
    </xf>
    <xf numFmtId="44" fontId="1" fillId="11" borderId="0" xfId="0" applyNumberFormat="1" applyFont="1" applyFill="1" applyBorder="1" applyAlignment="1">
      <alignment horizontal="center" vertical="center"/>
    </xf>
    <xf numFmtId="0" fontId="2" fillId="12" borderId="0" xfId="0" applyFont="1" applyFill="1"/>
    <xf numFmtId="0" fontId="2" fillId="14" borderId="0" xfId="0" applyFont="1" applyFill="1"/>
    <xf numFmtId="44" fontId="62" fillId="2" borderId="35" xfId="2" applyFont="1" applyFill="1" applyBorder="1" applyAlignment="1">
      <alignment horizontal="right" vertical="center"/>
    </xf>
    <xf numFmtId="0" fontId="0" fillId="0" borderId="19" xfId="0" applyBorder="1" applyAlignment="1">
      <alignment horizontal="center" vertical="center" wrapText="1"/>
    </xf>
    <xf numFmtId="0" fontId="98" fillId="8" borderId="19" xfId="0" applyFont="1" applyFill="1" applyBorder="1" applyAlignment="1">
      <alignment horizontal="center" vertical="center"/>
    </xf>
    <xf numFmtId="0" fontId="99" fillId="8" borderId="19" xfId="0" applyFont="1" applyFill="1" applyBorder="1" applyAlignment="1">
      <alignment horizontal="center" vertical="center"/>
    </xf>
    <xf numFmtId="44" fontId="100" fillId="12" borderId="0" xfId="2" applyFont="1" applyFill="1" applyAlignment="1">
      <alignment horizontal="center" vertical="center"/>
    </xf>
    <xf numFmtId="44" fontId="61" fillId="8" borderId="37" xfId="2" quotePrefix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168" fontId="71" fillId="19" borderId="0" xfId="0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center"/>
    </xf>
    <xf numFmtId="0" fontId="101" fillId="8" borderId="0" xfId="0" applyFont="1" applyFill="1"/>
    <xf numFmtId="0" fontId="101" fillId="8" borderId="0" xfId="0" applyFont="1" applyFill="1" applyAlignment="1">
      <alignment horizontal="center" vertical="top"/>
    </xf>
    <xf numFmtId="0" fontId="56" fillId="8" borderId="0" xfId="0" applyFont="1" applyFill="1" applyAlignment="1">
      <alignment horizontal="center" vertical="top" wrapText="1"/>
    </xf>
    <xf numFmtId="0" fontId="102" fillId="8" borderId="0" xfId="0" applyFont="1" applyFill="1"/>
    <xf numFmtId="44" fontId="1" fillId="32" borderId="0" xfId="2" applyFont="1" applyFill="1" applyBorder="1" applyAlignment="1">
      <alignment horizontal="center" vertical="center"/>
    </xf>
    <xf numFmtId="9" fontId="41" fillId="0" borderId="0" xfId="3" applyFont="1" applyFill="1" applyBorder="1" applyAlignment="1">
      <alignment horizontal="left" wrapText="1"/>
    </xf>
    <xf numFmtId="44" fontId="100" fillId="12" borderId="0" xfId="2" applyFont="1" applyFill="1" applyAlignment="1">
      <alignment horizontal="center" vertical="center"/>
    </xf>
    <xf numFmtId="0" fontId="0" fillId="0" borderId="0" xfId="0" quotePrefix="1"/>
    <xf numFmtId="0" fontId="0" fillId="0" borderId="0" xfId="0" quotePrefix="1" applyFill="1" applyBorder="1"/>
    <xf numFmtId="0" fontId="32" fillId="2" borderId="0" xfId="0" applyFont="1" applyFill="1" applyBorder="1" applyAlignment="1">
      <alignment horizontal="center" vertical="center"/>
    </xf>
    <xf numFmtId="0" fontId="74" fillId="0" borderId="0" xfId="0" applyFont="1" applyBorder="1" applyAlignment="1">
      <alignment horizontal="center" vertical="center" wrapText="1"/>
    </xf>
    <xf numFmtId="0" fontId="39" fillId="0" borderId="0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 vertical="center" wrapText="1"/>
    </xf>
    <xf numFmtId="9" fontId="39" fillId="14" borderId="0" xfId="3" applyFont="1" applyFill="1" applyBorder="1" applyAlignment="1">
      <alignment horizontal="center" vertical="center" wrapText="1"/>
    </xf>
    <xf numFmtId="10" fontId="35" fillId="12" borderId="0" xfId="2" applyNumberFormat="1" applyFont="1" applyFill="1" applyAlignment="1">
      <alignment horizontal="center" vertical="center"/>
    </xf>
    <xf numFmtId="0" fontId="1" fillId="0" borderId="0" xfId="0" applyFont="1" applyAlignment="1">
      <alignment horizontal="right"/>
    </xf>
    <xf numFmtId="43" fontId="105" fillId="0" borderId="0" xfId="4" applyNumberFormat="1" applyFont="1" applyFill="1" applyBorder="1" applyAlignment="1">
      <alignment horizontal="center" vertical="center"/>
    </xf>
    <xf numFmtId="0" fontId="20" fillId="0" borderId="0" xfId="0" applyFont="1" applyFill="1" applyBorder="1"/>
    <xf numFmtId="168" fontId="86" fillId="0" borderId="0" xfId="0" applyNumberFormat="1" applyFont="1" applyFill="1" applyBorder="1" applyAlignment="1">
      <alignment horizontal="center" vertical="center"/>
    </xf>
    <xf numFmtId="168" fontId="86" fillId="0" borderId="0" xfId="0" applyNumberFormat="1" applyFont="1" applyFill="1" applyBorder="1" applyAlignment="1">
      <alignment horizontal="center" vertical="center" wrapText="1"/>
    </xf>
    <xf numFmtId="168" fontId="86" fillId="0" borderId="0" xfId="0" applyNumberFormat="1" applyFont="1" applyFill="1" applyBorder="1" applyAlignment="1">
      <alignment horizontal="center" vertical="top"/>
    </xf>
    <xf numFmtId="0" fontId="47" fillId="0" borderId="0" xfId="0" applyNumberFormat="1" applyFont="1" applyFill="1" applyBorder="1" applyAlignment="1">
      <alignment horizontal="center" vertical="center"/>
    </xf>
    <xf numFmtId="172" fontId="47" fillId="0" borderId="0" xfId="0" applyNumberFormat="1" applyFont="1" applyFill="1" applyBorder="1" applyAlignment="1">
      <alignment horizontal="center" vertical="center"/>
    </xf>
    <xf numFmtId="172" fontId="103" fillId="0" borderId="0" xfId="0" applyNumberFormat="1" applyFont="1" applyFill="1" applyBorder="1" applyAlignment="1">
      <alignment horizontal="center" vertical="center"/>
    </xf>
    <xf numFmtId="0" fontId="104" fillId="0" borderId="0" xfId="0" applyFont="1" applyFill="1" applyBorder="1" applyAlignment="1">
      <alignment vertical="center"/>
    </xf>
    <xf numFmtId="0" fontId="104" fillId="0" borderId="0" xfId="0" applyFont="1" applyFill="1" applyBorder="1"/>
    <xf numFmtId="0" fontId="88" fillId="0" borderId="0" xfId="0" applyFont="1" applyFill="1" applyBorder="1" applyAlignment="1">
      <alignment horizontal="left"/>
    </xf>
    <xf numFmtId="1" fontId="20" fillId="0" borderId="0" xfId="0" applyNumberFormat="1" applyFont="1" applyFill="1" applyBorder="1" applyAlignment="1">
      <alignment horizontal="center" vertical="center"/>
    </xf>
    <xf numFmtId="0" fontId="106" fillId="0" borderId="0" xfId="0" applyFont="1" applyFill="1" applyBorder="1"/>
    <xf numFmtId="173" fontId="20" fillId="0" borderId="0" xfId="0" applyNumberFormat="1" applyFont="1" applyFill="1" applyBorder="1" applyAlignment="1">
      <alignment horizontal="center" vertical="top"/>
    </xf>
    <xf numFmtId="0" fontId="20" fillId="0" borderId="0" xfId="0" applyFont="1" applyFill="1" applyBorder="1" applyAlignment="1">
      <alignment horizontal="center" vertical="top"/>
    </xf>
    <xf numFmtId="0" fontId="20" fillId="0" borderId="0" xfId="0" applyFont="1" applyFill="1" applyBorder="1" applyAlignment="1">
      <alignment horizontal="left" vertical="center"/>
    </xf>
    <xf numFmtId="2" fontId="20" fillId="0" borderId="0" xfId="0" applyNumberFormat="1" applyFont="1" applyFill="1" applyBorder="1" applyAlignment="1">
      <alignment horizontal="center"/>
    </xf>
    <xf numFmtId="0" fontId="106" fillId="0" borderId="0" xfId="0" applyFont="1" applyFill="1"/>
    <xf numFmtId="0" fontId="20" fillId="0" borderId="0" xfId="0" applyFont="1" applyFill="1"/>
    <xf numFmtId="0" fontId="106" fillId="0" borderId="0" xfId="0" applyFont="1" applyFill="1" applyAlignment="1">
      <alignment wrapText="1"/>
    </xf>
    <xf numFmtId="0" fontId="0" fillId="0" borderId="19" xfId="0" applyBorder="1" applyAlignment="1">
      <alignment horizontal="center" vertical="center"/>
    </xf>
    <xf numFmtId="44" fontId="0" fillId="0" borderId="19" xfId="2" applyNumberFormat="1" applyFont="1" applyBorder="1" applyAlignment="1">
      <alignment vertical="center"/>
    </xf>
    <xf numFmtId="44" fontId="0" fillId="0" borderId="0" xfId="0" applyNumberFormat="1" applyAlignment="1">
      <alignment vertical="center"/>
    </xf>
    <xf numFmtId="44" fontId="20" fillId="0" borderId="19" xfId="2" applyFont="1" applyBorder="1" applyAlignment="1">
      <alignment vertical="center"/>
    </xf>
    <xf numFmtId="44" fontId="20" fillId="0" borderId="19" xfId="2" applyFont="1" applyFill="1" applyBorder="1" applyAlignment="1">
      <alignment horizontal="right" vertical="center"/>
    </xf>
    <xf numFmtId="44" fontId="20" fillId="0" borderId="19" xfId="2" applyFont="1" applyBorder="1" applyAlignment="1">
      <alignment horizontal="center" vertical="center"/>
    </xf>
    <xf numFmtId="0" fontId="91" fillId="0" borderId="19" xfId="0" applyFont="1" applyBorder="1" applyAlignment="1">
      <alignment horizontal="left" vertical="top" wrapText="1"/>
    </xf>
    <xf numFmtId="0" fontId="41" fillId="0" borderId="19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94" fillId="0" borderId="19" xfId="0" applyFont="1" applyBorder="1" applyAlignment="1">
      <alignment horizontal="left" vertical="top" wrapText="1"/>
    </xf>
    <xf numFmtId="0" fontId="95" fillId="0" borderId="19" xfId="0" applyFont="1" applyBorder="1" applyAlignment="1">
      <alignment horizontal="left" vertical="top" wrapText="1"/>
    </xf>
    <xf numFmtId="0" fontId="93" fillId="0" borderId="19" xfId="0" applyFont="1" applyBorder="1" applyAlignment="1">
      <alignment horizontal="left" vertical="top" wrapText="1"/>
    </xf>
    <xf numFmtId="0" fontId="107" fillId="8" borderId="33" xfId="0" applyFont="1" applyFill="1" applyBorder="1" applyAlignment="1">
      <alignment horizontal="left" vertical="center"/>
    </xf>
    <xf numFmtId="44" fontId="29" fillId="8" borderId="33" xfId="0" quotePrefix="1" applyNumberFormat="1" applyFont="1" applyFill="1" applyBorder="1" applyAlignment="1">
      <alignment horizontal="center" vertical="center"/>
    </xf>
    <xf numFmtId="44" fontId="107" fillId="8" borderId="33" xfId="0" quotePrefix="1" applyNumberFormat="1" applyFont="1" applyFill="1" applyBorder="1" applyAlignment="1">
      <alignment horizontal="center" vertical="center"/>
    </xf>
    <xf numFmtId="44" fontId="107" fillId="8" borderId="33" xfId="2" quotePrefix="1" applyFont="1" applyFill="1" applyBorder="1" applyAlignment="1">
      <alignment horizontal="center" vertical="center"/>
    </xf>
    <xf numFmtId="0" fontId="29" fillId="0" borderId="0" xfId="0" applyFont="1"/>
    <xf numFmtId="0" fontId="109" fillId="2" borderId="4" xfId="0" applyFont="1" applyFill="1" applyBorder="1" applyAlignment="1">
      <alignment horizontal="center" vertical="center"/>
    </xf>
    <xf numFmtId="0" fontId="109" fillId="2" borderId="0" xfId="0" applyFont="1" applyFill="1" applyAlignment="1">
      <alignment horizontal="center" vertical="center"/>
    </xf>
    <xf numFmtId="0" fontId="109" fillId="2" borderId="0" xfId="0" applyFont="1" applyFill="1" applyAlignment="1">
      <alignment horizontal="left" vertical="center"/>
    </xf>
    <xf numFmtId="0" fontId="109" fillId="2" borderId="0" xfId="0" applyFont="1" applyFill="1" applyAlignment="1">
      <alignment horizontal="right" vertical="center"/>
    </xf>
    <xf numFmtId="0" fontId="110" fillId="2" borderId="0" xfId="0" applyFont="1" applyFill="1" applyAlignment="1">
      <alignment horizontal="left" vertical="center" wrapText="1"/>
    </xf>
    <xf numFmtId="0" fontId="2" fillId="8" borderId="63" xfId="0" applyFont="1" applyFill="1" applyBorder="1" applyAlignment="1">
      <alignment horizontal="center" vertical="center" wrapText="1"/>
    </xf>
    <xf numFmtId="0" fontId="2" fillId="8" borderId="64" xfId="0" applyFont="1" applyFill="1" applyBorder="1" applyAlignment="1">
      <alignment horizontal="center" vertical="center" wrapText="1"/>
    </xf>
    <xf numFmtId="0" fontId="2" fillId="8" borderId="64" xfId="0" applyFont="1" applyFill="1" applyBorder="1" applyAlignment="1">
      <alignment horizontal="left" vertical="center"/>
    </xf>
    <xf numFmtId="0" fontId="2" fillId="8" borderId="64" xfId="0" applyFont="1" applyFill="1" applyBorder="1" applyAlignment="1">
      <alignment horizontal="right" vertical="center"/>
    </xf>
    <xf numFmtId="0" fontId="2" fillId="8" borderId="64" xfId="0" applyFont="1" applyFill="1" applyBorder="1" applyAlignment="1">
      <alignment horizontal="left" vertical="center" wrapText="1"/>
    </xf>
    <xf numFmtId="0" fontId="2" fillId="8" borderId="64" xfId="0" applyFont="1" applyFill="1" applyBorder="1" applyAlignment="1">
      <alignment horizontal="right" vertical="center" wrapText="1"/>
    </xf>
    <xf numFmtId="44" fontId="1" fillId="24" borderId="0" xfId="2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62" fillId="2" borderId="0" xfId="0" applyFont="1" applyFill="1" applyAlignment="1">
      <alignment horizontal="center" vertical="center" wrapText="1"/>
    </xf>
    <xf numFmtId="44" fontId="111" fillId="12" borderId="33" xfId="0" applyNumberFormat="1" applyFont="1" applyFill="1" applyBorder="1" applyAlignment="1">
      <alignment horizontal="right" vertical="center"/>
    </xf>
    <xf numFmtId="44" fontId="68" fillId="2" borderId="35" xfId="2" applyFont="1" applyFill="1" applyBorder="1" applyAlignment="1">
      <alignment horizontal="right" vertical="center"/>
    </xf>
    <xf numFmtId="44" fontId="0" fillId="0" borderId="0" xfId="0" applyNumberFormat="1" applyAlignment="1">
      <alignment horizontal="left" vertical="center"/>
    </xf>
    <xf numFmtId="0" fontId="12" fillId="2" borderId="0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2" fontId="13" fillId="4" borderId="0" xfId="0" applyNumberFormat="1" applyFont="1" applyFill="1" applyBorder="1" applyAlignment="1">
      <alignment horizontal="center" vertical="center" wrapText="1"/>
    </xf>
    <xf numFmtId="164" fontId="13" fillId="5" borderId="0" xfId="0" applyNumberFormat="1" applyFont="1" applyFill="1" applyBorder="1" applyAlignment="1">
      <alignment horizontal="center" vertical="center" wrapText="1"/>
    </xf>
    <xf numFmtId="2" fontId="13" fillId="6" borderId="0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4" fillId="0" borderId="0" xfId="0" applyFont="1" applyBorder="1" applyAlignment="1">
      <alignment horizontal="center" vertical="center" wrapText="1"/>
    </xf>
    <xf numFmtId="0" fontId="0" fillId="8" borderId="0" xfId="0" applyFill="1" applyBorder="1" applyAlignment="1">
      <alignment horizontal="center"/>
    </xf>
    <xf numFmtId="0" fontId="16" fillId="8" borderId="0" xfId="0" applyFont="1" applyFill="1" applyBorder="1" applyAlignment="1">
      <alignment horizontal="center" vertical="center" wrapText="1"/>
    </xf>
    <xf numFmtId="165" fontId="0" fillId="8" borderId="0" xfId="0" applyNumberFormat="1" applyFill="1" applyBorder="1" applyAlignment="1">
      <alignment horizontal="center" vertical="center"/>
    </xf>
    <xf numFmtId="164" fontId="0" fillId="8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164" fontId="0" fillId="5" borderId="0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vertical="center"/>
    </xf>
    <xf numFmtId="165" fontId="0" fillId="7" borderId="0" xfId="0" applyNumberFormat="1" applyFill="1" applyBorder="1" applyAlignment="1">
      <alignment vertical="center"/>
    </xf>
    <xf numFmtId="0" fontId="0" fillId="0" borderId="0" xfId="0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0" fillId="7" borderId="0" xfId="0" applyFill="1" applyBorder="1" applyAlignment="1">
      <alignment horizontal="center"/>
    </xf>
    <xf numFmtId="167" fontId="87" fillId="0" borderId="0" xfId="0" applyNumberFormat="1" applyFont="1" applyBorder="1" applyAlignment="1">
      <alignment horizontal="center" vertical="center"/>
    </xf>
    <xf numFmtId="0" fontId="82" fillId="30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right" vertical="top" wrapText="1"/>
    </xf>
    <xf numFmtId="0" fontId="9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wrapText="1"/>
    </xf>
    <xf numFmtId="0" fontId="4" fillId="3" borderId="0" xfId="0" applyFont="1" applyFill="1" applyAlignment="1">
      <alignment horizontal="center" wrapText="1"/>
    </xf>
    <xf numFmtId="0" fontId="45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10" fontId="35" fillId="0" borderId="0" xfId="3" applyNumberFormat="1" applyFont="1" applyFill="1" applyBorder="1" applyAlignment="1">
      <alignment horizontal="center"/>
    </xf>
    <xf numFmtId="0" fontId="36" fillId="12" borderId="0" xfId="0" applyFont="1" applyFill="1" applyBorder="1" applyAlignment="1">
      <alignment horizontal="center" vertical="center" wrapText="1"/>
    </xf>
    <xf numFmtId="0" fontId="96" fillId="12" borderId="0" xfId="0" applyFont="1" applyFill="1" applyAlignment="1">
      <alignment horizontal="center" vertical="center" wrapText="1"/>
    </xf>
    <xf numFmtId="44" fontId="100" fillId="12" borderId="0" xfId="2" applyFont="1" applyFill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39" fillId="0" borderId="43" xfId="0" applyFont="1" applyBorder="1" applyAlignment="1">
      <alignment horizontal="center" vertical="center"/>
    </xf>
    <xf numFmtId="0" fontId="39" fillId="0" borderId="17" xfId="0" applyFont="1" applyBorder="1" applyAlignment="1">
      <alignment horizontal="center" vertical="center"/>
    </xf>
    <xf numFmtId="0" fontId="39" fillId="0" borderId="45" xfId="0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39" fillId="0" borderId="17" xfId="0" applyFont="1" applyBorder="1" applyAlignment="1">
      <alignment horizontal="left" vertical="center" wrapText="1"/>
    </xf>
    <xf numFmtId="0" fontId="39" fillId="0" borderId="18" xfId="0" applyFont="1" applyBorder="1" applyAlignment="1">
      <alignment horizontal="left" vertical="center"/>
    </xf>
    <xf numFmtId="0" fontId="39" fillId="0" borderId="16" xfId="0" applyFont="1" applyBorder="1" applyAlignment="1">
      <alignment horizontal="left" vertical="center" wrapText="1"/>
    </xf>
    <xf numFmtId="0" fontId="39" fillId="0" borderId="17" xfId="0" applyFont="1" applyBorder="1" applyAlignment="1">
      <alignment horizontal="left" vertical="center"/>
    </xf>
    <xf numFmtId="0" fontId="46" fillId="12" borderId="0" xfId="0" applyFont="1" applyFill="1" applyAlignment="1">
      <alignment horizontal="center" vertical="center" textRotation="90"/>
    </xf>
    <xf numFmtId="0" fontId="47" fillId="12" borderId="0" xfId="0" applyFont="1" applyFill="1" applyAlignment="1">
      <alignment horizontal="center" vertical="center"/>
    </xf>
    <xf numFmtId="0" fontId="2" fillId="0" borderId="17" xfId="0" applyFont="1" applyBorder="1" applyAlignment="1">
      <alignment horizontal="left" vertical="center"/>
    </xf>
    <xf numFmtId="0" fontId="74" fillId="0" borderId="16" xfId="0" applyFont="1" applyBorder="1" applyAlignment="1">
      <alignment horizontal="center" vertical="center" wrapText="1"/>
    </xf>
    <xf numFmtId="0" fontId="74" fillId="0" borderId="43" xfId="0" applyFont="1" applyBorder="1" applyAlignment="1">
      <alignment horizontal="center" vertical="center" wrapText="1"/>
    </xf>
    <xf numFmtId="0" fontId="74" fillId="0" borderId="17" xfId="0" applyFont="1" applyBorder="1" applyAlignment="1">
      <alignment horizontal="center" vertical="center" wrapText="1"/>
    </xf>
    <xf numFmtId="0" fontId="74" fillId="0" borderId="45" xfId="0" applyFont="1" applyBorder="1" applyAlignment="1">
      <alignment horizontal="center" vertical="center" wrapText="1"/>
    </xf>
    <xf numFmtId="0" fontId="51" fillId="13" borderId="0" xfId="0" applyFont="1" applyFill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47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39" fillId="0" borderId="43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  <xf numFmtId="0" fontId="39" fillId="0" borderId="45" xfId="0" applyFont="1" applyBorder="1" applyAlignment="1">
      <alignment horizontal="center" vertical="center" wrapText="1"/>
    </xf>
    <xf numFmtId="0" fontId="50" fillId="4" borderId="0" xfId="0" applyFont="1" applyFill="1" applyAlignment="1">
      <alignment horizontal="center" vertical="center" textRotation="90" wrapText="1"/>
    </xf>
    <xf numFmtId="0" fontId="2" fillId="4" borderId="0" xfId="0" applyFont="1" applyFill="1" applyAlignment="1">
      <alignment horizontal="center" vertical="center"/>
    </xf>
    <xf numFmtId="9" fontId="41" fillId="0" borderId="0" xfId="3" applyFont="1" applyFill="1" applyBorder="1" applyAlignment="1">
      <alignment horizontal="left" wrapText="1"/>
    </xf>
    <xf numFmtId="0" fontId="54" fillId="12" borderId="0" xfId="0" applyFont="1" applyFill="1" applyAlignment="1">
      <alignment horizontal="center" vertical="center" textRotation="90" wrapText="1"/>
    </xf>
    <xf numFmtId="0" fontId="53" fillId="4" borderId="0" xfId="0" applyFont="1" applyFill="1" applyAlignment="1">
      <alignment horizontal="center" vertical="center" textRotation="90" wrapText="1"/>
    </xf>
    <xf numFmtId="9" fontId="39" fillId="0" borderId="17" xfId="3" applyFont="1" applyFill="1" applyBorder="1" applyAlignment="1">
      <alignment horizontal="left" vertical="center" wrapText="1"/>
    </xf>
    <xf numFmtId="9" fontId="39" fillId="14" borderId="49" xfId="3" applyFont="1" applyFill="1" applyBorder="1" applyAlignment="1">
      <alignment horizontal="center" vertical="center" wrapText="1"/>
    </xf>
    <xf numFmtId="9" fontId="39" fillId="14" borderId="50" xfId="3" applyFont="1" applyFill="1" applyBorder="1" applyAlignment="1">
      <alignment horizontal="center" vertical="center" wrapText="1"/>
    </xf>
    <xf numFmtId="9" fontId="39" fillId="0" borderId="16" xfId="3" applyFont="1" applyFill="1" applyBorder="1" applyAlignment="1">
      <alignment horizontal="left" vertical="center" wrapText="1"/>
    </xf>
    <xf numFmtId="9" fontId="39" fillId="0" borderId="0" xfId="3" applyFont="1" applyFill="1" applyBorder="1" applyAlignment="1">
      <alignment horizontal="left" vertical="center" wrapText="1"/>
    </xf>
    <xf numFmtId="0" fontId="108" fillId="2" borderId="1" xfId="0" applyFont="1" applyFill="1" applyBorder="1" applyAlignment="1">
      <alignment horizontal="center" vertical="center"/>
    </xf>
    <xf numFmtId="0" fontId="108" fillId="2" borderId="2" xfId="0" applyFont="1" applyFill="1" applyBorder="1" applyAlignment="1">
      <alignment horizontal="center" vertical="center"/>
    </xf>
    <xf numFmtId="0" fontId="108" fillId="2" borderId="4" xfId="0" applyFont="1" applyFill="1" applyBorder="1" applyAlignment="1">
      <alignment horizontal="center" vertical="center"/>
    </xf>
    <xf numFmtId="0" fontId="108" fillId="2" borderId="0" xfId="0" applyFont="1" applyFill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20" borderId="25" xfId="0" applyFill="1" applyBorder="1" applyAlignment="1">
      <alignment horizontal="center" vertical="center"/>
    </xf>
    <xf numFmtId="0" fontId="0" fillId="20" borderId="27" xfId="0" applyFill="1" applyBorder="1" applyAlignment="1">
      <alignment horizontal="center" vertical="center"/>
    </xf>
    <xf numFmtId="0" fontId="0" fillId="20" borderId="21" xfId="0" applyFill="1" applyBorder="1" applyAlignment="1">
      <alignment horizontal="left" vertical="center" wrapText="1"/>
    </xf>
    <xf numFmtId="0" fontId="0" fillId="20" borderId="19" xfId="0" applyFill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44" fontId="60" fillId="0" borderId="21" xfId="2" applyFont="1" applyBorder="1" applyAlignment="1">
      <alignment horizontal="center" vertical="center"/>
    </xf>
    <xf numFmtId="44" fontId="60" fillId="0" borderId="19" xfId="2" applyFont="1" applyBorder="1" applyAlignment="1">
      <alignment horizontal="center" vertical="center"/>
    </xf>
    <xf numFmtId="0" fontId="31" fillId="2" borderId="51" xfId="0" applyFont="1" applyFill="1" applyBorder="1" applyAlignment="1">
      <alignment horizontal="center" vertical="center"/>
    </xf>
    <xf numFmtId="0" fontId="31" fillId="2" borderId="52" xfId="0" applyFont="1" applyFill="1" applyBorder="1" applyAlignment="1">
      <alignment horizontal="center" vertical="center"/>
    </xf>
    <xf numFmtId="0" fontId="31" fillId="2" borderId="53" xfId="0" applyFont="1" applyFill="1" applyBorder="1" applyAlignment="1">
      <alignment horizontal="center" vertical="center"/>
    </xf>
    <xf numFmtId="0" fontId="31" fillId="2" borderId="57" xfId="0" applyFont="1" applyFill="1" applyBorder="1" applyAlignment="1">
      <alignment horizontal="center" vertical="center"/>
    </xf>
    <xf numFmtId="0" fontId="31" fillId="2" borderId="58" xfId="0" applyFont="1" applyFill="1" applyBorder="1" applyAlignment="1">
      <alignment horizontal="center" vertical="center"/>
    </xf>
    <xf numFmtId="0" fontId="31" fillId="2" borderId="59" xfId="0" applyFont="1" applyFill="1" applyBorder="1" applyAlignment="1">
      <alignment horizontal="center" vertical="center"/>
    </xf>
    <xf numFmtId="0" fontId="31" fillId="2" borderId="60" xfId="0" applyFont="1" applyFill="1" applyBorder="1" applyAlignment="1">
      <alignment horizontal="center" vertical="center"/>
    </xf>
    <xf numFmtId="0" fontId="0" fillId="20" borderId="56" xfId="0" applyFill="1" applyBorder="1" applyAlignment="1">
      <alignment horizontal="center" vertical="center"/>
    </xf>
    <xf numFmtId="0" fontId="0" fillId="20" borderId="62" xfId="0" applyFill="1" applyBorder="1" applyAlignment="1">
      <alignment horizontal="center" vertical="center"/>
    </xf>
    <xf numFmtId="0" fontId="0" fillId="20" borderId="21" xfId="0" applyFill="1" applyBorder="1" applyAlignment="1">
      <alignment horizontal="center" vertical="center"/>
    </xf>
    <xf numFmtId="0" fontId="0" fillId="20" borderId="56" xfId="0" applyFill="1" applyBorder="1" applyAlignment="1">
      <alignment horizontal="left" vertical="center" wrapText="1"/>
    </xf>
    <xf numFmtId="0" fontId="0" fillId="20" borderId="62" xfId="0" applyFill="1" applyBorder="1" applyAlignment="1">
      <alignment horizontal="left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167" fontId="67" fillId="12" borderId="37" xfId="0" applyNumberFormat="1" applyFont="1" applyFill="1" applyBorder="1" applyAlignment="1">
      <alignment horizontal="right" vertical="center"/>
    </xf>
    <xf numFmtId="167" fontId="67" fillId="12" borderId="38" xfId="0" applyNumberFormat="1" applyFont="1" applyFill="1" applyBorder="1" applyAlignment="1">
      <alignment horizontal="right" vertical="center"/>
    </xf>
    <xf numFmtId="0" fontId="61" fillId="0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wrapText="1"/>
    </xf>
    <xf numFmtId="0" fontId="97" fillId="2" borderId="0" xfId="0" applyFont="1" applyFill="1" applyAlignment="1">
      <alignment horizontal="center" vertical="center"/>
    </xf>
    <xf numFmtId="0" fontId="72" fillId="22" borderId="4" xfId="0" applyFont="1" applyFill="1" applyBorder="1" applyAlignment="1">
      <alignment horizontal="center" vertical="center"/>
    </xf>
    <xf numFmtId="0" fontId="72" fillId="22" borderId="0" xfId="0" applyFont="1" applyFill="1" applyBorder="1" applyAlignment="1">
      <alignment horizontal="center" vertical="center"/>
    </xf>
    <xf numFmtId="0" fontId="72" fillId="22" borderId="5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wrapText="1"/>
    </xf>
    <xf numFmtId="0" fontId="0" fillId="28" borderId="0" xfId="0" applyFill="1" applyBorder="1" applyAlignment="1">
      <alignment horizontal="center"/>
    </xf>
    <xf numFmtId="0" fontId="0" fillId="28" borderId="5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72" fillId="25" borderId="4" xfId="0" applyFont="1" applyFill="1" applyBorder="1" applyAlignment="1">
      <alignment horizontal="center"/>
    </xf>
    <xf numFmtId="0" fontId="72" fillId="25" borderId="0" xfId="0" applyFont="1" applyFill="1" applyBorder="1" applyAlignment="1">
      <alignment horizontal="center"/>
    </xf>
    <xf numFmtId="0" fontId="72" fillId="25" borderId="5" xfId="0" applyFont="1" applyFill="1" applyBorder="1" applyAlignment="1">
      <alignment horizontal="center"/>
    </xf>
    <xf numFmtId="0" fontId="71" fillId="24" borderId="4" xfId="0" applyFont="1" applyFill="1" applyBorder="1" applyAlignment="1">
      <alignment horizontal="left" vertical="center" wrapText="1"/>
    </xf>
    <xf numFmtId="0" fontId="71" fillId="24" borderId="0" xfId="0" applyFont="1" applyFill="1" applyBorder="1" applyAlignment="1">
      <alignment horizontal="left" vertical="center" wrapText="1"/>
    </xf>
    <xf numFmtId="0" fontId="71" fillId="24" borderId="5" xfId="0" applyFont="1" applyFill="1" applyBorder="1" applyAlignment="1">
      <alignment horizontal="left" vertical="center" wrapText="1"/>
    </xf>
    <xf numFmtId="0" fontId="72" fillId="26" borderId="4" xfId="0" applyFont="1" applyFill="1" applyBorder="1" applyAlignment="1">
      <alignment horizontal="center" vertical="center" wrapText="1"/>
    </xf>
    <xf numFmtId="0" fontId="72" fillId="26" borderId="0" xfId="0" applyFont="1" applyFill="1" applyBorder="1" applyAlignment="1">
      <alignment horizontal="center" vertical="center" wrapText="1"/>
    </xf>
    <xf numFmtId="0" fontId="72" fillId="26" borderId="5" xfId="0" applyFont="1" applyFill="1" applyBorder="1" applyAlignment="1">
      <alignment horizontal="center" vertical="center" wrapText="1"/>
    </xf>
    <xf numFmtId="0" fontId="71" fillId="27" borderId="4" xfId="0" applyFont="1" applyFill="1" applyBorder="1" applyAlignment="1">
      <alignment horizontal="left" vertical="center" wrapText="1"/>
    </xf>
    <xf numFmtId="0" fontId="71" fillId="27" borderId="0" xfId="0" applyFont="1" applyFill="1" applyBorder="1" applyAlignment="1">
      <alignment horizontal="left" vertical="center" wrapText="1"/>
    </xf>
    <xf numFmtId="0" fontId="71" fillId="27" borderId="5" xfId="0" applyFont="1" applyFill="1" applyBorder="1" applyAlignment="1">
      <alignment horizontal="left" vertical="center" wrapText="1"/>
    </xf>
    <xf numFmtId="0" fontId="61" fillId="0" borderId="4" xfId="0" applyFont="1" applyBorder="1" applyAlignment="1">
      <alignment horizontal="center" vertical="center" textRotation="90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70" fillId="2" borderId="0" xfId="0" applyFont="1" applyFill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0" fontId="24" fillId="2" borderId="1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2" fontId="13" fillId="7" borderId="0" xfId="0" applyNumberFormat="1" applyFont="1" applyFill="1" applyBorder="1" applyAlignment="1">
      <alignment horizontal="center" vertical="center" wrapText="1"/>
    </xf>
    <xf numFmtId="2" fontId="13" fillId="7" borderId="5" xfId="0" applyNumberFormat="1" applyFont="1" applyFill="1" applyBorder="1" applyAlignment="1">
      <alignment horizontal="center" vertical="center" wrapText="1"/>
    </xf>
    <xf numFmtId="0" fontId="14" fillId="7" borderId="0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9" fillId="2" borderId="10" xfId="0" applyFont="1" applyFill="1" applyBorder="1" applyAlignment="1">
      <alignment horizontal="center" vertical="center" wrapText="1"/>
    </xf>
    <xf numFmtId="0" fontId="19" fillId="2" borderId="11" xfId="0" applyFont="1" applyFill="1" applyBorder="1" applyAlignment="1">
      <alignment horizontal="center" vertical="center" wrapText="1"/>
    </xf>
    <xf numFmtId="0" fontId="24" fillId="2" borderId="12" xfId="0" applyFont="1" applyFill="1" applyBorder="1" applyAlignment="1">
      <alignment horizontal="center" vertical="center"/>
    </xf>
    <xf numFmtId="0" fontId="79" fillId="29" borderId="0" xfId="0" applyFont="1" applyFill="1" applyAlignment="1">
      <alignment horizontal="center" vertical="top" wrapText="1"/>
    </xf>
    <xf numFmtId="0" fontId="77" fillId="29" borderId="0" xfId="0" applyFont="1" applyFill="1" applyAlignment="1">
      <alignment horizontal="center" vertical="top" wrapText="1"/>
    </xf>
    <xf numFmtId="0" fontId="77" fillId="30" borderId="0" xfId="0" applyFont="1" applyFill="1" applyAlignment="1">
      <alignment horizontal="center" vertical="top" wrapText="1"/>
    </xf>
    <xf numFmtId="0" fontId="77" fillId="29" borderId="0" xfId="0" applyFont="1" applyFill="1" applyAlignment="1">
      <alignment horizontal="center" vertical="center" wrapText="1"/>
    </xf>
  </cellXfs>
  <cellStyles count="10">
    <cellStyle name="Check Cell 2" xfId="7" xr:uid="{C101956E-E8E4-45B1-BFE3-062A96D770E9}"/>
    <cellStyle name="Currency 2" xfId="8" xr:uid="{B88F32E3-CDB4-4289-9D85-A5983EAA5B9E}"/>
    <cellStyle name="Moeda" xfId="2" builtinId="4"/>
    <cellStyle name="Moeda 2" xfId="4" xr:uid="{E7E8CF33-7C7F-4B89-B651-342BF0302260}"/>
    <cellStyle name="Moeda 3" xfId="6" xr:uid="{F405D770-16A8-4CF4-A37F-B1C066E64BD8}"/>
    <cellStyle name="Normal" xfId="0" builtinId="0"/>
    <cellStyle name="Normal 2" xfId="5" xr:uid="{2D952492-7749-4C9C-B79A-45990C153466}"/>
    <cellStyle name="Normal 2 2" xfId="9" xr:uid="{5A4112FB-8D58-4697-B6B8-47794F455B31}"/>
    <cellStyle name="Porcentagem" xfId="3" builtinId="5"/>
    <cellStyle name="Vírgula" xfId="1" builtinId="3"/>
  </cellStyles>
  <dxfs count="103">
    <dxf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top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numFmt numFmtId="34" formatCode="_-&quot;R$&quot;\ * #,##0.00_-;\-&quot;R$&quot;\ * #,##0.00_-;_-&quot;R$&quot;\ * &quot;-&quot;??_-;_-@_-"/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C00000"/>
      </font>
    </dxf>
    <dxf>
      <font>
        <color rgb="FFC00000"/>
      </font>
    </dxf>
    <dxf>
      <font>
        <strike/>
      </font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</dxfs>
  <tableStyles count="0" defaultTableStyle="TableStyleMedium2" defaultPivotStyle="PivotStyleLight16"/>
  <colors>
    <mruColors>
      <color rgb="FFCC0000"/>
      <color rgb="FFFF4F4F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solidFill>
                  <a:schemeClr val="tx2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Fluxo de Caixa O&amp;M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3799260098885281E-2"/>
                  <c:y val="-2.3148148148148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837-4C5A-9618-A21DA6F466BE}"/>
                </c:ext>
              </c:extLst>
            </c:dLbl>
            <c:dLbl>
              <c:idx val="1"/>
              <c:layout>
                <c:manualLayout>
                  <c:x val="8.2795560593311186E-3"/>
                  <c:y val="-2.31481481481481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37-4C5A-9618-A21DA6F466BE}"/>
                </c:ext>
              </c:extLst>
            </c:dLbl>
            <c:dLbl>
              <c:idx val="2"/>
              <c:layout>
                <c:manualLayout>
                  <c:x val="1.1039408079108123E-2"/>
                  <c:y val="-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37-4C5A-9618-A21DA6F466BE}"/>
                </c:ext>
              </c:extLst>
            </c:dLbl>
            <c:dLbl>
              <c:idx val="3"/>
              <c:layout>
                <c:manualLayout>
                  <c:x val="8.2795560593310665E-3"/>
                  <c:y val="-1.38888888888889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37-4C5A-9618-A21DA6F466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Gráficos!$P$2:$P$5</c:f>
              <c:strCache>
                <c:ptCount val="4"/>
                <c:pt idx="0">
                  <c:v>Faturamento</c:v>
                </c:pt>
                <c:pt idx="1">
                  <c:v>Custo Real</c:v>
                </c:pt>
                <c:pt idx="2">
                  <c:v>Impostos</c:v>
                </c:pt>
                <c:pt idx="3">
                  <c:v>Lucro</c:v>
                </c:pt>
              </c:strCache>
            </c:strRef>
          </c:cat>
          <c:val>
            <c:numRef>
              <c:f>Gráficos!$Q$2:$Q$5</c:f>
              <c:numCache>
                <c:formatCode>_("R$"* #,##0.00_);_("R$"* \(#,##0.00\);_("R$"* "-"??_);_(@_)</c:formatCode>
                <c:ptCount val="4"/>
                <c:pt idx="0">
                  <c:v>602159.09708099533</c:v>
                </c:pt>
                <c:pt idx="1">
                  <c:v>434643.71490000002</c:v>
                </c:pt>
                <c:pt idx="2">
                  <c:v>116999.51256283739</c:v>
                </c:pt>
                <c:pt idx="3">
                  <c:v>50515.869618157914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37-4C5A-9618-A21DA6F466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27722144"/>
        <c:axId val="1527723104"/>
        <c:axId val="0"/>
      </c:bar3DChart>
      <c:catAx>
        <c:axId val="152772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27723104"/>
        <c:crosses val="autoZero"/>
        <c:auto val="1"/>
        <c:lblAlgn val="ctr"/>
        <c:lblOffset val="100"/>
        <c:noMultiLvlLbl val="0"/>
      </c:catAx>
      <c:valAx>
        <c:axId val="152772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772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23313073749267674"/>
          <c:w val="1"/>
          <c:h val="0.63849346991336009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CA8-4A04-B2D9-34B107E93F2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CA8-4A04-B2D9-34B107E93F2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8CA8-4A04-B2D9-34B107E93F2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CA8-4A04-B2D9-34B107E93F2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8CA8-4A04-B2D9-34B107E93F2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6-8CA8-4A04-B2D9-34B107E93F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Gráficos!$P$7:$P$11</c:f>
              <c:strCache>
                <c:ptCount val="5"/>
                <c:pt idx="0">
                  <c:v>Custo Relatório de Despesas Entec</c:v>
                </c:pt>
                <c:pt idx="1">
                  <c:v>Aluguel Carros </c:v>
                </c:pt>
                <c:pt idx="2">
                  <c:v>Cartões Funcionários </c:v>
                </c:pt>
                <c:pt idx="3">
                  <c:v>Remuneração</c:v>
                </c:pt>
                <c:pt idx="4">
                  <c:v>Terceiros</c:v>
                </c:pt>
              </c:strCache>
            </c:strRef>
          </c:cat>
          <c:val>
            <c:numRef>
              <c:f>Gráficos!$Q$7:$Q$11</c:f>
              <c:numCache>
                <c:formatCode>_("R$"* #,##0.00_);_("R$"* \(#,##0.00\);_("R$"* "-"??_);_(@_)</c:formatCode>
                <c:ptCount val="5"/>
                <c:pt idx="0">
                  <c:v>48928.584900000002</c:v>
                </c:pt>
                <c:pt idx="1">
                  <c:v>60715.130000000012</c:v>
                </c:pt>
                <c:pt idx="2">
                  <c:v>65000</c:v>
                </c:pt>
                <c:pt idx="3">
                  <c:v>200000</c:v>
                </c:pt>
                <c:pt idx="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8-4A04-B2D9-34B107E93F2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>
          <c:spPr>
            <a:ln w="9525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olorStr">
        <cx:f>_xlchart.v5.3</cx:f>
        <cx:nf>_xlchart.v5.2</cx:nf>
      </cx:strDim>
      <cx:strDim type="cat">
        <cx:f>_xlchart.v5.1</cx:f>
        <cx:nf>_xlchart.v5.0</cx:nf>
      </cx:strDim>
    </cx:data>
  </cx:chartData>
  <cx:chart>
    <cx:title pos="t" align="ctr" overlay="0">
      <cx:tx>
        <cx:txData>
          <cx:v>Estados Ativos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Estados Ativos</a:t>
          </a:r>
        </a:p>
      </cx:txPr>
    </cx:title>
    <cx:plotArea>
      <cx:plotAreaRegion>
        <cx:series layoutId="regionMap" uniqueId="{2FC22F0C-6F07-4320-A4C2-7AE12A6C0B69}">
          <cx:tx>
            <cx:txData>
              <cx:f>_xlchart.v5.2</cx:f>
              <cx:v>País</cx:v>
            </cx:txData>
          </cx:tx>
          <cx:dataId val="0"/>
          <cx:layoutPr>
            <cx:geography cultureLanguage="pt-BR" cultureRegion="BR" attribution="Da plataforma Bing">
              <cx:geoCache provider="{E9337A44-BEBE-4D9F-B70C-5C5E7DAFC167}">
                <cx:binary>1HxZctxIsu1WZPp+UMU8tHW1WQcyk6MkilRp+oFREoUIIBCBedrNtbuFt4Pe2PPUUEWmWGKrre+z
2/woFQkiHeHj8eMO/vXD/JcP/ua6fTRXPnR/+TD/+tj2ff2XX37pPtib6rp7UrkPbezip/7Jh1j9
Ej99ch9ufvnYXk8u5L8QhNkvH+x129/Mj//2V/i0/Caexw/XvYvhxXDTLpc33eD77gfX7r306Ppj
5cLGdX3rPvT418ePLp89evzoJvSuX14u9c2vj+/8xuNHvxx+zncyH3l4rH74CPcm/IlCXMPjY/3l
Sz5+5GPIv12n/AnBiDMkJfr8hb8Jf3ZdwQdcuvjoqL0OH28efYyPnkVQwLdfuO/pPj/b9ceP7U3X
wdE+//snH3LnWPA7zx4/+hCH0O9VmYNWf31s2uvO+cePXBfTL1fSuD+UufyshV/uWuFvfz34Aejl
4Ce3DHWoxIcufW+ndPvvtBN9IhWlYCT+xQwI7HDHTuoJV0ojzMk3/X8xUApO/Y//+vazf94m3+47
MEO6/Q8zg7l80Az/k15wdfGg+Ltu+sNoJfQJp1QLrdTv0XjbC5h4IohSQqGv0ay+Gf6LM1z947/j
o4vrwcdvP//nHeL2vQdOcXXxv9sp/iRv3E6id37lZ5MoRk/o5y8EwXfbHpw+IZ8NJcUXex0E57cM
9udPcn/C/Hbfnaf+354Qn179W0MBPWEcM43Y/QmRsycCCyhr9I9Q+aLmL6Hw9LrfV67YdXFfua4G
KCS3zXDHxb+U9O/q1n2fcee+Xx8/vfrfHRp3HvczvHj+77SSeiIFVpCM/qRsCfpEI/gNpb8GyCG8
iOHjP/5vcNc/b5zLP269c0iAEs//w2xy8XAN+5kiwp8wipiE0PlaJe4mLaafEAWxhbn4/frtyLm4
Brz3r0CK3288sMcF4LX/qEx29G+NEQxFWyMqEf+jSNwuInt7cAVpDKLk89dBUT+K7h//1f18gHy7
78AaR/9p0fFgvvqfxHeX/9aiRtETRDUnGkx82wU4hi5MaAoX78URd7uwf6mW3fMRB45x+Z9Wyv7+
9EHX+Im0SZ9gQggEIP4KOA6wngDbYSYIlvReG/29ul5juP4XAvWPOw8s8ven/58T559H0u9ty+a6
v95+Zidutcw/vvqt1z649Qdw7Oulk4+/PiYca3QLsO8/5OvlL0APqs4fxerWHTfXXQ8ECLRMSFAC
KJJjIjSngECmm8+XuHqiIBilgsATgiEBFg/AcFiQCt023adrxghHTCn6+FEXh/2lRD9REKZYS8nh
X0H474TQRfRLHsPv2vj6/aMwVBfRhb779TF7/Kj+8lv7RxVUKaYV+JQQRAAFIzlc/3B9CZwT/DL+
P+O66hwNoTOKJONm6esxlZT10KX/zgPdI0XcJ4USJBmANfByIIFuS4lZV2eKVp3JQqG32ZBw04bZ
v8vntdm4UidAzvxI3ven4mgfRgoiRjElQbG35Xm8Sq5n1Zqh1Wzn1DTvrB+x+XkplEspFVZgBnRw
KjwoV7Qoa03BLHmNXFOd9PW8bn4s5Xvd8X3O5pIqDbBJQeq+fZa28cj2UrdmLpmVqdVzHEzZcj6Y
qJfYGdxM9uWPZe6tftcrOJBynAAmkOC2CLzvtkwdaFNX49Ka2ARyipKGb8auLJ6iQYkHjnePKAE2
gkaKU0kE0XdFkbpCsRpKEOXH2ow6rLvaDXXaFZU//fGp7tGkYBoiSoIawWwHXsFrEVQSqtaMritO
BleIY8GL/pxFqp9PbZTHP5Z3jxfekXegxaWPaxQjyGsDXuvjCmd1si1G4R6Qc58KOcEauDk4ntAH
fphVal1c5I3RvrFjWhRrsWx6N6zvaD42Dwi7T4lcCqACFUUK9HjXXrppheqKpTH5QsrNMLbkmRUi
SzlTy0bMiqU/VuK9h1NUCgJxxiFN3pU3siFTvSONwX5ghuuCbF1PpMndmv98PAuBGJUQzZhL8p0o
l8xTiUGURVXK2ozvgDfPH3D4vYIOYuuOlP2B72RcWbcdhgPxNT63VuZHqlyaVxJTdj6xsnnVquHN
z+vw9sH2Nr0lEiecl8mMGrO0yG964sWzrliJ0VXevvyxqL2OvjsdwBQlODSBXB+Ec6dr266JbU3t
9HBRxrpIExUo9AQ/md+hYEF7yZhgkIEPpGQ8Y43VsjGxq5yhcxQ7N0Zx9GMp97m6UBQK877aAjC7
q7ZWS9e6RjQmaTUVqdK+PPWiyj5VdWdfashX/QPBdZ+zg+ogHWr4RPDEuxKLxPrWCdqYnklx5Mfh
LWfsPWmI3P74aPeZSQK1RfaVSxF54BGCI5tPHFKGzRKZTlWnNszj/oGAwnsN3fWGPUPGAK8IAYWE
ApC67Xg2UW7wPLSmoS01XaBTyldbbOu6zo/CFKmpBT/KsrI8oryfEtOMYTArYvaBLPL9eQXEj0AE
4Nwe9BwEnXYVGscRqgwOvRcvQsdsd2LpUHUPWBDvk/rhkSkAPkSo4hzL/ZPcirW5y5XFc2yNdbY8
RZ6Mu6ap6cs4tk9zkcynbVfHbVtGbCjIT+eltCnYoMe9PhmWpHkACn2fbjQUV4hIjQCEcnrwPNMC
+CgZ58bUSE3UTLmuhCH9lNPNhHJSG9eO4rIb+mp+wPr3SiYKqjsAXND7gfGXsdZr3kDWmSweN0Pu
STo1WXJUsdws+m0spmbzs14NZ70l8SBgF0LnasBQm2YaVdrGokxXOoSf9iWQAgYGxQmJ0WFaUHIK
FBBlY+ii2jTRM0tH1ocHtPd98gEpAlo9JSgWiB+kghBJVnayb0yZa3EZ1dJsadkVR2jwxfvetevu
x7q7z1rgsvueA3giKLZ3/TYr4+o8h7IkionVm7FRyRnJUJ4qVXVPybjofjPngAIfOOdDctVduWLI
56aJrDG+Cu1ZMcV4UtthfVoMSXs2KM5SVBb4gfR3n3L3aBMB48Elowfpb65V1fg2gHId5m/6ZJiH
LdFjcTQFjWpjQ9K//rF6v8/sGhhPTCm0QFAWxUHFGmg+Bd7ljRmzLmxE07QbWhWjScL887AToDQg
GEGBFBecH2i0ZOtaToLVZpkGv0XlOuzmnj8Epr/PqJozDKgEgCCBAf5hXsmJ6GYB+QM5n+GUOlmK
NCPtuvy8re4IOkjdYeliZGSpTSLr6YiWrDJlIV+gpuTGt+iBMNgr52763vfVEuhSAtgd6v5dd4Q4
dt7atTZ+RN2pVUl1FEOFTmPF1baWYnw5T0lSmmqZ7PTzoQD0GyMa8DU05PTAcLKc1Vr2UP3XpNdX
vuHkOUZkSGvCm5PYirUwtc34A/q9xzNhP+MztSQF+A25e2LoSURP8QR4FGeDqan2psaFNQ6NyQOZ
855Y1597ZaD+YcbMD3xG1d3SsbwGQGXjeCaGZjipaM9PHdPkuM9kb41vuuEBtd5jUqA4gHcAIKI4
IIC7B2xtQ1ZYxYF8PQiSG++c2kwudqc80uHZzGJhgtJd2rjRPSD6uyDZF13AcQQzAiXjMBR5NoW6
aSCj5IWqDUGB7oCLGYF2+xEa/s6CIIUjYAcgFAFuHeaWNptpO63gs6vrcTTdUKwbaHH9Ma1lOP+x
rPtOBNkF4KeSwOWgg/gomWOO131tSh3m2jRDsr4bE+LlA65y75kYpWAyYAbEoebcWtRqQkMNXlku
m65e2BnyQ3XSzEP3QMjfJ0qC/yMKA10otAdh109ZiLGqQFSTdwZoj2RTr8tbG9Fy/PPKAywEIYA5
4IbDGttUyrqZ1LVpGXLbNgGsayfbbH9ayr7MQHiB8mCvao9QbyHQLpdWN85BCuPrbJDorGlipX7e
QACo93weyFBEH6SNBec1KbosmomPAC4hUW3jrIoXWZOvb398oHsMRIGl5AwqjoBas79+60CSVI1N
8rI2rBmyXV/2XVrSsUiBEjn7saR7vPuOpANcEOLSZOtS1EaL8ZWSgW4DyeoH/G3/IXdKDAzjgJ6E
A3HIu5QdaA73c1NFnESDRUTnTTE3VxWd4onOOVtNnOb56MenwvtP/E4iTBc0ZQxzftiGrY0v/NSA
RJZrUGCD7WYOoUwzPRJvLM/scZjHfLs4ro8CasinZElOOx7qnaVTefnjx7lPyWBIAVQ48LPk8Gny
4KtBZeA5Uo/rJqmTYgsUwc3PC5EcOAIJRDr4zYGSRTOtrqt5NLNriUuXqRD9pkO6Fg/EwX3WlJoB
bUQ05A994DIZKwOiCzhnKMKcFpYKg6Zkh/l4HPpkeUDafbpTQoDzSCYkPYQIw9yJuRpjbWTPs7Ny
XJqTGrLo5ueVp4DwYICBAEceEtvSy5YuOWTEoqva8zjYajtz6h6gY+85C6gNmijIiHsy50BzZYhJ
qZ3d41Rpn/lJsxQ7bn+WKtpv8AADAa0v9DZAJN5NHmodkz7Z+37paPW0WmayqbOgHsi53zMdezGS
QDcBs5R9f3hXTCXWyFEloymGzJ0ni6I73PjTOHFtBBqfqYlf1gnKto2V2Rnw3adC1/UD9eU7fAUP
gYFmgTEBsC2g2LsPsTZo0H3uAQiIkeBtP9suXLCZo/GcD9NE03nS3p20oyYP0bT3hAF0AwpGLRSK
teIH50+i5WiodDRLVdAytUgsm6l255TlLB26DP770z4KxQeyB6ytalD6QdUeiJyrFUEWYdY6M3W0
3clqfSgSvi89GEwKDBl4EKyrHLYDwDnncyvBrMK6PPVKxpMlrPKEZdo+4ELfaxBEKQowEfoPgtj+
UW5VOciVArUcNBhL7pLNEn2jDFot/k13lH+0UzVlD8T53h/u1gUMgB/aX8YgfUGJvSvSlg2f84ZG
U4cq2TDd8FfNMK3vm0H6DcaBvAcaZD6rLY3HVUu6dz824ffuiikQKEQA464xELp3xVehQfk4DdEg
3+YbL+RH38p3PABB1ehQmYE9hCq/Tzl7idC0wjQNWNbDvr+bXOEIbqIJCYFeshmGYwiV8IAl73Ea
jmCeuwdhQN+QA7W2ay3LIMdoEp81O56XS5/qDNuXsWtp8UAcqM/9y20rArmmYLQMY2IAPIzvd0Tv
OM6IddfRxaasYj45HiBd3yQWJyEdlqK7mlGmsZk1WfR2mdVSn5OF1PQI4H3jDEzKYrNZE92ucP9K
K2OTgpzD7C8ZU0CwPDchdHE80XT15dGUwbzzdFIddztFuyUeT6Gr3TFQbRk9Bade8tNsmjp/spYW
x43scW6P86G0/Hg/TBqOukYP4cIy39UntMxKucNlYatUYduqzdxk+G0NxadMW59rlXZTVM5EOZJ1
W4pA+0seSz8Zqbq8e9GhCvuNinmOFUyEijk7U1MW6bGqynk5srUvkhQqQPmxCtmUp2SSgHUQdng9
ZVMvJEDKEZdpA9bMUuiO+biRXdmfTHOn3IYVxPXbXM0VS0WXjyxtMg/twQK8tttiFdt2K8JYtMe+
w+V8lFc8z7dFNxchbQlZtZmGATAAQhKF00T4lcEjJHY6sq6fxUZPtKjSmIvyJlsL+nZeqyGYoQYk
t2G2wsh0quonM2XrVB3BeIyACdcIXMg8RSfMjDQb08QCkbEbgRgMJh+1y08HOUsOGHaiQ4qmNZt2
YIFqNDlak5j6vM3VTrV1hdNyWoXYCt/0lYHBQ4AmFWI/bocxOmVIVbVLQGZVtF3NGkCdZsW2qQyr
8j17xpduPMkTqmia8CzvUt/OTppMZGP3zFZtKAy8DdP5VHURAFHjRfNy1mEotjS4ojI44mkyxOb9
uIEG2p0M05ws56EBamnThQHlMDtdRGa0Cu61a9D4tJpYj9O88Ouyc3GBYud8yK57XUmWxuiGalMQ
mnXQWSF2WhRZ+CSbpf1tKf34ya5IzGaR62BTioMMaVVquS2HBjfbvm+7D7R1s9sALevfCb5A5x4D
0c/WEsdnpVeWHi0tXavUsr7yacuHpkw9lH1o5LgKpytZcZ6umbRvB8AK+WYcJvl+UYV/M/WanweV
8YuqhldvjBVgQ+NUP0MLUCa5aRY8XTBgWONG4axtDVma4lUZtVw2ntf6nW/CuKbBVbKAuBLiOZXU
eRNFX7zQUi3DEV8s9ab3nBe7WqsubOM6tsLwTJTWjFXvutQxaa/nOref+DoibLhg83k2DmtpWjsX
Mm0LiUoz0akqdxw384sEnAOZshczSqt+DUeDlMFejbjOZyOLjrjNjL3sDMxq6SenK6CsGHU2N0ls
BmuYbKCj6tnQXXq1IIhmnJAXgufNa0dHWpqBa7qAY+Gq3jZ5Q+oNj64uN6hIcrKBSPHP57pG7TlN
8nAReiXqrUOJlyYpEvx0pgHdlKuagmnWtm3fCJhez9eAxHl1ZrOiz3dzRdx0mlRVU58nvNT+kpTO
N+e4iDy7aJibl/Mc9fWbleHFvsqDbrIPY88IuiJNqMYdWEjJF42E1HnMsrpUu4DCJE57l7SjkRAn
fOORyNazMBIyb5oy48NpGzWfNggs2MPmC4HzGV+KHJ9A0ZnboxatudiVjbTZUZNU2U1Bswltyqm3
2QbRtqt20uuhSzvSOZgU5W7W7wcccAKjfqjY+XGGZeNeKAaz7NOkALS+0xkrxHaeh7Ce6IxM9YWV
MPF5s3cEeuPYOKMC7NKSIjeontD8ogSAGF5XviiLq7CszXoKFYABz8/mzJevslz1KBwPuhvkaJoC
iltvEG/zGR/PcaqzOV0nVbSfskHl/nLlzNMzN/sFLD8hB5mz4WVRXixKLSqNaiyn5wznNNtNJCnz
FI0itpt8pHCoSJgPOXSp7Uyedllbh7OpqQYNKTLW4sVkhWcpnBYSMYAVok1DYq3TcbABsG3Rx9es
1DPZLbRc1lflkOfNaV5XUDoQcHtANtq8HJ4KLAdyNUP3QZjJ25Ko87ZEI915QIFT2jJdtc9X1cHg
dyyrZN7WymUiRaC5Jh2gZXqZUzk/R3Kqr2iGRQWkKZsWE6tOfBC4A+QyZRxo1MRXPqYLLBK8Xena
TSYXHkK1l+1iAMjXuYEIJOE8k/WIN4kVqkorjpOLAqj9ZFOqQdXp4kjSwx6OnV7bBPd62+9bv22Z
+fyZT5rimQWKERkRY/Gmkj6rQOzc3sxw95riKgJVh4S2oB+W5SX0Ig0sX7F1Kq6BaPHt07WTqzfj
Av1ySmUNM2Co1QNPx2TWz5eiwPokJFhdRk9ydFrbcVjMgPTynI+SeUNmC0la1uWoTjPV5DZduiJ8
ZKHMEjOF0Hwslpw9z7MOd5vRZ4PYxHHlxPApVq9sIKLedFkT3/i2GJpd64t4FRPuqEkGFGEqpHN/
geUyS6hM0Vewh7R2bD+3ydZUFqSKqeyH8gYWT+ySFl6NE0C62IvUddSTd9zXHTFoyZtnOgs2GpK4
Yd4UTMoiRQAIf4Nmd65MXCpyJecwlbvSVs4COZGXfssG0r1XtBykGeU6d4bGJn83o5JXBpLKeibW
pX7LoPEJpqyWXKd08e3bVeHkVTsv0hmxUjKZjK/9xxH39JKSZv441aX9ABSIvuI00Le0yR1LJ5sn
n2g/DRdAavj3/Qhp3GQ5r4mp12T6sNBRf9CJd/kRmMy9ZV29vm+nWJ4yX2DYnWKq+6jXOX6A4Y+d
UraQwA3AHhrSgruuNTRRzRlRs56O0MLlK5cvFm/9gCNL5y4mybZ0URVmpJMHJ+nDSrZWqSExJKMy
OQrFULx0U+TMzHnk77ueD/kuFDRv0zjowNKEToBa1NCg6YgA8pUbmG+5ZzzLxHTMtCM2tYlkpelQ
Xorzal1gPAsMvJ6gxHdemyHnS7WFgaAf301o8U2auIVnpXGLmPCFhTUhMGK2KBTToivq51mRWWLY
UsYx7bOMkNQTWOXasFXawQi9VINhhQT0I8JArvUERSGncZ03UnZuNCtBLjvyJafWkNUV7xou52lD
gT/nJsA4aMc5r8PWV1VJ0jpX1a5gHv6XNs6uJjgxvqMFzl+1JYCNY5ZnE4EAyaYzP8zTa1EoHVON
ff289ELZnSQFLAdANhX9jsYOQY+n11KbuHZxSe0oeGkSji2DKWSF+HYdqvqSFwMyxSqselGVeYHT
SSRFb6pZ1h2gNC4uhgQUc8JlXgN7nVOdpwwX8u2c2z2niBJeP2tWRI5jXlT8JFI/Z3B7wsaNlwNe
DYWOazSQW6AudKtjfgdlL3lORJYNG2mn7hQ7aOKPikkAIlB6YYaSOUKcTDh/a/NG4g0tpS63EKSi
N4OGursR0gEIykKQZ9oXkh05IBYHML6dfVrAUuN1z8Zi2o26JauxnV1hAqRDebPwZhwNAMX8BZ2R
vGYJ9s0WFkyzaSNgMP5m7XNWpyhw1O8K6xyFLqDsn9GsyN9MxGoAHGuOrqoS8jGUjAVSFeqHkafN
GiI4G2+bzGRzy1/Z2cpmQ2jBz1sVyhchgwXC1NIxv1xlDui3Tpr5bB4zeKDR50UJ2xO9fT2utSYb
EVk+p7BDpGGD1s7uYmkIeTe7GdYD5rkfr3pEc0jfShcuDdmIvJlWzH5rCVreJbHMtCnlSOtU6ESE
VCvhscmGfU6d6QREChk1Op+VaKz7UGBaw64BgFNrwqIcdGysg+q4Dhmvt2rw+ccQMk93yipS7yIY
SO+YCG1pytFPfgOarC6hOW4+lAjaJDNF7JrdUouuO9bShzYVKhRtWg8FBcTStn7ZLUuAMYXoFnK5
ojGH9mGZB7WTRexO4Fj9J09o8xqvuHq+xKKXZu1lvEEBre9VJ+toYG2PzRtqpeg2dVHn2wgENEQj
ge0GKOMzy7eda/ULvDD6kvQrJAdAGo5tYHWSv2wXBRikL3C7Ke2avUBL5yALZ7E61n1b+ac4KbM2
HeoxeVaX0MUa7rA7WbxW+XG5COg7i6UGMDnbDImUqhKfZhQ2Fk21sr1rqF5cTHaWv6m6oTIlfR1u
RlRMV0Ps9et6CNbCuKYbzwrra2+WwOQVcfX8SZTFAMWyz8SLEbD702WaNRBRBMJ1IMlsUwS90G8e
F7ChVsIw4MVc2NCkbk7izWq79XIMI2zv5ixbXsO+bU9TTcrxys/D9I5Uepo3ClDLiVqzVp1CBVyU
gUJEunTfNMajLolQtta6gFS09mW3GBWybklJ0PFlsZZFc5wXCfDSfQ1rqIZ4XWSGODeqTY2H7E22
zM1lzvKVwT72GJbNAsu5C1QakmWpEm1YDRsJ8ikFLr9NFYRKDv5ZzDvfWv2O6OASU9mF9sezdfoc
3hqu7Xvv61bsVlbvSQLlwyUsKsOmUdm5sjHA1gV13PaonbaqAf55Cys2mg8w0IfJh15SBZP+cR3S
zo8BVbC8UwIcP2kymX0EOFxMT5N1GNrjuRyz9ogmgjdXgKc1gkFnX4gdbIoysvUZgnX21ff2uJrz
ZHk9TEMJ7ICGPZp0QRaoz7mjfWFwj9F4Au147Tcs4ePLNk7EbcHZaJb6jAuwCLhEsfEuzOwClVgk
Zo35WG9Kj/NiA7Q/z89DHWOz60QM4qxSDEopbMby4ZzUsiLpEDNUAlBZ5xuUdKtPeUya10PiIFLK
SmnoYezSvQWkXb5cppwR4xhE8jbIFvBhoKh6JeZR2k1TdIs3OSRxKN5ZCTB5qUTpoNOa47uJkhak
WFgAg1AI6pUo89VvOPT1Q4q9ndmZXod6NYVmvjKNWjzZDYUcm5TrKvtYTb4vUs8myVOYY2Qnq3TZ
YuC1y6I9w9N+mJjhseAptOCUp3PS2zcdGRIgLxxMC6DAQD1XGxjtFMQ7SOR4papJQy1YH0OaxHUq
u99KaDLCyWcO8euLIBdfeK4vLzR8iPXSutx+/SMXv3/7t6ff/nLG57+38MfP938m44/vno83bT+0
N4+eXtfdo90QPn7+4xmH9+wl/34TCP76JPvXPu588907KH/ylsmXv8vxJxf/uVdQYGwHY+mHXkK5
/c7k/t2O3+/69iKKegJrAjCyh+EjBa5+vyb+7UWU/bvMMC2Dt2Q17L3A2Oz3F1ESAq+iYNjjhRdF
EAW6d//+Svf1TRQinkhYOICLGmZ50HjJn3kVhdM9U3mLyYT9TAxrDHr/Mgqs1sGM6y6TSWJvMfQn
wyaJAJOgRWjGZVvgUL1ISEuglCQiOWFijjNMtEMFw71+mEuYhanyms2yIWkyAaENSyQOqtsMDVpm
JHFtth0Z6nIDm2zQzgVgW05ERgaUFkB+YiOWrmcp+O7yQbWyz1JUAYZvod/AgD67oUknPrDFLLRC
z3mS47N86oYynTMGGzMdwhRIwqmGxrps9iHutOxeUEdIa7K+a2sDjQKaU4BbxJm2Rey1FlVZbZDD
sH8LzfmKegRcX8TZcSFa8bEnc/2ixVl1vfCe5ekCNDk8ROtABwXMd9a0dADDgMEE1gZHNAJ5p5Jh
MiMAwBPRIj7CGyJt3cHc0wLEgzoJ66ZzO3LA6XTsulQkq7tebA2rmGWW5X1q7dzZo2Eq9tRUtepr
1dMO2MDKhtJ4PysMNM3YvstKGAymKCbLcS6BUzPQ9E/lBp61exPCnqwcOi1PVB7Kq4xO3UsUhWs3
vnL/j7szWZIbx7L2E7EMnMlNLzj4EB7zICliA1NESABBgiBIkAD59H1cmdWViqxfsurd37u0NElO
J0Hg3nO+cz24wt6oLgdlvKbSY4O6dGRT+qq4yb4EMITXQ87S+SamA576mLS5X68iNSdibX/FbJN+
2lJ/o9Usg+5mQr9ISj309iWNhu0TtOvJoe6exa3VSr3gFNT3zbISCEvNMsFazDnEq0LEbWyKvFX2
0UM5/o5PjMnRC5v4qeuFbXYL3XBEgpzz153mphM1trzmFc2f/qacbnyIrM1sgnrrIDlWLhScQl3X
IS+Dpl0nbI5qfkzOAYNCjWf9R9pAfPIDGU3HRuTmoqUpe07XSJy0W+nXkXLVlAFNJ73rVGruk77f
vvbo4oGgrOi94Awt182wyms0HiOQ7UzT4NyOUoEiNwFEPdOQQkxAYSuxT2fpK49j05XKCEorhAs6
D4svyy4JDlVWCn/bbmgbz9faT4IvMlPJCzBXKP2JncdLQErtCamxs/TQxabcpr67XwdrTaHl4KNE
goJ7BydcswInAGqGtTHxAzDgBnZCm0Ms29ATVCRS0y7aWH7fxN54yIAL3vnjkO85ZfIrpVk3A6nH
WQ0JaES7M1musj30mOXea3qUZl1GppeJ2DGBjOncBgzfjvjMdAshAPRipbtI+eOVBVv5lulsosUi
cFfNmOio7nxn193GYoqsWdRF6ODUhszDEKk228+xJIAgxLIF1caa+J5QNr9smQ7iErJY6JcpFAsP
bW4bRai7OpXXtiXmvc8gq+6gUG1Xw4yHeCAJa8UOFusQonDf2mXPdcy3cl3X8NKlmN4kWp635UQp
fZ/5BnUoj7Poa4hHtBVAX1HwExSJZe8PvixHC+a1HAfrAXcJA+mqUZ2X0ijadS4YtyKuWi8Hlwtt
hSXwlRL+7Kl8egHm3V3aRfSvsxnjpJgTsBe7CA02+k/t9XHNRJqYO9lM6YOMeqjY+AAgt75BH5tm
cpxr38zBUmQaF+Jl60bLqQ3jZ9Gopak2i8dYQ4w3uyX1UKiMnAT6kKABfGpEjHAf2QyETo4W8ZOM
OwJdFTpJPefZeEUTJ5pqHLbuM8RKuPHdnE3fRwYUpJDdYpt6CJOlQgOhm1qPi4HQM3j8LZs4EM8o
8ORWrNq13zx8lakMOodSGjbbmlYhW9134qD1FTkZNRoQ7Hn3VGdsreNGqXc30/wBoEuYwSYezT2V
KP2xmwW5KLHVYU2A5XfwFDYbHfFdWVx4U4MNb9ic2CA1EZFAJpjDz84/l/wihs9eupl3QFh8J74M
VkITjea+v7BRA7VRcWXRAqHPUyKBrtm2PnorMlv9kClYCxVb4yWpWe9hVSt37udIzlYf0hvqZxgf
2m0HNkZbWIDWjhOE4VDQVWym+POtJI2rWMTdKwu94DlLlH6IJvQ0laI+BNIlzkavJin26ELGEJ0g
pZnh82SQaiomagCFTe2G6lt5eLOxHS/RRe93RO7ZGmJtd0Je584tUGVhPT4LF8ThrplTDx3BQBu9
72bT4/kYLd4hoicvIcKdQQ0zdc0LBgrT2ymosO2F6FeY17FHotO2qS0/YH0kYeXnzRBUcITxxdS6
clMTNzbdccrGIC7QKeTb3YQD94kRMYLb6JEHPLYkttuhNT46ZoNlC11JJW2lBrza5YQAq0BfCeOi
ZCQzqtp6i/5nSJ0+Etvq6D7vJoRMOHwJ76C4G23RYyNwD8wZek+xOdkCMy1iexPMeeuXPFXyhS7+
KpCJVV4EOl0zsSPNBPGxoSY5QAcOVUnW3I1VbOiGVKE/0fRigjwPPWqbk3G/qlDcz0M4+cVi10QU
K9lEV/RdAKZxC7I2q4VNvaRuIrXEhZt0MlaBGSF1MNO4qR5zO/bHPnLBvMOYExiKvpfKGI9LLKZY
4Yz4teMxkNk4NPjzPGnk29Bsg1di3JfidSgGnmFphutDmi5uvoBKMs/7huCMGmU40oNsEcQtnBbk
Eeqn/w1uTfZVgeezAJ/ZyAsacduC0WmkxSeS7tWOjj5Sbem7x9FVFXZ1FoK8s6ktw3zVJ9Xo8Hns
uA9MGg7ls27c0hej8fO9RrGAdrgVvTw45ui9QUQMuWMRTCAAYBTU1t+0jw6w1VjqQdB1Zev6LKoo
nNcZKeU0vZ2sZ+B7DSG9UB4J+8rgK6Nx0j2iNDClyRMhdH3tRg/ye9elfYLWxkdWg45O3fYiyigw
uzbuCz+YeAuhRCYPOMlQzJkpSG/BWMdbqTOKiurc1trrISXq0YluSFDvJGBsgwlyVjm0BtBSExLt
qiCd+b7vmTZ1IqcwqbtxS286TpcvUT+zh4gqLi+159J3Cj0ZCmgwYqGoKPa8AuWgMTUfHY57aPMz
qTlZsiexMILtwNuwdCBvq+dFCDyRc4eG9m/D6b1nM9F+nQJuavZpk8J6ClvHP2cU3kql8DexwTQD
Hh3uA7OlyVbQk2OgFRzb3O9xkI4b2NBhoWElEts+JJMw835AyoQWce+PthIEEwQLFvcKxcDitg1H
dYDtvpsn5hcMB0UCD5/LJx8aYoiV3nfNhTNy9X+DOnygN9Ae5Mk5UhUEJCfgHD4QMnSBIppHa1MR
O8WVn3XT3leL2P2aSvmIcv35MVkMqC9EtMH/gDJh9gB22DBsKgFAy+TdXC1s82oFO7LUyUSudTTL
HdfpUFNH3U6D9byjs4luf30hH+icv13H+Xb8BQiKBmJNEMFdbcYRbkOcjnuMhsBrmUooKjmOmQQq
XSxhI8eIcv0GYvl3NxvxJvD6yLABn/+Q3oJtka6xxLk/53lTm7DLqgAewW9u9gdU5sd3/OunfEhs
japRjUjnpsoYmy9inaw1YfOyU83yO5QrOF/xz91ljgx9gmBFCmIGE6N+vp8KMhJv1qipJJw8WswO
rzx2TBiAF40K9cvM480/KtWTFxosrrIGeh9gCOnvW+tHV4OgEVwo2npFs4j24G+B922WfvgyqBa1
r4daDC4wZO1bNmMv+k9XP0pq5HnAS4VZem63f758sSyUWZGLKggUnnjWqNprGv8PPeWPOSR/yim/
mAcRnRFWDAICcY8wCGIoH1rwSYWWD5knqiEK8Hplodw1ZIqLXy/tvz12fAqCET9gbhCTH0PdbEW3
F+pMVN6yqoJzgiEN1hcHR4Gb/fqjPkBmP74QaC+8yiRF3DX+QEehekbirWnaSiPK/ba1s3yMgR7s
tIhdNWXKu2A5/998P7B8YQThBF81/vDqjhtuMNO4i6LhehdQhLGmoE8L5/n2N8vi391KJAQj8LNB
jKFbZ6zwL7tE3PEFegOWhd1CczNwBU1uyfznCIj8b17Wv20JZ3IOr+w5IQjNJ/qwNsimm3WYs7Ya
7Kb2+dR9H8Pkd/Dc358X1gPCGEiuIVSANfLz95lCvwUq0pwXYLo+zejZQKdF/BKTG6YrAq32qt88
MC2/XiX/7qv99VM/fDWarAqhYwryx1+2wwJCZ6+mJTj8+lPOr+hPOxBuIKYY5NDRMEQFB9nP3y12
K2RwaA2Vl83NrWxnNDXwnEsZDcHJ5wLmfWNpeIi4oV9//dH/7gsCEMMw3gDzdqHm/fzRbpsGz3NA
m0SSuCqZg/ayNWiB/xefAlU4yn281Ggwf/4U2JSos2jcVGmwLLsQ+yIoaDSTv/6Uv5/QuI+A7TEW
5Qwcgw76+WNUSmSPrlVUVKGSrbRVLEUNlRr4joA4DFz6JrxceeuF5TSSHhu0JhQmMcySgmXDoH9z
RedF+fHB4muH0C5xWAJ3+/mCFtZHWm8RLmjT0Z6hdr3r46arxDgkpMjnJf/NSvo3bwmyI7kfhciQ
YA7Ch7OMmyjyltSKKktNUBjjBwAXPZUdABuhP0d46nJJp0n+pij4+2YDMhnycYpPTZDoPq+yv2w2
xkO2xNeLqMBbpru4F9uRNjMoA+i1we8mw/wotD7c1QA7ABJ72BIwcfZDcZD3ZAWFoUWl0jm5RheR
F1M3eQ8ao3iqpe0ogM7GX9DOqsBd+WTLr7HylVeF6GH3ZkRYCFoV3f9Yff+R43AzfOsfzPjtm4GZ
8NFB+KuB8F///7oOyAudxyT8TxDxb4Ov/jnf74/ZjWfL4c+/8k/DIcbszRTiFFysHAnOMzz/T8MB
c2sRIUQhg2omx/PFdvTn5CvPD/6B9wilAU4ZHNeILP3LcPDzf4BSD3FkQx5Amhpo9T+dlT9rm1/N
vgLs/rHG9jHcKEWSH/MRkJeGj/HzgvYjDiqthY6Ght+iMXUtHY7WuP4iSxNLr10/u3wf530HD1y1
LYZX2Wn7DuhD2GJKff4OL24c9kB1ZnZyubeC91uEJy7aZOxMCSmtncreSzZ513SNCe+Yy3DCeEQt
+QV1uvZdAhOuIXQ/D0J3h85bhxpiE0T2jiN9T32zi3NI+Y64dzEPBh3tPDytU7ZeRJuYvm0mIm8C
1gLoV9nXmQuHAz+PXdj8mDsAWonZx5mBjr4Q9YCJKkvlYiYKZdYeFt8WJN6FCT37atIIhZDN2pHU
S8id2nluoKCGVjmAIEhwV8oONFqdJALIzdDn6ZdkNln+Bt7XokO1gwUPPcIyAdABvb3wmFLTvRdy
O14JaSG822QDbp1GPdT4QsMced8EGsaS0XD9DNyl6aA6x8iv5lokJz0PDLxDDsQCY3n4XbT64AnT
Dpbx5x67Xd1LOSv4KOegI/QUCngLA2EAnm646DryYOFUniHQ0VSs3CMaXPG1XeFOn3dmiE3RBicZ
quDqnRhd8Z99NENymqSOk9u2hRoMVrIN+oclDu3erLC80Ziru9QCW+/iYzI0yWcQRqRsDWYgATQn
Vzx2AFFdkE5ftTBP4wQjdF7J2JUEJS8MH+6VComnqu8gOqaW4RLdCOnBG94SuWIRBut02XQCtDI/
ysjcrSnWaJFFXpFBtzLEXA8aV/UuEwQzCuuGp1yM76kUpj1ZCqW8DCXQerj4Yb7PEwDClwHt9FqF
QtG+HiRtfbAfbXcPnXIKcZ9a+7jAGY+LAVT9hW7zN7CyQLvylQS09vMecfTZsFcwKawpEVEXFMb5
/KbaEBJev4OzdOi35J3361oDIXnFHACY1YDjMAZF7+aYn0aTXnZd75XZEPVHOXePUwe82jQ8Kofk
+ziJ+84bxMn62Xc1NhVtQJnpoNtrbXaTXllJVwJfhjxuyj9NhH6Fo1F3XrzvOoxR8LSqOGeYdwAK
sZgbzEvLuMbqmVA69sOdF7XtDuYN6/cA8oJ416cuP2kTkKtsXbSsUj+7dvNywmyXT3PU3nSevcKK
T5G5D2y27KIIqobRJhsxsyEXt4D5v+Qi/CqnoR1KKltx77Hks0tc3+4jFurHtM/C7xiq0/WnDkoZ
Fk2Y7II1fJZIRmCNwue6CJJEvQPJWtqjg/TNdzIgU1+AimmvfReAYRhxISCft2YGQiu3apDaOzLm
kr6abDzMRyf9pnbBtOT2fjYbHU7gufirSuED73zAl3El27SYGGbsaAAyR6bStS8IkMG0lJls8gKw
JuEX1ptAKV4iTgBqZFyyVVyvkW0BbcVgYk9Ujy0eXOyPYGGHLgOFBwISdtRmB7Oz1A+Gctg4AzUx
yvYwEgbV2OZbfgHgNbkO9ZRt5dyvEp3xGT+C/tz37hF6bTt8tY4Gz0oy97jqbHH1vI68xYPTSVLa
IfBOU4eXv4Bibh9BFeH/Rm0M0gkgKnYVZs8WCTMIYQBIoHkLtcrKcKeyDDK7AqrMjmmOmgmj+mAG
ipqvOXRsYIViqCIILQe2gG8osq5r56MSAnsfakelb8IZEwt4EdqF3ozthIuGGUBlKVSAPcgiA71g
rEA4BMBR8Hsf+2nMr6Y2L1NMGNkRj7FiGfqrblhJabw+2UPKYXUCqfx54R2mO8jPlHe3g1WXSGXA
qAIczYGX7fotBktEGl7KxL2BK0/u9Lx5e2RQdAV/CwNaiP8ti9Zlj0hHvIsV3XYOSNIL0UigYhwc
2yHy4jAhI7gdqH08q8RV0+VJkRvTHFvMprtVcZ7tvSYw9UoSYEHKXTd8nPeZ+AGuoHgeo3RAXHKM
b5YN7ykfzXiT0xh6Ic3T6xgAC+Drrr/C0gVD2WCyE20jsZPd5i6R5ewrRgF2cQ92STQvVYOLOE5U
fukHEdZTgkhpIzNbB3qY91vO7eUGMXkP0SGAQ7d+xYSgT7pHosJSTCxD8BIhCaIvLLPkoSUDoL2E
V10wPPWqIxc5V9sBsa/wFOMvljNlzS6JXQLmGbSPSnGKcCzxnT9l3/05O5FQrIXGpZS+CMOXjc2s
wiaX4/Tw/Ao0k3zKjYQHSPHVKXz5ognGft/xmdwNSC3vsg3DToCMVhv33hjOhA7JF1CUfWuveRS8
wJYAjjbR7ISZeSkpeBhfT4uzJwiMc9ENZ0K6SUSZJkIekOIVI8ymZnqAFSNu5yUK3uamF58YomQY
XDVNZqw3jHO6x/EZH7gM3PWP9wEgeWLrBesaTb+HoEfqk3HnyznZyi1bwgMGIckvWQMAryBg/Xu8
ypvZzdaADacov58F1+YE/CHAAc16JHIz3a0PfsL6T6Fr5ZdxGUlJh1E+gyxoRJE5l+231AvvcHJo
BwHH6G9YQ529QK7HHGdF5k8h7PT3xeg1beF4WPU1wo6LJeuzO+5v/m2wxf1cJVLROscwiQrBJgJg
Ydvg8Slym21JdxEH2tuDo/auElRcWbWyYXhokzBs64hj2M5Fz3wbF6TFxFIQS+HZPopHTFzEsTUk
1+2UeJ/C0b0nmFUIdtjR+cnTowrCAjQf8+qFN0nVbKNN69VA2SsQi1DBW4th2lGVgSt9oNh4SwfD
vyQ41486FHoqYyrJvSOz/7rGc7fDYRdUM9JKYxnbWT6ZHr1/NYWreZA8l1/NkgwhZkqMTB/0fE4s
jTBzSxgt/vPUDhIbGOvS45rnuk6pHK+NIsBfNje0dxjtoV9ho3Yj9pzVCFznsqLDiwS5W5pWnVAN
EVlBRohvjGpsUNloA3gCMJi8Ai2Fr5bHkNvmYgn4iMrDy3sgmAtqcriAyJWUrWTs3WYEBRPCyvDO
bAcKb9chYXwBB8VrSrZgW8YQ1QYQdgpnO+ABms0uhB8oU9ncdcH2Fk/8yxanKUZhzRfd0h0o33DP
wOA6xPyMrqAq0a9RPwyVF+enhGy3IUc5RTKNi7evE+lBDWsUwnivVlGhwKlxgF3P8ebBwAoltnbW
oWiDFjvYnbcI7O8RWg+8My1W/U4hhb8VmWfsLlMTShk1ngs6cEagDSMbKoSxJUrGdjQO/x7gvglh
oknPrsjW0aEIdGGFmEVeRCgSigX8S2FQ1me1r2ONV3sYDBBd4Lu9WhCHmZHFyh3IwNILIhDFWSyB
w7X+kF9yLZDcGluW6rt+y41+EJlo1l2i8hHASAbEJkT8AXaaDSwidUi40LTfYwwJ2FcTrU9tDKzb
hKNU74JPA6woUffQFwqp5vTzzM45c51qY269LDw3CWE4tIc8gFSNvIHUn5fFzsNOA3d6byn8W2Cr
ckvRTHCiQLV4wAp0n9v3dV4+xSJJj9h7oxudb8ltl9gge4uSNuQnFw3z5yhqhv20KPM1gz6vdy0+
DVoKUOwbjrPmOZhofG2CfkzLUNFrsChgdNZtgLI6RAh+1lHWolPfQgLbjTqRzVeNLyfMnQCb392w
oWF5pUbpXdKW+e+QblQ5Nt43K7K4mIcMDBeyI7DIw2XsXy2+5fsQdtFLC3DxPtc5sMPVJVfD6sYT
8Od5q3S+nG+hfmu83MLKJgtSI1IdAQZPOxm7dDdk2EyERJoqcvPeDXN8ISaCtxOj2KrQDcCWeT6t
qP0MBmEQ1ng3+dhFEAZ7e5FvfrYLWv9Sqxnlb4vbg8QqKCm/iWoP7DeuGiQTwmhieewRsH2TVpp7
tLpxtQ4RIORz8g9HV3KKdRccnKeT0pM5jiCkL05CSHmJ7CBDyDWKzEMGt6nyQDr54DXwNk7YuB9X
VG9Vq20mCzF2M2iXyY+LZkDII0KvUuUmpFdbjuTQ4hF5QDqCnLa8R1G6pmC9I6CkWqbbWo6Lt+Eb
C13gUJA3rUMGCZI2K1sgtejUPOzpUTg19ZpjagiFIFVGfQdsYJDuIcTXeSQZCUDlSIaaxIvSy7WV
E5B/4Q6br+XjJsiArscu+oBnSQ7xlH2KSezBfwlUNfGmvQoQSq46usFc6aZ8B3j06OMKr/vcS/c4
dcKphOna3nmNHI6aISvVo/yoV5tzkLXGu0x7zO4VeRIeBqhEdY9UwB5gDcg1JbEsJeCrxy5X6lPO
ou5IljyFYT6M6nUW7XYfxk27b3pADgRFB4aEzOGNN5/tKKSwrjPMj7iiIFvrkQ5Y/fHU37BpyN9g
tmYVwN7w2GICzvM8rShPWG9roBiqQu4TwcCIC+xMBmYpT321T4d0KG2Ac1/iB8gwzRYDPLoiX9pv
aKYzOKpmnvZxZLAL2CTcK9ywg9TNtofEb/fosQXCyMYDBtRdiHzKETEhYdXQSV8As/aOrc/0KUPq
aJentAMM2fW1J/V6FAHCkQkn41OMLb4mqnsZ05bWsmcMdC4Re4aCpTaI2tROUh1WmwjSQ5KP8ytE
D5DZ8IdD8FLO1RNo+DLZaFL18YCmx3DFkVjl8uDz+Z5HyOSsHWxRShD8KwiiUa8I75I6mja391ZM
FhPJNh78qE3grvbyAQh++MnHVNRj1/nLmz8H/TklzuoGc6/wJYy3y4aAPIqYPRkZNZcWussVfqlM
HILFexaRz58mk0wHtAIenrt4HKFFepZveBRTWs9BZkqDZ1amPbYdnLIPw0wDTEVCNoIhFD2xW4vE
3mGCu3rEO8UQ85kaVO42Obkg+0yJiVGenqc1Gd7t8bfo0QemUiDDN+9Y0O1UZMKDARH0GXgF/uUo
hmpEAHdVsc2HqzTX+mhVwqpGztf46584RShLxip/QgRjL0cv3Psu/uJkqGqEZPv7yFP9/US2Tx7G
hJS4MHpIWgyN8uH/Zws2kYm5r5vgnz3ipUeUhUMZBctwxAToL7G/9BdT7swx3vI3O86njvkYv4ok
WR3PThXStohzzzN0XACYKJS/xeOAMmdt7wJEx/Y4apD1IvpOg+NCDDdaq5Gd6XHMw7tB8xHeTmts
b4eg764c4Tn6/yirSQqpi3TLE/rpe7xpYmcTCiFhfQU4N+6TlAPxsDiNkZOdS7GIyyzlcHdsfMeI
/QbmNblcMaP0oEn3PK35DimJDokoy/bdOLkDUAmEGxExrNpovE0CsZapT3ex0LivgCJvEihXZS4h
5liSXaoBMS5MtpvqKUu8yyUYRd3mmPB1NpFuEPMAOtvPd8qp9QZRwQTT/aZhhxV5kB4OEc93z5nu
X1oLlyRIffG5H4KwxoGWPmGKQHeYvPULH7BLO6RMyjVh8wlzja4WIndJtgR4ySz+uMe9/WAQa8q3
/kEFI8I5UBCrxqbJ7QS0gMsVKQ7hbrfB33kRXQADKopUSHtqWtj7hsmXATOSPnVsvWnCFIF4M9CS
B+ubP7mlsK2ERsUA8qOzno6Byr4IJOiqtFl8JMZaicBjirnt1K8xGRVBfMih134fY0TLxk6TxdRX
WKQoMQS73bR6bmL92K1huO+H9CIj4KJTIdIiTzVErT6/BndwHOLwqBASRtAe99vDNfnc2R2YvF2K
Uq+wvsoBrjWfk0gFyJxM9/3SYDgk6UTJsMWUs56SYlCk2VnJ7tpAQHYkYEkw78UVMfikYT2ffs3w
SfaO1aanl0u87uC7jGUwaKTItptcIf+UuumZRblXDKv+0vA8x8Y63SUu8svBp+4TuNzuwDTkS54v
0Y6utn0OSf6OubfXrc6jQyxztHoivRhlc4/kxNdmwyNfySkaZyhxs4eqsxdN0SVClOPsumfmnwe6
a3WrCd8l6aCrrPdX9B1mB10IvJGwah8igwNV/AYl3IqJnwkUD6Q7dybOjxjJ9w3ziNpiWIalmNdo
3I1g3srBc6wMO36lMbkDE+r5RY/cD5FedByNMLVA0rOw0TzXtFniHRxSfeNhjDMS+LGPw3xDQnzz
jSnjgOa7ZBb4M2x8QmYP51h+6dQ41TN3c0XZeq8Nuja90UeCuRSSdtcEVcPR87wRLfK24QYHX7BL
v8BiQX5kNY+aYt9R2HeLheF2UI/r0vRuLJEN9yvN1FGTqVot/cwz9XSegFGMjXJ1YvlT1CCdDRwd
s+j89U5j8vVxpeoimVWwR7UrboxY6qDdjhDsTmvQXTKnHrgKd4yHpwUCM1LjON57qM/dVodyPgLb
P+a63bG8vexSlHMOzGYrGCkahLpKCamhE5DtidfWNkqaYkBGhQ/bm6+BtI7mGK0ccxLatI4g4vYq
vgUvlu0tayEnxNmNjbwSKs/e79G3BfG2Y8sPeox+p9juStplsL20hxoJIzQ0OhRkFajusIBWceGx
5rSp9LtFg19i2LU8doEpdT/Kq4mjCIo8IH6AS1d1DAgD8zJUfBBV347HYYlPYZSOCMfJ75saL4wj
t1HeXfujfGmnML7C/Da+g+KKbWKCmuWjqhJTDuWKpfslDa+hXU01AhMvpl8Ps/y2drbKpDvoZXsW
K3mRJkbv4U6bC3f4e9lxHJaHEBnVSk3dU5/ml2Sey3zdriydnznQ4WXgj2M0HLJFYuZ/5uEFFXOC
/2quhyy5Eibg16zjZ7wQA0aouJyFefBDBW2XM79/ZOkYHPpJ0toL1k9cN6+JzpOKBzypLQb/PMw2
PAf59aSO4kcnBzZWBFU0Ijq7Q1uLyFgbbux9TeOpLZs+6O4EAQex8/zI8J3oU+CwSo9Q/SxJwMMC
54COsTL3avG/VZGJPmT346R4iKh5n+1TR/HXdTK1Cfo8vzuM+QLVC4OO/ZqgG+a3ptMsO4/amPkJ
oaiEf8ZkTVY0XnPIZU4LIN3tJ2yZWfC4pGkjqwQkZlo0XPIHuO8IRMB79T9rjkYiUyjMEbDaNyLa
KsMjJCkaikkQ1BdP0nRbjjkwIHo09mK8+FMWXWiEKwEM98ssMQxkRorqK2sReC2bLeMPDrBdzSAk
uxI/0mE6PLo+eosWhmRtnuCtfCA5N+7Kg4dwtDYZj61omr23mSw9SiHT8A9m6D9yRP+vZ7D+oAz+
32Zo8ZX/60cE//gVoDOW8KcVGqb/CGO4lhjqf/4pQvzeyf9Yofh9IKBWGNgGdABsNH4d519WKH5z
FwxWfE5FnSd6kgD/4j+zV36G3wQl4PKANuHXYQgs1P/ACv1g7KPhwlxqWKBQGcE9xsEHq31GwieH
PgYIusNoHChP2ZMz1pao4vjDX0ziP13YXxBmf3wUPF9gf8H55zXPl/IXhiCkadP255kIiRynYgqR
9J07z//Phgv++BRUZT++DMZ2fPyFiP/m7ky240a2LPtFeAswGGDA1Dt2IiVRVMcJllr0vaH9+tzg
e5mLDnrRF6OyJjWImChC5rDe7j1n3xlPZiMKEM2kKtWuscvqnW3O/Rm44Jqs+e9moN3ZxC0VorlV
v4kh6ZukN3DO4626BOU5vdOx6u7gIjgXET7JfRKOzkbjx+aqppFB910XXjmJPW0x5gTb1/v21DBi
35OEEnxEst5KfxN7BcmDchrAWSDqbmWa3YymKg5xViVnoMPWqbYWnPICNDeZwCsJipS4OdXEOEZJ
89ClONPL0r6Yg/TSjZ1Lp2weu3h47KzgKpbBp8Lpvo0lgSEDxo9Or2reiZvXP/6poMAzvcgyGPB7
QT2aiA2W+iPHM8sNajeVHlAi06Jgx5+8aEdMCFHdtXtiuW27G2pkmYc0nnNxT3YNW2nYGeW+6Kkq
sH/9xyxKmPVvQWlq2sK20CusR6K2iJJOy8SINJ7FlCF7J6XszqylE2Ow6Fn/p5XVFwcEnjuoEwQa
PGK+IxCYHc6kaldHSbb7Jx+E0kjC6/PVergbLqlBkbGgujmMDsIfjUMluOf/g1YIGKEksSE/uyuZ
mo+5OpsTLv8RN5nHASjGndEb7v3rrSx/y3pwlt0WLoNCq7YWuRo8o6o+hyIHRia56PMqUlgzrHAf
ylC/M6s4fSe6qroGMtx/fnvT1FujrhbSE7iLqw8sDLuwhpwbm80943a0nOHHGFrGlZPFkMEMgjM5
9tgPMFnfyD5kdXimVItobKlG56zVVMYQuhi4SHklnqxvE/Crl8Q4z9U/edm1SAyXoSPsZ5EmWQkp
I7PuXbPi1dOJ6h4N2Q8iAw+kL6/7pOXpHepLJZszEt+ViGf5MjoTtShYJAHpbNWnfWQO2C4WMUsw
Yqn1rE63t3416+KyAipHrERmVYRhABMTF6w0sckZuH7y5fWhXYkAn34GBxroVRDLSI1WP4MkOQ/Q
lJ/hufwKewywJFXQvbMQ8qDUTf1vIdr/Uaq90gD+pz1pWqikkNc5y+bw7CCd8MJKgk+8PYcI8+mY
J1+zMAwOk9MkyC5URZbCPic8fLnjwC7HcUqOTTKLnk6FZ41GiBzbOagnbEEpDyATtV0qCdpWydSd
2XFO9aeD0H3B6i61UFYHjD10M1pSwBbjjGFm50WyuJ+hKZj7wI+L/GAlOGAuXx/DF9s297NFDCaZ
w2jXvNV5DrbDtDwHSSUBPBBUjVfvq5Tn++utrEeOA5MRY8zoQZzua7moJzIrNytSBF0QkEj0+3bL
Q/tqslW/AUk33vfldOY+5NvrkVsaxdKCSJzLIhvfqjutfsohrIBYEijts+vY6xsLK1DPhvEn70Q5
3CEMIDdWCq+CLFLzBgquNIFv/yEJppzXK7wl6x7yT2ruQq/3y8vEGyL9KYv0jD9lghdEgpb88nfP
SU04OT5vaAObl6qHGxSaYFrKrFPDY6FlL8yNRmYzf0Dc5CZ6i+Rnrv8YrT+1Nq9BAuy3fql5oDWN
HVnXaajtjndxD6PgvSRkWxzaphALIIvchbjpJcmNWzxYg3sboYOr9l0uyV84c8xHxvacVpdka9y/
DhDHYim25Ph73q6G2CLUp1MKZGjc4hox6A9wU+rpexWR6LmGUE1u2XeyYHoniwYjl923YUypvckv
QJIh58aQja9kTwA+omxhGg4/HD8whq0p7RnIhy3m7zlAoG5TYExFHqUwh+xrJBLmnsCFcne5FwbU
yDJmfOydYDPbqK6P6L9YGc1mqrDTXc74tL44TTbD1UKBiH8VmtZPoEFQQiY91e/LzqWDmqFW7/Qc
U5qhITBA2s0wkDr48xyRXXKUufdI5Mpt7hMCvBdEPPRPLkFtZO6SboyGe2sROdb7esq6Bf1ay2n6
XkiUZtHBjxFH/sX7Gl3Zoz12d8PQOx2pxan+3jcVLMmy9PLHoZbBbyzPJQSrMc+t3TJL4g1Osu7X
wBuUgnAwmJDoWHOIMVSRlt4kmXTuRsdrqUJiA7lCHoknuQwrWd1GQQBBx/cn44k0RjIY0iMRv8pC
YjYCbAi3OQLLvxWv4GITdSARt8g2uh+4Sv1PAGQsQJ2mRNsfObkTQZSV7I8lTx5Qy0M2f8QDlicX
IC2Ju/ngxH7hvJRY/ODOdLu8aoLHpNb2fJ3hnf1MR9rDrmvi1NoFWJS/DDxnPmVaxoxXLu2vFZOQ
dNgUL/GCSoVf6iDQJerNLv0SxnEXHeaZBNVWizAe3qXTNNyZOVs2crVeXTiTHsxNCNX2M+iiPttq
ZUR3gdP4EpKFI6DMJYpRbAsXKSDhkqjcawyC2QXKvOmTAz4KUXQV6gdPGdUEFqIE9BXnzfy1juEy
lX3bA55wMA3vR+mRosqRtX+BR6fNDRzN/Gq0aHdTWjndmKDeuq3qBjGqWzGpSXGiiNt0Zqyu574i
5ynNHn5zj7m243xVAJCISYbNhW+NzMaZYh3NZWl57CfkVJ1ia8uYYCn8NP+3hxEi2nWRbVX7QpoV
4V83HcQ2DSZ5m6i08vE32RBu0rEuF6mBQ1hPGUw2UJH+N89osobsVhPDx8U10uxx2QB07QrSCxve
V/nnlmhgtg1bGGEbJLyUXOKxPUU73w1JA3RSpCUvs3iQm6TwhuEQu8OIEztCBkGoZyZaLls7L0FM
deOXyIiK96gQFOeRoRsCeMrucKHOOUIB4FIR7CSv8Jvt1M3D77C2um3nBHZCzLZS0TXkq/ZLzuSx
Lgyq4NQbhOvzQG4K6c9UDl2xVzDo/uYpRU74UZjvEXzWGmqIb2GXR8pZ1LswRjsJx26i4BLKPlFQ
DXaO8o9TGRPyIgWMMn8IRDVe1CpyQwhybo+4a+hgVEZKkwNyqRSDZdjunB+lM8bRlVmAdCKQKccv
dV+aDK7ohd5FVt/fZv5gBIcQRuritZ/zLxoc5leh0TdB4ANAuRvnLu6Z2+TKt1OSN+x/fTS70ASq
6oMIehnunM5Mf0PJyx4NnRfvpsAIKLVj4GwlIQnxYfukzEWCO/wZCH7dDu0i6Z3ok12eO4xNKUL7
u9nGmNd7bsmkd/PCvYONOVtbMyE1vW1VivSi7XXzjd4gFKxil5mQkQWqQApUOt1RoyEAJZiGncOM
D0x/i9J3cBEvokTYe9PU620hCsLy05RkJnrSwAkv/cADRsUKbC+W4l3hHVC7/E7WbtJt4ddA3qiM
xrmPXA0VRDoFIcigC6uGBJoxwZkmcVi9o/oQSFqntrNDl8dTsAOQt2iMxzr83eGTb5essUhAJAOJ
2rTaG+MLSzWWRVWikQOutcyg31FAaHiwcmYravAJJlmc9fp3Yjs4icuxd96nhgVxFx8GGbvORLaz
I+ZAF7VDz19bmiDryMtAixNhp3KQFmhHNyAVhYt22U4+WSJJ/0Az8AQoRwZ70+mhsXZmE0/3KEDQ
XQ82vIudnNg6LylGVXyIS+18ZsqDvJJGU6cbigbrAJrb3HwVaR5TMA4Ea7qdLPK3SL89/pBMX/QY
JZPzZ1SWgWRAaxgLnWwia5fPAKVvgKJBjdBVg6pAB0Jm150/wQfmlCy+icaFBJFkofAuZ99trC3l
sPX8MLWG/8BelMM5dWNymYExk+bRpv2LkIEBnI/7OPIu3khkJqhIccfdIQZ2LJBJkeMl8dkL5ewD
Z2hhWowDu7BRaPjmDdgu4qpo+vnfiQff45cmZdc6IGw2gljCQ4ML4g9hIGwBcllBc9hG1kUjJpja
EUWGyU5WXftRcvSRVoD9P23DEm/kJZUoxZ8qmChRLVxOym0wh3m2ocxz+NvDCe2ieOoCiARkaA69
jRZ529oSmIDCNEAqHPDYpqttUIOIRPHom+QEPofNAhwrhTYvezDPqONl4N0N8QR2OGRMYJW0wrwg
BVtcyKgnuc7TYvxlx7Vrf0xJsbHWS7TmcDU0gkvLgXVyIY0IjFGP3hIeAzo+zoMgIlqdZoZ310q1
iHmdqbiOwdaEnJzDADGuk+B3Y5nbC5eHyxpet0FJfANJiIXcHMRnt0G4tKkcK/8pkORglABpEu5k
leZfkFkhhK76Ig4h8JhGwHZQI12L0iCv3mPhVeIQmjoE1Wm2af2Dvysf935DumfnmCOlvCQpxfzQ
NJbPX1lkxc/REGSoFXkUND1lN1gsFKMWHjWfWkt/nZuJLgJW2V4MbtT9qAc1PUzgGwAADpB3tlz/
/PC2nqNiuOht/PQ31E8I5H5yitC9Ngko/daVoHZpI2fzux+pYTPbIVTP3ggksCnHAkWL34KMLYW8
EIqMOVmGJlVItqHH/fVLHlWXVjsUMbrIJC+4TbY86HInnb+BO4An4zrVh7JSoHeqamzSSzNxMmcX
9Ugmd8OQVuQvSGXtCjuPKpQag3yMytYXNzrS8U1qpg1o5pztW1HKAtlSBT9n0wTae8+jfdgKvxUA
/cHVIFMrxOe4WaouJY2KvyWyGj6WLhsYkZLe/DW3rZVj/u+9HzPIbO4UoGK+oFwA5tzqsQfTaYqK
QymKxEe7C4rFLjOoG7cPo4e24MYMz2VubsiiRgCpq7ndz/0Apy+OHXLSsjAasYWj7l5htQ4/xb2r
/gTa0PdRn6mP8xxYnxpSUluC1DLduhAmGJ9Cq29BHiILhXryJ8G6jTduSCQXF9+Y74yuyuRGNE5U
wF0oogfUfj1SjKR4hNqCzwaWzoK/Qgzuso2E7i3fED920yi/qtGA0AHWdhYXoCuN6WLCavZpqgeq
yQEKqD8EJUyJjcuMZO4vgtZ2rjxjz5nd3UhKET1CvvD/EHUqfwi39pz3Fr+f3TIwymzXRC50KBLV
w/WYj/ojagVwoEFURY9OMALiSnMR389cMMB25zFHvmNMD9IzQ/7oSbgbVyWUB/0k6o25coR3gzD7
FkR6hI4NQxBIC03FYnDQlgW3yxx4lOyMHEG9L5vxbphIMm5yeAPTHnsO7xFuY+pjG08A/YjcmtUW
eDYl2pESQNJBNKgnKpIG1FAIgh5qbJk2ORse5HTBf2/UP+NsaI2N5r/8kUyzfdP6TfwHG/vkY3iJ
UJy1w+ybO6eIPLXFw5kmG1zjzaeSIzBj47Hb3zmAf2CJINY2VJ1R/BUafyXPHxTl1IwS99rxqKGb
d4NIt0VaDGprJL7P4RWa5j2wS4kXRqFICtt+UfSGZZTtCcMn5R4RJcIaLyi5OcVQXdrLaG7GTyq2
0nuJ++lP3Qrv1s7zRO0pw9p/AdvfgYaDQXFP+R76qoNNzcM1Bby7jQ3Pu1aJz8wyDYI+Gx6cU8QF
jF3WgB2Xb7secR9K88L7ZRgiqt/lpsq+alR4lMW12/ynlc2IT/OmUT8o5mFGF9IOGdGyKe3vs2lR
+hU/K8SxAfgkl0MIVmpvmE4tOHZHxP0afilhPSf50oY2myAAx0pdGlE86AOzu7jrESfXVyQzlNzh
+pguRqBr6FoTo/lE/Yr8mpuab5Omdfm5DXeAcDc4U/ZpQtcN66Tt+vsQrVZ8GNO0dbZVHLu3vFuj
X43btF/7VlQcCH1QmLtc1pRbNKAocMxSBGXfWjE4IT80ssfJT1HDxLFKPMhsefIb1qcLfMlRizqk
beBtRk0GcoJiJiHVkhM7SfcxRrJfdePImrPfUuFl7tp8fh0G/ce0ngqUPdZyEzVJxjxi6qjifVy4
00/+5vmHnWSNv0FqBH1vyTgP26Qy2uxCUbQENJY2vPB9bFiLWlBg8KFOQocdK8rd+KGitEhF2du8
+VVSJYA3up64uyUOD2DuCnlsHxyUwtFhSMNebeH4qWsAOkP/zqWSCa9RSmBwM01xH14mCGXwREk/
+WFoKDBGmutm22dm+tGtTWzC4QgK3GuF4V3Wslb9tp2jPoXt4QbXU527/saGoAn4yyv5N8LMPL0O
I8NRuwpXPtB/FCSfkbmNNxNqS+Z2lHZWc9B1l8TIoefJzsgRxBPLXif4EAg4gOO9HNvE+4543vsK
pbb5Zjdldm919ZxuCYzzTkq7WMcUuchBigN6rX8jWuY2GGNvRJ01Fy6J8omrP/wkwDabiWz7ddN7
I8GXseGxV/omjPdybKYbIhdDu4c91d9D/DHufR1L9Edty7MronT8N3eS0x/H4BLKI2sQX4FacR8d
pco+dF3sNCCzpjbcjl7YO3uYPuWfAlb13yCoiRTpHgsJSp2pf59a1kCanVfZvHPm2bjTlSSgktuy
uxC8sRAxCOS5jEbRFMhHwJzu2ro1CoANMk+2JWTs8ML1ZxP1exvEAoy6QDKCLiYEYOaH5m4mBYcR
itjVdGjAHBFY4My2tjwklxukDAxnGxpjVh045yg60g+NQFHitv7vCS4r70KtxPepaQXl0OGJ/HQq
J0p4lizq0UJGUI4jN/hh2Gn6GVZzdt+MPI02E9Yxa4u+eysXXUrdg3UOqLhDyMYM/ebKDZsaiT6x
nI6AV9TfWFABF5SmbH5BBAvgziXzRxY0hf94DLqPyOsbe6P6xv8OFZ3KBKrDFbCpjSn4i8Mh+GqH
y01Xx3ZwZxglJKAsjwxO79yzdmDCOi7/euB0C4h67ySS0dupYZkt8R2e/Z5jFl9yPxu+w0WsUCe3
GrY1dVF7eN+FRkwGseIHsF79IZUjUY6IspbgtgJh33kBuIRNb40Ui0B5rVHn8fKa2HKBYO4mzuJ3
UvddWGxxJADwRk3mOn+eQrVv0jb8f+T2/lV2hW6m+z8hAmPkCcCM9LTIFWxSxa+oG5ofbZyt//v/
iBuE9y8PM7ek0hXbFDRo8jP/8Xkr+18k2UwhHR8LP6Ic/ug/Pm/nXwIwCpBXT1FCGms2QfL/1jbY
9r9wl1hErBU0Ggoiv40re5TtcyiWaC9QWUuSR7AAV65i+kvRmESEzOwaKKaNJEujRu06+G/X4ewk
+vCsZ07oG47j7EtzFFPzSPpSnE6Sl1qC/88yJJWhgi7V7Gs4vyfn95ilS6CyCGJDfmL3b+Zfr7d3
nLJ4ao/SXzhdUDtQ+G/px+ftmTHKMeokoOczzOJeK9t9qHGVXbylFZz6dBx5ywXN6xJgVMuvePZV
/Tyz6YHZg8BmwGvTVb8lyaD3r7eySvn8uxUbS76krqwAQHDcShm0oARt5PL4B7DadwaWSPB0j+E4
1zsU18bd6+0d993yVYu4xlxylWhymInH7XGRUo5PDHnTEWA9EBkfD1GGcPbtrdh4n5SHin2p1Hzc
Cl7DOGmom7ZJZCS+mnGdX+lqnHevt/Ky7wBzoARSzHbmwRpl0NSZGWlKKmxGAggUMPDHsoPu5hCi
L/0J0rxVD9HD620ez/Wn/rMAUKJC8liwwmQTeT4rwL0R8qFWHPVpCnHNY9rBaZMm6I0998znnWhq
0U1ZVINearOvp4aocrPMuXhvyoxHSO8X84ELOQHHJD9X2v5ET1L7XUqkLTwq2IKOv8qp3ALaEDJf
imgnVyht3UuXfeKdLG3//dDgNXm9F0/MwuftrTNzACbn0u0XWXFhzTg+LGqy75Pejc+0c6oLkXYB
1kR4xTa9modB7s0Ygx04qbgE+m2SzMm003E3P9oIyM80dqoT0eNA8OUAADy0/PmzDcOv8by2yYRm
FO/lrusbcUfVhWDrSG9CLumdqwd68uMo70oBGDhHiGKO28N2GPA2EfWGmp04a/xE7GMtcIXHc3hm
PZ9qyiV7p1jNGMvXYjnLcJzUGCFsTA0sVy0yzMkJAEo/D5szC2zZvJ8pVZYNyn3e1GqB9bOqmtbi
q5y5fB9FKrzwkI19UXC63hH4qL80Xvft7bPxeZMvOjI2CCZadCS82C3Fq5xDDDrtzHI+NecBbrnE
MSW1eddzkct+1MxEFTdV7HcfgICSFvQK+4w+72QrTHYW8yKxXEMMAyeQxHhUvSnBgiDJKN1D3Jfu
mbPx1FQniS+5/VigbtYwpsZXcUP4lBcvsjMXqHWWXmduHvzNqzZ68Nmv9JnFdXIGIhyQwPdtVESr
XH5iRFlDucYat6hyL7K++86t+aeohdq/fTLgdUaQxVz3iIAfryq0qVE4OGwZUWCo7ZC33k6CtDiz
oNZAL6a5y8YOOct33eUgWe24EfU0u8wh5lTbPEbawh7I3EMTqKoqvCiGJdHiOhdBAMLXdvRgbOoe
N9YMsm371u91nxB3xLzhAXHpOf5eH2d+3/ecMlZBdP5jAfyhvYrsLj+nk1rDrZ4+GZcxZ6btLVDT
1TIb29CLLFwZpAii9NrMRH+ocVY9lH1zG7oGkY+2KvdNCrjfpv3FnBVtGQOkC/5VNxn1mavQy50G
jY3FisRUhyzFXv2eAbCAZ/TkEioTDxYcAKoGUumI6mE7vDnIV+Omd+/bThOdfWuf0zIyGIk02n55
PZqEPeZ4kyiYZBMhA1ZA4RebsmCvt3Ly+561sppiU1/5c7hgkQZym7suzAi71YFxkVMCYfK/lyAj
3rzF8V0MMB2H1hlN6vFc8tRQ2Nwo64094R4xYLpgjtfFmd57ufks2ig0r6SA0Ug5q3O2KMEWUEkJ
yHjou/elN9VEZQkWUg42+anjZj68vR+Zsv+mQCJjWu0IQVrOlAXgRHITMtu7vvaMGxHAo/eornEr
iO6S9gu5BZ75zlPj97zd1Xe6FOLGT0kAMMsLoPU4JggddPNt0hnNDcx8uTXTxDqz/Z3q3OW2aSKx
RSH/pKl6dolBBp/XWbNUuo0t55tGB9DtBbnAi6HwF4NLYeivr3fv0n3HB76/vHwXuT83a399F+yo
ZbCkmgl7BG2xc2tEC3aeADiijt6ZQ+Tl4chVmhsMqkkE3Bh/j+dnKuc5HVxZgSGg4JCZzt1h1M7b
L9PgIOE18shHSEN04LgV4nUUdRKULDZURcntVFLtKVEfzTp1Nhls/9e779Q3PW9tmUXPBmwIhduO
LruVGeOv2dqxSjEeAuiYzswM7+U4KYVeapkdiD6t5c+fNcQ6jrMomrHx9GZ7jS82B5eemzAmHG9f
Kbd/GAeDlHFOBZbh7UsBEjBhEe7XPMjt1UcqTPozOXuSDIYGzFU7ApIQRXchmtVXJal5uAUwzM98
8YmZiaeAhzI3bCphL16U51/Mm8TFTTtwFbWCjpKnFDitLNzcsdkbb9+r4U4/3a5dnilrZatXoZCR
4ZJCiMr+xu3q7iq3tUMy2SdrHihNmLcmK//63DkxpIQ4iDtwEVmMDauzv4lQamiyKBu7c9EeZDGZ
vSEu22untLu7kSqVKDJ8xCvUkj3T9Itpuxy6mG+EJQVHhrMaUYd4aFXX7CjIPCi6QwmWA7GY/oxl
48UI0grRByiHpJe5qa5ujU0wov6ZmbMzbjYUKB2cPZ642aWNcOrd65156ovYXbh+onQH1rhqK5Wx
jJ0l20gmFDFi3RnzY2+I7Jyq/eQ34VpiyIgMuOtNLCaF4Q1mVzErqanQVpO8MZFQXdVIz87sLaea
Usx/08Yohcx7tV/qAUBLmVPD2alJixD2oNLmPFGkx5zeujMzUNyFWAKWg/x2oWM+X2p1Tnp8FBUa
TonlvzEW8sCAkvzNQ7QcMxyNdB5+glVctA0VydqltFu24BNNt4WIUEL0er2VE70GM3qJ59GGJ9bR
18mCkZa0Ad5lp+dyyUa1L0cv+RjU4fz9HzTFdiE5cYhFO6sdSokctM2iWJA16Fed6nYLBDvZEhI5
4zg4Mbtt4qH/09JqqyhKrFvzhIPJd/svnirsfQFw6sx8W07Go6vAU6k2CPwE2EyTWPLxLLD0WOeU
Si/RRZYmReLH+lNuDzifQ6olIl0dx4vX+88Sp1pcnBRo+y1aXc3wuc6SbKhpUeIzJnEI8WUswPUF
PuVzyMwE0WUx9uEeRKd/UZi1+Es51+vWKaoDqtj0/vWfc6qTGUj3yQNAraLV96M8h6dAkWRKMffw
GCCu7QkR/Hl7Ixj3BEYgXp/EIo472a2pe91WDtXi4gaE6jQkrt61pl+5Z9bBqdEEg0vYSICuJvVx
3BDKHjSIE5OT6h3jNolsFwmGcbCc/rLQxnSmtVN9R6kDJo+SrmKZH7fWja075n1ZbZZi4TdgZuqr
il109/bOQ9TrYwnj3HLXgW0qPzY25eCQCLV58450Y74fHaB+b26FbuMRxY7IQK17DqOSgQofKt0E
NfUuGyi5AlswemuoiESTSQSCbYO3jWcv4/fsQufNcH7gMqBvi+38Np9GAfiw8M7suS8jHUszJKIc
RS6Fl9tq58jduYTXBr8r6YL4nTF59sGqQZMtmmOXOm/e4NxXhhns60gFN8S7r10AMGfOl2X0VzsL
6xuZDjExzDzri8CMht/X1BHczG4vrL0eo7b4IEeKmL1zumFAQzn4WXzV9AD6z0zME8uA+/mCbbdR
7Ly42hll5JgdTCDyxwnljSPTnXZDFb+zJfb2rgVXcabBEyuBw0cQg7axLVL28nhcO4FacabyLCwm
NGcoxZuDyudzK+HlKWcxpETImEEUR1g/B4g5h2OjGFY3ikMq16nyaipmdSUDPzozhV72IE3BwKaG
AC2a6wcVfinXbBx6sEydGMdNmUEVNufI+uyjbPwdDfkQnFnnSx8dzxfyswIoHql3zINL5dDnayNK
0TmGNazhqsiNnfRr50vdDfPPulPZzrIK8ZMwyHhTgSO+zJHUPr6+AbycrpZNAAV7H1lOi13tuPm8
QNoA0K7cIN4BIeSq31mjHp2CABUVhxBiyXO3ypeTZmmRRyvZNKKs9mqVtkOcxMKqy01hCB6t8Fov
WSrnSl28eHDA75fEb1kIONxIfBx/l0g0tZVLXWLVMZp5CyUr/lbPUy53TRXID3XazzBovIiYkcoy
JPavd+uJOetg3OYJi06QnXU1qviEVVrAFt2g0KoPTphOmnKCVvRQto2dnGnsxMZHqoSnsiLqv+x+
q4+1hZHKQZssfLf9wL6YPlDKLd31ssmQjbSR8ylFtApNCTwSgjWqJVIauW3rz1EDNfLMe+tEz5OP
RQzgcb1e1Amrns9gqc5IDinYCj6R+Ln+Objc5wtz9DfZFKS3UOosUFNvPsroBNLoDpkClu+67g0w
tAzeCzPZoSB9CZQMWOKF38MlPNPdp8aWhxdiB5vnpLWGLORFkQRIHMpN2HbB535KbHh5lh/coLjq
1MXbJxLVL3iwE+Thn1VvailEZFDIbTNL17yucBncDYUydr1LldXXmzqx+blLE4tDSZHss48Hzgqk
M6mC71IJRcETbU2fPa36ixQm4SUJzejr6+2d6Edi9MhbHCICmJpXz9hMwhzsppJ9vVTezkCRtYXg
TEad/+ftQ+aRcuZI5NOIFq/2nNhd1HY6KTc4LJtwA5iyowLbXNhXlqAc6u71Dzuxp3rcqeSyyyH4
fUpPPLvuJGPhZmGH481C4bqlNl2LCrsm8bcNkCD+RubYw1DkrDnzcjrVLuFGmrSfxCSruYKpxMqE
rWh3KIjgjF0s78REorEp4ujzsFQI9vrIOHO5OzGMCBS4AgBRIWxnLn/+7Gt71ctcU40A/SZRgqBg
lVdpXW6VAkT2eseemKGUhkA4YBEzBsGxmqEztmXVDzl09Haet1mHXnxye++yawLMWUVonAm0nPo0
ntVL+oR4MY/F40/DpBDWo4cXtWyleyUMUMRYoEq04tRSeP3Tlhm4ugZ43KLINSh0WxyQx01Jtxaa
0l1InMM4u8NFOe8S6USHf9AK564jEFBylVq1YlJsAhkfu0mdUAezDkzvBu/d8OZYGBXUoChwBVWY
sNXyFH42I1rKWzTuBJ6pzgDCblG2ZdOlTMir7SZMQue8+qdmBRGq5R3DpUKufeWmObsA5di3DK0/
9Xr+mJc1BBzuUxsFLfjMQJ1qbanihoSKMDHvuuOPq6iG6toVi7uZ6vC6iKEO4ktWV+Y4VjfzMHdn
DoATE4MdmUg0TifaXLNBUiWqYUR9thl6pMibOTIpRxRSzvzcLeLEZKeJJTBGjFZSO/T4w8YK1qdG
DL4Z+17li4q926m09CBTx0Hz6fWJeKIX6URSk4gUKD60biwYMbvq0MNwCVGs2PFz6l9FIx0oxgaB
XCL/Mnr77siJTbSUOwlX7vWxPeOfHqMRl2/Sx8GWOvU7KYKYSK1j7CXVSzfjaA1nToJTfcql2llC
0EucaemGZysh0olRQRnkjtlm14Js4j7LbcrCS3EuwH6upeVseNaSWyELQxWEq6vTcX/FVq2zfTGl
fbWNsfue40ecOGoo+MhbfrmbcKasPgx1vZdFLc5MPc76YsYx82F2A39XO20Np9mfrhVlC76+PmlO
Nuou2wrLgdfSqtEm9wcr9uwCcwudGCMF+ZxP7ufILRoq+Nb2YWgjeabNE8+zpRwfO6bJq56Y+3G/
UlejbBO7KTa8lKiRERXXfjVmX6cgSn6VuZ0/UuycIsWG2VyJAe/e61/88i69ZIXYQrlRI/BdL37K
vKvRztCFd2q0PgLvnTZZ1IQ/jKDubmfPWCxOdXtrVO2Zk+/lrrNMV1YK92gCCuvjCIqED6+iKDaB
QDi0APr2mEXEx9c/7+UuwKsTShCq1wXCtj5fe1V0cSwiAjZBFz2GWDKinS7bkkLZwVg+ajAJP15v
8WWHLu9cQmq40QVp2dUmFwEvgNTMDSLXS83lGjT1B5/K8qBfSascHJt6a6oIzX4TVEFyTrVwqvWn
WzzOTrXcs48nUw8NOrYk11CzqqIMwz0Lk9h9ifvDHzLANnERzMOuGk2Q8wSLrT+vf/3LTcLmDEEQ
TlrCFkRKj9t3yUhwTWaTEGNqX/HPD8zpQC8izzu8uSVCpESGSOU8BdiPW+LtIPw545RcaOLFrpi9
AYRQSk7/4IKbPVcb8eUqpdwZzwjuhYwpYYXj5loMxMmo8bS6Iqt/c4Ds0iFJd1YKmlfrorwIc9gG
1YAvM5ls+eX1j325WGidUDqCZxP01JpHpjvXTbuW1lGOJTdW5ZpwPAvx5iW5tOKR6Cfbg8R09Vxi
hXiotGGNE9r2r5NJ3mEEMq7+wad4AAQRbLvCX+tqWrR+lFNagObDXH1AlB7AuTDN/pwW7MTKJ7gt
CFXCZlyoVscDRv6U2soY+CCEU0PJx/UP1iIPr9D7jdcY4Yw3X0kRhZlPwCMsCy8UYS1Iz7Jehsgw
qI6T9V525xD32lMVSX54vQtPzUWUl2QZl4AluvTjT8uTGEN2PHHmq6G9MpMazLMl852YhuyKIgLm
dU2+/SMgqep7pKLqzJXjxB7DNY4uJeqEIH6tDXaytEf6weU7GEMD/yIRxQ/SyxRxzFE1D0IYTr9x
ZFw/yDicmjMf//KI5oaFV4JkDxFwcInHH09R9ApIEvQXi4oz31ktsbspBItx21FADNsVMsN7rFvO
P9hwaBh9AYPMtrOO/Wtq+1C9gEfAZFFExuAXXvXeHH2zVJeeubuuljsr77hU+uoM+X9VKn01j86X
SiefWFyntvHhf7VS+uoxJytz0P97ldJXJ9ZTXyPw++9K6ets/f9NDfNTw/q8qWVdP79B/7Oi7KuN
7+mDgNRSMpvbHA+f1QIxYE85gCso9xE3arg2UcGCzZ4qCNX2lPjmJ1Xp4I23uaVRlPSsRsxM1Hr1
VpdYe5J1Qz0EPMdBFN46yJsoyWdaZy6rJz5tKf4OKYlCzEqtr8odZpHAIMCEc5FqejedldnppcZL
LC7xhbV4gFTFjv/6brvacJ4+jdTlotSibR4jx6O2LjxfJFW3sOvndoC+kI6Uxdpq6E/DRQgZ7Bxr
7sWUIZ/P3EetgNievXZ1JDe9VtIICrl1ah1emk0wbV2Er2f6dbWj419GNAyBkQwqzx74lsef2GUx
BpZS4OMGNNJvsRqX75N6BOHkjsYeuM/yOKmKAzC08Mx2/mL50TSk0EUPJ0inLOVin68JPykpwZoA
frGAhlkfhFP19ZdYw3aTFD1UrT6TjTrVHuuCM5+7HHL11RqEgJhRwaUS2ymV/SYbZm/3X5ydx27d
SrZAv6gAhmKakjxBycrJE0KSZeacqvj1b53uRuM6wEa/Qc9umyIPWbVrh7WYL6wiZ96G+M8vzm8u
Re4+IIVPgxPf4U+31jHRNZS01ACCWLJd0jcbXI7JiSG0DX/5AX+KCE4/IF0QlNj5n3eyOP/4FIvS
7UF2gd/So9FeZEnTHUSy1RH2iPRuWqjxJ+tcREWt7MvVRv7x5zv95bs8XZ7SCEEdnTu8qT9e3hJB
QAycWREvKU7CDQKjdAcS0wZ8vR6szu2fr/frV2ETYfFYeXmIF09q4n++NF2K6LdIWNasqpTHsmqW
HfbN6S8P9de7+uEq1k9fBTSFQPSlnSB3MLwoBboW4Xwl8MiC22XBVvfnm/rd5cjOnpqzGaTg/n68
KQd8W5f7J96Q1xlNse/koDFIZogy0Rf7jdRWgz+uyuX+zxf+3dP8F9+cnCpVEvunp5mRaqSH3xKR
7bfua1ZSxgTidPe/XoSxWpqiyehQAeKL//HuKlAg0AAMGWlu5zUwWob1VdP9JQP3660wAGG4ZOA4
yRCL//QMwZMk6VoERWxZVH0cP2+h0OXm2f96L1zllCOiJEpi6ufU1NjaawYcpog7aY0Hk5HXfW6M
f3sffl0+4KXQQEUrHGOh7K0/PjFS9Ym2ccfFYtEIzTKD7Q3251ElFOv/fEO/bHGnjiaSbSdqKsNC
P29xQ3uass3zMu4ZFfvYyrl+cJy03/eFo+IRJ/t5ShL1L+/77+6PTgib+i1tAYy+/nh/w8YDTvuT
hybPekrGtLKPFnxCJcz1L1/y7y7FF8X+wnmFvMhPr4VTZSi4PF6LdbOn6xOzIGpRRyDctJf/+WM6
Te/Rg0RG/ZTW++k9N7Y+193sl3G3bu0hGKvvg+3+rfXg19+L94FyBH3/p23z5/V2tE1G1Jls5QX0
9OPcbniYhESVLJrx6iRIumo2gfH0z2/Jrx/Xj1f9aZ1IXN0ysgWJ0wZ+iEwvnw7tuFjHP1/l11iE
oiYZNLZNRtCpb/74WjhKg40ALhkLf85v6nLeII/hLq9lZ12YWZHUYb4m9lFmU/L250v/7gbZxDjZ
WsRANFr/eGm1jZ0QSuVx4boqdmervASs+bdM0m+vQlKb6j7ZXgbWfrwK/hU6nhInjz1rWfZ215b0
kJl/y+v++spzpmEhtE+IBmpx1o9XaT2jbswpK2Jj3pL50K7daO23YijrY1+jGfjLknh6rf9RXOQ2
uBwDKZAa6Eexf05QLWkje7xjRZxsIJ7Sst9uG3TwJ1E7uSp0m8FfXpPffAJk/WjBOeXNCY9/+q2y
SUqxeGsR+x7RxjSZ1Kw8pPJHDioIVukrv1w8NC67P78iv3msrMc03XBVfBHGTz/eJE7BVw+oM2Xz
2TtNseESmknpgm5EW/fni/3moRL8u5Tk+PA4Vf30GwaNoYHV9EU8TlOKy4c+BxtyJd1AUe4GY3Ys
ZZvXf/nKf3OHHOPoQ2ODg0fxM45dehBwxhlpZUMxNCK3lDy4K368zW6Xjz/f32++BApXfOYkiinn
/txBNc0eVYAMoi199KhnzcWJ8Ol8+/9chEy0z6VOiZUfPwQDvzL9fFMNPzhZd1ljGHGD1/wvO+gv
T42cN9sYdT+KtqdG1x+voji8UVwsMAaWor+tSLuD1BvWQ6ZN9/nPN/TLAsn7jm2U0IPvW3Je+/FS
II+GU3N1H0N2tR8SOrNwdGyaIde4TQYjiNm5Vz+L5Nr15ddiBSP/l1eEEuovPx3nJ1olCZBPnSAM
0//4R3CcKxn6LHvoiUbJHLjY7MqqbpZqw1QfubUcAX26eb0B52Z+cixA1vm1AYvdpHSX9LsgN8za
vN9qaGlvuPLIR5+tlQ+SOfMaMhTPiS6Lpjh6YkGD29SFSPxI5EaCrSsvl6YsdqC2YVZFGT6t3oix
s0xpcZiCYrAfYGcGoo1A1K6n/z7bevsVqG49fTcnUInPm7W59peh9ob6W1/KaY6sE/N5V4BIAu5U
mFMBUK0r8nPDK9yC4lix6BcF8ogCeYOZrfD2Fma0GTpquaxBSIXNH66M6kRLKOys8p8mHoi8cJml
NL4FI7NPjyUHQojCLWNRZhPxZMDBLZUo5oY/HtDzeTcU9YQIcm7We1MLl3HJdioS2JkUycuo0FMw
PCppD8X10DrCPlZBkIxOzL20zivS79nGBtuvynOOcKTSzd4By4N3HFVGFUjvOGSjWA9TTasV6h5Q
hdnORA3NMG2Nihc8le4SI27RW+q7doY6963qGtfKDxNImud+5DiLm21oO/GFfll0wVMebDQ7zyYc
38xZRv5Ul86SFxOCH0OtNqzs7b5zO3paUUr6eqfw9E7R7DlVcTueODTIcW0xB89Oor3xazcPCNoj
kkzNfD+2BUnXcGkgwGFIEElgHjPbmtQdwMip5BSRbjMug6owhCzCyhrm7dlVXpU+5o6/9GIPQWBd
qrNqXubs1svmDskZYzO+vF1Xr8UgMmF30BjkqeYRY+faVe3zgLcXTVzWdMH0tGl7TVSIs28Tt/5o
p9WHZMe2oJYLyHNjvK1DAYO0WAxnvm+RtDqf1rbJFGu6NfaZEcGj9AoQg/8G9uu5b4cpToN2RZPy
Tz5/jSjM3w4/IPjpl8g0e8uv3P1+RkMwAqP+F3HfKhoMstF/MPu5v1nJ538A+0XijowtCK1N48WX
ehuZWZdqG5bon6D81erk9vgfRH6QTM0D062qisGG/5eF7xtT0sRLm2vjCpzvf6H3laB7ZIr/gbCH
wuzKpwlZ9IYwE2yxHf0HU88okZmK4+8A9bWhwTSEXol2nNbdQjSDcWGDXeuC6FQCBzaZTcCcl52R
+aQBYbGW1AIukHRmWxCZgP+2b04mqGLFSTbSBRSarTZauadFCOpeOJpQwdFqGluzvtJhKcBeMlWe
NJeWlQq6VOH80JYc6tZPyzenH1SXR15qbMadm3XAE5ja0UmA2n2iRWYOWWCd+aMukOJmIWg5dLuw
9MplHM89s+rl9AVvM+p3DJBV1s2HAc5jOkYLhwK0AZ3tJs5lYxduPcMuyrMmO5tYrQt6pM1gAsgH
w8aJLClEhzhvXqEwn2025on1MakcPc93TWn3ZQBNPvBW83EAhsk3zviZYxenmiTmUDVtSl34NA2N
1q5LNwltPdCzuRtHDRYoDsRaDDd10Wvs2fA88oKOwunE8gwca4XyXlvUPPZTod3vU4f29MI0ytH4
6uXW2D4AmTd6uv5oVqLxkEHS9ptlsyaH1kK0EK0qX5YLw+28BAG9Mc5PxtQO1aGqUte6GH14VBHL
l/HuTTWAo3zW3dmQAMNfncQEErH2KeBQ9CtXLr7f64DJg71VBeU1dbWOek/tBaPz4EOcLXekmwZl
gdVFZ3ztdst6UnTavRQvlk3u+4N7yu0XAHQjaYFZiODAn2XlsQllUUf0IVT2gXZro7oYdZM4sbsS
pkdlEVj9iz1bvgAoDcG4uxROGVR3kKOr/hLZh5PcQJZU+pL1rnvZ8BVkT2kDRfXD23K/vi1K4Xu3
U29swQu9QH27H1uRexDau0UfiFU1xErV0DS660WdfLbBaA43tK3m9V6luQreeWVb3rnEpN3ldnCt
pvkWJLJwGSwceA67dlsG+zOXi4KNLdrB4q3mHTHUrWNDrH8RjZ7c+0Zv/XaO9VUy2i9VUpVPCTJq
oznKdXRHb284Q6rMo+KgkKhoW/1i+L74ejU+l1L28H+zyZSziMZJSOvdGkAHos5oGuVukL+NBdcv
JKQUfVcQZLnDrEabnbpSh8zuFcZp3fTNpzfXBmzB1u/H0/x9ak3BGyoxo3vyADfmRAwtL3qGBhaX
PS6BVtsOnSnmXE/A8lNfDQffXypm0Kl79Fe5cFY7pFEGZBCmBNZzWg/G+bWmL3QImaHK59AqzNKM
SvpA6LE0W5Tqjmpz2oqMMpf+E/YmWT8lq6i/pU0H1LSX1QL7cu7MJ1MwOB7ZvIt2BLN5qD9GnDZ3
NHixYwe1kalbt1nVMeX7Si7LzEZNwurTv/gmhV822KV8HWnquat0W3xDqzbVx65V9m23ru4tg6fw
Z0/bwmvqm4NiznF0z5u1z+Z7IgWflHTmBDUweuAWB4AmCeZvL5EqsttgcI7baNDWQrtv/dSaHj+W
3sTZMGgDs0WRZAbGVIgHEY144Agw1VfFvnCd5JLTDQD0rq62t1ywf591k9XLXZeNKy3Y01Tvht4s
kSBrU+6l0aQHDh9QQzpddgZNbUmfxV3dtEa00DQeD1Qv5gMY5eXVphezivqEPSbCjc6PAn0YMhCO
ehSqYCXn8mzMFxQMEupqtYMWBw+5y9W6xLkWozpPwV5guEIKeizrAX0C0zBwKg3BNhSap0tFaGdL
ej7MOZHRYLYupHNlKZMmuzS7Y7mznke7RbBq6WB8lIWXPjqpSr5nVHZuzQH8CU9ECGOf5S11JMMb
DL6HtgjWEIX7ySQzVYisu6RW5W3bbtDELTkW3ZlqmdHZz/ZkqceSSfM+BvIKSLNwxpUyEIDUA3DQ
Wu5Q0RpthGynuz79DmTCddku0ZQklhURo7ReLDdiEfoSdc0mUnj1ghRitt6C1akvUjCeKqazOece
DDXZJ11yz1T5lhdfW36aPMrXSuxtJr8d/tqGliLH6Rra/urSQn3u1/sCQ4cF3JTvP0xLv8lCuzDT
p6FENneUKTDUECkqDZ84WnEeB2bVXZeV62d7zypg2gTj7E57ux0NSvrBhiodkxsg9GyhsxdFiJkB
+gSX4Oy2ue7uVm+snfu6TOGnrq4oprBWXgd6NuuVunKwtTFqndrobJp09cy45ffsvvSbYR3btKid
s9au0JzUUFuJLr0ZPrLNZBA+H29iMRthxFb7Bj/RtUVrVfuO5EaHwmfNDHsXR0GcpT3/rF16Qblb
goWIz/VyJ6VTvPEuAjyH8kCM6yNYrYKm/Cw3W62fLuCVl7rq2E+KLM/tuBmDAN7ulhrcizk2EdGS
BP240u5xnqjBebIcPfrnTcIcQJTZS3q3eWljYJHo1YVaEoLLZV0RFi1bF1ix28pURYCnArCLmcpv
dG9ZX0cZZJc5bHMZTgaQfhbDoMijJllYGNfNlI+DZeivoi2TIBQLwpU7a55AFji0ONQv5dAv5MbK
cZqbL3yWiEboh2fnc5PcEDcZce3DNgvQLkZr5Ret6eCMgO3NfzeWbZnGeOt8+8hP5Sz7bc7WkVe1
Ce4Wxk2KHQK2CXu5Uy/ZMV9F7+5LWnXKcGGMydsnU0I6eBNJDe+3VeaLXMWpIYppzmJPEnLcBfZC
N2iCT+WwWYsBh8hJ0/ogiKe756yw17DzPZwwYzqzdlHZ8DCcr4xI1seBedcbcm9WFVM/Wsyz3ptM
JsQEZxa+LzcXywE1liqODeKb7oJYhVNbyc9SgPcL+HeMYoajPSrJODwDLEh/+bQ+LTxF3xD5rt/A
v2RvKJOqy8ahN29vc0q/2Yq5fGgSUanY4IV6mbHojAejtJuHoRQGa2ZtbjYiYxdQv2skgYgdAgr7
4JqIfM/sqh4fqLM76RZx3uf0hrbOvhuYsdM7JpCQQyeFy14g2LUi2njhYyWV9HOCwYYD6lLZ7g1V
eeAUG8NMwZ4efWPYC2/w1GPRBH55NsmScHhaDG+3VQv7UDhi5J52Hby6PHSFyF6LlMn5kKY1o36A
sIugHttzYh9Yitsrr7bRFRf2hvzBmwM3lFsBKwAqVPDdGCz13ZhE8H2UDifbpcANF83G7FC09Ef2
MxrsAMhLs7YAZnM8p+/lBIxUZt2/revKpAua77oMx2DD1WF7nIGmwCwJkcXw6Cde+143WtjnNtPp
B9Nw/TwinT30sDjIAu+ZXCk71ApJNcdZ1ptPS5ssfC7tln51m2794m4yeQsmLW5n25pvA4Gd+dAR
8dA+OTlMFXs1RaddXhT9fpX1mO8CEzA6IqlcX619pYx9JVf17oEkBcYt9PRR2HASIL00thsnyvIO
lTEsgOzLdHsbDbkwKo8KSB2XcrTf8RNgHQwQ2rx1LB7bzpv94soqLOM7Yo/1C47QjlepH923Ja2K
h8yBksFIYzWez25KiORQTFmQLlhyOVY04eoY50D9XfWGeMdwWlisb1rfI2MByzK2W5VdF3kvKZvW
S/NpVuOgoxXqernTQlYVnZvVfCFqBYzZRt31PYVV/VXbXXo7s4XfuOjcXrPJ8dHt8NQ+vH4aLlTd
m8T6Db95CINFmVFVCuLAqspOY7typG3BkBquNufN+UswcAwPC1VOnKp0djom+E5+Y1oYrvedkTtk
5LHcq/0y6mUOiz53vAOVS/PVnUrHhU8yims5OHzuFmOXHokqzvDYZBRfsvSUR4KFTgKfapPQwW61
FSMcpVLtOToxW+5Xi4P9zkJhN4eTnKaDV/Csw2CqJzdqZ+sk6Bo9XjIMRfI66f3sic6L6mG1ZvJA
HPzmMbS7oDfCBAKDi17FV3dllTqfSxtUKIryMT1XmbDlLvAJYvaDqv0pKmGUky5PzPTM7L1q2isV
BA/s6W0eL07eXBRMeE9nANbdr+1iiytViM3Zm36WPacErPO5lw7BXRYkGjj7WDJjQI7FSSKd9f3O
N5VXHntTNnDyZSe/+ahf8t3UJNWF3LDDyXXupmhwxpM5wtJiDTW/zAFwvLHuF7xML0mqtLpktXDq
fWCVFox9f1qjnpYJwtku5XCXcPMnfVmgXzh02w9Oaaf35cCgb5hPvWOh/CAGiK1SG9+rvKgvGPc7
LeFkr9z9sOSdFzFFM91gh8CXwU9o8gC21Y02xrKu4bphLc+6zUWE7Au3R4+B2AuYvTTOnGXlNgOG
IGBB1qvnhXzP8oMKX/JodHJ8lrTTf6VMoC/w4mCtmrIqePbXpf1GJrC6Geaufi+czT5ruc0hokrO
8VdRJYKWQc+/E5trkJzZzVj5XHfWvFEimdZdYtiLFZoy6XmyrBnkQSxnvKuAe3DYt+iKYPX0+ht0
b6hTAPkW5kWnhfN10aNz5bnF8FblpXy2PUpoWJer6b0cIU+FqiL/GY013hSWvaKywmEe/TcqzATJ
cxakl5vTq5Piz2yvoEYbOaNVar7s5pQgxTBnM9aJV7WMdfXCDTXnjldBa9arn7uSv9vqGAmhcaM9
yK5Ab6SXQXEEYqyUw/+Wt/0hwe9xlfgnArVLKXYK+8xCmDci3pp3RE26ieS4FdjUkuTGml0ciDXn
oy2q01PU1sulPTYuTMJw6VyvjVKbgf1zf9DDm7Vo+eBugWTtFltz2zaT/+yktqnPgjItH7qpaD8m
WqyvwEe0GrtaHiCigoLxYigSqaHFDszwf96bdzgg2AKSDHQmS6zr3arG8J5nu+MoRxexfMqWha1j
bTVTP+5Qqup8wv11UY0ckol97XaOEeuKF3x3oOk4MyQcSH0JzGkkarmst2Yaw05W/RLyibvvQqwV
LqF+BX5UcCKOqrQsrxub8wR5IGrKB+yXxeWwAUo4JCIwz/yx9D7TWjbn9K8TxVQLIYaJquSBzLLX
x7QhJytmAuFnse90NNBXJMTAZTI3f5VTbPpYqylw9/i5rb3jLkT0DeqrPLKGYXw1+jW4cT3t0Gvf
gCQJS6fGOBTAf7yglNk6WHjK/D6ty6mLuqmxKqCsC7GXDzjKDidUIfdzILw1qtfOxvQiTXUp/VQH
bIVTfudD4vXCukNOvrf92dzzG3cbkRujzrU1ileaixh3Z+jdGmOUQuMlHoVuPaLJHR88sQ7ZOeRI
NseMsDpDsavEMcgMtRww0HgI1h2fKXUnZZGRJMvOE2wm1yMK0WC3qay8QBI5OBzAHG2HgdDjdb66
7GqNl1LGrOahOeYehaIdBrDsxUm67a0PlNHH/Ibl5awmC9fAOvJyV+ifnidRdu9BXckUD5VuPygy
6KvCW6cs5szcfJmUFtWNAYphSu+CjiRwrFp7AgGfzPnwaiIHJOzIZzl/kYmVurHf+L1+LzdhjGFT
TnwFwseiGRqE6pwMR7u0D6cGAEac8yH4cJ18QOE5jNv6uiazeY9ssT3qxcj4cLZlfkHFE3zgsauy
vW82zRPwdPk8t6IYotUW9auRs+uGBifuxw1hDeAlN2j35uDylgbuvFY7Mc6Bv1Nz0uXHgVz3GFqN
NLfLtAqIWXATdveuHEkv4jGHDGCTwK7wjJW+CsGVtmrn+0Vbkuaw6/tSAU4An76hzVRDpl4nWRCG
Wp7ZeLu64o+J26Xn0srvvTE2Nq2uCJ57zrK60n1Uk9HLd0zn4/fpqQm9Cb24fvpRbaeUgjb6/ha1
me/vLHA9BBtrr9cI22hDZsqbJyMSWm2oynSHILClpv3d0p4B+pffIbeOTrB2X/tkhnSKcbO3I3LM
HGv0v/2Kwm2781FaogLTaeMSgzDAcjQMXVZHzbY5N3OxlpeLIdYmVtieMHZstO1FmRoAyWfD1K17
yyLGoAMmtTladvVQUqBRzV0xzJbBf760X0y7IG7TxWbU+42sr4xcpIW3dUXXAG7buSPjVtbeF7B0
thdOnTt/YyAeqSvJEKOLXX7mLq4Hgcxq6IL0ZtGAcUISJaVxWBDnrbGjIHSSh0aywqtjyasqScY7
iio1Z3vdNuZp+a7eciVnlmkYbvzf85NpWSTm8mBtMrjuUEOpA+36xc3YpKYVOzAibqcAgCNM7wnq
e+OuFuUqM5uJBIzRMsV+DkgZPdUZ1rUYtfqCMq9t8u2qlCVHNYdtEEsHY0xq1234x2OBY7a6yAff
PA5dNy1hR/3/IeOtmuisQZ9LrkK2KYtxzgeV0yuT4nsaSw6irpMe5tT2txg4cUcpMymmNPQBjyeR
OyfqDQ3bZBwyTqln5FTt69Zb3e8Z9ueZdSuddDTyAnmhU1WbsS+3tNziAYvQw+ogqgpNM9cjbAxZ
eRRhcq+OurpDxKRhYymfpgt7w9JyTT9s+WWFoeZE1GnXnmh/9a8oEg2PyIlqg4I/qRB4tisaXd/E
/0M/CMbGSCcj/aNmzt5UmbJ6x520kZSUQfmALc/pULOLQEeC88FNoAoiJ6aLhizEu7eRZ9ZVeZbY
FnO9k6K+isnWYmzUI3IdopkaX80vubUcAJR0hsgpOnkfIMjZQpOhyztKPiYpjN6cCYRmrI5T6VOT
0t7U3cw5IW8Mk7s8q8uMGGNBvNbHy5ot71aijYp4b+0uC/RA5pk1JeJh2KR9S+8vHkdnSgIyrEYz
DDvUl+PV1jokwLLUmR7/VWRAbhh0n9Y8qGvRJNOTSNq+wqTXF5+OXbKddova3lcthmtbN9ln34Lw
4HBgJ9edblyWoKS1npZKwuxdyD4dPau1PhBhSqxpkneMuug2x7Nqhq9eI0jMb9sCcWv2s4qRZFAu
8NoKZ8c+J6+poI13HFW3LrJTR7/QJC2+NlQm2MiCTI1hNZuiuIJYils5xct132k/0wfP3lAfdJY3
fA4GzBaidfdTAHI0Ig6j/hfLWtG+60GNj0LVRNbZNBtXVXFaaVSWJbcN2+cUrZO5XFAcYfqWRmZP
hEk+mu6VcjbpUpqpq1tlauJdLtlcWwr9ctgv7He+tyCDHTzXuOv9pugvxsSzFAWmenHi1MMURiYD
DMxx7iWoLAfCihNjDdXfeUKnxYpQs4w60qlP5pqRLC1nTluhI0l7pKBJnCOboEleu04ohFtb3eJq
hDSwDxpLX7Ls2Q3HD8L70PVF+z0RtZRRo7Keo/Bit3eFCsY1ol6ej/tANkBfLJWbtwMhiBG5dPnc
jIT/A8uBn1F8WhCXMRmvjIEgO1UQ4JEuLmHJWsd40pJ7+kwyEfjpO0Uhw9qcZR3xkuiXZS7EQ2oW
GIO0Hoa3pkzI1i5YS8pwVkt344In/RjYea7JNJs3MHtb66anFz4hZVeX6DdOFWJVNObwnJD5Mw6o
fOebGgFafZG407ZhJlepu2cYEUF1IU7Q4xNveFePI7G87edIiCecyHlEi2323pTkZhmiHDjQigFz
GVbmMruxmIadd8O04JRKRkr8ilY+nq+2CCqGynBvS7Msex51SqzQ0g36bpQUpnfNyFIc6ULxxvro
Pr9PtoEhVc/LeNH5LlsOYqLRjLzFUW/kwT0ZjTQhH1zQt9lZLmmPP21zMDG7rrUJ/9qUvB0YGiuJ
SOtuL4VazFddVr6JcLMUFwy9t5+ut5J4BvQMcLWgBPw8V97ihZVRU8N3Uq8/q0fBv1wPS09IizDL
ifrSRyg8kasi+3WqJ5CFZ+aqkSPHLMDxxge5E9LiDYvaEpWUD61LPdTGYyVkb+0Ecpw8WvPKP+WR
E4rxXkb+N4Yl196Vq63fFZ1cr9wQlhYOGxUKY6ZD3Ej2yzgdVvjp5yR8DBR2vEL3REtNFad2Ioyo
9TdhH7Q52a+G0+RPdKlmX2dys6/gPM3sgB++fuqxln0OW5upkKDHIOdPbe69w8N2pQK/X4edswTm
B43j3RZaSQEEABuFLM+Mslqfmy0dnHMra5IhnugG4UVmsPM736PqyR721InzpdKEeHTe9DsXk/ZJ
mJnLixHaBOUm1cjPxK7JBJitn+CkW9117+Ub3YT57BiCE0MrxvQqdYqae6YyICLF+6r37TzbVVTz
2503ZmtQS2Yg87Ps1um2azaCWgzIiRNp0tX2zmkcVUSdUdnGxZZUQxICJnJehaWoCDWpb037ggPs
HYpjs4sCRwh9lg+Z9UA7LGQAw8yIDbz25CybTLIz6SkOCNMk6a6rxu4qFve1uRcoPCW7NMaPcDM7
79YYEXHuV5TMX72O6CjKG5LVYSVSh/3MqrqHqVfON2YuyM805dx64TA1DF+8SEiG5pWttbVdloPM
BVa6hGzTkjreNb26XRn77MMbpXa/Z1ESzsx43QIdYp8icKkOSdV7xYXF8kHmOesnc4cUKX/A8qlJ
9ziryHctfUmSdJ5FWrmb3C2y9Ez3sFlu5ZNtcHIIa3gWaMRwSMRuY21TyBZJjWNmp/kcgejKmIqP
ee6udYLLtAncc7f0hSKhv6r7jEf51G3YNENVBHl78kJLVHyZhbhRNG3f7UkJpTdjduJzVKtrPgkj
m5+Z9+Dza+aEBhRdd2qMM+mPEs1bRysGml3rbCz4/t7oE2CBlCjl486yWWxLwiw+zsZCk2fmpBiA
m9AcCTdx5BCbu/2EG6g27UM1wX1jN/CSnVQcIkJZ6mDfLJMoLh2NYy30laHyMF0gE0VVQ0L16Gus
Z53TZ88NS0rGQ/Dms9YkJIp9eqDk3YZU/FJLo80vic7cy7UzvObgLM2SR45T01RD5EC2xjQXc4jr
xRIkYLaUlydznPZ10TM30tt5eltz6HpWnAkY8REtgIPN75LH0k9RzZvb5nkRiX/KAJR6h4uuI0zZ
1+TUy6jq9DAzPmsPX8x5bT9EJZz8Qlmuc2T6ev5wl8rZGVY2919I3VPzmhiK1CxKPVrcpc6/aWqr
nxXZ1yfZubROJB1En8guU6K3qSc0j/Olk9cT7R50iFGDhaO0aEXJYcEPqy0w5EA31+HNK1oWwTkj
W85OMnlDVJT5yE+xerz6k981MmyyUT4FtB69ZRjvn4ze8+ewthr11gCJNuMC4e4t8cRGh0rPH+/5
9aOU8/BUqtZANbnWZsEMFH0ndI7JgaBFp10O8shtNs5u24hyFAAMqQYI8qS5Om/wQ3NW8s0xJ/lo
G958KwUH1HD0l/HDMtKGeIRDUBcnlDXPam6QkC6Z7YuckNSNqnwZW3pW4FYD+7QB0y4dTRZ8+nV3
YC/M3j25OhN4aUSscJ763I0l5sg8TniAZkRbLsJ0RmLKOsotO6dtGWYY9fOOhq3wtCYztMIPLMMB
rdRl45PupCJXdk8ApqpvpVqGli78rbpuKiLPnV7SjrIW5d06DopFqr0qKGv3yq37SHul5M6S1ih2
W8IGQ23cV1879MRvHAiY485rsT1YpjaYWhH9+iBTXdxZejFJGpkrVTi2j7aL6NegMl35U3u9TEn/
pZaW/Tg0nPRvSTvZMurpvPqqmax7xcJc349uSYhNB3hBT1ie2E+Zo1sm8HVufxGUubNj26T9W7a0
pw5EziBluIJxmw6z0ZT/x9l5LcetJFv0ixABb15h2pHNppNE8QVBOXjv8fV3gefhqkFGd2jmzMyR
IVldVVlZWZk79xbsHh3yCBxUF1NOopj4rOuAWuIQmkt7qPL2d0/DxavOEzQg3lA4nwpBAtEENS70
sfUhap2qmYMvUisBJiqp6CyqGiHlCg3pYBmbgH7a7jpZehiVYXzIECcrSV2q8RuIOh4hU9v/GkEW
I7PbLFbcNGpU7OYyyV8KCsIYtJWOkSOQGEBOtFPQkyXpRCpq1pPwGLZljuK5KtfcwwPftKlCtQuR
9whJjqeiMKU7NfMBDjXB2D6gewnEIl6A9raqDuEEHq0TXnibpydFI9XNysfCqazb4J52GshzfSlX
97LUkgOuF4gSB05DjV5Kis50DZJqX0kqlt/FYJA1zxBT8rJ9HUl3YCZz3aGvhMQV7zWdqnQsGZOD
nwW8QeiVP0wdEjGuUCFGSeROKdnlCNDlEYDYexFCpRxdJZzE3YBoe4oPD8Y3s9T8Z40ohnXShe6H
pMxU+WmIj5CZkbSJh7owhF8lP9L8A5SswymvYIzZcBRwbEDzuCsLDdE9KrB9FRC5KzX5pqzUuSqm
or4VVHyLbbRBm7htqlazLegTcu2W3D/2stn+6NVWrXcSnCE3eUopnsit8ClLqtobebwB92fUwa5Q
6LAnFxsVW3GoQPaMqlDeMNUGaIMhh6Ez0XL1O8J+GAEO900jZvofBE1T3RPqPn9b3AOvNGoecHkT
SewNH2VxJ6Ve+r0yB3S6o1AJcm4owSQ9Q47iLq1pLgAeo/t3s5Gi6DeTiAOLEM5F71o+qreERGp0
mLWcDHbpg1MngQH6Y1MJU3KXWAWXZ1Zlg4z51MoB2eFoEXQWi5Q3lJ48iu0Y/xyK2XhFBn0AkBkq
4rdmrngUaSmsO+oYgrYJZJEew6ATfcJyvVe+YYXxLVD8n6PfpJWj5CXRnhERnxuzKcMImafiLpZL
8EzjTJEThx1XoRebhOx2L/ASRSBYHQAbWYO8B5QTmh5Md2gz6bmgvOWA4fBWCtdwnPfiLmwqjgSJ
f+u+kUvlviQDnbv+oAzfK5lbE+NThx9yjtyQHSexftM3YL/s3Cqir8NEuYyc1KAd5bEZsPBeFkOv
A9hXww1VojqeGQlVDL2WxAMbh6iwmozCc2KNAUC2BYBYaCgObfuqj3C4fv69pon0ZVCa4i4Xo1HZ
xWkpbnJhbNUtzrVKHKMt2lAFNUFKEDkg8glpf0hy6p/SUkkEU2faBh2l/W60tIx6QxbpDR5IJtmL
UAqNDnDlU97ulYTzxCb4NTimVtMpfPTmMRkiFM0ahfT4kaYysgf5mOgG2jI1+FzSEmQruDfC1utL
I1U2KAWR0o47pX4pYnn4PeTcQTByUXF243aqngxLEtJbgL7RTYy3yBxjWF5V1Jj5EMBlosA2iL1e
4CEVbuhapIxtzEP8pobq8JsaH6PWSZNYLnmr1DzVakZCGIXDmfcA/LdUXXNTq7/RB1dqN6FWRF8A
HbQtAVdfdkBmIgHMyEgrS+LUJQisXUBKrbmlnbY59gDNO8ck3TXvUEgso/BErXWUn0FYzD8IvHrw
8KOh+s3XNkhoBfFqKLiMvUAp/w2W7+FlDJSx21KTNwvX4lUMxqITYIfkfU1yOzBm4bsFJRq0XaZu
3YVdgkqwQpWD4LoonhrK+ACrxEj8IQCPyN05SjTfAxxiAY3iaZq5agNGiEr3cgDUboKsUM7NvnJM
7hSdCNsAaUalz3pui8p8mDtlEClWzkyTDuVqC9J2OM59M5N+m/EMLoWR7jEANN1RH5KSipymmXyN
CspUblcgNU5OehQJMpNsIlfcaLicWkp49JsAQyQgY23bgksRwoQSg4DZUL+FxjEpZ8PfVeSWI0iK
CHCdQpQpGVKCy/UNtGMl3ExQqZkbMvcJd5MiU5pDaTmGM66eeS7ndS9TtEKs9Yngcei9EAbVA2Qy
EhkWMRcEHscN5juMYq+4VZxNvp1MuHfqiCR89rCC85gGcGKA7Zpj6U1L5IT+4RwaTdhW+2R0M6VX
fyFYjQ8UItRobEHJyNFaMRhgu8NZP9ZplX4BmKiUHq/68WsfhFm4Fwi8qW1EpfJgBDIMW6NUYpGt
nrcSVUNJOg4EN29V3JtP0AVbgI9QK/K91Jpp6ZwVub2rzUh+DQvZ0Nw4HsX9rAVFeaqton4YplwT
wW6YINiLJbTPfCWpHVXsQIURkQt0Xud68y0PU965MbSgOHlAnL5LZlx9wB1QQ6LHDEiukqeCAPhN
6O5xU3PvIJ0OxhGB93YzVO/3gNpavV2IRXvENVInBkfkv9CJke4mmFVHF8AD5UFgPtX3if64xq0A
vFUHdFPEP+iTm8pWFMjxOaQJJK4S5K8nF+cimJ40KDw/YT9vf2WB3AwE1EnwFY7d/mEK654bptSD
t6qdpj+BAcxuk9RW8sPikq49nYNFJaKKzQoKmtgAFzoRcjpYPMVuNRQ4N3QxEPjx9E5+kqPP34rS
iAZbghr+K1VccjRD007HohisN7hfQPNQMdYqqgBzDGRZEcxfaZzNPyLeVsxKSsG0dZnRq04cxVq7
lPM09OMjI32N4HZFuEeaabdXydRR9YyWno6mtwCL5sWcAT4RRTY/oGx3aIZJbm3RkAeNc6AKISij
OKg9s7SAXXO3IKlkBuocOBRkqzuUx8TJNURdvNWCHLGBSBrSYkv8mHyrCrwyQRzQo04ucf0AHrOf
wE3je/paW3CGkZwJHohw/77FP4UOYb7EMy0quicZrPiXktrNs6ZTR1C5HW+zIlUe41RR84cqHjqo
dqyon3ay2Y9PTdg00KDOtQINUJm2/nYqlPixK5WGzNMw0bQyiTPZRmIXSFNn2UxMj1eSoHuRWvBc
HJtKr1255dR4QRuN+EdrqPN9ro5yRzvuoJoWuVUN/6ApLX8d0s7zs4zmUnDgWitgNIilKf5hFgAn
tn4Y9f6x540DoMvw+8cR3NxvlacBWy2JA/JKAbl2Xw2Bk00gYIA3tGL6Y6hH/9kn0v8FKdSSZp3G
QcUREAN6tOIo3+kHAemBQrv6vYpGLvK6laxtlQ4JVVY6hLLdCL7zkbdKibBxLDfA5zWagwZpriSn
SelEtBNZTlMQJiRJUFunTYY40jDuyU0TbWp0BdzENfA7N0Ji0qR40HE9Aa5RvspTFf0YTZC9Tpoa
RLl0/9WVU4mmf5/HKjgjIn+CXMquYbIplEx/EjIZIE/nG/59I0jt7FSm3w027W+gmUpDLJ4TI5pe
zU6XnnQKWqIn+bMouKFlUZxAGyqInKTOCE1TQckfJLM1H1FvLL6LQqMBWCqKQHbwh6QPUYfLb2lJ
Q/d+wA7e4JMH8AkcN9vXNF71ngTve+vwecRnn57nwzwPBRgREqi/miQKvstk00DUVmMWUYnFxGxZ
yYQJpGC/4C4BuAEOAAL/zc+nUHVBJM2U4Q2z3IKw5zsVsHUF9x7VN4JjIPl2p8CT5gV1a9y1sSaM
uOpU0sj9xfFLXSbRs+Un1j1lQzIug+/PwpLgGgvb1AVZRMRDJdyf8GxvBA08NWRQlnZb0Oxg01jl
/9BDUhWbxqpi1Z3AQljgvNrpoM56BteFuNwwsVilkaf2IWnZFESH4kmZaZyWd6eGU+nmfVM0Qe34
XU9uD/4m+bbpZ/VLkODFbAguIxSIeJZszLoknIG8uf4z0PB3G1VZK7t9LVIvj0y6ClhpDNLR2ipI
7X6ehBcaENnjcYIS3Yxm6VkZDahaKnCXMqkxQjR7SAqZxpsktx7axJ81m8d6SNDgSxIHQpSFL0Ok
zF/8qO8kAOFLnhkyuO5NjRulcuaBPIwzo0DhL7yCEwU3ckb32VQGAvBZntX2pBjSkXax+s60AgDH
hpQR2Qeq0SIWZZXDiKenPC83E6XeeUwGfwNQVA12qdRYD0IewqJhWVTsb5R+oJpBObxxfdx+Q4sF
d/1ejlVLsJsWLeU2rwXeoi1ld4/Hah7ThhgXxYM8ScACwIw1NNH4IvUueuQ6rxrDqXRrcZRUx5xp
gXZGseveemUQBm/oaineWKGVcKZCSyfSAoA6A58LgtiVSAlGv8aAxIzXzYLUO1lBAzyB2ZQAubAq
OTrAP2Zlx6GPzHstStLKVfo5pU2rAGN3ouWHonZHnwKLUSnZLynJpWYzhbM/utNIymoThATGrsQq
1u6MEye2iKlSsbBpKUhkhWT/MaoMYokK6QsBoGdPEDJxVn+n+YigekTfx2PRTjC8LDIARwQR2hcw
sypFyKLRj5VG3dlR5qkEWmyWMVyMqi+BvMVz2QKFlDvJl4C8jGRSQeINwLLdlP6hX4VfTl+KVIpP
Kqh0cQEMkjsmG2vwEC3KP6bf8/gjr0uukOwhEVesUbBpjVR8JeIbWocnSk4I2tfmSSqVStr6qjm/
BsIgHmkx7cUbmsmUX4MmKUtyJgWeiZZQsCcxHM7UR8X8RHOBIoHhV7qQMjsCBw4gIE6UMcbiQ4jo
QeIUqsiG9aKoPXdNTVm56nTKu4nYWPtJCNphO7DfTzM3+LhTyWbsY7InD63Sk0OSTJKcACK4JQvQ
J3dEB1wXqdgUvT03JDG2ZlTVJLBkugmeyEmmhCBFL4OXyhPzQc8KwLBcN8GpSkES2z2r/A2Een9a
HnpAccSUfjBBKJp7+iT9n0lJBtnplZEXhjqaKTARJFW+W+HEYQ7KcDLAZ6WkK7IYYl0PNjz1Z0qy
DWZYuQyfQzVvefmKVvUdniE9JcmWpz8DqapBQfgJKSW6udMSTHpePksFCACcLPgLVYPz2I4aRMld
TvH0ak363BPHK2BBBlK1GigcwkZw0mr6qEb0MjhUofQfmlkbD9xBjbIp/IA6N6Zbe2Ib1IT4damU
zuKdp40ck9zx4rElja2ZM8DI0MxOCwZ1csOxGo9ELnmj7wIq2pMXqpJZbaWiEo5Nz625S4pC2Zvk
RGTbhGCeJ3wxltKpoRnwV+2L80mnW7S1B4AV3a6dyb/d03vmw20qGAVrE6pa4aHi1Rq3c6un5Vfe
BcJXwSIxShmoFMHn6zFRbjuU0vc0n1WRGJDn0U8riHvB5vkFRtGXaJralhWo8W8GqqEWJRcr13AS
CqkxcLYBSXgAQNH0BXRpj96GRevSRinp5bGLbkKL9nLH9cIl8De5AeIBUH9C1yBCckYWctXcnUqT
ZlUAfygIq/Kr0BW+3SVVtzWSYbwXhBSyV8EP2Lq2c9Okk7aXh183fC/D65A9QjwOjS1VsPNea3pY
6xbYSmbTesVzKAXK3O1EUIIKrLbliRqFZc+aGtzUYwos+PLga1UxBOYYXRZFqo6KvvCnnI+OTpiu
UbrL7cTnyvVqyecgZcgCegmvighYE1m0gM5s6ucRLyp6RL0kB21CEEPCu9LblyufaN17vv5Eq45+
AM9+VWdsR1Co+GFKmG4cWLJDqPS1IhTG8VALr+lG89J20OD3MqdtnpMBkIcAaPhEygE8iXVlpdYU
AO8fCxHDhfVWUj4wi1UjHrpTeRLnWUC6ld65AGBHSjYyaQq9cC+vwpobYhltYfgwFnZTMDErmpRy
UHNk3kGCAAc2f6iRoQCPo12KsHDUxh8I/cpXSHQ+M0Mo9yRdW2xQ0lbUFwAkmyJpqMPTDijf68BM
CHMlsLitOO5Bz1nbMqd3u1D0f5N/WCQOdZDG+mKBjC+tLNAs6EAE/0K5DyI8Wq5I/0bll0zlLtiT
CaK0fXlpP070fLyVfU26QGNKWdJ4mIsDL9phOk6MewMeQwErXrVuZVbVo6WlwebyyB8tm5Ehn9Eg
NTbQo1o+2V8Ekc2kFVKkYtkoJImHAGwrF29Z/CNXy/t6IhKI2dCRQRLnfBSGjhSr4kQrg9QetAX6
ZmbSgaL88GSAt75iNx/PBezbuA+qxxQE2c3z4UzV8q1MwFLrltusJTXskHH8RnONtLu8fB/PhArP
hoEaOeUe+H2X5f1r+Wjlqusx4m7wK7naE8HQi0X7cOQA8KQruSade0V2/dMRFYiYFmFABS668xEl
XthV1nHmy1AYfvoTiS6rjZdMYh0m97A1mld4Rj6zEKQToPSBq0tEgu58wAFFCJXKLd647nivWHPZ
lG5pNH3+P5giEkRwwkuqyq6tBooAkxNRsJZzZVRgnVsLzNFYXRnls/WDrlwCPIUKCpj41XQMcLpJ
yCgtCAGd1kJr3sWhXHsjOVYq+OTCLpvIZ8ZoiRboAcIyvNnqhOlFrQWTuZiI1FsPQw4xiDMGgSF4
XUpQc8WTrEmKlpNmKYbIKqqwRqxlSgqrS4mB6TyupSB7iyjogQ9NgK7M5a3Z5IsksdD2Xy9P8RP3
xcUACZmEr0T4TT5f09k3Z0UDJGrDKUBHp2T422Yi36pk8aZKfZMshKJuVQXA45XpfrKbkMBSbYaT
CeeirgKVXo6K0Kw46Y3fmd9lGq9j7mKp3yFW1m0C+qO9y1P95DQsARnSLIrElbR2Lc1gtWDsUmpZ
wENdDWbLTSco11TJP9lFQ4bRTZdgKYL6eTUt6GqCOF/OnC8n0gjqPWnirdI0kriRchE0chSL00kC
/xtecWifjsxFQAsbYoHwpZ9vpQ/uf2xRA7Njs+MdTTOM7/oNZ4MkSSP9wLcDdh1o5fSvDPzJMWE8
kegCsmvwbcsH+8uT1rS8G3SYsrBJOR6aXOw9mGCFB4sMyhWP9skcof9TEDDhqCxy4edDVakoz4OW
0Z1P758r1EDLRq2m8TaigPRQAlN+SSTrGl/xJxO0Fm549IM0Mijiak9pmO4sq+eQRBIEOmINHInW
Fn8biHQp/LORWmA+LFQ2kL2BBPN8gjFN5+STmKAPIZBrteCYhkq7xvf28SgsigsiIqsajG/6mhJQ
7E1UPCp0YAQIBE7JkIDnC+P+Sij2ySgLNx7/4D2h0F+5z45+lSzXLIrRBhjRUso10Dqh/s/Hmiia
IyfDoSiLsJ+dr9gohv1I+A7IAtBIdqoh1yncohbaa+frk+ngmCXY7EUuOSzhfCAqSmqQkz+15wFm
0iiTawfA4hXG4Y9e8V1SFL4sJOIJf1azkQlYhjEnycl0kwPOM5q8qAH/UY50/Xt0WJfT9381Och4
EWsEoq4t0iorvxEB6yZ/QMSsKCVPttAsN+U0ju7lUT6ZmGHiF1WRy03nnXe+egP8rUGdVDzFrYqS
YRoat4jJNBvT6EKnHINr4jyfj8cTACFT4ru1xF4vi51hkNcBgiA01P+QE6W66gd02sRiXDx0Y638
vDzFTwyEKSJjxi0D5/+Hp3cmRnStsJBTmEd07hZUF4p2/nd7h5OHxJimLF7XWhENW41OjztNB3aX
iv69OdLw1MTJdEW98mNcQCpK4yoxuCtpiV+dXV8PoZta6DMVpO1AasPKQtfM8ARk39pag0kPbhKM
lPCaNtteXsZPdo5wC75ADa1CiVzKuaX0kRhVFYIldqGrwQstQNoLrXlqs0kLaDtsPQFStLk85Mdr
BWEKlnKp5HB7ri/tcJBza0BF2/aVfN5qoLJeU4GK5K0g8zy/9+ngleyiCsnnXh74E5MxofU0OYAm
52/NNYvuJQEsfIN2D1vVXaypmd2U5fDPcSzTs+C9lGm4gvJ7dX8V5Ugvvwnwy0rNfEtfow/Jm5Ab
HIU0zbQrBvqZ6XA1kw1cVhTQ3Pn+dQqSWOBUeZeaY7SF2wtsXRoJsNL7RnyEj3A6aiTttgrB9fO/
L6fBMqI2YmI+2mJaf0UiRkTuOtA10P+Ame4lOJ+8Ak7FK2/UzwzUkHkTE0NqPFVXMTOcT6UC4zzI
ZD0x7AbAwqsywuoJ/rba0SfS7P6HWfGUhuiWZw+u+nxWM3QqBS2CWKdalJFLl3upA/OCJOuKNX46
MV75S/DB/5urtz7MVMBCYWiAwcWnhwBlYAomTWGN6S7JNLF5nOn8uZYJ+2TQRSSFdw+LyRW+uhhm
GZhyOdNnM6HYRo2KFq4JHHwBr02QZe7lpfwYyWEcvFA13qncCsrKt2RDQpcttDq0RLU0FznRPFbp
C71fRjXSIT4N8rVXnbSEBef5YCI5kZeVyboSPax2b8ysMNApTdgWxy7zor4Vj8MIg5gVtfnONykd
SVHVbEOQkWgACpSn7GAyKAhmnd5dMd1P/I0F8QkuXdHx7evwMhxAZqIOVYCtqQMPIV0gfAFM8ZdX
+fM5/zXMsg1/ncNYb9Ne9FG/8ed51O26W8i1kIpUNSdTrPakZaGwFwfqa2YKY22ZUoqGuNxElScW
r+hUfWZf7Ph/wgp4htVpLSCT8w2VKQdgxx0VtOpvpa4SIGFicOgb3miXJ//ZEpP85i7h5lxE3c7n
ruoz2hQaryFDUyp41+ggMqZsuDKrzwzZQEhcghxfYS+XWf+1wiCD1XTseCdAoVd99+OAOmIlB28I
b18LBT6dEG+uhaEcbK+4WkDYkQEISAQcNSLirl+DCKRQE14JOD4dhaYSHA+5D/z3+YToa/JLGdlU
ZIKDyNxAU6R2Li8tOqAv789nK2dyD7JHqBco6zC+Jrg3aWplIKEVNwLIdNcoeuOhpGP46X8ZCuJn
awms0QA/n1PWjE1rCWxSObblyfTbkAqnCYwXNNEQf/kfBkPtihQcIba0foVDZxPCDk3A21OA2XRd
i/AlCHG3b9Nsc3moz/aKEI0LEDpmbvjVvMAwqXqTkbpRFC17gMrCvNPN3rziq5afsnackCQbS3qI
G2LNxZynvT5FM3aXN+Am7Q6s6B7nOHwNyVBtyo5un8vT+swySPYBUQStRA1rdf0pLU3jmU7pDD6t
3Iln2uPqGJEw4vrwymZ9nBvZEhWj4OIjk7Ge26BKVtqAqV66qett6FcPhVkfgMrpO7GO+isT+2Q0
E95l5BPQfFngZud2OHSKgNo45XVtEPRDkFnCM9JOtO5I3XwPRZ9/Jd78aB9k1iWEc4gjZDpdV2c5
EnUA+0JBUzs19u+lNE/k3OTh8fJ2fToKKoccY1IZ1DzPZyUIvT7OsDOBaIOBVe2D+g4I5zVNpU/W
bomFKLTwOCDpvPz9X46WdD3dUSa4+ryf+ntJ8hfIBF2/BzUb9G9y5ad//nlamCBJJhm2eio8q2kp
elpHQciTAIYxgvVM/hXlxj9qVJNY4D2g4pZw6Fwe65BSFiCbyOee512hwKLbwB1DdlnNHaAYNKiJ
7NmV0/xxt/DrGvKbvCkJMdcFwaov6cDpLfB8adXdGnPsH8VuUIZ/9u60VIgGyuUG3l02V0kaMwPv
AwAkgRmjLbwsyX7PC9Ss1uNrMlgfJqQrEi9wQ+SJLKNevjpUMP3WQifSiChVU/Q9K4TSS9rwn/Pz
jMLTlHBiEUtgQufmBxAUtLcB3XBNG25lJ7kJFc4wDYly7LsS2F7cWIDo6JPn8MN0WV2tk302z8Vt
8CLHg1BxPP8EKS+dpeEX9FKdgpWJaiW8VSMt+9f7n+tk0djiYuZmxjWeDyNCD9+pSxqPtjDTtZTh
dw7IeHf5bC2x9tmVQsZzkQtZauHW8t/zQeoob+q20V87eoTLQnjQo10mGptCkm0UbwhwaPpCr+GK
TX7ILiyj0mxEWlddCINWewiWELbeUX8du4MVmrdZ78mF76R67M7zy+UJrocidyxSfUAkh4wrHdAr
5xHBKzEDDaUrWB+DO9hOfKcbsv5GgG/dE3X61Mjshd7lQdcW8j4oNX5qmjIhxjq1F8M6pA3FGNrw
dyQP9Aek3mxOpnt5lPXt/N8oJjGvoizCeqvzRhE6gA6YqYW0OQ2ASoQlFQuLkkNf+TXAxCeDLWIh
9KFR8UYiY+X166JApkxb0Iihz1hDaT5yoXFjjq3/j4bPvM6GWhm+pvu+MVcMRW/iQBND5m8hV/nX
kG0ZhcwP2hjk1fAkK7/YdVII8h52RpyMth2oGlNsm43N5T36aAlUZ+mCwE+RbSI/cn6+6DiYY02n
OdGPypJXbBPCsJj+q+el8nM2yuoU8yCBE2Dk8QghqG/Dm/VdTKTvl2fy0QBIR0DNijjHUm0yVrsy
pkIrBzNUaogW6b+kET6HlAbdhVfCuCaV9G66f7slAgwGI0VAtYT60lqhboAjQZ16qlhU0WGRIWYU
aNY2mttayKo7wLfFptW7bgf5q+yMUSzvYclNr/jGD3vHGxnNEwn0lrn0cK5mnFUwrGeh8WJFdABU
0Cw6o55ci6Y+HQSEB2tKxUYX14NA+wKNcPA9marM8pRK0Q45WnXW9p92b0HEqDyEKKEwEPonK1/R
pelohfo42IjhhSCXS/MLvCm0kKpxeOWNt5rRf0MR5SLVSg0bOcNzk1d8I0pygltbz2j+bpig26WC
dM1JiOfjUNCluMWyqQobxC25Li7wR5IghdLDzf60Oe3czca2NzfHzcZ1N0eH3x9d/t91HXvHr9zj
zWZv7/ma45HfHlyXv9u5B/7OO/BLvnqz35/cHX975Jv3fKnj7Plpm63Nj+THL1+yKfj+/fPmtN/z
02x+nO0tf73Zb5xXvoSPYDvLn/BrfuPZtrNzdozL1/IT77cnfvyN6/KjXvmTvWd7Hj/xxT3a+/2z
vfccvsfzPMdzHGf5Mo/v5+ctP8y55RdHZsInelyG3+6cw1fvsHypd9jbnnPnuPyaWe+2BZN3+HQb
b3frOJv9cbN8UD7blu98dN74qTu+9HD3tNs9LcvEQi3f7R6Pmb0M++Twx5dt8D1x+f+n+sOOrQs1
WVw3KrClh+Pm9LrfPDMpz3lzdgfn6cpI78meSyOtnHvb1KncYhsb9+HlxymwT7b3/c4R7SvjKMux
uTTOKrpoqqakf5lx2KKX/eMj++yw3mzJ7ubo3jjOlWr/Ko/4cQlXL3JfaqsYJvWHo/v6jLWwT5f3
CITLlSktx+6v5x34bPqPYEc6PtxsbhaD3hzf/+Hfp9cNZ+OErR5fj5vX46myOTjH11f20r7dYlj7
x+1+u9162+2tfYeFHZybHeb8/fb23Rxvbedux35z8jgWrvNw49icT+/w4NzcYH2H3RUXftUQllvt
r9moIpKWMevlvrjPnBtW7JpVv4f7l2xg5e+g2qGJkSFuNq+nwONYctxPy4Fn2R75z97e8qvlVAc2
Mzz82cHlaf9xd7vdn8F+eLpmIu8V8UsfaH2ltKYSZ4tRnvbPp43zZ7eP7M12syz6cYOPc5+Oi5tk
Y9gIz8YHOstv3dPm2X3ePx7dlwLftrVfbn5s+AFM5bS1t8/3Pcvn4kUe91vszjtg56Xt3b3F9uGJ
rXZd2XYfMIhXy/7i3eFJNq69c70H/NDhuDiYy6b6/kC+NM9VbJUUwqhIWCoO+2i/4HN7m8/9fbux
H//zzEwPJ3rjuDcbPoSH3738CZT3OOTSR1gFXjPUhtOwLPUL7v3IKhwXv3Z8ck+uc7Pf4613r5wW
nDUen1ti63kV7nWzYc25enbLLeC+sDmbV3d/OuGwsZvTY2Db37CiDXvCLeEdOIUveO2D/e7L9tv9
af/4ex/Yvx+XH/rj+fQa2c+z/SOw9zg7/NDpkd/+/o014vN3zt0TPpZ/P+yevKfdHweXv3uyn7lF
RtsO7C1H9dvt3d23u8PO+7I/7H49PXBTOA9cB47nPbn22y0X0e7hxn3iiNre4XCLzz7sWHqXVX1f
Zmb+h+XmcmVE7pbdkXv5eOPsvDuO+vsXfn3ijxen8OTePLy8YIjOrys7ctl7Ebmdn3dklQrB4Irh
lrzhf9ju9uhy5XH0bcc9/HfJOVfsAKm6i04TMbvzYZPeMPqCYRmT5TieOP8ctWXU5faubE6R/WO5
63GXnIu9zRfiHTaPy63MRrPx/OqRb9jbdwQEG361fO9+v73j37snFs09OA/vgQ3LulluTU7UHSd3
/x4u7A4HDuRi6pvFBk+bxZ2G9g4TYvnx1hsXf3yzbKO7ezkS6bi7k8v3XN6A5Xb4/wOhvwd/IHLe
Y0yUydcA0bkoYPfMQxqgQxliXIhqbhVxvoajWndV/DcMoI9FE5kqgrbaZugMe2BNAt2NvVbv4rGa
biH37e60LtC2IXUMGu5HDX4M2uqHBG07+Gu6YK9Bp+cQaV97f63eRu8fRwehsbyMyFN+KBObuQyz
MQxexTSmdqMm6c0Iy9QmgnLgeHmB3+H66xWme0EmngdTScry3NRUNUORYyK8DuP6uaPnGkZTZTv7
yQ4liZ1W1K9dNLx2EqqGqv+Ua93LCDBwIhlXtckeuaBr5aPFza4+EPkVkzyLJdPdsAZx0/kKWYqJ
cpEo1ZbyO4OWPznkDeCzeyjN82STRHMmP0LVG/2cI0RCroDIP1l8XdcVEQQ5OFY4kc8XxK9nuYOV
vbdB7COtoBeFS1tX6VZhnF456J9Y99lQq2iikiY5nBazC1td2CcYxC05wu5KDPb5KBZPJxoMlhTF
+YRq2Eb8POUMdXMQbmRrFDalDAXoZUP6dBSy3RLILLAh+sqOLMSvUhhxsaMijl8hq2nuhF7QHy+P
8plxgMDlSFC2AlK3Co7AwQZln0F2k0RSvO0zwmUadaXAC9SgvRVLyLbkriwPSh/3X/59aFPGIMBx
yx8PCow3uTRkMD4o1EyPo6QNb8hVCXsYeLT7DLJfGG11/Z4n+bWWjY9LSz8jaXBQ5OQ4cQnnGygM
IG6EOoZWzVSrY5zkxS60mmsgmI9LawLMYutEUyTvvoZRhGLV62KZTTZsCY+irr31qvnsz/qhh1gP
Kv12Z6j1leByCR3PzzqFYhkSJ6rfMp1Tq9CStvCBakg+QQgCh9SLVaLXsislJdIdmP/LECrtJgAb
A3N6/PXydp7f7MvNYkqkE4CZgooB6bwaGkwzPf4JQ5s6fXLK6MdeUYaVhwQlPahtfa0g9NlUVXAq
NEwBpiWdcb6JkzT7aiBDU9gMsFDJYxZ/S4PA39D+FsM5YZQ7JCKuyTJ/9GULSgvkON0+WM4axBAi
AQ1fDbTX8EwKTiIWgpuojbUpoT11L6/np0NRSoGbA4ppbuzz+cGfOyOjDfcfhM6DzAUiJqLnW1Ge
baR4lvTd5eE+nAmkkMG46iomu0AoVze2MEJpY2o0xmojlGpCDe1omaBne3mUD0ayNBAyxILM0FCq
X87MX889y+cFPUMNCn9xZjYesXmcu6kear9o2TehqC1jdXN5yA/ruBpyvY4pvAwmQlMODBylK6nJ
79iQWjer0v7K5D4s4Xt3JMhToivghPrqXgjnKRRhqoycYKq6PRRymUPLdn7FLj6OQrkJcCT4M65U
JHXOlxCy9z42KshjrKTRvCrsZ4g09Xl7edXWp4vYhVPFucLKZROC+PNRaJiXkOIEgNz5vvg4Wj1a
lkG3nxSjt9GFHB/7YrqSMfwwJCtGPnnpplua6dap+FQylFFp6G+NmlpyR2RlNMcqWuFegvDyZJnt
QiM8td7liS7b/7fHpFZJepImm/czTU7yfKLpOHS9mKDP2W4iu3MGr9gqR9m9VnFaJYZ0nMb5OKs7
h2ix06uUcUr39WvuIolm/zrcv12ezHua+NJslPPZjHoTQsjAKPIWnKeNxJon3cG+5yJL52geiCj7
prYPqBrZ07fLY69rAh9muBju32e7TlK1XpROhZ3qDA69ifZP42gc/vVeXa/kcuD/GmdMc2i6csZR
H/xtBdvRV/rMDv4Vu1jf3utRVtcLLElxKiyzmTdItjnwOTu5U145yx/eSetRljPx11yUqJbUeNmv
Y+X9SJzn39r27evTNUFzadn2S2axcrv0l6WTFDFM5dEN5EALZX+FA/00O8YXaNX/j73z6o0jS7Pt
Xyn0e2jCm4vpfsgw6cikJ8V6CVAiFd6dE/7X35VV1T0SVdOcwgXu06CAAiQqGRnunM/sb6/9B0/C
+Vn+d4d7t+R6gMRZPjjc5H/Bi3/ztd4cvvl3jx8c5k8WjO9f3fc9k0rW0sGh/XxWGJP69PB8UI6+
G9jBy/ZZBg9YOH50wz5YLt7PpVO6a730fMwxILHjBcvCp3Xz9eGUbq5l8EJOsEk3+Qcby0f37/3M
o4F3ml6e79/if1kjdQuoNJRResr28abcDpsPLuyPVfOf1ir93SpSmFhb4PpwPsnUr/jP3GDETnn+
o+f//d787vF/r6Q2FQiRKYKyzXnQcDPGTKg2YjiMhfPROX30rLxbNFwnl259ftFc6/MQ7zIQFq0O
g7YucIj7SAf4ruz48wV8t3jkrqJb+MD+fgHLK/BZgROB5vUfsiALqCovLMTq5ttHZ/munP7zgd+t
J1NSgXjqOLBxpx/kY3PqDsaX+JouMDSU9mW5rw/ZlXFt3X/wxHx0ed8tMEk/Z3ZzfmIMnhkMsXg+
xx1Rnh9vHL8N6zAJXN/17Q8W6Z+KLe8foHcrzaLXRSnPLwa6sCjbacF95VNYjTctl7eJ9M2H+/if
LQDotJitPJsYMF7344otC7eq1fMj24UgMHk/jMAjcjB971j5kJVv5DWgka3Ymhfe/oOr/Gfr6vfH
fneVsflbSnQrxCrBFNqPZZRGU7QERST3+u6jmtmf3VJkHmhJmHVAq/guIcjhh+SLaOVGAOVRNUxR
cA01l7ehFkG+3vz7U3u/EJwbZ8wx6Qgjmb1ES/rjVbX7TI/T0lx9xeiNCNtKYBeayEDfLusHS7j5
bnPiUAzcoL9kNNx1sCv98VClq9uzPgI0jTEPOjZeXTOmZZQfrKHvr975KCbCIrKBs4nJ+7qKqS3w
mCQulD1mKVd4gTsHMZbSVxe9usrbqnpgwly7/stXkQoOaRVBO9o0+/z8fBdNNPhXCdmC0IYD3obY
5bOmmn11A0Wo/OhZPC9h3+/xnCA5HIUb5iMtpuLfvQdAEsXqOcriO/VYez6WZPIBT16sLYXVGMV9
qY09PvyV004bBAdS2WBZXV2X+RI/Wn3dN/g6jeO47ypbv0Hk24F+FFnrbloVnOW/vy4/Bd9I4ZAs
oUFAZe4ZSIp+vDAmbLO6dxzY4to4goJTymRhNQQlkAaztGMGWGxrnPMI8Pz4IhCEfU2kl7iBhmhr
jfLWsD8yHnofX56/ksHzgeoIB37wkj9+JQXvzEzV2tmHfFXAfzD0DYyw6hk9hoWRbDu6h6XV2Xaz
cf5g1fz5ZTO4aUwNUA+mQv9bh/m7xwSDfWVaGNr1Re/+2qGpfejxhLzCCP2j4Z0/OdJ5wNlGHUlV
AYn1jyeZyDOJ2NNXXI5zG4UrI+hBs+SYuCMfevv3N/nn95oSJjUv3JwYoVXfKyUTR52rBodR38Gh
MOzFDHezSz7IUX9KcrhtmF0YTMqg62MLOJ/xd9cuoTlh5Osw+rGSxpsZ0PsmrxJjwwNVHbJhbUKn
jMtQV3PzEpFl+WZVi/bBCvbzq8d3QA59HiJH/f++0ras45Q0HW+XC2LDDpMmVu7MQmVUw+uxKNxD
lcBh7y9f3fM6xtw1CmyNSv2P511ZaWU0ZYz/kWwwJlzMIqoqx9j99aMwc3ZuFiAFxcDkx6Mk00hv
aslH3PfArGNQCfyhWdS/fP1M1eBENCprZ3nSu1evWIzC6dHr+tnU1pelKbUgUzAFnDB1D6phjqO/
elZnKS2DLnRAeHLMd8+MvqiyXPUebM+aJYe8UdZ9DCrvgyTh5wXF1S2sNDgpWm4/zYJgxkJLb3Gl
7yhZHagqtoQl7Jyd6lpK6FbWhGH/LMd9rMg/lPL/8XX+P8lbc/37si//8Z/8+WuDB+dZzf/uj/+4
zL4K7v23/j/PH/vXP/vxQ/+4Gt9EP4i3Xy5fWvlLNNSvL33W1O8/88Ov4Eh/fJPgpX/54Q9h3Wf9
cjO8ieX2TQ5l/9vh+M7nf/k//eEvb7/9lvulffv7315eK65OJnuRfe3/9seP9q9//xtOUuc+wX98
f4Q/fnx6qfjkZYZt6y/bN/GSyT/54NuL7P/+N8XwPp2dec7eZkx00f0g/JjefvuRpX06P/bn8fDz
ZvWbJ1HdiD7lY5r5CV8+lS2Xd8+yvPN2y4v22890/ZNHuxGnAmIa1gUs7P75JX+4df91K3+ph+q6
yaDK/v1vGn1B3rLvt3bMhtnYz+U/18Bg4X2Re4RIhGTG1P2FtfvatdCtsq+PG4rRzUkv9V8Ru14t
XpaGWp8Ea+WqvoE3ra9j1F07g/bSrZO3B3mVRK0jaPAmQFkhjkAqq4YKe/iuCI0pjxl2MO/JGnAW
rJr6RP0su0jwg94YfVnsIPx1/m8SZjUBt4FtM7AOJpXzIbnuZLwwJ51fjfnQRmm/3AL13Eo3KZA/
uwoUcfFUCGU+o150vI6F7ncCZ/qss+RDu3jiAn/0OFTaKdubee6yP4kHqEryCHjN/Aq8SkaVAL7g
cthtAVVls2Ae+zI4tXnnFt4a5sKyo6y1Xq20PuFmmWxVq7cpnNvzwGXBnU7jTdqltlv4GI89o35t
97Piius8SxyfGVui6Fl3t82yLCcsQa4SxanOLjTattTgA5noqn8dKeZBKKkwxB893OQNpcUCcLqT
sZiifvHyK2lKHUQFUwh6w3SwdJQhLOCdbezBvJmV2gIqhcU/DKIC3MiM37ZstBAId7TQt98YeKGH
idMwRCBqI1DqLszNyjmkrjiN7pqHvXSXAEOFB8x0FMxXFOhEsxCUZ2W9z2y6uqpooRjkuXXbQFWL
lg4aEY2gboMdVgUyd7pdew3fZjMtQpiK9cGKmz3QHRMBarvCR2eolVi5e9JWAn74CO2GKm0nAHik
KyAVxdzDhpCBPsRfRD6oYdsP3a2rKI8ox8PJtueIhOy2apfrxB3IMjMFK3IXC9kh1Z/0fqBsURat
7y7DszvXT0ppb2tjfjLjnOe6x2nDS1LVX0dxmOaOgNTKMVGUyBZmrwSIggErc/IT7WQg1jh5tULc
J46JgzJOmK7XP2GhP9ynCjAVu8ITeJXielBmbyOkNd07aSsutKn/tSqWh3y2HltPfivWFYaVGLdt
453sNpmLG2tWhm/4GEuxx/saNzKt1fral43VztBIxxkkNwupc4QtADXIFC6uv6BQTiazhnjhwDQs
rsY1rq4GtwTM4atm4T72SmsDewKWvMDQSIXZBnPpgcWx2JE2zMhi/YFywFv9pMRMbFN38dKGacwI
5cZMh8R+qAuDQeRc6J3DvdBSsmqAXmq0WlPRBugQi3mz4GpqXhbY4F3VTZu0J0PkWQYxq9NbFwws
70AXGVmWVmE11YQPBEZa9ioaM4YZoqx9gqNm1T7i8WnfzANGHkG6MtHoq46C45xdAU3Z6HYyPeP/
OCb4/bvZKelNx9niarseYuYqFAAKTonGYc2qAR8wMGn7GRtNXvcCptt+GKeeUQJj0d19MZnWEBQ6
1uyYo3txYC9d0YWmV6q39sigl98bbZ34Ttu1dAK0qTaiwowXb5cVNGSwrJ108GNgoVbm8uFOw8KY
ugG2VjfEgw3QIS3WDb7WXr9T8Ju3AqcigYh0avNdtALcwxa2Nns8o63CI+mwR5zMXOAyWCWkhLZ+
7/QuoFnMBJ9UMO5KMMdts/prW1sPMsUzHt/ypcl9Rp2WJUjKvuuOeHGDd9ScdRaB0Yp036Rp2/qL
ncknykKJ9i3XVlwRB+GmNyOzl/rG0yr47gnuTf2+dArv3ONp3f5USbiuoUz6tb+ELpEpJ+HVGcOR
ypAs154q3f5ewa1SBkpl6Ts8hbjBjW6Nxb6Ia/yznTbDL7MUCgR43ZwnDLnj9a2RZnwLZYQL0njZ
4oU4xpHe24sAP+f1wrC+jtNoXntMsLzAGVpeYOXAHLEzA6oGlshmH9XsrZ7ftCArtquFy8lxcqpO
jzLPbK1d4rJp3MT64BRhO3kw2ozZwuXdNSDwbRg5n+8Ge+6vBHt9hHXvCJ5yPaowh45FL+Bq1H19
YyXdCcuzedsV7hSkkzNHg0yaKzwRmIv21OnKQYK7Wd2KpHBpucZjOr1oSb5uYQicZmEr28VLATtl
Ur3A14P6VzXvVZuXrY7L3se0GhvsOQnUDgQvEmV5Sba2wD4crI3tDFnkDRoeBI7ue60Xb1tB+94o
tCws4GuE4FvuymS8SQwzZiasavwVGDSejLYnLvMFuv2DUMtCuYilucOuH1v2tqdlbZKh/Vq4vCVb
BB7XdWO3h0bxuk3mrda+SZST1dnrsVDKrZAzyq0U+Gh9mc6tejmU3W4Y4xdjreC5l8030eL4lELN
jeAVXmeeTDZqzqCplK4TOKUNsaWPWROa6/j8hIKngzXiwlFSZuXssA3jDFuLU9M1k7+kcUR3uwRQ
Yby2k/W5Syb10NDXZ3e0L+PamWGftfYlydcYkKyDEWn0nb40oaJVO3vVjJ2Yevlmr5av444etEA2
d3AnerB6vdIE9sDWnLfOE6Zv90JT+/3CA4F1BQY6UHw8EPXii0zARMORGm/hBsEfOqdfS9iDMdLZ
qeq+89tWxIE5DqwYjmccc+go22FQsjsLhEpagHZRnFdFaiI5pLlJlxsoRWk9deAdUj8FALduMQha
7NOYaP1RV4jNIsdbVUCH8TQmoagK3drIsj1jBxbcN268crEZ6YqFBEtj1XhEq6O6zTxAzQ2skPFo
rmpbgPla85sccMpd7sR4BIyZpORbmVrzNhF9tRFmWZZ13acMfgZDtgCIYZa7rY8V+thdM682Q+OF
49bGLktXTTtgHIb9Jti3Et+wzOtecfdOJ3zdARjtpl7tuaYjNe79ILt02bYDv2hP8m2UAnYVKMrn
Wkkra+ul+EWLKM+FyQqtd1W8T1PQflAVYjM/LEW7aA+1W7L51nqdZTuzkwyWuTXW7EcMAQogunap
JYQgGC89rc6Z9WegTcqkryfSlpd4ZVUg04ysLq/tRZ2Ga1UOM6bNUlHWOHTBe90OuDYqGxQs9Y2n
inUNJ3K+7mYh5oE2n47mVWM7y+ojBwKzXlOcoqeu14lzh2G31W9XsNvuVd45BHMiHVoviO25ITok
omp3fAspcPWf3HRvq5kFl4/QgAEoZ8oSNSykVh3yQi2JGnrIYEri9elDVS3gw9tpcctQASSn3Oqr
eLaqwtm5qrvLSITRSHhdpJXrdtUWsVOGc0wr2YQcDzgIi+4RqtNwn5km5BQd1myqfCkynEYZXYdA
wWyj4vqFPed3gxnzNV03BkXWPEy9fWhUNSRuC6BKM0xqmGfO3tpuK9nuNIcJYav3koccboardZea
TR7eVDU8dllR2qabuLGZkbN5TyJbMb29qZaej23EYeiae3rQuENNPD/16u2GWAm0ZriSwppuuMBP
AA7PVo/lleoWhx5Iiw91S7LldYdlrvNdPFh7QqKrxNDaZ5ax+WT16Kay9G5Q6mgwTAgzJYYesv6s
5drAitPEUWN7Ps7Fj2XXXktv2KV6/aV04TsC8L0Ds3GTSmX1wd3Mv8IxeHZ5QzGdyA6L2nc7jafP
KtLAmFtqz3nLWGid4NZarF+0Kb4sO+uuB2WwQftwiWJy8nPH6y6AZKAnNc4Rke09mZ1KE6Bpvq1j
0gexpZGrgLqdnemET+FxBOoCMuvSlspNWeWPqyNPxtKAcjCygx2XX9uhz6NKJsoG9GO6NVLI5FPX
fD77/PiKCz8uXsoR2k3bfhkHcTeozi0uBamfJONlano7cqlIJsNxAHzDfme3fipwqa8lwegAx2zp
T1ap3TitQRoxtde5Z91YrhlRcH8cQVJsVF16vKKr8A0kJpvF7T+zVRMiT/nFoGi0ixN3S6j7uUn6
qFs6NnFMnvyzEmWZQFuP7UGvoSDkiiy3ude+xroltsnkvogYEAiE3EZ6hzVZHl1So7A1MC5qE+t1
9gjKW8Cfhph8AwjSCI+89+kgb82s/JyTDLG3UA89wiJ/UtdufWMseLyIzeyB4c3+bpK2P6omyJB5
zzJA2jrPYdLFB1EtD0WlHusVOwdZx9eT7Wyt2r6Q5G7El2HuqOPjMgwXaztfFyRWp85x7kyglAHp
r8pSr4M+ELO7z4acwgqGSb9OpRssVt7eYhNuPFvm9JiB2gjkCDuQ2i1pWVIK36ri67SDAmp7qxJ4
stCPsW5X4SI1bs8C8yDKTH25pp18XcRu6ydSnY5N1n5dwfUCkrKnCzabFgDFooXrPK93ggHjPb9D
T3zPKNFvUOINqyx/8zrFDRpzbHDjgLRYut4QrYMl+q05GK2+ncYzcYHddqieingGcycLGXuhOY3x
lYlnnAlUuSeKuiKLm5tIQssc9vgt8CkzTtUdYXreBr3Q0m5bwHLNQ9IeEw/6Rs/VZF+77kgVEjgX
8AZXYpigYB5bcEoCON/qLaBdjcI6A/ncASibUinTvTvkiwbaRCpH2Y78rV5Rjb+YO5dyNw7z8/04
x/rzusBnvBgr1GkBAh44ferEVx8yfHfAV3XShRzoCJuATSzeAWDSSkUbXxx/ogDTsiYseTiP1ko0
KxrOSoFyG+TKNEWqleZ0Det2hHifSZnudPKYSzApJDzeVBGSK1lFSIsFQPMKsno8DCRWCZA7u9i3
bZ8AYe/L+qi00vhmJEZ3XycrRkCKnQwEtTP1N9mSeLaz+mKV6+fENPJr2fUuF67x0kOjT+4YzasO
y2rs5KGHuoSu8xFY1ZFWxkkqS1sFotfVy8qZvWNdYYUbdSY8sS24HRHZQ30SBgx2xyPxyecB8PKI
NDEmp8+pxzQi0/2SdaGEqNetEB6nQTvU83ptTiUXoVt9I7UvwDIGQ8eOWRnDFj+WR4Ms8Jg660lp
Mn8WU3NGzuOmoFQvfeIuO1lAKR9chOqdrE5AzYgtrW7azJr+2JdyCavVfmUfOs3mfAGO5g7AYBrv
sc7Aq9yCsf6ierV3FwMEisNVZn0SlXK4pbIVX+Beo7FaKMV0nzSTNMIJEO1tAyhbgx3XKnWokc4t
gWs3dn/hoM/erqaDVUaTmxPn00yiOBp2c6mmsM7zNCX/GHU8GqCX6a9S7U86xaBYb4JekR0h29Rc
Qp2LMrX9ksNhvpgaFcSXvj7nmZpsYVNqQT05KSujHrEZfa0oDxB6eF3p09BixXL1W9JHEn8ElDAb
PM+4bOrlM8WkN/Cus89urb7ADTlk6tjczDO+JYIFc8v2vNZ3MPAI+dypM+zrxhzIJ5PqHHqNclGO
pOQeNF/R8k/UxmlEUNjgJ8l+uDqDypppZjahWKIaSxWqQk9ZKXU3RtIPH3im3FYNOMsqjRsSh/L6
m4lDQJfjaXvD3p3QAWKGOppW047WzMrXICZxL30KAMtTXRkj7iqMar7WGRJNrop01cIvqunMaoZ0
Ji4FNBp5K4bSSzeOUDJJA60ZRejZMRYmtmQc42tXe85nMMcU4lJzVEJmuafaN0GUF8zbt+cw00AD
Es1uIdTQAmJOCGwo05c2LSwg9f2CphhnjGyDxJdsVe2SjYZj7h1Szv4Itbq4NqXhfMs6Ffpu0ji7
ipIisXpPWa9t1a+NQT1ugx/4uK3KoX1woEViHrxct4sEe56ocu8Mw1sFOs+feICieJgd7dDWeufr
UxuKRu+9Qzq747oDYS2Mm3zBeZO332VToDhY9D7JqZcfJg8/vkDDejQ5StttoVsTsL52lQsMsFLd
5VtnJ7kX0ljCprAvisnbSoCI8Wmym/qQz0Xc7vvaHDMYw3RX9gWzOWBZBk3OR6ZWSFmKjgpyqNhs
GjgxqVlOJaal2JZVhpsc2pJCb6h0ZypqIvv46jycs4C7bEw8J9z5c4ck+iFdOtXHw7z0+7zS/Ixq
1ak8EyWxQPjSrIbYqwDATyY1njczPnsPqomVv0yOXW6R50CdkpNtPoxFqekbqVrKpsMYFfza4N0Z
RbrueBM8j2oUx4Y4RenFV+vUmS/6Rkln3L6NOKkunaKdtTuZYzcescbUHa7OGKnuDCvDbnecSV72
hR7L/GUVandHOihjRliSbr0u5QRCec4bcCfY/yzWvTWqVhkKoUI2E5k1rzskgrBdRc2QCZU7x3yY
hFrXtwTBbX1juEsmHvIFQ899H9MLRUWoeDD5zIw03u87x2vCHtpwHehu7Vn5Rs+bar1w7ZhrMNUD
8QII4Drd1Q1IrE0llCK/51T0deN4ZO+Rphbc6MEzk/SmlI0w2XTn4jnGdlMBIKcq2jdL66ovGffm
G+m2Vn3uWpJ1GENNII2y58lMoa18GZK867aKjdU+LDKV7zjRFKQ4BDRZvYrLuv9iKlCwQoUnhmIk
7rbHrAcyGZ056hO3Dijbpk8arwvnomhJ4ujCYg6l9cZdzA6kXRPqCcMfRkNcJIo3OhGvSacEw4Th
lx/Pak990TI9/m/Wq6/N6mqHsWukN2Q/oNqnjr7uZhUaj6ey2PoaEh4nrzI2YmjzCvaJBxY2pfAp
za2sEH3Moia9Wpy/c5n1IRM6LGVtbMv55Jlluh8wLkBFV8IT9vMh42EGpJzbIR4g6hhQKmz5AqiF
i63Dm3WCeFsmVzN6Ed6hfHAwVKcHoCTVaH/Wh9R5HufJvGWNIAp0WoW1vnMI//sUfiiBlDcRbtLb
yL6MIklDpxfDaW269TIZF+O2tDKs2xLXjqaK6o47Gvuu7/XHxY5x4tHlDjOHOYypez54fNUdEQdh
0pq18Sk3utmH7jVQzkTYUK5dfdloY7FzW/GSajADVBVDtcaCFbew5J5Eac8bwDMoC/XYZhVMzJOI
M/Pgmormt5axV9z1rbInVBOLvnHIpte5Uv1F99pg6bV7V8jYnwZZPttaXd/1rOG7WSvhvLb9rXTF
ru7cW5MS31ezce49pzxYKjt7SUwSgIa27+revUi89lKMgMPKZtk6Xo6tauaESZGs0Zkd+ti77utY
x16UG6N2cGDxdnBjmaaZMq7FBgCxVeLE2sOFSy37dxfJ/201ftdqPDeK/12n8ff2ZN/8Er290m4s
v+82/v7ZP5qNpvMJ+dbZQOpsfXjuDf6r2Wi6n4AD4DtGU5GWonn2lf1Xs9H6xG3H1AUNETODjBv8
V7NRsz+pFEpQHTD4huE2hJa/0GzEJe7HXuPZYQpRztk5np+hXTp3tb/TU5iLWF1ZkUPOgrLZptDs
Cbz6qOfpcRrHqXtt68pzThgjbyntXsSutV0bPdIMeQTkC9vZoqSCa3pQls/CIao31b2auMeqoy3U
NLckiGwCWThl/dNadF/F3PCIugpxcfsm3fxQxWkwKtXN1Hqdbye1b2kCSagdURIU0CimqAW7oXrT
s27b2yVOH7O1I6dyr9nzL/oExvVgrEEzeNdDa92kNGpE6kXjVG3r2FAx+1Eu7JlEWM9YVwn17Ux9
s4r4LlGMHa7T+qYe1G2ve88T4MIl1w46jWpjMO86DcqolTPiYW6lQ2msgI0bl9Ri572myyiv44PT
ld5GktbWRvsMta/aZFZ84MocGquJlrepvezte71w8FtDiDk8lr0Dar2BAr2KbQ03mFo0E7fUsrxq
R3y1rT3WnIS6vW0UEWTSh1pNj7QbyRHo3Jh1IBWGhxHAmOmvhsrpmIcmL4IzLFxRJLOkatix1qvZ
ABqeOHH6tiwPaz6cyRA+jNd90kG0k/oGqPnBMWnx9ume0jQCLCdo1he3AqOrGSCvm73ZWTdJ/lnW
Cx2NdU8ZzJcc0iSJKQd2tttWnXwxPSXZHGVWsxXcTueUEC9Keqw5kmJ3geQ4Xjpe6dtGSIAZVJzr
4AD8Fmmojsa21cXOGBW/7p7FdBDzFFbyalheyQV9dbod0se0v1uKb/hRRo0jIsf4NaU6XuQHpbzV
U7/rvd2qyG1hxwe7dyNUk6GNPRN9Ms9Pu/lOp63rqvlzrCXbuCh3+HVezHF3OSZmYOYxCYKVRjJ2
r9hedqOw9iicnoq0vU5W6xaDrV2GDZCW5UHmcQf7+BEUX1D29UnG6WWc9FvNsLazOstgbK1Ik+6e
N2pfZuQ0qb13SwEeR5xsc9wOXhnRDdtm+gJol+RXVj03Tr1ik7zM5pSzKnhIVfc4edT+Lf2h1ftD
0ZDLr7abw0WfKfVAS9LLcFmM18zNo9Qirh9hNWrefFGZ667z1K1XAKHu4q7cMIK3Lef4qjSMA7Hc
1sQwu4Jw6LtT+rnL9MuE0lWsddmmbNpdWlbpFs2Eg+17GqiJ8Vhnw+dkGp6MnkZiX9J9ZgW4FWnl
QrH0Qvo9x0Vtt+RkvH3Z09Lpzn72hj2dlK9dKnm8pR3i7P6idxPNbKy0/VwSrVAbbAKrtO7cfvna
WApSKuqEeer4qjI9wtAuWxggeUOCCJPQ8sFSxc6Th/8zxWOrcCktuJ3e/6pkpktasU47Vy7DVnrd
V2/sZUj+2oLY9cp93ULErTL7axt3ykZXx/xUde5rvRb384QCveqKdjNQ9A7MId83SpeRvME5oRpS
fdHFmEXx1I+3ebveo68GQVx0x3kRTPiIddNN6SMrTyQSPaRLuUvsIrC8z4Z10zwWAr4qbu+9S8HD
ZtJDzxjdWnj1rYpCTd9Au+9ZRGUoOUGINNf6NEaysomwPO1bMfb5viyM/ZitIf0uCeyzw44q3iUz
IqJJuQRqEGYKbrdQnv2GsNZcvTuhaEeSILkZcvNoTbDYAYhjrjbrgZbKZ0dvLslhL7Pe2uWSPhmm
6U29fvMM2mhKPuob0dmBYaGWr9fXGg/y1vL2nmfRwK2v7YyybFbWdxN5AtXnvVuJe8WNt4g5nsre
i9C/z5sEoHaj7rSSPq5dnKQzEMkJ4VfKDPZzYdZ3MLcj86HrsgIy1dyv+dJfQLA6osf4UmJYkmTF
ZVKON3NOaZsGG4XsZ4taT+iVhh3aSXqlnBXDTWt4aFj6eWPBRtJCEn0PWoC1GoEolTvHqS6ttTV/
V6/9bwT0XQSE8ug8C/Lfi61us+aXrXipX99+eW1+OaGSQi36u47rLNb64/P/1FwZn5hwOqtsGXA9
xzwEGX9orgz3E26/iEXRVf32E8b//hkG8SkmmV1G489xEKI6vtE/NVf2Jw8mDKk28mdAQYZt/JUw
6Cw5/05whXfzOUb7p8knc50/BkH/n0w+3wnh/19MPlGFvztFShrMxJ4DRhTYZ1zcj6eok58XKkRx
oKbNooCYPwcKTq3lSjh6cXvsJrqFqqZXXagOKUGKlNaa+Wy1VP9pA6belSdac/DtXmY3fXFGieeS
Ou+a0Bfd5BKpREtNX/PRPKUgW0ejZAZx7gt2fmWReTDTo3W2ejVQf3VoVPahpeDfjonDEj/1TsyU
eiEydGtlPxgbLZmqZ179cdi7tWp/Nhqdzb6pRZfu3ERvvgGqT5B9CDG5j2dyJrWiFowyu0Ymb2wj
ETU9BNS4TIrX2r3ZoPUGZ9jR/ba0ZKYXpaYKkWfhlatfuWuNeEQbMoWVwzaf61hSHdc6Sw0xT6wC
16xcO1BKtTopel2Zvu7i7bzxisRYApvV1QJHqyHdMRXXmWirdF1yXMbR0TaqkZs5IZ+5WAc8eK0j
hWIn2biS1oPvUZU7ZRY+npsmN04qdQ1UCNVKjph8phmV4lgpc8EuZdUGO4BdsPG2imIveOsWk7uR
QsTmJo37WkW+Tt0iiOd1oXdGBQIWuxYnIqhcJG5Rq85CbqnZZaqvUWuw/EbThv4WGYWyVUelUa5A
3TmvczYVybZWl36IhhoPjkjksJqPhjlM8d7onGbemKvbfG6oQL910p5JmenH2KE+sApz+ytqNzjW
O4hk3Gq89DwpmqAcFG/ft1YmAm/O0inSwR4VV71LWuvXllQHKmI1Qrs0rXPkOR2o9y3dsLYLGLau
z9FeTtS4rmaGTT2OtFl9041TPvg0V9KvU03JE62B2sYRM4uFu0mRLXEJF6/YUTOjOu7xiD13o8lv
1DMbu3Zv6c8F9R6e8wxU89QkS35Pg4+iYGZM+sFr3ZVrProEuSkB4LdqSUjWXX2p7YOkLkStiUbp
EA5ObBAruyDX8aSR6Ra1Zv9/2TuvJLmRrEuvCGXQ4nEAhEjBlEzFF1gKEsKh4YAD2M0sYFbxb2w+
sFndyexu9nR1zZiN2W9WD1UsZkYEAnC/fu853/mcNbZw9l43jWdBVaMo46oRopviekD9SHkRI8Jr
ywMKKkk0dZsNV52h2meo61Mfm6W7pgRgeNrzZC3yhoyD9L7BlP0aONV4LtEH5CGjqi6PNw1dg7qs
9l5GZ5wZkHCMcsOs5gPSDFWZ5GYxCc6uk6nirwfBakXGsqJRL0pUCESKSpMSdqj0JjSGXl2vUsib
Ms37LBQlgjuiOcV9NznZg+ZI7dXz8LfE5LnOr1M+e68DjbMrSh20+C3lGvWojjoq9ODe+GFfEi9R
dA6iMqOcCLlIZYqcs8+WwKER18/Y8jLPtk6qYAtWLzRbEvseTPNjA572aixEIferZphXXT4R+Ojn
4+DsEyvNy9h0R/l17IfpalWmYe6lNgZfaR2OXaw5trh1VunP4dQIFDli6MkybHTtaS5IHdxbDGXc
HfoeLk+WG1UZlmU23OVmrQoejUJ3o5nyy4ksIsE81B7QfaPJsZZvuZMnjyvC6E+O/J7asa4ksqjU
sa70slEPdTFXD2uJnCxMOWjMUcdsr4wYN/pWrI+VkR0k+Uovrl1jYSCDQZ11iU1wTd54bbIbrCLv
TwjqncgHUgP5VZlG/+ls9m0GRrnniZvvO/d/FzTvChIDt80vezq7of2v/9XnNHVun9GXvC9mfvzs
j2LG9H8jBohGyYYTIAN44wL9KGZs4zcfIs7m/8LZg6fob7WM4f1GgGjAT1Hq0Izfolp/r2VM4zdM
d7R73I23jIbc+3dqGYgNP2/1jg7yBv60b9PUwfyjb/aVdy2dsreqKWGAGhVNg4oxSRb3OddGORyI
E1Y9Uj0auEzrbWFGAI7Wc2FYnRMqVi1EC0VTc8JnhFocFkwaacRrpXZkB0v+mSIju2ykZzPuXFDt
2JmBbsnROSPs2k5UG0Ask2dyDViFeAeLDNeuNKHqk56yHOxS66tHv6jbZ5nlOU19wu/ULrez5mRJ
iMzYLZ5mXw8GyQzRmA7pS21VpGTV7ZCnkUVPtMbYsw5UCwSFncHAVndE8qBr95n5DmEye9aCVjBf
njUvU3jtHb9xw6oMTCakYtZKcjqMdT1y8JyKS17FNY7LuMWtrKovTCY6FSrpT6Mq+hT1Ia27W5Md
B1W7wayl+LzBe5Iok713UQerCA6ekwTyy1y5zldqlaLaazbukjEmDN4wqsgkoKmPFWLk5VDo+tLH
vhLZkyky+7ZS/MYwXzSriBTlULWTxtyfrZVwbqlG/IKNrSFVeizANLHnO6wxubS8x6TU8OYksNUP
pIc1t7q/lo8oWPWV31MGT66Zly/M7esFCRKmpJ3zXd851lxU29/OQ9s3iFwxyxUatWKi0605o80U
b0hupEQoukzCfQ5cYT73WYJQ2ZjNrN3LZlj0MJsnzQ9lx6Ag2hRwX3TDT63Yze0hY7SxSVOR5acn
dNOa4pJ5p/mGSjbxYmVbY7/LpYl8q5OuAi5i9Rlsh3STvJaTY8rI6JRNCycbpqfMbMlkMEeFfBT1
Yn6df1fPMpbtMkbhUruXK0OkqGgnoUJUdv6F14OXQ0iPtS5caq8+M8vJqyL3uzC37qS6KUrl4cip
LOMLk1aVhXYruQhpX8Is0hpujlB9V/q20qTKy5JccQIeluLaQkLH1+A3Pv0+vUAp7ONhISG7DZqS
Q/KmIx7qXNf3ZYZ7gtIQrdne6mqaTkxfEJiktZbEqWfgqli8lHvR6CUlROc2SJbnbkS+XK4bjw85
ui1jZHt+E2t+7jyxUejFoTAVc0aakeVcR82UtelJ405rEFqdHNdoXpXKd0ujpm9qHBsNdXlvPDiF
x2+hR+18aweQNrvCgZyGcHQqn1vAMwnZPzX3F+A2edWQLYgtH9n+J033Zy9UWbr24VpOa4NIbA3c
EImzf5EEXa3vUKxjW0jhzb2xoTd57Oi1cet1lrj1B33TqyzZixyC1Ti3m8C777rMZKYiHOQKWiOH
l7FjDFMkbjehm/Ddh2AI2pHKEcME3grBKMOupGGhX6/zF2SJjIq6JsUQvbBRBkjnCgRe/ZoUd0bX
ylNqUlaxd4faH+ac92acjy7izd7+3oO9LbXvltI/14NN5tNPbKYP67b1x0FJf4c9+fhSH06DHzFQ
gYcYPCutatclGnlQ34FQQYfHUHqiPunHLCf0jeIEX4bn3xdYlna/vtAc5d+fwNn1+OxbaOgPdNOH
C/0H0U3/4Ov8iXD04cT9JxGO/gWN4u9wd38Os+QffNZ3cBYn+MAQ+c+AG5uD8l0D5QN6aBtK/fSc
/AccEeNffa7trbx7JP8U6MyH5snffbwPT+Yf57H8C9DM36W7/qegoO0m+NX39mH6959ybT5Wptty
qv+V9cUM8+fv7g9yibY3/c8/FLbMn1/l/w45Sv/ALfuD5Kh/9Vk+rIt/kLX1d676n78YAmx+vmQE
ovwxdNh3aMmvvpsPC8Wfykf79SLF2e3nD/knsGp+vVaRyfXzK/5pVJ7t3vvVVd7e17s1kjb8H2Dd
fbch/+pVPiwezHr+HNbRtkr86nU/rCJ/GtzpX7zuR2zBHyYV/qPXeU8Z+vD5/l8Sjj5SUf6PCEf/
3Xh613giecoi8vRdNbyhEX78hb+AC6Kvz/1//c/3Hae//tDvAzTvN4hJpg8aaYNeI7Z933MCc8Qm
B7DTC4iFZ1X7fYBm/gZkw0XgY3joPYnL/lvPiXYUACEgwQi0SYwEi/Hv9Jz+EoH77pm06W1tWISN
7Q4IgSzjn1ccG5EpRIcC27ucNBV7I41lJjvd8LZMjZOHhY6ywDdSCZw1N+cXDurzC3hv8Tx5vehD
zuwFgIOmdh6xio7PSzEOSbw2Ay1Pf/KQg+jTqGJ7dqcy7vLFvS60lQZHaniJCN2gsb9JWmzXSxZs
bPkkYYaALj41N8FucpdYzYpZSGgThDQHCIDw3ZZZwwr0IRrlZDSYvRTtbzyL5oWR5OVTgjiip8sm
jro9Jmk4KjXgLGPSTU97Xaa7CUO+szPsRVzRVpvmWJ8S65Sxhd3EBUNyjHuLZXlxXdTNaW8MJTpg
eAdfZlVUHaOcquSU7Q7tzsRYa2ICTXpU/ZNO/2wk7DtcHZnmIS6VsQ7deUDF0M+JvNG3kYDZdXoa
0g5Xfcyla5/HYRiu2rkd8f5OTlce5mJNBeOxNP1kfZ87cPxnBsFhezwzrKREUrUNKWibyOygEoW8
vyJXC7VBvoy7wdBpTUB3bN3TCldfG+bbAGQFfq3QQTr6ELti1U/XUvjBIR2S4rNMpHeRTRrTlDb3
q+cqoXiJQJl3XZxsoxfMB70C/4c8/phvwxlzwcuDeAHj9D51bI/OmpFkr93UCqY6Wibq69rDU9nt
rNHLpoM92J27d7ClWs8YQUo4gmbQR4Y9l2lMIHqKVwhnTskABIiZFcG5FU/juJoX9OY9JP2mnQNR
hGjQPAtvXb0zsFKJc544anSnyHNVNaMUWXtx7AYjQZOsN8twUuUgqELdbjDJ1bZqiz0cXTnsAQQ0
zaEh0dM5+AwdH4R0k2YHXE3fuaSXI2Y2Ws+OSyMAqWDVVY851q+2nslMzyq2IBu0EWHm5XJV+C1j
Qzs3oNJ0NiJQpkym+WRhz6zj1AhaFFWq1iyYEBMuLa1OC2Z/ApA6MpwOIf/EiAlRD8lEajeYmXmk
rzXbpwbDVGyZCYD5zzxczb0zGTogQo1BBSZYWTK/bRgeeWMGv9NT+rU2aG4SB2ZiHBI6x2WYTc64
HAxgZgZqIG9FwpQJMhVbfcJpWfSjuu7Ipf1SeZOexwiPiyBCHD+Xj/DJfHEQ/jQyrQxIUQ+dQid5
FAK1/6W3C3wEdZG2xaHRAdAz5SizT+Rq1+1jgq/wU5qWph6VdrVcLzSwtDALNN5lpY3VmZzLcYgU
Q5/NQTRkXAxtKW4FFo3PnWsGZ3kzm0+paeGITiZy2yPGl152NAIx3KdVA03PGjrjCSarZu7rgHgM
Fi6mrangcdoFOY5A7r9yifNysr4UmrU89iavh5fJq++0xsmQ8WjES+PfXObD0ObrEFX1Wt01phCQ
16eg/GQ1uYtEB7fcOY6TZNil1jTeT5VWY/adu3bdMch2ACAZbnMsfJwUJxIpt34d4H+BqLo6/bjT
+gzgoOg8LNu2z7fBhHtIHtI5te1d06VShLpbETlp66r7hoOgt3jKHaJCqyUpN3KgGIs9SXD08HJt
6h7U7HcBhBCf0A/uUwvHTU/05mooYHKAyZwhnGdDICnUTO0Sz3rjIgNorM9+7WrYFHVDnSx5aTMl
0FvruUvByMUAZKbpDPxGWmJQsfX7gX4p7jsz1ZH8qbG9bKvWZkrWG3ZzTOpUXNON1KeIp61fP4lB
qadpEX6cJs4TBtfUiJiiVVjZMlBIB3qUKia60eBOAq+p9sBlNuFT2RL/TsCFWyICVebMwkuX9Khl
UuWhZctZHTVPt3DZ2U1B9EVSXedpVwB+sM3hsuoXdOCNYIJtOU06ROvka7ez13BX1Y4lTj09OC8s
u/Q+CXOaj0smC+3MI1sER9Yyj7dJwMZ3jgsz+FaXgnXagrLxuVgGUcdaphVDWAtcCqcpt1W6T+fO
LTHYIBdALRB4wYH9oM7orypDMp7OxxuRNZrYk+uI5K+2a8xDLFPI+meIEEOULaWdxLousRCyRaPZ
15Ca34hhWpFdfPcLJvmQvq51posQq03DLxf6spvNzjEZsXTZayu1BdmEqS8rvpbR7EHsLKZg/lxJ
tlrBuhGtcCd+pCz/d633rtazQFRR+Pxz1dT/qJ7bnyu9Hz/yu14cOBVFHDnoiJ58392mhL/Dqext
tmjans3UEavQFkfwo86zf4NyyT8ebVeYbcjK/1bnGWCr+D+bvMp1CcVhWPhvyMV/7kY4vLHvfCwD
zh/BCAw5f67yLJ65AgPWgp1llOqQFYG9CTQdBB+2C98Ja2ZtLPE6wb4CVqLMKXx3ua7+UlC+78d/
4M1u74CpJl0wMk8peI2P4dat5iWjkMwfnQ6lQLhOnUqOC6vBF8uvksfMYfOLc7syHp2iyYsDMfbM
zYTV5bthsVQSAqBx9EM/avS1C7xyQ4QnL3n59dv8uZv9/V3CPvouKMPCDV/n5+uk443tCS1nFqXp
9Y1EvvYZL1Bx+PWrEDrA73lXdfMH/HbmySbzG0iSW+3//pzP5HMQKIhWvGYk9YaeMSBAbwbPfS2k
zZ5ozm6Khdhwq9DH5HxrB2q+lGTBfPb9ATVp4+eJGxVMVZbdtvEjIe/dpr9sxRIg3hLos1m1SEM4
12oilK8ScqLtTzlZRuat3RjLsktybQlC/noxnqRGY607nVjn7tQtJn29t/tixSswus0DRLbaipZU
dEFki8xiita3mC2ZlYtIrTrTtkZve/daGdkURD7u2PpsRrM+4ScTK07ogcVv73d24u71WZRBLBww
O5S4JoY426r5v407VOpyKVDaYCUoSnFFTcJvBj3tDVkoVzhfpK/DRh9OBz/zkvu6LmePYO0VDyHZ
RckRnXZgPhB40MmT2izkHMOfSvLj2iADeaS+RgefCjQ6YYkTeInywQw4avh1XkS4/7LmoPWN3kec
I5L8ZLBHGBAs7+ITN2xbRn67+at75QHYHqRO+R6kg/lYUQdhi+DwB2/Ds3IsQT4+r9hRPiEya5WR
11UGFdEMalkQbQPeAUA+VKsZ9d7qXnRZqj3kszCrze4qawxPqe/vxAIEe2cXskO37SikNnMf4OCq
+skY9mav9P6+DoIuOKGUMQkXFx0TVSKw9PY+pXyWFyPniCIsZG9/dmVf2juYFFpw9NZJd09KbfWd
E5VUsxHK0W2XL9Vay+ozd3+rYmzp/h3ViNmcQItTZcQoyRp3HHO7N0da7WklDLAHWerjzsDCDntc
cMzsPuUauuUQp8doh34zk42k1xNiGmHYdn4F1RfsD7KzfMQUaCA4FF7N1tsYiJJCYs8YLGNWsz6b
tu1gMUgMvYtRO9rIBFPDru6RTldvad1SQXd2iX3Engb7DkoTVgUrMTSceEosJtCwrf4bSIG5SYwm
eyxMx33Vq06HEJa17O1ureajbq2ZdqE61x3ZjbPukUPupLCOTeJpqOrupoQT9UbymKyObTNb161S
7nVGySsjYlH6p9Q3+jkyjcE91dPAm2/Riiw8EgNeVBwDAjm/ItUBWaaXQBa2mqB3jit69U2KP1T3
jeH136Zl1U76ntMWDmKQAWHGPj8y7rfTDkAHPvI90dXaBVRkMDlIA53nxUg1nvGCDSlk2t3ZOxRo
6lgUUuKg2QAJrr8Y9t7G8niQchN2t+BidOz0i8pjPTOhlk1SNHFvckY9KD7Nk1U6cxlhX6cadsTE
F5gvRLxFkwZ/M1p6NYoTcF0YAW3IrSWinCQAi5nPaoqRQgzzaaqPRAoVRe0dRdVzHFKV8o1Y15wg
YWLOS0UjJTYkJ2NMbNTtjasBDjG5BZHkZTezXM2HwWrqKTSXYLizUQ3eOeiwvmWmH1wzc+eQt+b9
tO4DTol3XuM8lkgmXoTepw8NRuuaAttZMHVrHrsbZaGRAS5JXHX02jm/gAlZeLG+Zqs6JJYCJebj
HiBwA2ReF/WShD1k8I3zgtnSxtNfjMVnI7E87VDKddI479aruaNaxRU4pA62Diz7aboXIGtQHKQL
QnYy6r17w58DdfDyqj9DcQbhBp+kVSNHM5HEOHYLDshhEv7aF4N8S0cDfSvuXnFqDe36ok1r/uRr
ZZ4eZtCFmCKUes3dEjaX6gidnhw8teD+zfM+0Kp4nb3xagna7gEwzYvZpTk8dbacJxMySpKqG87k
2avXd96J0prsMGJevQmQ170tfW+psJsXD880cUz35lL2T5gXsiCyUILW3AFp96SQcp4F6coRwOTQ
8mUEk8apJhmlF1qjObzUS1aWu6xIl+esGnBs1Urs0941bkXRoSMINnMayri7HOxcAWRwTMAUrWbz
2MLaaUKaQd2F5OHE5Y4M1vyyuI10o7z0J3UkvD5bUC6P4qtbmAC7fAH2iQUp6UlWoAFVxW0WKI8F
KC2v1jxvNj8ybJjQyq36VoA97PZ9Ag4mrU0Xr5vyyvsaf7UZjjB5UQYHcEW4g1P7UmGleLPYM7Rw
Hor6jeD5NIvcVgCUNsBopCztAwZNqQfLZZNth2PCJVL9tNIM/2YuCiM4wRAeXIo2kXQMPDiEW09n
yaNl4PhNX8gpe5o6gAjyKsWQEVgTD/XqBpkVtakJUFEJH0VIv2b91xH2VUVjrSkeJec1PRRaV1zU
RV5cjTrtkl2qGRIjT7BODy7oRpZQII54QVxrI0YVWXqdZK5fRYHXTka8TLpZnwuv5PDuS49SsCnn
4nqx1oFQBXT+T9xUZRN9r3T+rcPDZfsVw2z/9asEXfuRV/sT8fb/X8YtPOsNJv3PDxCfnhEoHvoG
ptLmu7gdf/Ke/vjxH4cJRwdLC1xWJ9HeRUi3nRh+P0z4v5FniH3C8HzOBRgo/nqY0FAqAlSxSHYz
AITqQPT/dpow7d+AiMOg9kz9hzH13zhNGDhZfy5gbZ2BMP/QkaFJTZTjhwFZYpl5msCER3VfOGpz
Ylp3g1d4IxioGfsgd/r4FRfq8gh4VI/0LUc0DIClnLQm/PQGA8OtbS1zvJ1Kjih38T7Z7YPhleNr
2vsCj+goL+RoJjRP0+lkmPG9oSLKpuvMZpUghRVF8gpKN17IC0ujPJkM6J7udBO0k7pFKlw/zEGd
7VtZzKe+ELAGBnBKULKnKw8NpX6w8qa8s01aGARzLcMe+3dPieqllCbBOHgPUJn6Iqq9VZ6PYy6e
sMoERjhVxQrsrWvefGycZ1rXek88fh7AA/OmIfwScdpaz59p7tt3w5QH8CDm+pTtzoJ7ZoEAUcoA
UQIqQZDYReMas2zqRmpe5heRjv6BsEDtzBWLfdlVovjUlJX1pJvWVqmvBlAJW3aa+zh0I6CSKbAi
vUgI3q5n0Hvf2Uq2psMnmsT8uRom827UXCp98sCqSE/mzIpVobhivlrTt5EtzKJXPTfntsy2U0A5
gjgpSk6AIrBAoQiNTnfaVPNnzoXpW0Ndk7F2LGNF7Wd2t0r6gB1spgKKBnS2h1CIKTEL7PVMKf87
ewHfxgmfDmCJ76F7DcVY1TG6bAtTKv+WG6a4rSxkdzs/N9K3xNKQKC7TUizUGdvkQSxJKzEY2upU
tQjLENFZT2m+JJe+SpcmwnDkXQ1J5cf4MgowMV45xLY+0k7ki6StrJdQuJa6fVgcyBvgahQg/TlR
V9Da9GlXFhNEM9uBx0tk4hCL2miuEyiur2paPBiruG1TbTYiOVSvuVZeKg5eoHT8xjimkvMBVBe9
OjFw8Fz6pZXdj6YnD83sp3dsryKeZCrWaEHX50WOljDASOWYnCRtYl30htOcu3nrXRN7m3F0mb9q
EHbZ41XxMEN7guLJsq6zJz+1ne3eJcqw1WZF7O4GmCGb8qt8yBFpZifYFPiGkk65Oygg9blrdtqX
YF4C7ahTK/XRIOsaYB3tzl2T2j68HW5UXTh4ZpCzQyrJxtK/bDhxvKhpZWKD9HN8tOpxusxyrLN8
zhLMx+jZdraDq7myzTlwUrAmJ5dpv9FTSrdtS04bG1VF/05YkQOk6L0n/IJIM8rHAzmXBVOX0QDO
Qs4n2KBUB9t6olxwU229AmiCUhwqAGcHI8jk/ClxZT3fqkImnL5atmU6yuqqqybJWyzgSMCFrsdT
8M3mrqhJICO+o8B0UpoFj3Lr2s/9OpdUvEUz1ByUGD1ct5WFALKBxlVLIDQxlDDjruVtHgokvod1
dUJDEz4bqqQdKMkF3RVZld16M3K0kINgDmOqSH3zsz5Oy3WpQRh13OSbA+4loyCtxuysZa6CM7bM
k/QK+G5l7PCxWF8aWW8Pw5wELl5XrgjbBs/lINDf3qja5xnfBhNAK83GemqUz0ohao9+YmrymO6V
WYAPSQD/wAUFWYlrfBLpmz87tX90erfwgdtMBTM0IWhL5vxQc8IReiiPYLrdE8DjFUwZf8cQ40nT
G+Sny5C8Th7tCDwgw4mbN9e65DDuddljXmbMMuZsVxi0mNfCfm0kS3wSrPVbVsGMHq0k/+SQtnuh
JqiiWlfuJrncy8y/WzTiW0bvYsmHUwwUn3y/PK8y/81Pu1vNKM4bq78OphwIUoY9yZrdoz5rzXUp
LVhWpn3dES3St+tDklqvYsTFG4h+N6fzNVfa25sYf6KcLsnnYbKdh04DzMT3xAkia5tDXa9LXATc
Mr4+3vpWtVcY7aK+Fa8bFcyfdVStabXjuPDkLsGNdNOYreXGHYw7D25zuEFKKKuBPi9nnEYvyw3w
SjMh83B9ZxikVPGS6ua5CzduptODxjcxdt6s70Hj3ODGO/McWvizLy9pi8VTJ89LmixXvRnsk9V/
rk02pC5o+tAUFvS+9dASYn2at0vBZqJzrV3b4QnAVdTW5bkGzmHR7FfhFI91J+Ih9W8N+r19YH5W
jV5GlACCA2zextkgTzgwPPm450JXATENESXPMA6Q2OeVl+/Zd3ZYeIIlLHMTy09j9K/e4BknugYB
caDZwSTLz8+GIGgjIYK3ZsUa3HTavT+DOOZZ57jVb1rrphh8IHF03LNgvZcA227AmKp9qm8bns3u
YfvbXVyzCfplheifJHV/B6sp4LjY+YfRXr2bBD/5A2x7/ajj/TlUkmM0SXF13hyH2cZm5WdXGc/w
3knT4DGr7R51a5fGSFq/pSP5pLpnrQ+p9NP95OVv7mq3+36otnmav0nywWUdjWwh38oZk6+djXVg
yb0phC3mXZTthtdiva/jKavnXW5RrdB7mfYyTc5L3xlPGpG24ayLF0JegcnM91re53sPAvozn6S/
nvvyumY9Ptpd8U0btSnmHQBJqIcXn6YqwCi/3Fdb8OiUirnFrY3XslAm3aAl+DI3YwvEd+KEi+Hi
hJCZMaKvb7ykxUiXa7XPrak603rDjFvDuU2c3j6pdPllaDP8SXWN28PHlnAlZ1fu8B8d8NLfpFm3
B+qrQ1m2hwuZgAcrewErYulP8hZjHXByKD3iWJgs4WIKyBvqcj0u8U0cG6q4uOnnY2slBfBQ7lQb
HMnp4Lbnk6ZfaLm8F2X+plsTy78ze8fWT2910X4mSHxXTTXg8a4AjO3yPdMIksO9JgboGlJ3D0Qh
lDR0xSs4+Jd26kVUBe2jN2oHn48XZoopCLUiy74Nn37RkqsZEvyhYjoWWkXScCIETMZg9a0qTPoS
CT80GjYTHbVOu6aU31KjPFSjGG/hXjH6Mjgi2uv4xcURc+KWDU6JynDi3h8zqBU9r8bZjPDzdQQe
q2raf9MLqUYvlETlQiyA/GT5otoZfh4c8dp2l2mWGRd0Iucjo3tQ52M1s0RPmWQGM7sHoovu527W
8Yk245dV6QBx9TcZQLSwNH850ev2PMnsL3MtyX0b1iAqaG5BtuDgWDe5DVt+9OgZspro9FmYODxB
9ruw+3S9Fg2Q4yHITzuVE4pKogw0dEeP+QgbjX64aHz/yBKTA4m0b81kvkxWoAye0900MsXvqHnN
LrA5QLpZES1SX8M5GW6bJDsBaePclZDAdAsS7LRyxq78iJItFml1Wi8kcSsDWHR6xgJNxKGnMR9P
WSkLw2p0kN5Ntl8khH7ojozUXD3sLIMAVQ/ngJ/Mj9oMZWmYdIa4RTueuL6VQDOBpbAwNfXgu5+I
ebi0BjwW3OFxarU7IafD4tOcNdYnRmlWCBhZfpVw03aujr92LeUTPNny2pPFV67VRcANWpj2eZt3
Ys9JF48oM9Z5dijLA8wgwJnar4EpL4J+3Ff5AhjTvG9rjLzA/ieodMx4FXh93c8ezax/q5hL7oMZ
eCjN0GimP3iAfpbs69LLT1sz+JL2znyQIjlfNKLse2P66rfb/M/0bZ5hBCIamoawcsTnvBz0jRVp
hA7mBw4dyYMGlpV9v/iWaPZbUq2P89rtEvCHdyYjx8zrdsBo69CrPHO/VnN50EpIHK7BDp8646Go
sxMLWtzl3M7J2bxaWwshXVHt1KhMOngdBRCeXWeOnyiC0jM3BWXRbFbTFTp3rOfDUbg4PsG53VdI
Oeh+Z208MkMNXVt7IAzAOeQMJUOETCLi0psHpwOzXypqWBxdAeQtlBz9vK3qk0vLuvaA+NLNZ866
mYZmz93gJvVx1LTmfBlWl7fVmhF5FuPRbLUkMqTDqEO41mGdcYbiKjFO9YztjdHpdFKZDlloiTox
vME4w/XK7SiW9HGRqtkz4kd6JOwdDueDuVhVlCqT/BBImmGTJxdV7vXEn3h+BLUEcrZrjqCrM/6z
Wj3GR0A6PabFe416iM54c8+9W+3pyLoXmzbhKpuMAhwhVt/cLh7XsiMDQAH4qSQFHO4wjz2+Hrai
eo50Hag6CMb2Ks97N+40Oq2lrT/POc1/rG5JjEsdlhErNefbEYseM3su2Wa/+1qX64WN23pfL+0D
S7Cx90xb2xcOXBrkYXCJRFPuoflZ9G6MdteIjE660Yq4q7baKZmvCa88XxsLJdSwyj5qpXPNmuqG
GIqBfNcJVmKRQ9Sj8Xuum1NAZa9NYZIy1CB77jRtAw4ls81KjMP1dfS56ZauuXAMlvd2thlPkKO6
H7kxU6nVIeBxiuIJJFQn8+pom+0lCqIeQm+te7E782D3xgb83cy0RL5g3ue4drG2fAS30ne6qQ93
Oi4ykgd40UnXXi02HzDYrtjNjfKiQK/NHfOsNiSlqziobkYeNrrOo2FaNz0b/aFIEuP7yP1icqaz
1EWtpvX9FyunYsm8BpR20j62NNAOI7O2u8zLTaJvoCTBXtEP4KbVmRUsT6vZ720v5Y7NsuWGCmf9
WuB5gRw0lft5tsZPPEgXFhO7GMyit8+LdT7R1VyykQ7aqcxSsJrD8KrgxZ3K1b2vF5v80qLSQ1V2
/r2TFy5qobw55L0Tm8w2nqRIOXRCbcQCbpOm5XvPRF98aeu+gXwUgIbOUVHo6muGyzl0MbBFqQXT
F1ABG+/qc/pY7Ng0R5jr5jJeSQcm1Vqu7RGUGfVW5W+IA7/dN4E7xiV9ZiRhiD1oFvCM1Ou1U85f
xMgmLPGvxYXFUMsD2tXUpAMx+kuO9Wz3l17v4Mc2GrZ+3TjvgfbtZo++r9lWyW7kUcwZee29GZe1
zMYxTLq8up4Kpzs0ws3iIu3ab8y7jKhPpmDfSbDfAAne5hlQuBidp0SZNpFIxkvnem99DzrMqjP7
1QR2+sAMgfkRgME5xDd/qnLchAimsL8mto6f0jViL8/bHd+2yZgp4c8MDpL/m70zSZIbSbP0VeoC
SFFAMW7NYPPgk7k76RsInXRiBhSjArhOXaFvUBfrzxiZ0pklUovctpRILCKCNKfRDFCo/u+979W0
tzxUSQN/NeoMtvA5+fAoCM6ePQ8/OLHOK9MvARADACLAj3ZHKfbE5qnuQtU27KqYvjFMCpKzx2j+
yRPGD/BRJwdQ7bMHHmrir7sd0ax3bpExqI+CdG1F80tg89R2W93Bu215yGUMZ5zJ/oz6hQd5UY2b
IMvN742hh/WQT89Lm+xrjllMpTrrGuiefXpNgH72JhDiVX02vIxNHeuJGWPHKwNxY7J3rlQbfCvj
5sHCcBSBnVJ0k5fKvEV3V1JpZznodAx+bOuJ5jEVKhIqZ3IVP3dO5i9PtBD0Pey3UQ388AYmUZkF
n201RZw5W9VmImwVzqA9K1bTnZVyeMIbxryxRSSRKPk6Fv0HvFssGlYo5RIdWM4ykN1P3KXVePKz
nrQjyXsoXZ1vQGQd0J74UMj5AmIbu7CePDvq3piJeF23qV1zupq4FJtNYzIwQL6hcm2laA+hzXFp
UsWN2UX96yCDzgrRp3fJ3DVlKFvyhauBvjsY/DRg6se4RHFe9TzHT2MLNJ5p0Ox7OBwaFa0hEdjj
ahrLYFtDwGjDOR5yRj2Tcllp074NzmpBzAiHMqFiClTXtHWQleBGBSAaZV/nzFMAZuBGHXt1rjM3
5ejKX2wzdU66MGGT0NAEyBVgFUjzq2aUwKkmfmq75o+d85BaRayOBqUz12iw8n4XzJ2oz9OYWNmr
BHPVHAMMUHsjZzbjQa+NWL/VUIQ9z8vsQKsS0z525tlNuCOcLoLHwzqn02HeVCPH6lXcUOeyYYVU
G7cyzRX9MOCjzXh+L8H4cCNOM+M0y8XOdocHV95Oy5LKIpMZAB7aIGNp94be9rilKvUgqrm4ja4V
Zzunzqt6j6Nhop7erwv3wEAsBV+Jt9fPzV2iisg95pSECsgnTu5uIF1SqANzDemjRWEXG2jFuLv4
UjZ1M3ZYG/rlRJJ17VJOJgb/6NWD2LfTWP3EVzfHZ1OhTGcxY9xdm4j52KVQm0Ou6GHn+M1P38lo
zsjXU8YspIasMoHtiKS7E335YhnV0RiT7ZBBwoM6miT0JulkD0A2ZDN1FrN/zFKVrtqOR51ZFTsv
Gz/quoQQqkN8vD/cunvHOffOav4iHR5oxlKb2LeWO06moEeonNeOba+NiAqxUd6fhh+MC5+dMT23
pkHL1U+c1R/JDGfDnI9tD4vLaf1R7GkTq8+FMtvmMNeqWY3jwjlWNcljr5H5Twh9gbo51HtRYoXx
te6ekfnYhfdj8Y32U66KeDDwGHB1IvwPqwXshosRcE4dzJV94iBULxQ/rJfBJX+vseNsVY0F4ibM
2X1sDC6wsOIzTg7A0HhNqXst1wYbtewVwfYTW8NMI0rS/6azJfCOjsI+hLRtOPfHZPPOuET/VHYH
fjKZMFFTM8C9dzcJGslewzdOuLzqXOwDc4F8qykoq8K+v5eHEb/3NskIYwWD7bScIfBykM79fLKO
czAb2b4JlK1DqLQAPiK9YCD24Aew5z12C+vwiv2kTM4l5W59WIyMfrcz83CanRFNf1h1Evl8SxJ5
AJZPGV+MxBRq3bgz59J2DAZva0dC/MpyKblBItNMXnscJ4eBtdU4m6UJa6nhmZb/5fr5t7Sw/9+7
HlGrKJLFzfQ/K2HPdfXrv/5Plf7419zE31/3Dwks+BvwVBe0l0U2gX/FqPV3Ccx1/+Zjo4P1hV0L
VoLNL/0jN+H9jYQFbgAPL54r6edEOfsHrMOUf+PXJI46BxucJxzz3zHUwf34b9lS6ePeEq6Llcvi
H4qN/tXD5fdjWy3SysO+0b8KAAOHJe5beKkS2ProTRR/LBzkaFlSJ7uwJEMR019xUh/WFRUL33On
HM9gskBXFTz0mfwk4yGuEucoWopAvKn5NdnFcMdGsfJP5S5Hdy70lJwwsZQAVYcfzhJfY4wivfem
Olhe5fjIWnqoy2wXGBRFJfO50Ygok/7dyYAKEAbXTYTNYs7Ojkp+MrUZfGOTLPLRhiI5cGiQBUl+
jkh4I1ZquZra+pb66Yb77t7qRVZf/exneYyi4ZI0nDbZGtSqe7Sm6R618DL6RxjeLPYSohQcEQ3C
1v4UFAJkDAIYT9MQk+hVr7pdtlSQMwDjZNEhtfAc428LfkivH8GbGTxFkmg3ND+teHnLutYLk8T6
ZliOeWj65R3fWbFN24YGpXE3gqSMx3gM/ZGxoDdX+W7EGCc6eKEJDTVD8jI18hGW5GouC+uF5QRq
qjffOir+ZAyKNeYt6AsclJWbjBvs+o49bJ3KOTDhDAelQuW+zuWCiJSOxhlLfNjY9a4f9rVnrivy
DnKMvhP/4SxI/ZWitVMN42up8f5mUQvLXfYr/EUBoI9lfDKaQ6Gv7GZ5+rhNwxM3oAyk4hLI36Tj
fKeUjDTBYj5hMWOfLmj6UcP8bdLOecaDzxzDzD6dJcEYop0fiVWOqyZ2fpgCavzksG0qTdPdNRNS
W987U4hhBxgvm+LnuU6f3XjruIes0u7ai+tjHCVluUpKtz0rWernYJQS02NkPVrsFt7jTs77YK4x
CRjzNnDjacvggykZDYbARqfouzKjE3B3Eij3mhEHSxZw2W+y8fW1tbv0gF0vP4qKapiuaG4dw1gs
Y/ZBpylZlEXk22HKN4iBD8xR9q0PVaqbz4jElH2gi66COiqueZ+A3ciyw71FZWMr82Ppq9+UWlTH
vjILHEP5q2M01zpKMVIiqfBM4HF981GGIvj82uMx65hdyYnIZ8ijy0NhF8vWMpR9iWePMUnJwDe7
9H4K8k2shHYIqOh4hwvFWzdEUzwPV1dvh+bg7zuNr5KdorwDZsuuf3Tz/KvWxXtNPxI4UmMOHdAo
c5bSpkBpHF5IT/4cB2vl0H+Xiu6Cua7btTrmOtT2PofM6cz+D7Cy7TOiM/Lg16LH7y3IMQqA0oPq
mh3cuXHVObguB3FPwtRT9CaoAPm1uLF7TWwMgLXDvjEGmSf5C0i8KkuRDfuSy7S+YSRaWc70Cz/K
KrI6pvvfeGi/TAEfDCPmweJcHAADzWhszTzOJUvTr0xvJi1QSmgtrb3NuQBGJ7p54wQ5BQMUB85I
BRe3WLD3Y1tDHNlY42EJcFVxueDFdzli2p+Ln79o6uVgDnJK5ATjljvB+xDOUyN8fQdTsysVIFS6
nr49ntGX2ZhisHBDvqZAW23dAYubrdzymYqUDxbStTvkEJI+EMy3SU5HZ2EeouhnD185IOTDtCV7
o79y4/Rqa0/xdummjWiWo/LMvaTuEZpeHlY9wjRdD/pb1m77cTS3olDnjuakFbPrXyBrwkgfUWLP
fTqKtW90qyTPeNufREGuVE3thpbhUBbfvQU7kQ1bgi6MKsSxM5tdAKJ1Auqfxg/FaIdzET+lHgJU
Xusj3o9DOVjLSz02l2r60Xj5uZzHqxnU36bCekrK5cj5Nuyy/FSxlVpHWTmsUgraGeRCd7TS52jC
Vdh4RreHf4yxTea4B3WxzUsXhB2wvMpUb7nXPPiqeuGUdxT4AwAjrk3OJmPfPCKFsjm0qL0tvD2b
PQyWlJ0iu3+lbOL7NnEPmNNfLWQmWIrrnMnqJcCRAMZYU1JEDeLaGe7doAycVqWns33iFU996T4y
Ktg1Xf8KDjZ7kIV9TnELtPa7vzDvM7of8aR3jbNciXhRVmMegTYaK9uZbp7BWuaO3bNwSMME5vgJ
FCpc4uA3k+NTmS9X4ivPTsS+M5qRsgNqQujNOpr3d1AQUcoGED5Ja+1oQwb526Vfok+u1P/EKNWk
iaYc7GOC7if8egWLMDQrdRsd3Q+rcm7KHWVFJ4e589YdQTE1/WWkEDqp+zn0uCG2VmW/VynJQrd+
JVJXb3zbPyajOILOfXL6dCeH95RVdD1E4KThoD/O83BoIShHLh/69IVkmK5KH5N9mp370mcNwNnQ
D+KIVHx0E+5Gt9AnX5gPKR05VsSIPpVangZYnYr+0aGbGZcuap1a4qvqlkPgNM6lMujwNGfnlvTJ
w5A7D4FhMNKps5CTFExOoY+px6wqCOj7Scq1stSpb6K3JUu25uzBIyo2zeJto8qBXuXtZ0BpGz8a
u1OCZXtjYPQ8+6bTb9ze/iYj5Tz5bT+frKBZ2wG8sn7Z0jy1Qee+RW3ynDEjuFoznamxRfF9ke2E
mD6pHXzjUPg4R/kHm3eamb8CpieCDVMYD/PF6lC8u1RdBWOfVX/XeeY2S4Au2eaev1gZGm1AHCBN
vjq0zcJb2ivYU28ndUfRg7nybcjGcVEEb4NPaqYxbtK3EelqlV1KCyF+vJ+d0bFEsdF9+6YQpjDJ
u6tKWhc3cba6p0zUAty1s6vGO5lJfFA1VrlWDe8NteRcMRF+gaT0guesji5NLOiVUnyIU+4zkU9z
sRlp1ljX9k/ulvtJsbg6ZX+lgMY9ULxxGsqiCEmQdFQTsyMDCvgDGjllSgYqq+GuRCFf0K0ugmTs
D0kc7+IYScXAusQOymwGuW0dmcSrUtY0d3EB+8hB3PlT5Vl70Pm92vw9MHopC8qN/bbtVsYsT8aS
vwj6ieSMHGRVza0vbbWfCvy8vT+MFnHGgJXg5prlpdUYK6tt3I/DVfQxFXyZj8fINoMzaSifnEDB
8Ns0sAEF7OAZ9JvymE6vdI1HD9qO7sg6mOvkMEOavTXdetT4YXxH8nWlDBksSS4YfsHIcJHbxHz5
kS193s6MS4rExDpvJuTjmFf8cTb9cSDl8q5Dt8yf9GLoG+PD5kW0yMy0ESdPXTMGZ38M2m/2zMv+
/ObaHwhw4Uc9MnXCdBIMwTkn+gncEVHkOydOkPxAMjcMSZP3u8Qt3XgzRSmbX0IxcOzsYidiym3/
/LH+wHv0Iz6FPLu/sqX6F9MEda1T+6V9gUXjz09j4jbdmt7BdmCaqXchl9usWUWeglxQo14e42VY
OzCZrgO9yP302EbMjhIygUsdZ6GRyZOUMRemtt2jxOEQyrJldUsV1dZm+9gaJaPs4M3QfcOlkoGJ
bUW7Cyw878FSfwiofQYctapm0sMUZaf9+lk0iNbuSBUcc7KtbxZM5Ib2hTakB99Qx8CzsB7cH/VB
Y4ZSNVcFA22xEXAch6K1mCd3gC1eq2fDRpCpI1OfSPVxbl8a7HsWT8Cstl4WWz4VdFhvPGN6yURG
g6N6uI9bi47hWR5PYTBU0cmZuoVdULCES1TdrfnesOfM9oGO4YVBlQUnqzc5vldY5T03+kp9HazH
bLp4ZjBv4Okh61rWuGWmpHflCIRQmNlyQeYsX6jD/eRKgo/n4XCHrOaEAxZwdlRxf6ktc0BAn4tj
pto9aCsSpFMTNgIwGocAdgZEHVYBzDbg1nm4jEm6s+5Y2Dg6zn2VhiMWic3UOLTdUjR6nnC3U2AB
jN6hcjzzP7zM/syoPVpDCoaOO+ARXJLyVxt79JDJLrpiNwueojldrn4zaMa6Ed+EI/d50iAwmohv
CWMlbkDJTj5K1kLbwbVwnIldg6QAOVX6QbkV5MEyTddVHDDThP0chHUZe+dusi4FWQnsiXP2SPTX
2xqRWWz/umWbmchhyTPHp0v5oO++vbju+X8kbk6xqJi9DQO3h1T3+73lzlBEoSDHBuy7iwjoq0Ux
GYWy3Ls2Lb0PAKQJI/rL/eWFy86zc/yLtcy0HFA1RxqgIy53tcf23kM3668/K0R+71DrGqM75Ivm
T+vu7iKUWd4MksKmhuNI/iFIp5tNCpaQx1Qn79qkCkFrNBDf0Nzki7Hsu7ZrXnI9269Ekyj7yqFG
n7zJtl+9zFJHJjjTvhoLwWfrUIsl+YnSKZtjT733sy5mGcJUbF46z6NtSbDVRiv8U+w4Lsm73Wlu
aGjQyTvXaftNi5ItzF9LWa7vHsyO1SrO5RCsxcJOhAAp1pW7ETP2Bj6Vv94ikwzqwOuh/ZbXaX/I
MMP/ipeY9zQT4P3LRSMK0jtEvmSXrjv0i9fBo30+LNPB/1FnrGFdYtqvImWdJeVs4bnTZUkn5F+L
oeqw6jUeY+E4KHa5laDE+gz2nijGvrML6YP03fu/RekY7f4sjHbLCoWAx8+jbIHf/9erBHO3dU35
RMpqnUEXrr3ROMWEko4xOYxb7va8QpUdztuQo1TLJc93U71UZYokPdTi++gH9Q6HJr1G1uTITUKP
kuBEkEXV1i/5/bop4TbwFEN6Gu+86S0YQKgTHnVx+45M3InndAvje5DkeIBD7LyqphZd18rjTM/a
ZRWB/+gmJg9jzHjGZmqnJllTXlWdJKWYNqEEY7moaFlenLQnj6UDRT7KiLq9sjFtrLy4qdcl6dqP
pYmH4zxKg9KJeTjSCjhtkMLof1ZR7j3VttGOlG0HxTdHLYjUmpMVjnxR62+u0Mablzjo/XNqsK7X
CCuHYvG8QyuN9GGgUvou7cr+e1e5ykZl6qcjuBF0Z6Gzihnp4g3PgSbesCu14d4aprz00VfAlnuE
G0CLEiKynPWn2dPPOTDXXNOq/p2BxvKYjqMOgX5m5brgq3lvlhHLdZZ5zzqxRLZeliTBjJ7FhyhG
cFwFqZCnvjT9iyozL90wzTWdjS+HaOXR63awctq99uRUKay1rZYZcmMZh6rH/UnUqnWw0gzF2zgH
Ji3hyXAxO+Uf4ySOdqQ2FVUoaBSEEmmUDl3z/vwRqHVmMTh7OAHTq5mp4BNgLftvXbbB0fdSWr36
fAgwI4zQJbcExLujqVv9wE0/vSCOqLdRDBDs8cMy/pqYK2VxFtMqhzyzVm1tcuavjCOWbeRJhx3j
dXGW5VgzeTqSFvQfuebmyzwB/TA58wekWUpv4eQrqjLMUF2OcZqKtwGHAw2Dw6Cp9zQTGwm/jZ6o
VfMO8TgytUIRiDHb3p0GNq3Sv1zQ3xdvzP2tN0jVsZM2s4tZ5Qm597asilAw8wAjMEvjlf+MfwYY
gr8RsWshkuvF++W799pY6Tn+O1lI98bl6V6AsweEjZxspxLDe8L13Rw1s/qXwQ8oOhrEqA5SJ+o9
sir/zSBo+es+nGQ22ICWZ9doJimlnaxzOEuSzyojDboyzIrGILst1E3JtGyP0mmMy+CnJV0gKNaf
0VTl5xk363pkoLAhk15/jpJvciEodikmR9OFFy8N3kQ74vTAaraWS2sdTDqztsvkBlu/ozF0ltr7
8u4pqCng6BzMFd9BpcEUZEida8IEwXPk2A5Ovjh40PmEEX2hxFzaPkdIHx3TLbG03nVlGsm19sQj
dY+lZokIUCKHGeVQu8WVseDKcnkxYf2zU8S4kfLpzMXl7oM86tdW2kP2zeBikJ536/Mipn4duxnh
4VSyEcKLvTZ9Mz3VxkTTsDCNx6jgRLQoX586ky24wE/5ZFpWuZ+F9g9lA4c1wACtk3aNOF9c6CCC
rb7ERh6yyhubwS+8Y8oMao8m9mkZ7HUU7hAaXcfyQHZqXPXJ5D1p1GEQsAI8LA+xu/fLh/Gra43F
B7NK4VTdlubj6WWJZravRUSRreeXrxCVqX9pxPCsNZCLoWS95qCaSWxTEROC2BFPUe+PZ4vt35pm
hU+s+/mjSC0f+TliIzIusrimic1BoLOItEZRa4YQD/iy2jYWYcICSr6WKUJvzRFPKAthKdfGvlgQ
XQSdB/vG0t0DYhNpM49umQalHh5HrI+OY1tb30WKIktrXFKiVL+tWNNSXlb0knqD0u8N2s9d4Du4
Clc2Rfb8BZSc4x8kHPk4J9asNhLBgxORM1lFyP6HIjPHk0jSfs+CgD+ujAZ5gpebqp3lslSfak6n
H0XnFXdXipc+jhoJfNd3RvKZ5XhWbSsjd1AlhCvZzDDgsQ3HSyGCFOPX0i/Jg0OipQJ2kuV/rkR7
OrKWyP00TfZzQGHlR2X6pKM9CfHYLOLgZvgCylEbEJOo/NLvQ68P/EM+2DkOjKJy3jrIzF8cE630
kI/TsFOWrDcT0KVjQUuwXAfZaE/b1jctJmWWEl9DkHA0ZnWe6btntZV4L/3pQ+Ui/4FfbmSRK/mA
2pnnGUqyMb4ArZmwojjW3eZuvOK9kZsBUsiznfMkAt5BCgw5O4uuI23WV51E8YYapHEn8mZMNikt
UsWG7Ke012Tvpw+aZfX3GEPMSzV6jOq5D1+Q63j8jRzR3hKilDk/Tzjh3BYjA7cAdvoqjrxkWwbN
cDas1N9MOjDpPS94B8xtUvnYkdvx2XDO9UeU0/fEPt+NL3EeZ0+12ytSaiamy/VsWMVZ+4t/G2em
eLLkgyxy6ESW6amHoKBUumqKl65wzFOVYPjHRBq9gwXHraJkY22VVVBq5+WBvyqBlhMudfrmppm3
hbQfYE6KHTVtk8EgNx6JaN7TxEzaMG+RtSepJzBU9OlSVT/FL0iG+S2a+/HXxLpcMlacMrFScwDG
iXAy07dF5dU3FhLeyMLThChgGbDgxg4cpNysy3Htz/n0Oeu4YJI2VD5U50Ac3KU4creqZGMEdRCD
3baQxJtBiV9sxFu8wqrZqoKI8wa1CbpIF0/9U9xFcJu0GVlvHavNZRw9I8TznhzhCYl9ii1ODI7b
rQo1VbvEaeiptjrzaFOiSsuFHbfYZR1OdG0fP5qclFJGBhCiXKzPn2lhOQe23NIK6Qt2oHhToXy1
vXraMr5vPwejj89LFvlfSZ3QwU0wwHlgYMKzc2xT88rht2WsOdLpey9bRwmoMqbEuBCq9DTRjQws
fi42YkpC16GG3Z4VKRx2BdZmtPvqmQbXpt8q22FO3+KHKnEQbO70lOfaFjw9e0yzS5QjJNCCsdKl
DPsyvrF+PfUG/iHDZYaeOsvRzQ0ZkhDyQyt1419lV7zOtLMlZi4uiA1NmHtGexnsVn7XiBkUGANF
HnqQ6UnjPOsuORiq2QR+Hx0pP1kFPHgMK3nCObMtjSWs2vRu6LrEdfLAEISZTx7h7Dc3ZZsfIsxI
GBXt96SmsFSIWwenYBX4wzYL9HcVeSc8NPjn7pgpom20KSfzfbxFZlXZTOwyavAK/AqtlS+73BEp
mZV6XsJ2jsI2JhNi1F53dfp63lD3bSNV9Ol765fNh6ko09Z+3106N4rwodOkvYpka9Ok5+IXcul3
/h3Qg3jlqmWVgs31NsICf7XAKh0HgwKFlZl4w1NLRfWLH/cEUipBtnQBCVXby20ZzZOHorFGjuIY
ZgpBiEbbp3ykOQM6GK5JY9rlE0WAyIOZxUEwyy+c59m3Vl52iEsQCm1Lg1oiPYtJC5n5XtDaM7KH
OaajBlFVUlGzS1oi9kD9h1/IvzWzdHSSKdHtrrYxK+TAEtYcB+XJK6L5onDfXV3DxLVCa5z30o7u
cMoTb2GniVvRKxL61xrLpPiDRjaXrpBj1cFSI1KYbkmiuZ+GOdBS5NXFt05ipAgKkR3bxGaf3YmA
/W/uvks7sTZU/ywH6ondrT1bUbUqm758wjplXm1lDDhrlNqUOvD38+z2r0Y0ye1gSP9nOZX9pWzm
4GGy+pyRTJ7cPDISX2LCZgPxS3cXHB9ig98vO9Ju4Jw1EDiI3WU57YokI+Fn0rYJPZ1j8zy33r3Q
gfNIguSEKyv/LlEltnFBkAjDGmNBtRQbM40hZdQ6+jnJ3nhEL5Obmpbjp6zt5WOOPopwItW+iAx3
s7j3sYjb50eKcYljmNmuospqU046+cri1n+YLX9+lk7HhVQowyLeP4KJ8vnkJqmiQ40Jb12SC3iJ
Z9dYcRPwhuq+DUlPqgsgtDuXz4vDgfXsDEXpPoSyh3tMzrXDKEL4q0XQPlAqgNjWLtpCtLDnheh8
ttRhuZhqTcPEAlAsqcwDhh986Gacn728iVlQ7mJAZI1hsdxtf5RKf2YYog54vZElmG3ts6kxTqmc
k43lgrn33EGf5iXWB+TPbv1n90rka9n3brN8kDKqWcba6pkyAtIDap42jcjaG77TZlv78Y4jenZK
yDCiR1HGiHxDFWcJroX950jU3yAUQrmnjyNybdmBe/SUKp8M5m7E3yfv9V7QiqqQxFjF7fg8lfio
7u51sR15Eh6sEl8TPB4Zv09z5r+4BnallTOkNW2ZHgUMKkmvWWFrjS9LW4cqAvf1v/Fs4qIdtqqf
/T/bS6zAt0Dt/s+mlJf/+s/6Px5/DMW/9Mf8/WX/YDzZ5KvvEV+Ji0QK+59Yno78G4FrSJ1+wOrk
meL/MZ4MEysL9hAZCCrveLEkKv0PT4rlUCAj7y3CQDilYzruv+NJIf/931LZLiNL36GmT9oW78Xj
bfwzVmi0Ze4OaZCEFc8Ff926djlt2BO5Xww4/Fc8XvkHRIwOAAVtMY9mt7DtiiU5zDVnf/3Tz6bB
PpGhhZgYGXl8udN3PnKYKaRUrCC6+DGdgLuc6ArIjPujgImnlw+h7gb3zYasMT5l0iyYV9i+VzzG
NirVuWGYPACBQ46F8yjkh+M6+QO4VCJaJkBF9dZYRZJj+VbaHD51UYiTQJE7GeWgspVjJQOm8SG9
++yMGaVuGSQrmU9o6iNtrUTgHAnG7yID37QuWjzXlOc20+NoaRcDPGUdv1xSxPF5VAGQS2FlgYH+
MzdTKEkGfWRVw0JMqqC1z+xsoS4sNHX2RM68mX6WSferIkgiimn7aFQrsWinWS3apIksTnjyh1lf
yq9YtfPZr7NpWpteFjl3uh3O4rGeRb+p2DWCsesyGljQK8h/KXhxwBriiFE4MuhwTvNYXHTJxpJD
/WQaq4jwPZ5MPJgz59Kl+VnlwfDSd1n6u7/PK3rAVO+5LSk5M5VLR3BMT+CVHWx78aXb8dRiy0iw
ybLgkjaYLXAE3hM9fp8HbLEmjcHHM83vkZW5VP/K9s6hsoIv13b6jErylPGC7xEmDWeVRSVn+zK4
aY5ucEP7Jnicu0Ldhe/CxznA+Q/UaClo40unxVDbBQbNT6E43oEQqqEHJV58bbuKjxFTPxFfH+Nh
vAKoaRYXrmvJMDz/sxMLfM2pXZLWJg6uyo88mZ0I1kq1cH4SONKRg3GIDm0d7QJ2jj+5r8rPMWCf
iFXK6jHD2HPxljYRkaSgtoYXC92kBnnTqR95vxQXNftc8ajmVAKXKms3fjXhApooOXpcmrxyKbj1
ug0broQEgK9xoVDIxJCzSRnur0Q5YUGntjH47fl6wh/uSmQ2eoIgZ5KvKYYx6dap3TslTe8aHqRs
+PbnzsW5b2hTlXsHABNxV05UeDmxlnMsirA+cEuJ9tZZgzj5DXUqzJLTisgikVJrBVREDmT9VWGv
gFMVMLgWG+doTaatwpsw+U+cWNAiYiMyztpFvaSsLSd2NBiYOurWMMoNI/vO56gpMXoTFJqeNe/k
Zshk+M3hl56QCfX4nFuSbAJ7YEJtda+99p4FcX+O5oS9vIm19+G3VTesskpi02HlUy8xYvObaVQ5
E49J4GYPWkHoJRuW6r0iZ8Sh0SzwAAku3SSMmswj/hgYXbCJpnk+x31Q6ZUN7Pd1NGwaltOpIMfa
YFkbd5T+aaCHwBfydcQAE3aqyHruEB+yQmiQ7g/WanaXIx+tCGtbxxdB3PWBSGAOAmrnO1e7HjBC
1eh1z73rUV5EGIhL0UQaYJbvy2xb6VS/jTkMY1aWBIgu3UeIcj2Z5w/Pz33v6M0DXmJupV8kars4
TLKUWiXPQbHaVkBPGUlWsflb1SNb78HujU1lGy6cOqhACHgNlosRrmi96k2LESBFruoAc0wjDeVT
3m3jsZhunY6Z6jKU9b6JlNzgqWPRoqtbxsH3anFre9XXwgHAJDSqQd7p8RazHCIhBhTdcTy/Yxbs
xIcxKRgF3cGoTfGsc7hTKy5kZ9wavkyeGlABRx01brlJy26qNhxMtBUWpVueozpYukNUILuviNwX
dIapOLjiDW/mNblJ88b4nYEzgMw82dQQhV50fo/HBu3s/UqWgL4fq87mZ44y5dfkUrTEB90awKii
ZUNmkmpsbTguToSaAVnd+UWwmZwSY1cKaWtVIRbjJTbGQW9obLQ/9Z8UPcoAvOl0nOiW5mHkeKt4
EHW8sfOuOkqDdM8DEjfXdZUMaXtqJTumlWxbbCrxiDoWepzJqxA8Cu/PXVK7XpsLBiC3vk+jtZHE
X+RgYvcUd1lNEK3oqEPukXysO/4i6s9MKhuoB8Rgv5OaXabNCDyJqJFqafSiLypfWCZs44Mcm6hW
WgQaIcNzMh6xzaxfGLuOCefBSmCvE6kf/l/2zmzJcttcuk9EBUFwvN1zzfN4w6jq6uY8gOAA8unP
Ysv6f6nlI4fvjx3hsC2p9y4WSQD5Za5kk8EEuAxKu9ki+CT9Hl28VHtAemW5mZcByamGc6LAhjDa
4hQCjqOxojrZE0Zi8OTK2HnDyGKpk8dQx99LBN/kzA6qWW4nP54eQyrdJ94qqOSbqDa+uxnlyDYU
ti/XP8jQqreM3cznUhCDwtg/cJsw6nKfXOIRFfPBwXwmjDCqk848s2DT73lZuSGuRghbBKyY0kFX
JYaT16ujg3xDKBPASr5R0fsUFOiAgxsV0y50gtg+NrLqqa7KdXQp6456Oo/FsNjXdtzqw6qXkYCO
F9QX18sYQbEuzNmpoXuN1xWOMQAIklTANtR8xdCrmaYNEUnAiZJW1mdr5uuHSzFnTMJm1iw9rHWw
TdPxODC246s3Tst/j8OIJOKa2a+PVZRSsCYAoM3wkQpEiHGw9IM1wktZ+oHLn/fjNB/Q2wpmtMh7
2dG12ul74QX1dZRVNJtLXZt7hzcl2hrGFecI0inUpyX/SQ5paqlOk0IJuEmWmszfNNOeile0JWoL
kpkrn6oytE7jxIGExT7R0XmWs7U5E1C7MkrDY5tMoUIvg1sF3WWjpg4xnlbQWp8NIHVdNLh1CjfR
vruPYYr9iNvJqK1PnI94yzLWySnPMjLPXmLN4x4Xkd1w9gfwqFMjGu7/2rq0tbStrZYLG4DgJ1ml
Nhnj2AJZ8KWhsTY+A1vMvTRThki7MFbR8MALIJBIWZn5DEtbqWPCeGX11bVzwoamdtNrWxKbvMAj
NbrnBAK5jfUSk0bSkc7Ks0ZIp3v1GjwXI2O0xyldw6aNngYGlsR7zmTx80s0PEpnTYnncR9E7KW5
O7IWrILGw7Obl2aJTq2yHfdCZpZ4YrLvFOfcgcR72gGvBeOFOHSIpLr+eyC8/KsYGE9iEagKdSRm
Dysc8qEPONMq5VtoOByCg8gpDjayXlcvuzrWYC3d89qqy3uk3Djad+S7gAITxkI2HHoGNGEGO2AJ
uBfZe4WdxYF8gpLg2uhUO5Q9uBeO5bwltLh+khFcb2l35v3d5Rgkdovt8YNZiogDTmnFE5enJbDM
gmGQ2NTG5ganBJm/3zIed1IAn4LFbJgYheMBYkqRw9/YLDUjY67r9H0qSqg+bjrhrZmqoN8Qt8pf
S72wf8g8Jgvw7/Kh39SILS95Zuf+pvdLXmWxztBHIaolHhaiyT0LAzOTQ6yWxdn0nhPl23gM2FCO
uuvvA45MvEQJi7BDlc1XpMIVTdr37n1oQ59jOk/8ZIOdxfxogmIOdgyEKlx8EU6AtVav/C6ZnlDM
q9POPuTE87613dhXUPh7GLDlAGsK/Z6mPDJUmMfSResfSEwWHfO4rF4i31DtN0Zhd6Vck3v7YfGX
21V/el6Wnj5LxXAJkHkwiSeV2o468RsnnD3Xbn+YJ8/q9pbVDdmuozr2LQ5nrIqBogrSBkKFJ5Fr
O+zBvIMPb1AWmYsvbbWNU508Wlng93dGhZW3lzOjlW2P3ikPfU9CbTOOef0pIfoRKBz1+xpXe1v0
aHnbHGwoaeBo9aionBMal9Jyg01QZ6nZ9S0xRp7zIfS2lWj5JotgZ6DicN1oeF6P88IL3Q/AA0yl
eTTjLwL7EQDKoKnviMzLy4TyXgg9JbP+I3snRTWBDwL10KfYDE4T4YSrbkwH8oyF3X8Fsmyi/ZQU
wA+ldmyLDQTNDBhvsE/yVk6GdwuSDHytaXbIUKklZa/VwMspmvWesBy6rvfSDJbHLlKa+QBOCzrl
kLv5BcMNHdNOOk7fciPElS4RiA59wDSCgxJtB5sJNx5PgT11/r4AfvK+tinXWDLc4Z7gVhP+HscB
KJd8b/4dkfivrF+AyxzII9+1ISN7NnzSXxi8qC0FTZp5Cqlb2TzDSLD+ZhrD4kqWRf6eDotacbLl
F2l/fGsY4EhBkz0D5ajyCoZx3xMk48rzjmDmQMzhTwrEv/mC/+b7BY7wOQzbLvy98BfEmpxd1XlM
DXZTnCZXgFcp1AZR9LsE9L9fBqhw7Z9QxOtlCEC3Oh6TFf7l/vIxQ16hDoZjSrv3HFYXJCihZEoC
onpDlhHP2sIIfFrP3Dhie+M9oSRjxsfLXz82+Ps+sqCF4vrPP/v6oX/7UqF00H69iPHwL9kaCxRh
1cQJWYruG+O/fCGc286n3s2SbLtU/+2VZvoAfxQRBlCY4/0qm/CaCVwrpvfDU31ysjs4D/6k4v9w
pf/K4OZ+Y1dvOzStMNVGn1k1oj+LM0OZ+WOFA40elTkBasDjdpMrE+0t31gsyGgQVd3WB+ksye0/
X85fiwx/fjaQcTSVCHoucI+/fnaUU0hbwOSi2cTUr5WKJZNRtv0bHkvoJy3OVQcgC2f5rRyzNfLf
JrXYT9q3CNfGIEOO9KvPyUM70QqqsH19a/vC/7JkHHNqjT0OOGJa4hftD2Cn/vnbrw/iX24GLhyP
qO2ibUE4DH65GdKF9BTtls52LnC7ldMSsiisnrth6f77jyIdtqbYJJRyQmR/vU5taadd4WBziVNG
prGqlx3KOviTSP1Le/1fH7z11/3LT+UBUERNpMzHA/f414/KC0AXZpj4qTCjXKR0px5BcqzVw0Fy
T3iZseU05Nu8MhQ9SG/6D7fE354wAfXYW2uGXKr9OLP89eMdK6I8vk4d9qtJeLSWntJWH9phbDOK
Jtxk3/3zL/FvbzMw54To+A9uQO7HVbr8U7NZSzcugGM3ZjkqfgZexr3KwOX886f8/af666f8cqtA
LIwsVch4S1FKwHHGb7bluruFV303jhC6/vnjnL+9PPmppGQJ8W2JyvOTev+nn8qr7YrOHLhhZOKy
a6gK3l07Y2FcrSqkBkE6Ccd8Cj8u4lNaCHHkdRtVu0IhGSLP0ojNeslBgUNJmZ0qU5OXGzRmr9Ps
NgGImL5dy5V5PHhUu148GrPoRzvz4/eMJoL8P/w8/+6XhAxNEwjoxlC4v9yTKYEqaThnbyX1229p
kb2qRhf3/3zR/v4hFAEwOVwJpz6VAL/cCWUzl6kfAl6eS1m+RXaDgGrq9uLnp/xf2vZPtRVo/M4/
Z22zFTr7UX99/3fQ2d//6T+mGxHxWG6kILSxIbr4HP5f4tYLfvPdMEJS4d9u4KxvxT8St07wGyhY
/jkMgz5TFpcn5I/phpS/BR5GTNsOfm8/C/6b6QYf9esb02X9wpnjSqJgQni/PNz8xWKAg672vfRv
fZW0N3KYFqpSLDxOTnkLQE/jVPcrF77+xgfjXUabOew0CowdVrZfbHsAIN2DE2Hiwa4CbnCzNF7S
fWAjtLrbJdY2SIhqoPM43S8Vo8SPrJA2I3gKr1rQd6huKCbeiBvqykY+8coTyjwDctyO3Zh7m4Ci
MuurrnKLFLrnqHTAQhp4dfw+gSNcJSvTd0w3YoGK0kod7pi/D4zVuwQvEiS3OrjyaGe8dqeG1S2o
E4tStNKZDiZXAPF0F/EnZlHfXYb5kAFFlel8CyB2+rFUOuLJJcH4UjRNEG6WkDD7BjxBBDQJLu05
vts+3hU6SG5mdl2A+fMI+71F78MBYHQBfaTMooeMZNdzzHH/OYv75mGuMAnxQ5T2WVTX/FNMf/OH
3BfqJgjIHnHVUbFzexRng+iK+CDbrn7HJtI8xWjeFv52fCVycfB3NXWX/ug5GBVbiNgjyZuR0ATl
bei1mxRKEUADY8zFEpfZRyZT1ntqgOIvhViEN0O2/r4MSRrue5OwQiqTtbdhgo9iS2SEY1rJCnOJ
TRYmDHLI/Jx7q2JdRi1hQgwSA1yLwCnSCytrUceL3JHXbhyNzwRG0eNroR0HDr8vHnJMfOHBQ3d/
aUURsenFfwvjj7qx2Rp98BEZg/rUmOFi9mdm9BDEyeUFXd89+JTAUfTuWvlN1jP5tTX1abRcDHuC
m93LHA3ZZVxIVOzUL1+8xu2vshwHAhuwMSaKW3puDzRsQEtrSw/PBWVg5WVBCpBxslOQkOt9vGHb
LJUWsOQqvG+aGBcsbd/2bZ3Ny91aDZHs1WT6kRqlBLdR2ImnCkOt2eQZjuuNDrj3toTauxg6XuVd
zTj4zz2nEfF2ppvluSxT/cZa6mH5Mp54zRkBUePOnzAx4DBFgOzvtWcDflGUimZ2H/wpmG8Ct5ov
dZQ72GlEUT3gyERuND0oLtT9IFeoi4LxGZZxrTYI+8v3JjUSq31hW+8438eXhPqBCh1gKB5XPeah
oaqJHEjhx1duWzRkpCbLQSVL6wpfdag5Dnd1Ra1bFyiSs1S4kLzpqvLeH+vx09G9hAKqRXCziGR5
i+0EOMU4mPqxZHm6m7rRwRA5lc61lwf4roikMPXgiAs9J3Oc5DNccv3Nxal3m/u2gSxmWalL6N9u
OAWpiTyY0/rxCVFnfqrCNn7UeD/9TWeG6pWum8zaQKUqXtj80LAAE2X+0KjJyLzMmL+N4UBtO9B5
/uAwVh7WEHtqgBlKrnPEB75VykleoxAQxp7jsiAz6TW3tCs2aytYSJ2JDGMMDHGo5mSX8NOcW67p
uEcwbX1LNMMk0L5DmG47A3Z3kwprmbaK2cKnj6WULLBWBumUlEa9q9q2ZW4QTO0l1zF8t5Iseq0I
r/Pisore7CEmmWcfytojOeRY7yyTt9dVWdcVmlWdcdsOHGn2XcHF2Zb9mk5p+VvuQQFWZrdmB26r
vMOcGZUd9Q9d1VXxJiJ5RJZXW8EPU3aNOa6FmRl0kHYatyneJ9K41bis48qwPZKuV85WigUK4pIJ
9kC4TyaynjIn/8m0N7juc4/Jq5WVYCFdbKevIF+zxyguIhgAGFTh+8WLtYnGyQDa9RkgbUzmLsia
qV9/6CJqwW2npK17kkTEoZ0i/vTTpEXRiFTOs45lnf6ToZ/P8RZV7Nltzf45t1WZwTVNocOUiEty
L6owIF2My2bT4ik/041Oum1MV2RI+CR1LikAc59I1aGmh52fXdhg0xdGoy3BGOHU3Y+JreclqbEe
nbOzg2CX4TXADu1kECNwPPKOGJfZeoWiAVGAeLDYhdkiHqWhnHGrioZzneMllGpMBcMWZsR1dAes
ELixzIo03sNQE2sBgGM9Qa5YnoiJDLj8xcCMGmjt8OEy/McRPuFg3y6eze9LZetIWtdteytr2Nd5
i5C9qRj7Ursg8NHWtn6EWNfxREnoNjUQqG0gqoxhlBv0Cyod2vSe9svlQ+Hpd7f12EsH06jjJqdS
6AgXTcrZIIpM71xIRL9nBOhB7+IeOyIxwqlbzpzcJRjC0x3d9HVnlbukt2zNnJlx3FlGm2dzxyBg
Tf7MJVULoac/PBUjn47I0AOYadSVLcu5j4VnEVCIDKPJj1FOFtjloRP5gcUe7dMzLGdbmTEohTWY
ENFrGaiCiCEA/75oJvY3rEUiR3DEoLatmt4dmCzMvIWmSDnZeYlTo7qaxiy8JQJf0iA6LuDXq8bk
TKxATpEWXuyRi6Nk9YWrgIafGXyP2c0kEpxDknop7joubwdaYHbTXTBod3rMiZtYpJ5bi1DL5MT3
mQrQEFQuC4vBxRi0G/q1qu9lzZB9myV1BP9z5jCrlrm6ggHVv8Z9vJLWG00CgaC8j7ufsiSmj22O
9Ev/1P04NC1rMOE+ylUFEAWTzPi6BLbfclcyiAQ33s5PAP5yMMkhgxu9zHG2aaoh+OAeaH+QIs4o
QKQD6H4Z0Ir4gl7AYI39xLvue2b9oxproocjDjSBt5f+Sjdc3hNrsq/YeY7Mwp1Sfk2eII2yWCWQ
QVWu0RaI59R72nZ9gxNfCsLCckiBF3TQvkxa8dAF+Hjv0rmCMIi7lF/gCFXmkc3eOrwYfF6eWI6j
M0vY+knB48pgow/Dg5NIQ7iO8M21GGTZATCkdwDiKQlaEZbDJa2RtDeSgiSTkE3YR0tbN2DblInz
HQOH9CXMFG5PpfFJ3k1jr77YUE8PTq1HUqzNCMSDdqrwzq8aPMZuoJIbVVYjEXGu/0tle+PNNLeE
DiKbkcoGdqa+JVAXfyvadsFMKY1FdZZZpWDdJ5yiUtZvGkWBTe1jarVYYPMAuze7ffdbmVjYU7XT
pvhoqXnakkFUb4gtwBlywNLfEqE6geuZDPPG+BPvhpy0Br/lRoyPylTwQdjcRCsgUnbDDhOO/hEx
b4cAW8g2Y3jJZHzjJUyFyai7ONIzZgBbqoj8T0YgwR0U5Po2m+vwNrY1cQykPXFLPnzp9qu5Ftm3
ayWMJt7y88HJpTfsc9OXH0GJAWC/tHVlEWScm2iHkSa8qCq3x9hJS7B5oaMgrg7GkXGxS10RqqMA
4Xg1OYtLbae28RyFRD+dlTw4KFqYTCtuyCUGXwVDGuKF5D5+2m6GEwBCfTalAusDTZXydSmKBnx8
MEG26YDmcg3Jdx7nxUM2IUeZkNngISY2qIqJoL/rTod8XIj3sgpbzxYgon6TEFIt9qOfW9amJxr3
ho8F94hgX5B/i5KcYqHBSjzsHaKwwiOEfzt9CZTiZ/WxBOE+FMBG84dJuthXxiQRNPQtjIqICfKJ
uy5KjGDLTeoTFw5RTHa73uX/naV/tQgK5L4/6Rh/6/qmAXJpWPz/bCv8/Z/5A1nl/4aSzusGMdmm
mlRwEv4XsirgIIy2vLoHOQl7P//Svw7Qzm8OwCyMhpy3EMf8VZn94/xMp6Tg+USttUMEOsoI/4vO
Fs/5RRuDV8XHgxbwIBqEWAR/0V3cKYvUHOKf4vQwPqeDLqxlj9/Wdd4YeRF5GoydRWJnmGWYdotF
hxTlFm6vRai8LqZpD6uIu5Wjcn9gLpvgse/cqfphYYXOPmAbeudESEd5RbqAc4xd9qq98dMJcG8k
Awx5Flmg5Mx0wst27RpZLErTWpCG7WmXj6N/368px8Ztp+JIkw50t44dWrzOUedgy3Pdpe91aFvW
fbhGL8G6WKs3Y2idQ6ExzV4M0Wy/W83Q8IesWU9LVP0picARFCyr7Rel1AADIANljxnnhwlzjZNl
j14+28InrEbBVE21FvRoyyXxOiLQYdQZi47orFxTs4uOaoj7Rei089Fqe+HSyEREN8exnX4CQOIN
aA80EI54Daqj5a9R4Cbu2HbkMT8x3OWINHECwO5F6jVizGYgfekKzSwZp4clz+sBw/UO7sJ8knU2
sLNdhOuBniroRudXEeCXSatHJrpDP9z30q6uNeQ7AsnmtcbPB1O/dxdQfBllJlkv5i1nifwtU7yi
IW46nxKjF9U8pX9veT3hL3gjyzk3LS9AT+O3JJEJ5pCTwHWiajhh+Hlu0lF0l05Vd0fKwNt97gTu
JmmSbpf5Mt3yFgtf+mllj9qzhKbIqeapaiRSDUiKEN7FpA5SQt4lVzucYnwvO2fR2UPnDCTycK0y
h2yTE9swD+Mg4zSAWLSs5S2p0CDof5DSbNkha/zsPV/6kIq+eSpKTOheYIb7FJ/pRcdM9W3WFD1y
8Ajz9RZYqcclM1COygGXg015MF6qZO0V0HkHeCFqd4Fr5DlavHPA+qJ63MWyvhdVUH9ZTT194u8c
HrhqzouVFSRdyWj255MDwJWjh/4cFz508hLkJPanOGDCOetQcw0bbgaG47aNsaBsmlbUr4yRZflM
J4yIylMJsqc601Xr9Z9gpgYgLYSskJOLrSN9C+Pqlhozd/lG4q3Nly/O5Cs2vQHvOR6mIB2oI8sK
4zvPmIoC0OY10cOVOqvTT9eB0kHeQW0nNxEXcYvptCQe9kMxvj6laRJcBAnh+NyH/6QX5cCaqMS3
iKd+4G4rPTneVxjIcDxZ2oU0Z7A8n2G7itVVarldfIr0PBgFYngs9B1OUcu/63odr/51ByMGPNE4
oMbMwJm7aHKl0709DjV7DIUP5EUbS53nRW5bb0rTW3kTsZXw3gIRUkMA8CVxLjGDSLMbCovmu02n
JweXCwoATXZp55Cbm21gwtkGVAtu/Lrw5Q1hGaLbWzu0irElIjR6dfvWrK1DZ4gcaX1FHq53t85g
VZTF5K1J203KXm7vBuyLrNYCSVxn1DptRvyE+iGHqZ8fl2AZ1AtwaGEfZrmCTPuiZSpZCWJ7uE/I
BNbErLFiOnjZzu265GbTKoq2Jqt5UnGYrfaQJKOKsC/G2QV+VpO12bXIQ+rWwc17k2NAqwjcTEEs
P8Y6tDilG2S96VpG0EiOJR2EHOWGJIYcvtDhI+BK5a7fYhxsdOeZS3pjsIi4UYljanJ8Y99OsoW5
0EQGM1BYmM3chXW91cgBR/pjc/faW5Vb4Demv84nW/PAF6FXWlsBu8zD8UvFw2UFW2eTaADCEtDN
ZlEgO6uiJf+sI/t97P2PKFHDeON0vk1NpYGstpsQIzBDtv2wBnltuqZKU8mDW64oB7wMdXeZg2Ll
vCukAn6SaDN1BLYaUDyANET0jIGHo5+2K47AE7KruEyghY4nVJVAPjf+GupsCNvinGhSP7lsRIQP
hiZ1DiQ09uGSkaOFMT3SqTJvWnBaycqkyJi7TnE+fujBVHTK9FSS3TK0afPbxINtBh5CyxsS2zVc
HTuf8d4JvjQvboa187WPhe5t4f2anKtSS/8FbHmrLmwaMeWpHcOUNoUKuRjoKbGzmbRTdmljN+T2
LVDOh2qnSfhNOwzjVviIks69t7UKHwoA1e1ODvgAr2hgOC0jj5y7ZSunW4J1cjhLk66p7+Vs1dX1
NMeL806INMXPnE2ZwAI6VON8lmfV6N04CgDezh9FBQ/DZR3a6rbn5cDnfZ+nsXyj0ikgQGN9UKBY
XFDrqE9Bamid1XVw63OizL4VcK/TlxRzdn+GtQ7idonqQaEmiVwgKtg/cs5JBhoJYKQMuM2DFWMF
ecWuVZTHfswzECoQkX1KlENlCQgFHHfJrHbRtwLDTo4EiaMBNSjyZvwm5cp5ivo5y06im8Fd5UD1
mx3i7/JZzTM2BFNGzdPksSRc6WKZQxQHaj6mMzLOjnqj2cGZqQFo2rq9s2czX8WcT6iibwDm2OkQ
dd/Z9jyEKXONnU/Q/j5ofDQmx7qgSfWRcEY3nQ0zy1z33aNXzCEyzW8dOBHoZ0MAeh8LGF4VTxP3
o4vrrJjO6a35RF2EJexjNlwe/AxFbU+uGX3p5FfsV57w96MDAQpnJLnpXXohdips54keTbz2FCUM
/ZJs+ionDJWrtum3PutR8MBLXcevXUiZw8YmURwcUpcwH6HzZqIRdzMDnen3UUVY8znvnZrlN1y8
9Y/1k0VEENA9iUg/RFhpn+maDFbG9mAF3BG1sHPAU0x38Y4GQz5dF+jlXrRbe4oP7TQVWJyUCbvj
gFb+mqcIAZx/gkpc12Et70MiVTltdgN8muDQ2UD/WyzOwzfMyUVOMHUmIBa5RqcXZeDPyUU3d0H1
MKoAflo9JAmJORfT2HOa8KI9tbPWUMjJr1+06OnJWUIZiUegq2xOxUIw+ixwx1gfZFD2nYPmkJON
8qq5Gw9pxC9xh7OpvY6Kqv9igGjvXUfVL5Nv4LxgNLzKGRqcPLzv55HkXLgVdv2ZRV5/xOcuCXvD
XRi/1NwT47AopVkx/1KwU6xDbo0mTeZu70WVmn70gVQN7RSJV2fHZOz6Q51RRth4cc38JmZb6h9b
bQ/zIbM4jZJ5haJEzEERxiTgp2K/yPDqq5gTdFQOwZVL6aGl9jOuCXM+4GqTkM7lGHKHWdM4Ek8M
Fn3Bcpvd+4UEv77n6xBMRFDyvOQm8NfzK6AyoAhOb+9Z/mQCRTZ2lrgL8Cb3cFD2EVWv+buDFFpU
/zdb/VtkzHf/+Tj4rfv+56Pgz7/9XydBCMXU3VPDyW7bdbwgxFvx/0+CjOVZwvgFCR9KMR/yxyiV
+k4h6RElRuYhvkSS+eYfR0EhfhMu5zb+T5cKB5+x739xFgx+ujv+ZD6RHnk4nFXs21bbkxP+MkpN
TEAICProTuejKj/smcVz6lTt7QAXIEMV3sA7tYDnu2tb6EEx3uErVtTivCFoc1tEhXqNVRXctAtz
s7aS1gPbD1D/TTmVG4OuAbXRDABflmIyhwQ4/El1bJdqafV3XmSA4+BVdI8iGHdIzmc67ekoY7Si
Xlo0yNeoCYC9lFLZPtbsisgKvNavcPa974aRwHWPe5EdBgLpeaD64rgQa7sFZ7dAxmqRM13BhKpN
Ucy3jbdMG98n/r1ahyjXpWfSKQfIwT1xeQ6v1XnjDmN/aRejcznlQ8eWdk45CebFeS+k/8PjVZ9t
qTiMbnKYBkdGTmh+Dqm1y5xCNurUVXLmienJkYGNOC+r+MVpw/iyA79+TkKO3oake8z6PGMjrDhv
EGHATdifrGXJbhczF+ftLNJ7VZCZS3XBStIl1+2YOVduNuoXFtj6RL1ncEbHEINDtofJs2aqTLUw
wcId/lPSFaawH3FlEZaCivA85WO7W1AR9y4mzROAEEWxipVI6rY9suz1mECjNhWUVjg75JfQ2rfZ
kJK29uuFgxval5pJQw9QxvbUF+VnKkUQBp7m5fVLH8FblPltHg683NDItk7BFEDUvYBk7XOQmr1w
60LHOc6ZHaM/lwhoiQHKwK/S2TDMLc8THEgXS2WTcAAQv4mcDMSmWuydy4mMMYuvMdEie3thLw+4
5My2CxrnDGNKDVMWcimdPABN5RrX8XG2wegxstz6SsY3devek6imMceF9FnR+5doFwBtq+7nzgYI
W9jm3qJz6jSxPG2l4ect6PRA0Q3HPYlf/45PaO6twTHMzEVykAQF9lVPfCsfC8TdcGx2IzdXf1f9
ROU4iCucPDSTXGiq5egdLLgW8zl2fN7E1e+vZeq8o8y7TpiZ+wvhxNqrTuyzUz1v3TQqJJRdSrxD
ytkcQexl5y4qbcQVTC2LII5Z9w4+A/Oa9pj+Hhr1vGRUxTKQFYwnM6rjMEbspIZ9R51Js6FBgT4q
jAE7St3cQ1dp6F7z2Hz56aKe4sqnh5Ow/VkXzdkr1H+SVxNu2Vswv6QnOi5Wqsakotkw1cBuQAmW
Om8PFAVJsoVzLNm0Tf4lixhcXCmU9baE7QAODtuSb2R1WxqnvAbGXryVcRAd6zhuP2unjY6o9MHV
ovRibz0nLo5pI9N7FlnFXo7OcgYsCm/1OLnVhb90kXMY2TLj1jdMSsJ+oKCHT2+I4wz+NVNXEN/T
oE7ah80tKVI/pASydkEZ1eDV2b3s6a30zvNx9pnUxv0tkEtJ72j0KMNOXTrUV7ANS0NyenE3oI7b
ZXFPDXOPCRw0AhWOzhcMmfl5LjiS0Neu1aUrxd1SSxrkBh4YH+rcw+wN1X2gl+AyIJu0z7Jc3tKl
Jl+CZqH8nQiBPE1O7U3nwnQDDgTZch3pmnJ/pI5wHrsWb8bklAvVuHmdvRjL0rfpFA1m4/YieLBd
Co9JfXS8uJLWe4aQeGw61Zpd4KTVkc01xFdLMgZKrTw6MjBdCBJVkoyb50FPSMh6spuwLX2NapDy
xiyLO6bzqBUYadg8JjPCwmxZxIIIbkC5YFR4o0YcaTtXRfNKnRXJJg2m7D3B+nlu6L4iY9sAv0vJ
JTAVLH3+NxLUI7yZ6KOqwc4dHE/2V0BYvIcc7h2WGdu+5bRaPixpBDt0zNyPqYvEXYVfEZhESfkS
kwx66Rjv7UxQBz+UzdcBitaOt8wanL3PMeOqENp6zWDCq2NmrOAam+R8cKUZATq0kun8MA+HYCYL
a4QixUY/6kXGvfKtUX53pBbXVju+Ki4UEmNVjirUyjNQWwPs+r7dsK0CuO0En7ZP2xRHYMNZBM8i
f8uYDWDhHbmzBKcMx2/SnRtAVM0tDzDb6Pff/GmgwITVcgN6Pryu45qWDEH8+Zqh8HI+lt50F0QF
5hcDm+6QxhDOGhq1N27SV/dWJPSeGFkybLosG856p7BuexHm45awWfvdxjZ3Yp8942foqiuFXEfZ
3JSEV0Xt1Vf9XE+HValgfFGFnMTKuO+f8EdRFkZmIGTKocuXeGB19HpRtIwgAu84h3V2j3xj347+
CjsXabEPLb+75tXTUtRbkrUsNF4qJqya4b2fL8G3aO6Ff0b4LPyAK8ICn8b29eQHXFWYPgh9GI+o
/kBI+kDkGuCw5O0uigkDmzy1rjgCdlu75ZS6U7iLvqqhNM8uD/UxTVnUgL4F8RvpxfhYVcvVAAD8
RNPvVk5iW7E/Js5V0TUH9/+c5M9NVHCYYbb8ptNYnzNylM80oxT4KXQoXjDPp9uJVfjVNq39ScWV
s19EMTzx1lMgeuPwjA7L5dZRTCnpAmu3IqiehJ9fK9EmO20i76L17OKq6tr+oDN5ojvqISN5i6Ru
suEAVue8orUqhndzNcxOD/576A9u4gIyHbieu9yPNWgr8OcJM54jxrASScXYVxo8Om6Sqtkp/KRn
PMM2XBcnPeV2559nLmNayqvUCyI/LT625+5rX8yXXTE157gJNIaIPj4aTX1KZlvxgbpa7yHL/WjP
MhVtZ18ut1Mh5ps2j9IXMGIcnMBmPcBNrY8evKWjQNI/VLWYdyQHQeXk1PnMeTPeYF/G2kqjGKUC
9NxaQTds8xTbhZCPmQQgw/aAPFuKFJZeMas6DytoU8Vy8GK1G6fwVPeYJWx8cN17K7+LovdvUEwi
cu9ObZiSlw0EeI6Wa4BcxnfCLpIXXdvHOZg1oGHn+4B08oacO13HvmG7gxkgxQtFxgor0KUbM1y+
qrjxzK5j4L5sq/J7FKjou4yZ+Ana0uH5EOPZBMCHrvuI2j+rgGO4KYL+0mk1z+WgusdSty76VZIy
2V1SH8dEHKcf49guZ5WHvYpupfWpnzmvi9h+IVQY79wmWza0K65tt2Ssl9ykFltVQEXtIsQendj6
tBtoCkoaeh11+T/snddu5Eq2pl+lce7ZCNoggTkDTDop5VUqf0OUUdF7EySf/nzU3nNGSWVnjvp2
prux0btUykgGI1asWOs3CkxIJHaEAIAbyLU+wPCGWUjHHM2pjKrDmHyl9tVuNUpWgEZ8fMmdTH1X
neh3NRUyZOsclFijLv/dCulfUjqc7vKgdyg1AwACc+Ug/4tMa5jb3UajgEIaFzXebZ1Mwa6lrPbo
Chj7iHImlBaxEbW0oKEqbHgfvH4cL2qW694ZIMN1VreJEFC+curUXMMccgDDd86Fg7bhlbDoi+cd
Deg+xq2nG7CmjWZzXxsVY5iBnn5dFfpXsHIfUxl80QL0jUr8LFZamRjommvXgDedle6Mj76pqnVF
VFkNNVUKH4VL/BP18UNTBSimtFB0oihHsqEvEsSZSqoaub9JA94ocEneWYxWfBr1zyY9mm1TVUi9
WepWo85d9k28hf2iIF24AcGwuafb4Kxk5CMsMTl37JU7IZs9+A575cLmWuOlhyyLxalW2xESM7h1
WqoxdnHJ34aeCyqmFDj4Zc9llH2C3Hw/6lVxCRKHTgslU4SQJcUtAUvfB4rGn/XICcBa4Sp/5Qcj
d5W46L6Jxi+eO2A2WFo3mn4J8wuXwJR2jUQ4Gd0nDoWstr63sKevmzTIdqaWS2ohFcaH+BV9gHE+
zNwBqhRx+7HDBOzOzIZqV82iqRrq9tmYdfwMv7nGkjeg/uxV3+pfcaAEWYYnMkE5/zTV/b5GJWAV
O8YGywZExVI66XDVQ/xOod56ODAgep2uXervYJL86xZM4gekx4IdmJEc1lxc74fEzlFIDr195HHb
oquhXwDpQV08TK2rKUyh9LV44Cl0ARFiALHi0xxYGTJpnxynqPcaQmpYuSlEy9AJSsLuwc3k5yKm
agzNA1wXSudA/Tbw68dmX/J7FK/T/mM3Xbgi1zdlkPbXpYxhIpsaAq7OQ9yU/daa6uEyaCcU9qO9
Y92oOpv4LFftBH1LdNxEdweTu7ri1O0v83pInzw08fcwGMReeVPQg2vSwbnpJHbwXJCV//+t9Tet
dSGoL/xr8Z3/lf4IikVn/eVX/q6nmPY/kauT0qXsYb0QE/67nmK6/+ROjZuTcLGDolH8Cpru0j53
pDOTDKjEgJOj4f3f9RTxT8uDsAEEQ9eFC871PfUUNEIX0HRugx5lGT5RULwBQ3zIbqkDDa1+FOs5
FJV14ReaVE+tXnTTKmtd4+tgTUg2oOs7GHdgmxIQq3CacFYcO8Onsjg5mDWNVBO5OtcRF2oJzlqg
42y0zyMp15OTh3H6FPYufnJlLkDDoL33NOTYYwekLJisFBzVK/CbybXmhRao0BR1BbBWkSW3dfNi
wVBRkQh7Jyg+mhm8XJJjGW+V6If4UlR9E33xMr2UO+x+hdrp2ljZ6Fpp9HCsMpiirUPvdp3Mys1t
gv782MezD7xT1slHLyJnRfQGGqXS4uC67T3MZzQ97R+RLmhTdOgHaezTpKvzOzspA/DylkNWT4sG
uVHdy24c02nQow4NBPSAD2GxUc4E/igpQMYaNX0cyte6e9tPg3rWqL8EALHHCr+ZOi5qdFYS7ym0
YDSvwtYEqWyity3WPkWtaV12joWcCVJDX4YStYnLqbMUOnq+SjZokaGBJMWcUCSh12D40RvcxT2V
fgNt2Oq7CIdVbasHOqaaZpebdEtKIP849nnJXU8/93vUTbhhU+jCp75IivAGfKBHOodUgLPGlxMp
6tbKom1utyjyFG3f5+veKKs/nTskai15jcNaZRR5d0D9guYTHf/U2Sr6ULd1jcIeuDW/Q9EUvwXk
1Koq/cnpkX4rjADhFeijP7JyRgr1cVnfV7aJD3NGpzgC7FuU5iVtBe+uGo0QFUk+wdpitDt4t2Ac
EfgYYd79McvE+RN6dBZWblXHj6DyO4wteq2p1wgOJ8ktrYfG3tlpzad2qPkj+SRoy63GvhwB84lI
XmUyDrNtkdsyXpe0MZ9ymM1UbGylvrpwe8d9W0ykYgCn6MkFCbDalYswx6zEo7U9fl+0Rq8GWjvV
JfqfYE+GYPaglkj90A+symodiYkqIU3k6HGStdoCd5LuKodJ91vGPUdETl/AuDZqfUD6Bz02zHOh
Sn9sZV6S1dGCAlhO7eaXSUUfOCd39m4r2A1YJIe2mV4KW+Iw4fm4bKMlVFQdxkgaBraqmdGrg901
3mUEuNy+oMxClyWnOPCldSI9X+MbAXY6tDUAjK+i4cNfZdl/5PjIFFHeNv/5H0v+I+CYWUl3jn8m
bFg5A3tekcyGVGsxQWOTF9wsf+uDFe7ThpkDVy6d1emx9Jni9aoyDPdxHswx+A/bydAXlWFVuHRe
eitdIdWebyShVVvbtmxuao1L0ggIb9c6XXdJpcSgyR0b+6DU0sv3n4r35XP+1NbPz+3tj/J/zLyv
XwUY4ygI25fS9//5t/v+uaaf/PwP/mLzjx2Z7482KvLl7xx8RPM/X34MVXxGeh38yzZvo3Z87J7r
8cNz06V/Dff33/y//eHfLK2PY/n8n//x4zc6HCBH3jQZDDoBHBX/+mi8/QF7K0Sc7nWv4e/f+vt0
tHTAZaYrhGlb/MObj8C/uw2WCwGL+zxUOx3wlzMfS/+726D/U6D8hWYdZnGcqaYB2+rV6WjQgUCz
0OMLOjQL3nM6zivm1YqCXq9DOTad+XM4cOe+yuvla8Qt37xAeLSOZ2l/igzQCoEgg10sfeuhSvoZ
3OTiFcDNKaUO+mrCjuwefXE2z+Pbkv6MBCxs2nLJNzSRDbJUizE6haAHSPwJQutesukRRtcp+YT2
UwI0CcMVXzXtzkBIQaIK2lSfwtrKyzP768hk2LRjqLEgOcDcLhiWRsoimSoYHknFCZb2XftTOdiM
5WLwVgB8k9vG/QyULrw6PQsL7txfk8B2th2hG9J2gBm+fgki81K7KuHR2KOVIlARwAC/8Ho9as5M
9yJYvQw0t5U8mLEGXOpFsMryPOaoykHENJ3/CTMxU25H3ePaEFmdfF9kfBnMI4eDUM+6n7O4g6dq
LYNDraW+Q8dBXOHt092pHLHk3inUx9MTOH/vxSpGvpFhbBJJYJzzBL8Kwrpv2aPMeS7aOf7vGFzd
J7eV/UWSp0g+x4D4To93ZB4dLqboQ1HccHXB1n09XmppUdaNRbFyoPJttNDx1+i1I+PG77z/lbnz
8UKocCTyV4u1EaERFDRtjELUCA2RFkqHLwS3YHMPBaXJN6cfjKx7OZGuheIlG5GCmz7DZF8/GJ16
ByQ2PtNclqGbF2ETrzTYe1wz3cb43dLexzwOc4O/mtb/km9/bFxEBBiSM2t2hz0ct2uVnnKXYFw1
S9cNqNRiUSagYSO38kmhZIKBVKjdn37aI6/RlTY3DGnRa6Q2czhqL3vafBoXA5bpuIFahrpjggGJ
lM25o/vICgWAgUgCXWQTpazFCp1M1cmeLBImFRSBFFHJi9Hp3cuuhpSgIJL+hQr/lxN67NFckMtw
g+eu9XK8SuGkMrhUbYrGcvaGNiEKg3Lbh8mFJnF6Fuevvth8rjsT7ZlD+ufL65UFPLMNRuSYRRCl
d1aNHgjdnHD3b4wCOtrGc9iBDL1YIVD5KZ7ZRJMqplcKV8i9DrVQ3Z4e5ei0OWi0AsTmCJaL3Yba
VlE7I6qDFYpjKAcLJx0vLfrINDxnhbkzIfLYqnBnKr9l6ZyzHOUH202IyUHViLiFFtNT306PWVHR
DodSgQpkXJ15UcdGA8kOWdyAjg1R+3A0eB6xY6IigC1OFVzlUW3umiSQezEM5fWkpu7M0x1ZGERk
djNpMWPa89n/KioDzKXar81qe31J93lC2KnfBJBY4zMPduStMQRqBSj8klAtxYKG0tJDJGTpJPe9
zDYZbJiNTBAFBQLn10+nl8iRWWQSLd1wXEwVdG+xRPxBH3AmhbPjeKGNORZ0nV95bdHY9zUDngdu
ouH7oyMnNmseaAqZojVHz1cTCasmQ5bWwLEF84d1ouFiOxeluQZqW8sHJT4MujpzEhybU520cE4y
DVLXxekdtjGXb80i7WvSK4Me8BYeOz1RC8rq6Qk9knV5r0dapKBOKTq3dphQr8eAE667aX4mXrfp
Fs16vUbJCWNZbqhI3sSqt88tniNHDxpL1KjmXGWuVx1OLtdLFzY1jnbtMLUXqIFqDzg34iFtN9VW
G7wRDEvkfzn9zEcHdeYww/awEHQ4HLTOPKVHLmj8RjGpkZcmn7LR+QTDtd4JEBI7Rdf5zJjzPC7i
9HwQEEHnC8cLJur1KmrcqWhikyt6llfwxmmHwbxPv4y4mP4qMjP7bmMPsLE1Ue8NhQvQ6Sd++5ZZ
RXOlkAybq8syGAj45aA/wJF0ctAfaS5hrBPWwQ/wqd3t5Gr+tvGr5lYrmzMn4dsoNC9fdo7NWehS
jTycanyyKIANeY67VG7C+dcDfMRi4/H0472NCqYkl6AuBnmH/zt/i1dbtJd5F0XAzGGSdOH3YEKh
aNMWTZHvLH8ovredHfw4PeLbCWUYzyAaOJyJqH8cjhi2mRbSXqaV0EZIgMH7tR88qvHQ4RJ8VW0T
SAMKFbT2/NKPqzPh4djoL1m9bluSKL9YwL1WiEi3SEtpDyPYK7US/KSyi1CtKc5FEFRzf1KbchBl
cqloGD2ffvq34cnkTBHzqclBxuXx8Okd2n2kzQQNY0hMOhzmj6S01IUBKnb37pFch+IOz8iAXOQP
R+IugS1PyqmZ+/gSwXF0FSbYSQ7PyuntMTwzsW93qck6mulg5G0WlevD4RAhT2BXNhwvYMJ+c6BQ
uowTWoe+vkUTqrgIsrH6ViowAPFoWp9PP+w8bYcxgtEdMMgk4wAk3cXhBnIHuFLD6GFax9colwuc
63Lj3VtyHoXCBokw+iz24hnZIW4EwpGMUWke9CzrjuK7tv83HgUJHna9RIx9eU43dIlQDWYQOLPl
A7B1H0S8EHg3nR7nyM53WRmupF4jSbYXWRWsQztTOSJ7gbAAB1dOjJxjFgDaksOV67bau1NUaIIw
GF1eENhouVj5TWCMRTW/Inp75hbvJ0yMg15tqdVaD6cf7dhadFE4RIDQIrFfpqcZiqPcv0ZyAKma
vYgrC6UAK9sYo0r3ZVOLq8ps7Ue7jstvIJbKM1vhSIwhrWNKqa1SCXYXMcZOkz6tBcm4P3MJVxXI
7QcLSzd3JQZZfzQMzQaOZkXVR5QHx/rMw8+fvtgKmEbPlTZ0cqmzLUYvtKmk44UQqw7o5hsvIwKK
ZLAZ1x3oNbzm/ST5gMmC/W8EHAZG0WmmqVIcXO7BKKK13nMpoHXdQDRz7X2PHsVXXXbJ0+kXDKx5
8ZQzZplGHHnPXIPDWu0w3Pi0ath/sA/dZrIghRg1ZkGR7lHMiEajMi5CaebtOjV0zOujmay9c5MU
DECD5XO7tsdE/yZbt8jXTt4XE/2Yyn3Ox3LEcddWQ72dyszfw3nnNtNnYY1xowAN5egN3vT4F0vU
67soRc5V0JuLpgF5QwMNjpH6eV7KbUZKgw1tH9p/milG+KDTy0xeIjFd3TqKvuSm7nW7hH+ZJb9j
SPoI8pft4G7jSvUadX+bj42FHH5UTpT+EmbeAB/yGhGt4mSYsMzB2DQFY2KgkBv0ljaivO+qmzAb
IjzGpYCtXxtgWHagfKaL2gEbtk41CwBBQr4ebOu2Lj/gsUPzoh/r4Gm0JgNdWh7zJ/q6pkf4SbMI
hU4wgJvRc6orDfBtt84NPf1uBTEqWAlpBbCVaIyvRDqCbbC8Nr+ZnNy5M2dDry1cQNp9GkeAvaqc
ybgNEV0eV5i82h7VQtpgYYc57maoNJhdblBU6aaxuvZKtDZ4C8kVQVtrY6Ae8dcT7Xrouwr8npvm
BvY5A3QIdJeKn8ItQXjgspiVOw5YPBtDo4T/oevoM6wgmA6PqUQva4uvbtLAkveKcqMiHB3XKm4E
PUsPwDiM3vYxRLZUrA1QVtdRySWD3B7PCJRi9O6uSk2j3IBFNOir2Z34mOUOEgAEkRJ8tdZ8rQvZ
frFaFynrpoviYeP6M3bFDH39V9yHyt70/aiMrYt+VLVC5aRVWxiP9bCDrQdVF5c+jJccYFpr3Oa6
BPYtGkArOfgkR1OWoCKGRzfugYOeDyOsr7HBVcRO8CVDAJ71YaE+EqxjY9K+hQX+5KsAvU1gtlOO
MA2+bY6JIjM2QWB3yqnbkrNqEORASn5xkUePN2BywfTisdLh0Aqoutpa+J48ZpWF9UTbadV3v6To
vgqDZrpDsl4wVfBXupWhpA0Dy/O9jxnq23j39bYV7DJ8L5BIh5l5jfQxiknI+CuxHiNVVWuPnvSM
Bh6bj/Cfe4k1ydD9wqmpgtsLouP7lMnwI6uBaRDmuEuBsAxI0sQBhgSAj421VwG22yfAu4a9Gc6K
SwiV180PBRcY5bIxRP3BdmylrRAAEpAWpalKJPjbMr3o80YXXzN05n80SLEEgFTLsLzrOySJPpSQ
wJKL3J6ame0Kd5e0Ah7yOtURMLtQUumU09GH0zZF6vjpVZUN43DZ22WEpaRBswk7+bEGFw5rYPwa
CBU9hLn0ENlG4JiOqp6h49LVwv2iYP/rW6vPNDiyDqbNlxrVNgFwtpb3phxt576Nc/1jVYZI0UM6
LsJL31ZGvam7wcCTxaWF9zXoAyfZYjEZFg9tDoxz0+HC8LsFg4vEcDyl3F40tzOfK1YRIjup7Y/f
W0D2szNHOM5YvRg38zjWDGz1LL35MfLn6t5HNyS798vU625pUZst3jK2j7HpKredLH7qnFlxfpyU
le5jIqBcoVHWSGwL0uh2aCc012RGxnmrUAVpgdMiZrGOu0p8QS2+R6Nptk1YjSzw6iqA5NRegAmw
kALL0SkDFlpp961N23/bzYt07bbREN5BUKRr2cUaRMRJoKC0qaex9T8nHjX0Fco7+kNVltVD6DS9
uojrqG3XptTCG3RyzXBHs33UrtMwq6Jv2FLH4Z0H4WniF2O33II7l+YlR6TnrxRsBHXf+TAFf8Bz
N82ti0YmwiSZhRp3M8SddtPGo/PHh4vVrdqoKbudwAUVcplHFe4xh07XXOONljqYNPLud51nqD9W
5if1ZZ71mdwko982vBB/drkTevxLTH0Z0cIWovsMxqR014DNM53Srq4ElsJaKa+F6c+CC6DwNZB6
g/cB9BXq/QaurOij1PRqVm0v8Eq0y15EAIzaCthHavTpNW47mbyiIOV4exiU2TeZ5TaxIa46spO2
qFMQzEbfblpPk1/yF+1yyOo5zk2NLX7KNiuaVQRccV/7U3qhbB9PocTx4uexkeMXRLyCW8c3wntP
dNlsq53c6ymt/r2TdZVa5w2sYxpyozHtmgJN+3WGH0V7JzPV1PscyS6MGHE9sClgjKNAgUWhMgTR
FbzcaOdVDpPIGcCRCDjam2kkOiOLElvFHqGdaZy19LxobdiZPW5TU9ezu0z0WXapdxygKJZFrtw6
VjtdqaZPkks5wPjZRJM5/9DXZvU77AixUsE/jwNaQ/N1W2RaHUOjH6IU1EBhuhed65TwsQc35Isk
gLj2sJ0gKOXWvBsKDiOk0MowhCzbAurYU9qwnhTOsxIrEgdpIuziJrQNAYobq8ZmsHXr2dJYkaqZ
D1T7RXqND7xvbxx4Q4j82xFBvKZ7eNflZBjrErPLGIJexSVBh87/jISDfgu6OpUzMsgpt4YWYMTF
vqhvwnZI75smCIwZV1pCEg8qjrF+EGm55Rw2sY4dfVATVTeVX4pYGI+ZO5JmhFrUfEAgBrfzCYIj
7tJmhLxhFARmt+6szvxD70M2K5B/erQhvQkG9OLMNHzKcGQCTghlfB17VortBkD5RwtRxmTXayjX
rPrQiOQaL5YpYbP3w4019UKnkqWCP6Elwx/xIDhyLDYWROMspa2RBrgDbQlddryzCO0pdBUxdBec
wTEijhl6bk7rOPfSLjGXKvu2A7Jrl953FC4cmiSjF30GilnXfOG+KTZOW6mHMqYoCWO/HW6ApNJA
zdFgIkFxffsBsR/7JiqN5KvqlPzZAqOAAwOX6RurVw/Wke3mV4OfA/Gp7K5K1mQl6byCtBHsuD4G
JkodVXGn9Nq7c4YAFUCu6en3uszQAurauvkFxV5U28415HYyeidfD3LCxhZPWdD1Q5L2fyBG1Z9y
pND/wA6zriIUiRB+QAQFiwlt6K01OIngV4j6Ld6uJZtmZ9Q+xPu4Ev0tUNTwiwYpn7AY+fCC66BV
ziYjiRhvsJCL9l0WNf2mHDEkhEAcgRX2+py1VaZO9bGZXLO/xF6yTtdeQ7zHz5BL9t0wyZDMK8kC
LN07apS4BCcgPu0syCvSsLAiGctL/HC0KUaGyQgtAybtCo53DqtL9H6ybhomfbbdYS2ZfQ/JBGK1
ufXLEJkVRQsfmUQLSBA987CKwR7XpJ64sIfFhtpu+mGqJzC4mkDzattDJjYvaRfVXxuXyL3BDkxG
Gw0zYHPn6rE5bWxRC2+T9iQMnBl9/ENDewv1lSTB9mNyZwuXIOz42AIR10tMpzA9MrwUG0lLn6w/
AUKO01ZlvqPfGaZGJTlOIkTzgzGcLaF1C3h40OMSS7I6YCqj4cfik2KYSLEQILB2kRx9n9pG96Zt
VZN0rAMfatKlPtaxtcMAgiynqKKO/NXvB+/STqsWmS7A4J9Dy9WqNSlY9qkY8XLCicGctGuQ6Y69
Cd2x+uA3EsmyVkMLA63XupwDiQqmXdsYebkZHMe9AdJmlVstCUu1Lp1airWLbiQW0PqEOGppu5V7
5XqR+0x+x47rfYN8vMWB66NGEadd1RgVIv8An2klQBI+mVPkQJhyZPMH5VDPWuFWMVDmb8EUr+tm
BAouknD6g+KBd5UPutls3WIwPyRNP91OXao+j6VdjkQvLbt0pwz9Qtx1mT8n8+J9gteNu8t6vOr2
vR5418ik8iWcwDX+uKIpsUvGI2pAWL/CXd0HQxSvOTW5IARah5myht6wQ95vY9ABQzr5bWOZ3hPy
kgg5MIm10BooNhJbHGehucllihKEphuzno7b8CcFPBosiKKyu5h6hdZGklco9FJGZYn5fPMtQLPQ
2RTtoKH2Y89uQpODg1CiBMJ7SmlYzbD4MXx5EV20CHp8thZmxspAYxKJjRoC5LYeOu9GqRjxCUzX
WdDKiMdsiyDP/LU6XJJEU89mSl7IUq7jiGWZaJw4JJJo9akJ/YAH0w1g+xVeKExewFghotsZNiD2
nLUpETJoiXihg1Jq1ahn5EzDR5V6fEEqgdxUcFtCNyM3BAOrrPHv0Su1PglEw8mJETXiyiBxWlyD
W9aB06UwGvk85AnWOZBBCgmVeo7FPI+FPeDZ1AQ4ZOwUIrTWOrZqLjrkVeEjNgGTPnP/+Dqwt9Sz
CCw+Ccc5fdxjBYG3Tx57jIBNUFdw9uLlVGcqg/M25jwOea53ExMGWk5qhTBJlAK025Jaz/uwVViQ
mdnk7ka/wBi7LfEqQomv+Xm67rCo7FigJsD+Qrm0WNuz/vRh1cEG+dmWpszYbRZ3pBT+VXcpAh+M
XuyjWwBUiQuZhUbBgL/OmX7TS234VWXnr9HnUu4LadsxFpUdBzZyVWcA0QN0XoiGMDO4DBnkxe7n
qoT0VXXoxtYt9mUpM4KfgTte5DlSDYYK/BWOh/UXzWQNnZ6UF3DFqe81z9qrHkIuKsemmo7bpY+I
6baGyIJUIM5g28QQf6IceBTrW4vEqpZU2OEU5VucewgrGWxi7OLar6e/0aLI/tdEIadNfR11NNpV
h1+oGlLch6yY0nfGJRn5JBWsETCc24BNgTTn6dEWpaiX0ShpsiCoo84Qx8PRSgWHKEFhE5FI2/1p
RZKUyleZkqtosIefPhKpZ0q3x5YhLts6xT1nBqItSqnQXRvoP8hDWVVuPDiIRaw6X3e3QSuG/dgL
OJqQD9eF6ZwBnrwdmIKiqdP6k/xPX6LeMGjGw7JEW7jLUVejnDrejmCKrtH6Jj4NKF2hzlJ9AKcd
7E5P8qKkyyQfjrx4pW4BwFbkNAHrfoQXWSBu490RCIZ7r8qimVY1cdhWiMCVnzKrNvo9dpltdWap
zxN7uNL5FiAcbZoqUhruourYjHZBws0OTDlDubKitTpOZbE//axvFxSjeCawCsMBFCYWr5ehI9Or
2E8QEtsrW+cUdzP9yq2UesJ1R55ZTW+nluYmy0in1kDP3FzUbQnAtlfN/JaJn37XulkbL6m6C5ko
1PVwzQHm4XNm2W23AWz/XiDy/GYlMQ1vFMMhsC6eFhdj38s0tk/dcn1tB79ZdyaBSsT65fvnlVxa
B8wGUgyEx2KjekldD5C+Vn5lVHvUXvUG+Sa8f1w5u9/ViZR3/8aIJghaQbNv7pcfjqiLKa644eaI
Rmjqlw8FGlGiWEYrG3YUUnGjewZxcWyBgiShqTODd1H2OBxQAZCx0HIgFNcdx7o3lU25KWXT52f2
49GBQNt5tDAt3tqiuwhRBCh3z1xOlaxI3mBjGgNEsffPH91aHRAhoDBdLM5bJd12grUPxqELcT3T
bG+2rjPq7dBW6JWHWnemefL25EC2CiAO8GXSBzrEh/MHacwORndeInrvPap8qkwIA4HUtt3sHnUm
nCxaNS9BDWg8KCO64RYx9XA0aHBpB5CKpa8H2Y8IqjwlsoRr0VTeuA0acLjQtf3n03N6JIZzWuk4
ERHATRrEh4POFommXSCb4UZhuOMV+xcNFYAV/JZdlfruXUnsv7DMEbbC6ZHn/bWInhKwsOkB5SC2
WYsYTmW0CF2ckMngOveboSf6rP2v95f1ROUsMMN8e3rAI4t0jmgg1Wg78krnL/QqMWmU19pWSPUT
KRkQIjD5dx0c6DOL9MhblMbMCKPvjD/j0t/GG/0Ay2L2HFUUHb8HmTTxhdlQX97pucAIK4rFeK+P
+FCfCWhHR+YcwveG+hAYkcPn812ED1rA0aTY6EyuBtPwN37D3liNIIN+crRk7Urpdu+fGfjINmE8
QcpDr49HXrzJmhaFxMSUiU3K4Qpadb9FSEV79EqrOxPRjjwjKKuZokI0Q1JucTxUqTAmZWcAQumR
bbRaMy8GpPVSZtU0HkvoN18T3TsHvjnygC+tceCUAMGNmWr4euXYZd55Xs8mifTG3ogaynBO2fUC
uYbpzK44skg9CH4eICNQgOYSuhDXbYY8Pw+IIYu18VqI/6qyz8GY3o4yA05wtkUDCn+Lmbb4+oFE
T2UuqoDFabjH3CcqybcyjPsz+eGRUciOdP5L9ARBsAifKDGW1JO9HPHxGqK5nttrvcJC+L3bmtSe
LWdwhENbWVr2UBrsB2456NCMtFLu67gXxaaoNXRI3z8QaS7NfICurITF8WP2lhVQHueQU8JaRxmW
uviKfD89yNuoCMWT48addZo5EhZLDToNapL0u6gO2skVwTMat7QSeLoh74xtEmIR8e30kEdeE0gv
KnPgr4gaS4OxKHcAIaUk06bJZbkO3XJXjsOwOT3KkQeDXUbqgxGc5VjLURSg/ID7PwATDwnRIg3l
DVi6ZudKapwwvc9hE4+Px73EeWECLA+23hCdlHSsVkiO0gxF0z+QgJ8Cj6a6iIvHbqjNX6cf8ehE
zqhuThkgD2/qATjtYvvHRI5hjr67KoJNWrTT+9c7elsCk15A6ugoLHYVtVfq1gMHTJcK/8EdUMps
cHY9Q+aZ19nh6Qwiw+YogUgE7dhbRAjfgSQKzQaSL0j/XZgOyH/EvXqC4ORdeMqVa+zYh2qD9012
cXoaj7w50i2w5DNxWpdLXFWPcXlVgddaFY4VfJ3xHl+nzrOaXVpQz1s5iTLs3ekh3x4roHN4YdwH
YIxAcjuMhyF6SfT9BoQhzHy6sBGJ/Z5q3djcYDgbhA9+0aOaU1Q4HL873DMwjqBsQJf9t2QXQQMi
gS1aUBdhq91hiZCtmrI8Z8T49vxiFFh4kLN0pFSWjLCiHGTnuTgeeamLGfksWg36I5dshTTFUfj0
ZB5bOvPRDLaLGQVhfjiZHYdajooe12KXWnfsWHNbJ9KwPqWveYsj+3iLVpd2QQdl/Hh66CM7kMsO
2QE3BJaPPU/EqxRPRkhYB44NbXWyaXll0tsWo+6sT49ybIGip0/OzBbhqrpYLXTjShh/vKoMvvqq
yTXtuzmAU8U7tLocNKd5/8Hjzjd5SUGJs2GZX01TUxRNBzTHtwqUoVucKZxVhKFZc2Y1vmHm8jzA
DLmDkH3wzyVULkIl0I9DRMuKye/Vqga4g7UTGs/ppa2Pab7tEvSDRW9ipQYBr/xVD4B1V2MGyO3M
dzkyyTN0jOsQc8zJvniVEwYpTjkBEBzBsaP5dVH24y420KVGKjs7czgtAWQctCwabq6wCedqwBJA
lqmkpjBHATzW/SAcVlnmx3SRfBt12hBu0Mj5G7v+Ki3tOr8W1LW+6BX3uBV6jlmHjgviJL90BHmG
y3TQbDSgLILVtTR6AC4+V6sze2zJOH35wkhRGOT5Apjdkkg0ZF4YOKKBUMdmzrZR34pbhSncBTDx
/NJ30dNDy6m5CJGYh2ihIVqEqZ7U0WXonO7Mhjj+baCgIU7hcGQs103stCnyAYD9fLTImY0OqaqZ
KWPhK2567b2dhdpeqFlWL63ox6aYJ2r96AJCjMX7YLl/zcyr77K40YbAtGPwv8UK3F6whTqZrlVg
nLtMHluerBcIqFSqiDcLVlAxC05Ki1GCWcbGqr3m2ayr5LZvRHDVN9z8TsecI5GNDM1hS3Ieg5Sf
f/4qslnOJAqIOoBYbbPa1toEiHXM1Jm5mzfV4tRnlJntyiWLV7nYdAP4yhRPOVLBQFTf/DjAyQlv
uB+wm88lGEcfiJsc7CNXGIZYvKZZRyKjcU61A6WdDQjOdoulzTs5yS+LQXrWLDlAReUt+BZptxID
CGSfOtSZdjm+FN2G+xvK/Kffz7GZczldeUdwnChpHL6fmiuDC7+TgRB63sEriDey6OUjHpDm078z
FBa63pyuw0Q5HCprkCz0NF5SObTlPdrWYEswX+xn7LaKP/0bg0HaorBH4o5S+eFgVgaDxzFIoyG/
hbuuw1QQkdBo0wNU2Z0e6tiKIPHjWIWxSN6wWHxotFlOA0CMe4idPSYicu8ct3fPxKpjGxe1ADkX
nThgloltjiMo7UrWXQ56Vqw65MuBC0XqM/Ko467sUKY6/VjHVgYlROhnFg48cHgOZ9BsccPIHLqE
WoEMeIwU7ac6BsvAbSE887LePhs1GIgCs2QG9ZElmUZZiGg1GYCLAdOGi9CvHgu3vgJ651yKOurP
PNiR0VyA+xCFMBingL64iKjO1KB0Y3AGptK5msGiH0ExxdtQ76YHvwr9M9XYt+vDIfqhFUNywjXf
WIwXwSizdK0ATiKr4FupT0BzTEN9OP26jo4CdYRtzBXOWcYlDTW5YaoYRZZB8sPqg/ouzMLk3auQ
98OczatQcnov1jpNAFSCXYBceT/2DzpeJpjW5TEiYZlyvhiVn/5592OxBKGqwJh9aZ4tVqGTvsie
cAUYLa4AmfEb85B3EoGJttwyMAqfAzrN1mWFxNA6v8wnVGPMwjShXPqZRs3aypFUDqp2JXhnZ+bx
7dsiroOvRwkd5QQgF4ePVfUgYceeXt+YVt2NnGL/VnTKVO+O7tJCcgt6OCpflAIXGb+bYbvoeljI
hmaL8BHCfFOJaxLypP57H8gBaiXZTly8jfniffhAAVBfrRMVxpjVGH3LCq3cJm14rur/NtFnGG68
5BNIwcP7WQyDNHtRuSgWkbgqE4MPtMDMazWqxEScqkz7bYyec7IVlV0OF9CCvP6RbiqJca5XZztx
b14iX2YOIdz5iSZ0/Q6fOeUuFRUpX2bEn6hYwegOb5DZys6UNI4MQ37vsDAJkA4sysNhBLbenTUX
Cgup3I1nqufcFMFfd7V3ecL/PyErZFO0eBWC3pjZPTzX+Y/sZ/frUFfov9g7j+240WxLv0qtniMb
3gzuBCYsgyE60UywKImENz888E79FP1i/SFS2SUxq6Suaa+blZUiRUYggN+fs8+3/3zZd66Q6vxB
GpRVidTaeuhcFQR/cYWUP9iAOgrlqIRcCe+y+nznCsl/cAhm0+2QyCFSzpf/xAo5f5Anp04OOQ5p
VkId5n+CFbrEC/65HyaLQkQZWAOUbRgJJovqz11miZq5NGLl5rh5OUeBu9+6+815s3c3m9Pmln/2
7pav3CAIItc77A7vO9yR3Hd/t9u9j+7N3W+yHx+OqX//PB+2fjpUaM7nyo3/5N9vtm7gBTv/h0b6
9Oe9/QQC07ilX93yh1GSVdKkKQmXOO1O7tPG3wyuu3eftxv31t24Ltf0d57vHz3/uLnx3ODo/+YT
rFSoX36CD3MT5s2tTrr/5rQ5v+w39xuer/fq7Q7e3W+uRH7z15f6OK+3am1hHculaOEjd7e26/o/
/jy/bE47/3xy96eX0+bldBauvzmdXl74RO7Vdu/e7m+3++12G2y3V+51sPMO3nFHT3i+uvJ2nute
ud71jk/t73hgO9+7OXqu5+6Cw413PPoe3eXPqeffwlJ+1zsuBMkfzohd24DEp3ds/JunL+fIPbvB
87Unu797bM7aAr/oIx+P+9lgWQPc1Jujf/J9/3RmSJwYFZcO6W6Ee6bNvjAqXB7Yaf0Jv8iA2dy6
/NWeH679iP7EcHKvXX7EV2tn3u+31/y5u+NZ+gfv5sRzY7ydNmvr+7537W02+4Bf5PvDwfPWPrg5
0UfOm/WBxu6OFuM1tNfGp0WO/CJP/+l0Xhvh7POaX4+W33agdTT98MjtaOVw8iS4JPfIp3O3J39/
eRQut8Cn4l/vNw3A6vibBliH0A+XXSy0VrjI3myeeJynu523PgS+8M++d9zvT3S6Fzrunv/7DOH9
NgiEy5ebHY/05O82L+7Gf9psN5sXf38+0xzMaefbyHUfmeE2PEXaKTgwIJ7cW+/gXnrTfrs/72/f
9pH7dru+6Zf780vi3i/ul8jd0932t7fnW759e2Om3LgMgus7Bi1/3uzugrvdOw27292597f7/eS6
kbtl1DxeXV8/Xh92wcP+sPt2d+MFW+/G809eENz57uvV2oL0sztGixscDldMAocdj9tn3rlMRNz5
OxPSyWd07XYet7enxxy9XXBNT7j84uc7/nodn3f+8ebpyffvvG+/6QfrBvBXI+LDfr4V6JCttUGY
Qp54EHQE78qjo3q7I5/V8363ElxO+b+64oelicoOLS3WK573dH/vfbdPXBp07eiMuDM3ybjiW4YL
/3EPtPz6rX/e3Pv3+9uT/1TR6Fv36fhlHT984PPW3d5/GtYZnmF6S6fx7gJGWVC7wfVr6h7oZwff
V13/hpnwxXEfgut1XPvuzg9YCtzDOhv8ZoR9CC3+bcn7WD4dKp2AfMYU7b/c79ehf/frpiOM8Zu2
+7Dise4rksIVjnScMxPOug4c12fHXa4TEF2LjkT/YuTQ0Y48Kro30xbf8jz42Y4+efKDA1/y25s9
j3/HT1k/+JqR4DGmfNZr3pK3X39lU/H6/T2Nx2TB2LtMiOsV9xvvhV/hI7gerbD+Ot8E7jqcdlyX
3+UdP23PvD1DgLdiKO/3wTrbnk5PPuvV/t7lQfEaFqO1BzJz8uF4Pe+3vpl3xRdMESc+EUORXQ3t
+jk4rL8aHPa0//Vl1uKud9uKm6dp3U2woz+v8/w6h/PZtrzy1nvlXRl03uF6HdrrY+JBra+mYxTM
ODSXx1//usnWXc4/uz7IF7KfSGwAgiErIBr64TRGSSLyTmemgJJCmutoGUKvH4vhKMXGgEsjxiKk
r38Xcf+5l3y/KOpahHswFf/G1ErtqjPGCrZug7DnJquXnFKR2f7NrX0MFl1ujS0tDs6QB9l4/jyx
I/SMqAri1mJ7BEdMTGXVG6yV1rKBY+Gvn+O/uKULrnJ9mPg/f9wvGCYYykUgFVKowfXCsgi3Fcmz
za+v8i9u6aerfIh/NVWlYlPOVYY45I7G2r4likOYaOrC//CEx9PjrEDeTyZ5zBngw6V67C/MJsQj
jCOvsR2RRq51bNbvbkj+eweExEOmCIkqUiSskX9upYWCiVVR17mqMIvIV2PEsW5NofVjbkflZymp
DOHhGBxJG1IHw6lTB4w6BLg30oVdPn+2kbtRu5PhALmftd54nQUF7EEXUtKFU25P8jQqzaELaotS
UQqcoRduJ7DUqZ90ClUPOL6nxU1MxXPpWeUcKh41Cuh5bEmuhJ87PGHCLXg2ea1NsTW8AZX0r51n
xvtSjX0ZFITfdzMM4zFoTGrGkYwTXds6udp+xgLQjqFlDXrqRjp9byJK+q2yS3xUsLhFQ18uRadR
oIeVCjTuDtfdlfADil9uy7Ms9dNnrdWKCivfZc69hWJ37DnMkdGjGfE8blo7GXW306nXp24oiloX
hhcQGt0pRYOsy5ApB0gWHEkS/C4fqCCgULTQoTd7iAJQfJITTEbXkpq8obxROE9DnIvnqrG6wU+n
FbwcJtAFMGXOaieQY0c/TRkmqF7a4ZmIZYCmEFiBCBv7Wp453xa5B70NA8AovVKxUQJQ89w2OzRz
1F+HIZXSJ4EpHFVCFCsbG2tFWBOsoN6VYnLz3TRr5b3A0BevCmQnzoksjq0HsNcTyZdWOHaXKQI3
lwszu77ws3tSIOf8QtXWs0J/LVfUdmup+TO+LfkXbLvs2bcae+h9qsRWQvcK654v3G78a2F4U8MM
z9u8sL27C+c7nQzxXnYr/TvtnJGhreolrqErILy5sMK7Cze8XBHi6YUmHl/I4o0q4pdsxY0rJQU4
/lJleunL0UokT+i/UkB4HESDtkLL+wu/PL2gzG2ZksdIrIRzrdYdH6617Zui7aPAyTVsqIuVie5M
KobsBc2FZ3Nlg01HSF6mbnLBqdNUzl3RVnWzmW3w20EDGCnyqLUa34AL2Sdcw/A7mUsbUHtGIXjh
5WPXZTvcAqdn0Q0dBhor4X2WqIL2DUNY7/oFAU9X6Mpr3aAwZp+1Y59jNAExfmYe+ZorI3Ws/ZKM
HerX1RHJWEHz0wU6zwoiPUyz3ZBlwa2cqnJbukFOXeJGoen9gXxvUW5wHq9xujC6bvIEo2h2TVmk
n6tEOGAL2lllLMpoLChuNcOTRhEaqogimqGXU4FC1FJCqODGuOfZQdPYPC1s3NobE2Fg72pTX97I
OPINrqmUQ7xrWqttrnpgNWtVWFHJPhg/itiRys+jO3S1I5NksNrJW1SnvgvtwnlM5UT9qlAOAutE
NsRdW6Iwvm7wYSX2R8kw3tbqpO66MCzNQGRO32woacg/UShHkSZ10pnYIeNQX7D9tTP88mD4XU/l
Ul41SP4Y99gQ3wKUYKp12j7FmRBr2odujIXDkpX31GJgrvXQYuml+ZnQKY4TqTTjw4NPc+5XmGLp
Hl69zFH4G+TXxOeaFbgV9wI3JD3pqHDMVRJck0gcimqb6DmTR/FMhUux+GsNCLbI0Twa7lhW0Vpy
acdfUJhNWEbqTV/4FU7Q93hG6m5bFLTEUi/E2kNy9fyNPZqxH2kk//HVsTBGYURF7QZ0ZXSIafh3
tQ67I2a/mCfo8jLd17VsfpvADn82IDx32Mmit3E1kUT3VJ/jnFDJ4nNjgRBby+Kkb8KMhlfg0PnM
ii5rd7rIG+GWIO6/ipze6iIVlh7QjSWvcVYiEzCaTD3lGVa+bquEK2l1qHEjNsykerAoMicha+sg
81szSg5dkvbPIfOU6vbRWHyOG22872D6Fj4UwPo2tkqN8j6qDlwT1osaiDSMr4ehlxZvZAUxMC1s
7GZj5jHCFRyWV5OwZmgCHoCDCpAQcuwNwgkf2lkK50BJM/tNz43irk5MJXdzBBIpXT6Msm0i6nHX
gGfpd8yxLFpJr4fXiVOrxMqh4Xo2YI5dFelYFY89o3yfRZnxIAHXMjYdde6bNK718mCRR0MOhWT9
sYx4Rjx30V9HaWWKfYi/2z0u41D3YrKtWCgUmLShKMRnlwcFRDZQa0k3TjlmYnOmiacWEAgyTXPC
XKmqW7wCDFg0mqvn7ZDiaizCI7k0A5zNUNQdK5o84RuRYrhpaJHQfE1VF9sn1aHo28WhZtQr5NWJ
TbKNyNqYU2p+Jo5vEfVDexFeY5RdHqmRnmU3EUBxfXLP/WsH/uSpxVt4cNPaSBsc7M3sFZ8Y9CZa
rMSPrcxHw3mgiLfLUOHSNSyi/SZBthCu2QAN94e07JlosrobKW7FjwkP5NXcQO577m9ssT5yRUet
uS8kK/rKxGOoezmT56Doa4ydZRw3MjdMHelLNFDNAHuqXkslqcK/JWhOXWdm0t28ZM710J8LZhpP
Xqxk8vHEogITpgf1uLKaYtsVWkl/K8UOa/QoSUVMBediOltFwfKBLXmNDUkcZU20oSotLw/YBjMt
SCa34C+tGt9b7QyHva5a553a3Km/4q3ie9Q1k+pZnVT1p9RJ4nNDZRUSK6cxyNXOiOS2UWED6VsK
LI2DInYq2pxiYYnHMrDnIyosU+w8NgsWpgM0HgZ8a6q71lDb9jYqG/usdMgX3TSP8qvJUarEVcnr
3M1T2uEfWNXKQ0hHUjbU4NZU3IePTpWOmiuVsNvBJ5XZVwtqE26BeHc9zFFCDfawZOdZr7WbRFvq
LR122DrxLNkIP2PWh2zR3uBv0eSdLNQbW2LH7+aKhstoBPv0rgQ80XuDk5j4iJR0lRqLh9zHpzV8
SWvKozdmg7m0Nc9D53VVCU200PsR37sae2Avxd/eIJGshRTdpPiyQtmDEuJDO2OnNMewkl07s5qn
xspYMylBXuuWGXwQRNC2XfeYRk3B0tLzqPmNtGcQL+LaxLv1PM0Vva4t1raXVTxR2nl8q2p7vJ8B
LtleLQ2RjOINDykvotdfpXaTv+i9nH3rM6xjfYlCxE+y2cyma4qwYYTIDuD9cemT4Tcxgr+dY3hq
ICSJ0SM3JPX44QBfCIgkYAyenAT+tdAwOpnM7HcZ278dY9aLUJvGhp+sAKmzn/f8wFt0mDCsPiyB
TqAJzThoPdXbaH8SFuvLmek/yiKdkq8NaM337qPJBAHh/z+MKUjR/HCU/FsG6fTaVf/Y8gzan1NI
ZC153fcUkiH/QYpm1cwjuV6Lzzgxf08hmcofnNNJE6HGkcnerufbv6wpLBJPNhWbQLiR2qurXOf/
OlPYf1yOjw5nfBMdlK78JykkdBcfohWI9BSuQNKRhYR6iw85G22Kms5JK3yXbDmFAwEAjbUIm7qb
GnAfVrFyaOscN5aITQ318qvVdclcP+k4Wy4QOciIzmW8+HZZMbEMjRxflRSzMjCtgfqTMNSS17FW
C9On4njJtnUl5TlGx/pkHAZV5DGawKXb25CPiwAgcvtVaKD5XH3A8nZvUmh1X9hK+alFkBu0LVhL
16mK8EsbJzH2k2ihsy5yHhCMKRikgasTVO7nADsMcAJ7IIpWDnNu1jZTlfUU+IOsVHHnGaTnNh+c
HZGa1vH0cRVPIwZrntl7TffR2LO7srGenetsRA1Tz6BhOiDcN8UcxwmufU52qhe2dp5jYs3iN2Ej
VkdIpwJ/JjLJckdLq/dUsMvvYcLh2B01uby1sCKqvFnMTDZZqNdgVKLCGGEQqOYN+L8u9VNpiibf
SOe89UxtSCM/TtIYpopZzv4w1XXtZ5Sm36dqg+Fth/h78KpswmKMPc2jMyJ0DKZGztOD0U6DSaX3
NAXJKM3GXhLWfB4J2zQbC8Hq52Z2sie4bwOev3MU3QlLmR7TrueAaQzJ8MVxqn5yW0oVzoZTsK+J
KgM+FCYlE9bjnckPZczvaheZlwlGcZGjz7k+iNhvRaaD4Fdb586oI0t2M8yFrA3HRVX3MF1ehKe1
oKi9OGsl2sqa4nuCVsW7UGLCAmmULYObZ5LGu0pO+x4nhQkMTKuHawGnTQANSEwQsVhufVEiAdYt
5cxcbDpRd2c6gSM2CZvO1AVY0S+BDVEHlsMkgI/UtrRu4fALUzw5jBEuT3LaIQLv0wVfZzmJzo5R
1VhFJylVjY0Zz9Til2rxODlhYXlY1NZzMIPOvSuVWH10kCK85A42mq4FsQoMC22EzUiTaOsg6COg
cHo4PIa2gAOCkXDmYHaaVotXlUX9bSBMYfghUYo04GjYsHp2o4CKEPbqziymbjqmStHSidV46DZj
bTWaJxcl+yPwkGwcsyIxYxzXJvXNLERqBp1a6V8BrNh3GYLpe2A6w7MyZZWFAXijnFC8ekunx2+6
UhvItftzamPTzJ6VfUReV77a1HYcjHomHjmUjDM+g5JuA9BOZiyk5rm555yEYaKzFLg6irAKn6G5
JY+ibcerKVIeUlMN2RXY5RNES+cmTjgdeRlL9G0NaeI1AmfCxACTh0GiyOmNpDXVCCel722Id3qV
+6U6IzKh/XHSrJgiv7QcPxJXQwcC9bi38QxD7TjmgSnH9TcOsbhWR5LiXMVpCG+xbkZZdi285/Nt
boWhzd7SsM7gcBLwIZweUk9OwjDdTha2rIFeLZjAs02Hbi9HqwP2EqeoMluY5bwvzu8QjC5IJyJU
8r7CKvxzZZHr3slqY285Gim3em8L6hUokXXFLDccm20lKbyZve6+4W8UPy1qkWwGITn3cqwvlt/F
ff22yMTdUCBVbJisUF2+Wko4HZ1kHDuCxVP5CAA/D/0K3Wb+SRoXi76ix8YXimKVeGuLzpkDGFly
tmkjFM0gqglf7Kj/Tct9Yi+dBmsNel74rmPwmQ5BVcMUgyQq4wg251g/WnnbH2FaAmbBMTVPVTar
tYxO2PY54EDpoqSBrfdMxdpTVYZ4fIZxGBJWHBNoW6HD9vEo4yY6u4scOntYL5bhletM5plOEX5T
xwVz08aec3WTQdiiTmDpa0hLOfHBowk8qPdmmdnOH/BMA3uly4ZHdWiTgdSSVrKiSaQMWm8B/Eos
8riddXPCsG4aLOyE9bj8vGB0FjGz230eUKOrq9RTZdl9lMzts53MuBkNEkQzFwe35lGR2gUvz3SZ
3iik4dig1VaheqPWWv1VaeuV7lXplGVUN5qQnQi6VQKIV2ZEV5iTRqkvVxEkEAqCTcnF9QogcCg0
K/WLEPWoJ3WpRkFANapJYMDOvZ8kSES+2inysJ9braNDKWX5tGhwEw7U7EAQjRWt/TImVtNxQCiq
ztcBnLZbqxCN5RUJxyq/EFjJwOOpGk5LSd5iKFjJMtQx1aR0PuXxCE+ycg1KX0k9LTWNU39b5N16
15BAgVhNjTA3lsUtsMUvW8K2swawExyOaPD8KgrFRxBfyTyJSXtCfdcSdRXhfM1JMFR8yuel2F1a
BMOuhgnD6Emc89AoUXmx72u704kD84AC3ZhCLKVRnoclJ89qSnBh9TPKf6T4uDgxO317LLt9WmXQ
XZrF7JdNmKkZcklnUvIgGkBZwQCzqsbHEjn6lkpD1m6qSoOT1fY9UzKFBfw3muL8ln4yfWlUJX0d
qzZ+hCRT3BVjZFSbUJajW2N2qtZXsD54S9bKAM5Jof6ChIR1G6KoJTj5FVPtRn0bxpyCiHR6kQjT
x1Ca7NZdJxAmIH3CD1EqqVvGEbYb7kZdXZwtfZ4zE+EKx8vqNC83YzUWzE6LahwUjFzbLRHMllIm
o1FuUgNil1qtjpTGDBvJt+uyDoAHwkqSsMx8Q2fOuYdPjtIceh5hJ3kwQNg1fZpEAB+H5omVlrbW
WQ8bd8GZGeaR1dmntLGhMeHhmr7KHLnENp0WTt1RXcABk0nkXIspLWed8vniRFizlftN14WshLM8
tA+xpGafzVnXjpYYl2TXm2X4iq0xHuNtp6jX1ayrZ3mSjWZrN9TlenM5d9fL2FUzZz4Dw0tRVuyx
mrCOVFeD9krTVEXxVNqKeIN/pr3pXM5xw8qeJz8Mx/6cp+w7tHFwHpepnXV3dKLuEVqH/S5sp363
pES5IiRrS5t8STlxDnUkXydlbx8xqKjvhRQDLsPLIW+pQeXgPiyRrbgt21zEnJlWvdmiat6HmWA+
i35LdCSJ8/xLUmWMB3lJwNUqxNHXCtkQNFZTmDxBzsBS9TqaHUaOCtymoJMQGDIiS+spakXeI3Vs
2i/mCPB3Fy1Z8WzjQXg9VuSQIAHrULsKpdG/Ko5UErzLnVDzFgmmQWAPmnYP+zKGS1JDm2P5VqyH
KQYyTuisM+rP/FA+RqjCLXeKVHGt19ZQe6a6kmDNWSrfI2Ym3Y+6enKupT5V4tfCUueDoGp58a1l
Xs/wlABLflux0fLH0amIDSutqrjURYJhKTEy/ZZNGps1ooD5gTiIAq4xFM4ndEbapzrGyMgnTKS/
LbrcFS5MhPGLWgqE+2mWmsehNXr0sniHfx7nmilmdkbjRN3RiE0lMdjAoqg1Dnp5xbHlA8bdK8A/
WX208D6TwqnpXR287j3xQXGnF1maeiizi3pLVVxylQ1h+Qw4b3liJq6uSzmZtF1KImlTSlNHAxJt
yrwkhcWaUk+gRzKeZ0QIUhBq4VLlw6GpBQVJfhWmk5z5q5uDhO1OQ6jQxnx7IeRAyeT0bgg5e54c
MGsgnRJ2rY2k1ovXS02nErCq2akPWmYnvj4RbXTlrDNMLyoH+5TB74L5rEnSeEI7Dca5nDJYZVm0
cs+Gvmfe0qwKdh8Ta0ynZT7e2KMGYiztteapStXxDeNuepyV6RlArJWAhv5ayq+sKkyOqU3c3LNG
cghuyrtNq+Ezo9+KYLmV1iAdrVpm5rOoCnjVYx2YmaZy6SZrIQlGA/RS4lKFDZajIKCGvXuURU9x
GWuwF81ZIQLaaOCuBMWkj+zMiteCKqR602q2dCsVdXgmYg3fUZfH8DEudJYKtY8cB595rSa3J+Ut
FFFCoJJHZjGJPWWocssDC13cCXiHuuckhco5KtK6NoDypT1PcJFhcooFXqltt+28JQ0znkZSdsTE
2n5sKBvsm9jPQ5E9z7XcyF4NCJqcRDSxd4mXIXtukc0CYBQj9bWakXFjfQEeHoikqZKHMVTlU+iM
ur3plpDMhohj44XEaDNuNUGo5dQkrXmjhQ6byTTVnXNpFOY166x8njNzvl/siWQD23C3ifO680In
BUFD4ohHX2QhhyHijURV17XzW2FKUsNSJzf3ThfFb1gGyfclXsZYsSegvJi29eEbS7MNjE4s1k1b
F7XikTHQv+bAK2OvYoR8HWv28XDBE70mJZfO8imyxuQWvGvPTrhPqmJfcDLcSqCGYxwjiZvt44la
56i2RIG7u0pCtqzJNRDTNHqM0/FHtY/TTMnixjZqI2bOlrArXqpEPgNqpESxHBfQF4Oz6L4RJROb
DX1kTImGkLWbVJ302HUcpV0FnK3mC0C2b+aiaC9tr5fC0ytZoiBlGKLnhMoVi9aTRQuGW0zNocvL
/k7pKovJCBbhi6OHhgS9kepJV59tKrFbeB/NEbtUztFwmZ2YLY0wOFhxOCSLMmEE7ZPgW8jBZxAt
Bz8ZKSD0dNQBOSfQdgXyVRnjTxZLNW8hIMDsazWdhWWJGVxAn0rtOE0QFg/OwhKOR/OigzUzJ1Dx
ijXQvJQBpke9LOKe6X9Rr+Cwhso2Vw3tKPUWJIhKS+XX3C46xV/Udsi3TZIs5T7joX0vrf7vGNp3
39f9t//6HwSufu17/glz1//9v75gyvN2sZz94UXfA2iajrcrsnsKkyja+LPQ9nsADedzNPkOFifM
OCvbhSjZXwE08w+ivrpFPRMcFotuRtD1rwia/Ycmq2vJk07kCzQi8sWLnS7+tp/+1PFgjftvZa2g
qj5E0AhVrTA9RBHE+SjEWOO/P6gds5BERJkL8k0ibj7XSp6+NEof3etwzS3WwE7q9uw9w8/Vmp2L
csrKC3Xlamlr9i5a83jWmtFb6o4Ml3xJ9KFKJ+knW9BS2TGFJAPnS2IwI2Wde8Ok2nTmPvtkS1Ov
+zEl0BMVQU3yZbqkGZFQTAbb5KYCL/lnKnIOxXOx5idbk92XN/yZtgQMzgZVC9d05iW1Ga5ZzrFS
WcowW2IXKlhccr++JEXtqmV9kpF4L4dhzZtmtUEKFVG9cDg2LMYDlhFkU6yMgKerrblXbZnZmeUE
uq6SDMema+rdsZ611pytjG272CHBJ5Ubr1ndOU/GZtNekr3LmvcVlxSwxIGHdPAlNWyPnbiTLwlj
iW35V2fNIpMZF3cSYEu2l8XC2QMpQHvd6Xaj36Es0petKMg24QNGFsctJFvbQM7PzL251oKpcjU+
F6qAgbmUwjxRQ5O8OkJlatXI6A2+PtAyh7qt9IdqzGbYGfCEWb2arh19hxQJcF7Q8ZLXt/aEj4FW
8txSpy6u5a60TN+JwtwnKS0HVdjO7FNzU39OjB438lADcu6OmZMvHiIkKfZNJZoWL1ywhXfBvSmw
QXSY+hXYXhZ+LWpKf+y05qbXClt282Ui3gkXrrc/11UUFVxMrd7rshHxLm0QDnpOKZtPCJK6fq+S
hX3O8q4ny9Mkzp7VYoq8YZnDR1OiEJVjspJ1ATXYCAscts/WFj1Jm/p2pKZ0uzwk7hJScqC7FeWC
ipe0pKEIHJIDG9I20jwjr6UHq2uTG3IqOgf7JpHsc9ROREWb1lgSzhRk74g+KBhMzpmkb3snrI/l
PCVS0MiQioNqaXHSSC0ru51tHfN6hTS2dJwrG/x1rSSDwVY3TZq9ULQqDERD6JhYij4eLb2M4QHC
k/jCGrLEgMEWEmJmPcBA16NcTJ6cE7B0OeAXj0pejY9TZGifpBjEPkTutYB5aNvulBpJ+GTZ5fwO
C88xPMoICytwiGUbXq2ksolvRYlJjeF07QONVOTuVI9EGBcxD2ag2CKvNxFuiS9Szr6S09qYPeQL
/vLuYmX5HdpYRBuGGjpvkmar6mZo2uFT2IUd32Pw6TtJj9m8mYcyp11ov59UO4w7Ut6O9UkrkumJ
Uxa5tR5yPTX2WqNp+6rSUYoM0MqMAPnN3LsGUAYYSroVoe7KKZGWWjRF7kiwBWx8k/Yq3PSSSDki
DuUTTvXW17aMp69a0YSdH5md9FVQYPtYsOWXJ3BzLNZ4fUCv0NtbtW3GG6WRFwwh1VQxtlleQM4x
FGkgKOw4C7B7LL0Sf2lUowrUfIzZwpXO3PmNNs03kzNY760mp0R14tL6Ug6rKSy6HhASvR7hvJhr
BTFOpcc2Ap5+FwEi7IsCXdcgd8d5LBpBXww11U1HowEjbxb5yWmKHIMR2uKFLT/2EUVaVgeR6qrl
J0le6t6cUgftK0OoHQYmz8mf9DL71LCRwHLFyIeHSJ8cZtdxbOFhT2waXQGVOts5iXqSwyR/zhdH
ueZkyQGEKUeuvLyiCQHO9AJzEcNuPpWZNLQ0S8VuRq4YEeU4g7TPJ5GSlIQRDjMfMtWNKenau06Q
BewaUjRECUNh3kRJ2CM9keH9k9zUsjeV6NM3yYwIgFa51tGhLzl945LeJ9FrbcJRrVfjm1UBEA8p
SDxWU5QB+kUlQDBN37fTqh0ILzoCbEwsNAXWKi+4KA30i+qg0vN0Iihd1gY74VWZgOWbeJp0cQwn
KKCnPoIMRoAGggHZDJGhbbjoHNqaWKILlnK+J9Njib0eYUHTxAQL6aKK9jiIVVqkQUQpD7FscR4q
STNt8lViUWlCwbFI7kNS5asIQxIRIcF4lWaIKJWuWVfQa4iLdiNeZRzGRdGRXdQd1UXpoa2iD6OV
rbfmogRJ2zF8wK4DfQgEcIhRPPq+CbqyRz5jrHISug/KkuGiMmH3HaL7WsUnc8yJKhgumhSHZr0Z
V6EKmaSp8HPiI/fdKmRRF00wdlKle25WoQvqSKR35kX/ks9D9eBcVDGwhVHIZBe1DJoT5RRdNDTE
X5JXS1/Ch/qisVlwp/2qXZQ3Thrrd+FFj0NmbXhVLyKdi17nvzO4TfK1+2kjSUqVbd///Gsz97cM
7m1S/ePb2z8Or+Vb0vycxP3zpd/3oDolfYC0SdauptnkSNnh/VUHqP+B1a8GH8LS4MCwA/znHlSV
2Z8ilQZhp0NLM9byvb/2oKr2B5WkJg592ooKXV/318f8f9iDflAYGFQSgiRYyxHZ8KqXze6PO9C5
r4fUEoh6cYwyAhEPZGNDc9n+8HC+X/Wn2ruf97mUMatslmU2zWy1DehCP+9zzS5RwzgnqycxB20U
7IBd4l2JH6Pu8X99qY83xKXgJFHgTlLatpicf75UThHlpA4R+6BexEd8DkroWlr+p4zh327dP+ik
1xvivRWdFlqB2B+JlLoyZ4XVIqvjHD+fm0m1Ds1A0lWe1eKc1kXxwLyufPr1rX0QaqwXpe6TEwNp
DE2nC/x8a9XcaE1b68yzUlcHg4LHx6B3xY3SSfn+15dSV8rLD5UIl2tRhoochItxPPnQYjXG16RG
pBkN9lA6XpLl7QNxq4zs7syyehVarMFKVrfEagstdm2jHU9zYSEatRLyshgSpMWnPJ3RE3ZlR2my
k1loERsOAr4oTPVmbmMF7FJrsWRoTYLZUi3b0+2v7+ND5SAQawvlvG4qNoQP3Bj1VcPwwwlLr6S0
7CwLSfrIMuEOsBXMp5gq/u6hIcJ1q9gD+Yy4NcRtluFjf6UUbBC3pjFM+K+k5vDaUBHxNWodklpi
LvPT0oVQQtJaI1336w+7PtOfnzlnVfoU+QxY7uBufv6sUs/RQEZCQAp7yQ5mxv5EGsviudUSQyVi
NdiHuVbD1VdgCn596b93LY2GBuXirGMU3ciHS+MwMRLkm7yms18EoIOHTunlc1b1vyMq/YsrrSxL
0+RkDln1IwY0ag38cB0VWwX2IGAHkHj51Yyw0gX0//bru/r7XAAl8VIyzTkbfNN6/P6h8QkPTUVV
45dkTfP/Ye9MlttWsjT8Kv0CWYF52AKcSVGiRksbhAYL84xEAnj6/nirqsPX1VE3qte9czgskyIB
5Dn/WKyHbvrSdJrV//2L/J44cL3EyMMyiS/C3YKb+voufn0VdFNmtsgxjAQrxDQyFWclVBfbenlI
5VKv3SIq1oaWWTfklhY/7XLW/+Kp90ci/W/XDpkKjn8NDOXc+D1ub15GRa3gMIaD11B2V0KoHm3R
ys3C1rCh0eVKMsbOWuro/lJDVAcr19hclDWZb2biOaHW9fWu9arymNS0XQRD1NmnQa/Q6P77D+x/
+Vauz0zbJQOUe/MqXvr18yrtpDRrJAohGjEZTLPF+0N8uPvPX8XVCHvSsBuhbrteh79+K2o0qmTO
RuDTbECTiWLDrmftLz73qzbuzx+7xflNGzBB5Mjo/vD4/fIq+Wzm7uCbKkxVU90UVq8DdaODVj27
RCmn6C8cOqRw/esrWjyUXYS5+nWy+O0hoU0+BAAanTBvm7gMqd4B8bectn+mwLFO1xnEDaUwNcn9
oUlE8iN9Py2SKNvk8ZcTlvhiJskk15l0kg+4q8RfKdlqr4uoyIaHOJhUSGC1fOZJIO6Hye9eDNlk
/ADOhx0yeuvnLMcCqUle+eUG0ITEH3/WcdCQjtop9Ngg3qvIR3OASyelEZPKxldRI18PYWD6R47H
KQm1ptZe2rFQqGe8MX0QWuHdVzV4UOgmAA5lpCzA+jqa793CR/rZtdJ5nACOhzAtEnZUugqFQVUc
DE+5xMhPGXsHKKESC0CoeRGF19TGj68GTYFlgEqAeDs6LO0gzV0bOWVrcGknk234oUka3g8wmf65
SktYESujPW/VO4OVbRXp6DfYENjpGpN/1ioXxYcnSnw+Bs23R2lnVAxlydLLF582t3btuCJ7dap6
1MOmtadnv4htA+2qZ90Xs6t/I6tFBeGXUutXSOiW57joVAmaUlC9NaPV6g5xZWkPOmRms15E0kZh
wzxhwKmoUQ8qRRgkXH7pXfJRjQufYCy/YC8RPk0+BOFKLqN+rpKsiwM/aYbX1m0Qgece/aPHzhlF
v+lMmdQnDAadxaN40LJ9TZ10LUOLHrL0qY5aTeBsMk36dAcqcPhh098KZGsa0n4bRCmLAFFCjBT6
YQChYtNu3Gk/VAUqXk3v5hvfIk54Ew1uFIdpa8/a2s5qzVqPnTl/JpiJtFDAa1CVWI55tupzBbgw
TokOmV0n1YXb2+3O+uxLCrvMnPiG1ejg1Xm3AOCqu4zl2cLDAwdkgx5ZrdpjspqcI3aVyDg58DIn
mmoFVVCKEzVwxmVpg+hK/6xTW1AINqc0uIeuQ0YMsFlKr1S/RNmTraFVCJa0dv1VKmmJ57bIIPP9
zE4+OL50hNJQNZTaQTw2m6j3G7lWkXRe8sjhXhvBA9+7Meo+htxGAwWgxi2JTNB9lj31QifZzclH
P9nU0/VZ8eBolf5QLy3wRQLk+MWkjII7IvoZ1b+eeGdPLT6faTEuNY+zeIFEwsmFO2OR2kn3fYO/
9qG5tQFlAOlEseZtBGQxf446rk19Qsa+ii1ujCD32wKAdrb9u6bKTGrB4EAcBN69t14GTEyR56Xn
nur4H97SzF9GmRGunnfz/E45FwW/tBxS7zDi9CiCxfPq54I6+ZfWaGElAdTTcj2mNv1dsVGW2Qoh
JTldGvTnuULCcqhHje5gHvrkJSfk1mQrkm/zi5X5c75hLMsufY3EvwqTqW1P12+s3sxprInzTN90
evBQuaSh8M2hWsdqnplHTWhWLka/vG1qZ/FCnnRIeqpKc7mAC21C3sPa/y5m03xCUQ6D05DnPIQG
ekH6Iu3B8lHKVPUtuclA0oyGEqlTzacQM+/RCZe6iGBw5wk76NFnbilsGz6nLGn/0LLmeBC59e+6
qqRYz/Uj97bNjWtTWuGW2s6rLFeFMo786a5Nu/QZrTVw3OTaS3Iox7jZVbIEMy0npctVlnTTbWZ6
PN6cYTCXzTTH9RQW0+Q+eF2WtceBrGknGAwLJDbD2xat+Jasfu0v0jlarWQ9II1/fCwlboRQeTgo
0Ba2SbGxaDFcz7ifnJUSXXnXqxhW0y+brFuXqYJkmD0cVv3UFDdy6Jt3Ayq2Dr3akLQmw6/iO5qL
Zx2sagSbGRBVgQ2XHwm/96cmuxosO+nrz9bDjkUzIdVsGV1MUaB5DgL6eSqbdZLkFEOSqQoWOFc5
B6cvzeUKvi0QejqlhID4PcV2Qeaq+CxdmiDXepO598LM9M9UJ4dr4yQRyPfcdbiMgDHdJGhbHZQ4
zoV3B4YtvC0Etf/YIgOGc1hGO1tZDJ5eQEwqIiowMMDT0uyoV62kc65dXX+dowmxru8NuR/+p5MI
9eywSfo1UZOd8bf50Ji1vlgM6k+dJY0PGcXl+whp5l+8yr8uDx6cGWUXiMVJcP99gqdjg7xlvkBs
nCn2Rq3394VhIDP0bLH20AkDgE/9uI/QsP39pf+fj/yVWvS5Kn753v8FEXp4r4b3/wrfh/curf7M
Sv79R/+JCMEhXsm+f8RCsTT8DyJkm38jJMzVrmsRDCTj/C+IkP03n03DYWaGGb1q/n9BhAibArpB
Yk6uqcU0avwniNBvCxq78vWVdQ/bPLfDH1lYvw7OPK0UUnn8hRVMIgWbVvToQBvtKN0dP3/5hP4X
WOi3TeDvL3V1I2BxoazB/m0/G6RbISYey5XOLxyO+kh1++J//V9ehGw00DfgjN+jI1moY8+tKRJN
qLVbJ5WmrSpK/v4itoRh/8+DOb+MT3cHVQ022XOAJr8tHMJHYYCYdsbNEEM5ufPUryZRzOeaQET3
Bs0NAsGmoi8Y2ajZe6tFEQESCNqrUcEOwCNB30Vq+dIULcdm2FNK7JvhgPdMBEZpuvTnJhHJKHeG
MpUfTpadbZH3eOkGnepUra4V0DlQurCnnWWh4FhZfQS3bDpjPK+uoq2fRhybr1Wqxq8iNuNlBdFo
aAhyiISGGS4XPxBxOSDQnZYm39miQ6jEUSO+O6eub2qpg3nYSUqnbWdk8ifA/rWSrGaKCSVdkg+T
4w4cN8hqniqvjs66zJmbyohc5XBaoi4NF7fUFUSBzNSqNCRzZQqP82JJQ0nU2QrxFO0yGrZ5WRkp
/kTHwdk64x0Pdc0avvEGgPBjAIY8WRCYPdtGZlPqOjnG5wC+cTBFk/ts4Ub2zv9P7faoo/vEgtjD
ijfCTSnIsY3EOCLFrc6amzlwo41rI4BkbA8yA3lHMI8e+3zt4s0kR5B+bf6eLaCKR+oBiGCuTt6c
w5u3IJsWgtkFbjv1OuntUuFM+WnuWz8JHbfrNT5/wMqL3mrAn0nl2G9JOYmedzx1l2owUm3X2iaf
s8ZUDgsKpXqjtWX3TDcppFzszdnjxAn7UbGWe1wIk7aQYTghbcnzAnmQ7O2pO+LwyPJwMOlWOdLO
Y/ERuFb2M9Lj6IlmPvVowuEMuGLHdKCFs2FmCHvXo5sUmVZ3j5u8fgOhyO7sEg6Vkm+neE5yr30z
KGjSQoPG6duKAyZaxY3uPOe4CG4wFg/Hqkw98h3MSs7rKHblbYRwdt41yeD9MFPf+eg6qpsD3Ooi
XdkQaCc7s/QbvXb4Jija7R/9uMofxt5395gaBhUkJJH/8GM2w1Xizrjv9VrMO5HPrLvGlHRvdg/a
x9HNABH4g0kHRsyl+z4qRHFcrk2XbAtk5kM4u7BYgS2W9L2OwU7hlEebIb8saj1wMA2OHJRz3Yd2
R5gFY+IS7zN2JAz53TV7WLdRdQUeVN8lTgYaqXWjqIkzpcS4DRcGx5gFRpXvvTE1l7F2nS/01tFu
IrF4pErbET+mJH2rda/gJiNI+SVyiU2gdc5ZJghIB5+CkRpGF8xS9ZeivarLLdp/M0wxTAzrObIi
CeOsDzTGilg/OtOk3U62ZO3JjGXArmTIGqKzLLrXHstRRP1INn86YurZ6iqtQVMsEPVj8hHxnorh
aFpLS2MkFJloorVyVQMq0KZRjaJRME+Zk9saoTN42Hgx82DkbyG7AyWoucTYM4v9Qj0B1JRelZeh
qa/feu0aGboJUC1Q1qpID0brV2aQSK1AIkxhwqaUfawHmGzLnuscLRqyXVkNIZcRXokBHk+tWllk
dKb3eIi2uaPyhxaidUWsQunRIqxfdbFGW5uh9GZmKdwXMYtdSsk0d/XiLEGezWwgyESTFxNke1p5
eWqm29ibGp0lR3eMbZ1Rk4J0jfZOHmNz/aol19s/x/DZrbgVvae4kIO2TimsFdSFp/2wrpEDCK4q
pJ4BPn7kv52Y3C87wgZ7smEFH8okGn80snZv3bI3nXW3RPWwphc02c6L0Uwr8hN8C89SkblYtlSa
hUtRGz9QYbDEkPijiVXiYyYL88mjpS+nLtQKCmFWF90bvPsEK8OrJnrbWUV1HRuhcGRCSZw0nqFC
3S2IskDZsXTmu03P8BJYhiz3ZJATdqrbE/eBEUntUWeQP3gI4ke45zz56vM0fjXGia9bomBMQydq
M56kZinmoM8xjwX9pOd50Ge+8VIURnJrZ0vGrZwg7W68dBpDRlE/RXGgkaXq98L9ZiHPcvCJpIqC
BghKrIqso593KMzkDlyrnFY6kor76ycyYrmzoxPaX/0H6AzW56itEEIURVWVYTRlzZk/+j2KQ2U8
TrkxPSuE3NMamzFa7MUdfSrLde9t4So+FZjbzOA6u1Qr0bdsxwh+2xRefFIfQ11ey+onB69SHhc8
m0XHrRMk2NE+I+A0pDekCBykAZK0QjABbOWMsidYpqPZOBwWu76z+0Y/ex5H9LogOv6Hlznaa9l3
CMXx5193v6i1D9DZM9S1J6/J4oDun/0oZLsuo2l+T3mpAoOylb+0M158wgDi8geJCCW9714TPdK5
PT+VTSp2XavouE2WgipqajgSa5U7GhkhWNy0S1NY1Qfi5OJD1RFGiTlCTRxYNBo39CaPxlkl0tRX
ueaYl4VeuEfAtIKFS4+X12ps3Vu9J1hjlRrS2qBzSfeEFOQY3yv0T1pHAgyHJj6/EgmxjkQSTRLN
UIJAntiUuM+dnMiP2Mrwb5aMdQ8iTvNHkY0SaxwxNS9qSuN36rxx8TtSW34WaY0hRC91uw1qbQCv
VEOZogKdBx7PmaXKh87Hkgh0WM50eJfLbYt14IGzqjADtslm35QVdiLAXqX4XiM62sFbjR9uatt6
kOO1ep3GVj1bRq1HwIOefehtJOYLgiAKL13GLWRrJcB4geplwvTSYYl3Y+2rUdMw7kqfeCqW4Hm5
VPiX7qo6wh0n2tK7d+xKfPaEIRVYEikBDzyzbfiYyD450Z/tcaUOEkFxXNicr8Y8RmWQThKZA3ag
4UbETvHi5/ye9ImkJ4kc+2Ux8xFvOlhpwhFyUhgeb23k8xUV8Xb3MJFMlGL0ngdU+9Mkj8uc2mAm
JK2cFKfKCF5XowXWc/+pSFLzJR3qgR7xrjQecB+gY29HF12ySjv1nGWGee4ArrCWukaeHInulujO
fYqpwgpdC0rvtJ6fM0/5mN/MVJy6SRkjD0WyawBsTfonURM3SHW0eFwLoGZn3ZhVd4lcLfqaa50b
eSaa6j03HdxnaiQ5yU+j1guWUVDW7PAccgLbRmjOkdQl38YCBxVEYmk/MNA6AnKxq584tqs3qdOJ
vsm1Ud9PpYEpt7Ji+2bMuvZWTE6GH9Rws0C6hbYnH6Geg9ZN6gf8Ct1ziwXimVHEe2CxJ/9jEZT1
4hobnE8MEh5wZe/Gt6Zj9iAmTPIHDliPq4LHOFcQhhBmq8FLXyqlPBEmbaW+IXOnOzrBiWpJ/KE7
eW4D8qGyNhpXihY79Rfg/r9sXgbhPNfQLRzfsBa/87uT4xkVcUj1ys5FeylE46+YWtU2Qfj48u+X
ot/iPSlmImyExLeryoACBNQEbDO/EBeky3RxhexqlWH6eDTsuBbwryJ6az2Rg2y6M5orR80L2lTL
wnzoN/b8Xc6tb65z22iedXe4xmT0eaMfzY4UE+CXJBUBikwdLbWqH1EFetqK79X4KbtxcVae0TT7
IdXdM0BE9o0kob8gtZ3fbFDSDO+rjbmwqXP/fZLm9KYj48bM0EzeZShJ13A6a/nAHVg+KNPoF7Rb
7Ed/56b+H8r4BcrgS7/KUP6NuKXu3tPyTxjGP37mHxiG7SFdgWRE9wDrQFQh8oh/RhOgaoGC1Ai+
/qfm+h/CavtvhuOTZ4/mGq87icX80D81LfrfaGW6/o9Uf1x12cgN/gNNi048/p+WcTZwF3aZBDCU
NehxIBv/fHljE254Znd1mDuA0WHOEvvEwcNw1Dlet0JSPTVBT6fDe4ZQ+ttpkpYn9PjTaaeNU3v6
ipkUTwew7XUj86KwaCPEgchYiOZpucLzTqMoqmkkTrrJ6G4waRZmmE1UwJfYYC8kPEUXBNajCLwl
QXRox+1FJphgFpWkBO3P1k8fbghNsS/SvV5J9zy04sV3k/SoUIo9WH2ps+X0ff1exAkhabJzmpso
z6ivSUgz4+irHsBVsjARObX3A0a3jRFxXLGmeLPLAaHyLBDYwQ6mlsyHqZzaV4SR+Y2RmNktrYEx
uTFXubWFYYqJdSrZdmTbpzclSZDHUpak8klD+vumy3qOmcw5iSGibAaX2hgwgEefsTLrx3YpSB7i
qBqKAFMlsyDr0n6mRKAJfH1xNsAb39gapyAHRt8XMZZ0I04rvNVRutzmFuJ1k+gsduU5h3aCQJif
xTIQg0OI9dbref4UPmtMLJMrd+OVO1URbBDUOXMlrjx4o34Exo/d3N1AXhbbChjgrXQSsgLsVN/5
rXh1K72/ccuq2ZdmY5wW82pYsRrH3FONIl5nA9R6rCmV9znFw4wJeJ0Ty/apPDt5djRVXP+/l6G2
f5aZE926eSLw2YlcPJBN2H/Sc4enOW1GOIAYKkoYsNtZ7RMhWEs7PjZVru4XWWAv9QENtCXaLEDf
1xZHue2IxjhcXdFr9NfWWgOIx9+nRdZq7CrvBQ+YXJW17R7cOEsezXRwDjA2ywZ8ASc87kDvdUE6
FGpGpJ06fbC3Q5X4h5gbcT0t0r/H2eaEIHoFqx8Ld8ous/DN50Wutvhh0p2eLOl2kcltLcr0YkfZ
siLbK33KU2vYIgEqP3S8URtUrQ5HE5WqQTbVRVhGRfnZMw9cRqeIw8Lvik1be/EpxmkZjLHu76sG
V7mZzxQeWhmiXN9TgShxAaMDhUJK/Z5jXpFC2OKfbvLG2dV6Yr82Rj1+pAXicX2qrNv0it/QgkcB
N+wS8WLdmN/JyKqmcKg8cRT11K2iZUi25TB1z2bS9Pc2x2dH1Tpacfx2Yr5RCzzBOhb98J0J1dTG
/eL0pnHBDh4ZzT0qj/FOCYV3z+OoIwNh8E9xT6gH4ZAEkuTS5OZsluQFzEv91IbBeiq6Ob6tcqde
WQ3gGsC79YRkID1qTTzsNeF7Z6gHYheqmsE3rrRiq0EPET81LebKjmwQKvSya61D0+WRefVDy2Wz
tnz22J7O5zNZIOIYd5r6OTWiulSj22xVz9rc6OZ01BjqV0SrUv4seJ7sapA/4gln713iOzvTIiM3
wCftJVHKfRzbHmWHls4JNFvTrNGSfGnWhC+wtpLpkYLG5JInNtbrdqgOfV6zUfPT5COx7r5Yo6yQ
uQ3TWUxV8V5DNAR9S5CHnPp+JTulPVt9PT0u1VWQHA3p/NRE9TZPo+xzri0d8tGa9YtZOuqu7c3o
hrhbNt0JEwwoR6zF4MBO8dA6V41wNAHrJcuSPSQj8Z1ktWmvFbK0O63V3JcCsc8915V4KmaE2FZn
DB9F58UbmY/JY0LP2EsHunwpPAQa6wodwN7toGIjreiAWLxBBjKe7A0GD/fU1CyMgeFyUVkz2Fr6
Mjf2wUaesquYofCs+86+z4v2hTCWfF04Toyn3TRZpM2s25FVE8PIVpk8J9Bit0PhzW+mhgzI96t9
ryGpljIbDXTzBHj1PMOIiqimqtuPzXJHIMUcmtTU1uBxXbTHyN49GaJrkLKL+YhZMpmCIhqGlcBj
bBI1gc0cbd2jVw/685BG5IVkeG5O1N8UoU1g4U1jLToBEN24sZLcDEijtMPOQtdhQ4itEdlL1Jee
v8GsPx6txvMj3LXqR9EqfQeDqm2yOV5O6eAP55HckiDty3RT0434SCaZHvoYHS90ORtbvr8WO4Pb
nDOzqM4INuJ13aXRocBysqtTnbhftNfZOoOjPUu1tCfggAf+LY/Xpj46XtG0BOQM47q9fiU5Gxkc
YmZ8mZzIh8WV4i1OU/+7bzNcM4Zb28cFtw8VxYN3ImAO5V5BRY5fF7ejcorvTA4pkouufqznSHtZ
Ip6v0ZjdznG/t3X4aKJWXeOu0ev83Ywy/Yova+ter919oQy5owrbJ6hynEIwfueI8mIIsXIi9CAP
60sn9OSuaOPmRh+cYt20RrKVeHq3i2udcq1PQtMaqfy1+vfInePQcwnC1ERVn3N/wTAuxLBLXWGE
McDcsSuukWVe7t9EIs328OL9ijyBkqtijj8wJ+dnD9UJucJ2vafgvduw17Qbje/5B6tW89WQYnvj
jXr82PRzfWYUiPYgDhfRXjEaPpZIjHKNnFHb0iPODTDC86fYP1emu9QrgpE67kVOuaQiwhLNGmF5
G9fvmi+7ZGi6nirWsgKlEpznTr2JZ0B4LxHmZtb1hTyDtog3yGTl2tUntWfaghH2SOCD3y5g132U
EA1gJWhX4+6wG6UXcxzbo2AfWdujTl/NOORHr+qRHGaDsUuNPnpIU8cPB82/Gi1Ev4p0Y9wY0kQ7
lLjp2aDI50jH3SuKl/Y10Tp913tSrSvV2JdCn+cVGGF2pxoJkKAV5a7T9GTN77ccfLvVQtx206FD
Jn/Np9TGyyIrhCu1Wat13C2jH/RRpX4oHN9n7LXxhniX+RDrdr5H6iFfxl5od/ocO7f0CakPQcAI
kSqmdR+PzrhWrYslyllWc1yVW9OW8dajDvrGzNVzE81taOeTdRJGQTwscSbNvpOFtdHnElR00G1V
oOZKxsdFT81HiXoF/06SNsc6sdpwwMVM3aY4zBKvFJY3865wjcE5WTp1no7RkRCSGcNxct7ssq0O
DC4jZx6UVMi+XULvECgSRFNUHa1oxpDdGIgfGlxrWyfuuhlqXC8BlhYOJaEGYrZIRe1OZGSJ/dhz
aAqmpc+JtETiUAkTXMfpIPEMUXm3N0mNaAMXDRPMCaWRp8bv3PcpRSZL5+Ky8ZzS+7B739oiZnkj
vkrtlqFeLvizmzUTYHrWneFDc6S5M30yWILJkU9OG2Ok7ozpWxsETwDLBnXh/ZH70S7jAa94+Ryj
hHtRTdkTiODg9mp7Mkn5PYw1xyr9pmRbTo9pb/abSS/bd7lY9THVoTrCBNPdz4k4P3rkcOYHwnCL
lxS4f0USd/UygD2sZ+VxZBUuBFDQEYPQF43axJk9bstcOTej11rXsX/eNslIcFDcxMnrQtjTumOE
oMRaGVoTZnYE/Jkkrf5seUm/15fR3GDeRIvme8VpjPro6GA6OjuLFb37wywuwzQnX4UwjD1hE2rl
RqQYBHbbRKuklMbJLz34qEJGrNwpQ9eh1AzzwACCdV/XxbCxETWcvUXTQrkY1WeVDKShNMjSoKD6
uzLqrI1QhZ/yQZJ6NI1xTZi4OS6n3GgkuWyeesKVn+yw2ZufTimyjS3m4XNkCR82wIsxsWCjts10
OeOdG4a9ylMYR8k9ZQOWfM9EvDyaJhxOVBxFU5lnXz1Sojo/KIxQXIPZ2je6I1fOcuQP2p7lIS2v
cS7GOjZN/w/cMg193t0n8S3mh1IWkNUUN/XbXHU8zUDgwc1tfELxYt7lS5Fv6jEXOxthyIORGdo3
CLg6kxXpXBrm7r3T9jontEWkZVy/tIV3w4CzQdMFyC3bxb+VhhGdlqwvd6ZwzC13R7XOsJQHSTd4
ByOr5UfRcFMjlOtfIlXGIEulAfHKKRLExEWQDj2X+wLV67ya0kRdnfDsA9eUFsx/cr5YyWxuybVB
Hy/zbtOI2Nj3yzw/zG4Brmty592JQfXftejGo5nKbDeSJPKS2OZaS7NnI2mDJCe1iqTnIdEO17NW
Nv3T7Ed3kVfd1eyLazxQ95EkPtg2yvsZDqac/ZMxuw+kc69sL7qnrfonNOeDIWdsktGZmCwHJekM
Vl1DkHHEKmdjpyagHH7Wn5OaJa9u2rdlO6Az7G0BFjsV8og5rls14K+h7yOhaWunDvTcjB5FovdH
c1T1LcR+TlZIGW8lmR93KTXD21FF/n099GKjoyfceqwTT2j5oO08CT6vpkMcad456oxlL935RPDV
JEO0Ov3Zcjv7EGm+OsZ2th4XsKR0tmtGQT3+pgYXnBCFDBO1mTzHE5soiTxhgyKy8WaOaQ57h+Pi
zNybXZLyiwwKddI6aZ+HlHCWgNHY0FZoV+1HxhaAK0SP90rL/QN5If7aWuL4vpSFF869ZD3sItM6
uigOLnrptNvEWyYNNd888pCiQfcpzZTZrLgDpmc3ShEFmm6evfIRxC+1M2t3ppbn5ipp0zFZI+Yk
DIGs2a1AjYmgbYkfCGEC6UyAA7fadcSLyh4+oNfGDZr28lIkxjdqMPJMyEhPLn5qO+9VgSGkLqf+
iORJ36SJ21xI9uldQh0Wi1SlggAuE3b2eWkTUsn8CsodILA9d9A6IYbK+hlV14BD1crFd9UqvKkG
J+6mxUu4Vah+4UDm5blUJmMW3L+9ZuqxjjHBZCeaK42VRFO2Ixn56kseKEaQKbbkBDBx6yKvhK6r
vB26PHQAsZtVG3x7+imds+UyAXmetDzK19C6+pbaBgJ/yfMBZqjiGRKKMyY/ub1jraNxUWtnMOmf
tiA3D26uu6cswipOFlx1SpSoZsL59Hg/0yX0WLroDcckzpxwcczh0vt4UlkUo3g7dRWHTeMJdw2c
oG41UwFtd0lKeEyO0wUIgNdQqCR5sozNmhzheK1U1ONh9rsanW+dNausX7j+leNdWwimaZUjyQjI
g592qBsIzBKV3m18cIIgakcnDuMMx7xBVHobNKO9/BwUt3rXGsVdguCYdw4eK6euPmUm3KTVaeLR
aFMiONKUBKE4Mo9FgzK6GUHtmay8w9jI6NgXbrwfye+FSiF2YpYWDdkFGUSo+uUNQVnJh2omvhJ7
MEqYzLgFDqh7tyRpjV1+KE3y0mt4XICmriU1ffAecFD1AfS6ekj1otwmaJoeZGn4JPV6pDUjlSuP
bPjVvp2Fv63tgWchi3K1MjGSblgQ+j2UynerLTmPup7NCl0ne629A7g1Hys3G1dGZJCYpTXanSVc
7Vu5nXHoMpfootgkM4So+2mHKNK+K2Ho1+ZQNkRgu8beT8ryG1+zf2kixQMHm8EPQbpcjxHfZs6T
5GzB/Nf+9zyg7VzLsobNEIvAeBpjF60Rh9yRiKfdGmLKUTJyEp2W2izvKqufbh2HwJ19KZzhVRSW
tq+GhZurYafal23u3qN9du6JL5kesMvLnZ3Z+g03BOJqtI4ntHj2ittTI/JQxmGi9PElxpTGBKct
pz4phy+tHpO3ymrnY+1N1SZTjcZmZo47F5XNXtNYsj011hhWyuKuk0350SSyPBCJpm1IPxx4Jo7R
3iWXj/gubT6UFj7u2cnKXTEX8T2+XReEXCbuThmTvCk8BkqI4bn9aTSq3fTd6JL0NlrJDr3rogck
qoC0LFyQfuiQKLQxvKpBW2xXb8Kpyget6LvH3LD7+6io/bWRmvrOHebsxp4s8wax0fhgkwnzY+41
40JGYbK3Iie5CK8zj9LIMdGXNTomW5n+D1KQVq2uzaEjiVqfvdjbyzIrbjy9lDvUStqhSHOLT6y+
Ul1adB+lEWu1KRKSIOm9CDpEClef9QA93xEzXQtSBCDoeSNUGmzJQqQmY/Q18WkvRnwS1dJS2rpU
T2lCxtmC+yXQo07/6mU8EvFfFzs7bfStnccsflhlTtALUA/O3BNeYwjQSdITiy1brHUH1umuSCSs
twisu81/s3cmy5EjWZb9IqRgVCi2ZoDNpHGeNhDS6a6Y5/nr+4BR3RWZJdJVue6OlXuIk2YGA1Sf
vnfvuX3i7h1YNn33HIea9yjGWjAzHMMnDqb6bp7K+N2eXXcL5SYPUH/Uj8s6a6FSRYymhfmu6I3h
Vqj+T0K3CYwqdvKN0WrRTbaaMZchMt6azjXZ/3Iy5wsgCxPavQCsgvBFp0L62PaSbkP0trDoXHeX
2Cv6Mg6b/GwlHP6iKU3eIFYSP82SfvQqcBYiNydAvBLKlTY+zp3S0Q51Eb9lmgrs831+BkPY34Vw
k276mA0wX/uDfWmZVwD9xou02uEajVaGUmd6htOTmYep7eSVTmFsHaQQMyN0XWLPVk18KGmkwN3U
YVftPOQR1P39Wh+parBAoRe6WVwomnFw25SnjmY07oH4kpnpk6z6t9bWVQq6wXQG1pUpT3YVBIe7
EMQCd9HkGGJPtUqVzOyBVqCem+8uCXZi1xQd1AwYr4Rs2GVzSLyVO8utHYx5V4q3Pg1hp1qQSrlh
QmCmPq5EfoL7jG4dBgrrPTHoyTECic/stNOT7FqaYhjj8C00ehPduwZNMyJt+A3EvUzmDTxD5Fya
Gsrh0C5FbHEgaCLLb6q0wOo2TV+LScoJ8DCrvqVk0M42pG1c5I1Gtw/rO5xRyQYARaWfvvCOydsm
FLzcD8DEijh209OMFnlACgxHs23iXG0FbvWtwV5KPZohKmuWZVoOFs6BlAJ1tU7EA8h6mUrQgTQT
lUP3bi0tWO9lrHk0qcfiNISCAzx8SubFI56hrYbA4uanlTlQBPhjCxB1iQ3gx6kJaQkpPLaBgQ9m
g6h95VHiI+JCOHUa5GA37+MHShD6JyZEAgtABuab3rtTkRueWHf7h3bhDIhiEa6xrG5dWKZB6WjZ
U9FbyY3qrWsmp3uUr/XWSEH9c/aku6GXTnOoWYdOUDvSS4KM4NLqdnEWofaRr3aMjWZw/ITzyEqp
hBNtwlZXXw32VN+ohXbvtEbnx0K8SZDTtniW8OY2FMnYvYkq2muoGxFKee4B0Gm3CeXgvLYSaiQ+
Azff5XUW7lbwDid6FHiTDB97iwO6stgwnRSuBpdpOUiIElgd3PxjAAh1yevBBZALvtgDWnhl2Nru
0LSlnGeQosjGw22iwvFU/SgpSHKHtUXRd3KzOfkE8OldGgq1T0Rp01tuWPHLMuXdsdCG6LWk3RUG
/bzaXHqAuqChBUNuJlqROVJN0VvrrKq8VdxzN4QXwFgBsHrD8pPeej37PpgRJ452dVeFjyBNprtG
te0+TywU9oWOWo6nhQcHN8J3A5VcbAeryh7mhT4/hZ64LhXcu4DuGfK4om2c6fIzgPz/c9m/z2V1
KAD/t7ns4+9GxdXvv4MKrL9+5j/mspb4x0ryJ6ccGbJBa5ox738Sr0zcvdjVicdexeV/05Z7/6AR
gsAMoySuXPtnmvp/JrOMZtEdmAxskYN7iG3+ncnsvwq+IWqhUDcMgsb5Xbb5L4LvIak8WaPUAfOU
w3hs0nc9Nd7/dk3+B6Lyf32Nf7GX2vjpEkeAa2cWxwaDzTzwjOy/SzP/wTP83fqJmxxNOcNvPgYo
AMQU/zxiFm0UrvBMPCNpVoBoJrYDjq0otO+ilPlH31RQd1mZm3fbjQVeRH1sm302md3sGwrvOzDk
vNcO3ZCTJ5bMZqSdWgr1N1M2c7Jxmiz9w7pnzJD9knoOJmHoD2MxWBL1ZZ25xTv4TKmOCt4USm5V
l/VlhKSTbwvPmbF74HGrjb0Gw8TikFPrJIzVTvrKQW1VwxhN7uyJ32u9wxjpNBd4L2CZmDHU6KvJ
uqKb5LgdeEM6EKQ3WTmHZCFcFkbbWmPICmOxf1UxFhsEOUXFcA4f1hNytArSYkP+GocktzTPA9cu
3JSiNr51lcDR5fxHNNvYxPcJmfDIP/W6qre5a/TNdla29go4CKjKDHKQhCaS0ZZTIbRuACuVU6BF
6RoP0+PfY/CEa47P7o3LfBw4cr+VHmXAtmYg+KgXKjmaztoJiL3FuynzXtTbkdEio8tGrn12lq4N
rQXrxagqJICLI0UZFCzWuT/jEvwUrQgQ0MyvZPJMCBq9OB43U/mJpaCjSyANtXVrfXpsW20tD1Mt
KoOmWE2wEtC0HggcO8UmH3gaUNRo0a3Di2db6vqMkqkbcZ/phbuHIO4AYua4ygCpVuPFki21nhbF
fbQDW5Cia2L93UaVq166OWbsYcxoExhS2tbr1BVxito7Th/NQoYvzKTodVh0g0cMjk55GRSE17TG
TXayulB7rXIv435FIlzCTtO9XxZeRSZ5eZclgB6z5d4eF+LrGhSIa3MLw/aW1mEY+xalUcaYyvIe
21zrP1VvuGzMk2EB7uwH+w82Q7ye5M0wd7HkWKCnx24p6d2tHZ+2Z4jT0WGILg7pXwzjSkjCBh22
+9FhyI/qMBa3aP2jBhsD+9+ZzR6N97B0qByQ5Pa/aE6CMvr395b/F4LtrRUz87e19L9YmJ7KX5iY
4qL9px3mr5/63+4l5x8UW9hosMSJ9U+sev+xw5BX4tKzJVgEkY+zhgD+p3vJ+QdoPrYfnE0rXwJX
7d+0P9Y/sOfr638uSUZQb/6dHcbEev9P2h+eR1038CI7jmB8jSv/v2h/rNwlfBDLpjMXp9KSke6n
0zjS12y7HRaY5TjZYK55MGUKqGTS1DMCOeeKdLF7CFv0Fy5L575Kk9anyCv2xIX8lngMrrprylPu
dpC9hFYLZvwOAZMpixN67555BdaaNx2j0bVs0NYxmmFldwbtV+wZ46djZ7uSEeLsDvqRUMvyXKOP
eJ5y9WaE7vThpHb9BBsxfLDhod4WVW+828rsSeapmrtMan6uwu8eRvTFxCHy3CWR3MGYLb+H0BzW
UUVi7iZV1FevdVu/qxzrTKceNDEj/M04rIdkWPa+m5AssXEYtVwz10NL04v0zppYPwRUni3HFzQq
fd+CqQrFbViFnGyqmYlh1jX3UfHhGhTzNOA+aseUDM7L0vWrFGK4ZMICZ5n5sqPHr41O+FJmjep5
lqy5Ed6scuvm+al286PI5msZN8pfpmzej7rTrfFS6W6awIRLF32ZP7oJp5IpWXJE+K7FLx6GYxL2
ZZBNw7C1CUxwtxVxmX5bGvW27EM3oNcK9tqy4O8H+Lr77FdaS444Si/0A5TXxjtq05xcl1Xf76Ad
CukgJohQX7p0HM+kLuZXzoHkfRDceFAGtHUH7gDxgMNc7Copi13JGGGng75h4e7Tmla+zPvPEu3T
A1RRUm44TwQNU46DdGWgpVPQ6GN/SZNfRvMVMSgy5bKjNz0fHKXe7bF9XYzFxST1YnPCTsNiX4cE
FoIctaM/BD+dBnDHNDl/6yp/RldMgKoVHzNkSzHyAkWmoLC0m5xmg0HTaC7Vw9qXk2F4rhniAHRo
bw2ecd8s28MUQUesT7HM6l1NMojv2A0w9Mc+jk2SFxg+9dAkV9ZgxZxvRmXylGDkAfloYNtP5I2p
uQXzcrZYWRxc2rVx4h27Rg/YyDa9ae0nc3h3sV2MtdyZwxcCnXuNNnEnHuzoNZw/DDLfcLcM4QYW
+gqosHYi7tTtYtCE7QVNldRf8nI3ZrDdY6tJ/Wm4b4Ugi82bGG05+95qfNWjFJ3j16yfDhzBgk4S
7iXEi9uQggYmPcVpBDq0Uwiizqb8Q64tWv9q9RMdw2rY17hm9joDYL/2kue6spIdRIYnlbqXPpub
rW7X1Z8sRaUltTt7zoPM8Z47/CFUSrzzEGN+rFUoBfQbu/odA2cfltrx0YdBm0tdj8wXaimQQ3qQ
Qu/cuAPW8bHc0y8BsKnrH0XpZTciAb1toxTA9fJqeHFgjQXpodoBzOh28Lydm+G3Kxfzz+z20Z6m
2tZ27jtdffPUMhiilV5va+Vdc/tmSWHl051DRfM8rYEgXtGOW7vQrm26RDjrik8j01KM6AVunil5
iNLIwDiQXUPdvAllC24Q1w5tC3kXGjH2dhAELUIdjF105513SN2vDO2RBWQak7LsMa65yypy28yi
vde77N2IbO7P9KYkOiM0i6PW60HPYGaryoQWfGd8qbH9NTbdSx8uCTTPVGzzTPtiP/lErH02CK0x
YSTUUf0s47WDp5KPsDAK3q/pdw4iv7mV971EX2houzHurwP0aoCV9V05gfiqo2Q3MsrGgy5Lbs+U
53tp9bPo7iJr8YvyYyqGndvEF9x821R7sya57RsiApVcPkPEdqNI9muHyEKRyA3aV35rEFNT3Uae
cVjA5VKgfwxjPn+i+d+ZeI/MFI3TWWcZ1PX+zyy6P/iFaGiZGNTdNYoqnP9MdcNkPb8XK390aYjd
zHDfTAGpKx9hDXjX8oiI0O7Yj7hno7NWpFuHTjaF8xY8brodNYWos6vzrVNZ93VIzhV+RoYKxeuc
j3dYs3bKKp+lwFU2tF90YYLSM1LfiutjHWr5pmaIY7XjsM0gBC3O8Kc35TVZ9BfUY7fkZN+FbnTE
oEkPJB0YFifWph8WvPNjlB6TllnBsva7Js8EHVAwFQJ6R+ge2DgMBAQxDcmzUsUd2PFDnsNVz4zu
myyIp0lvv93SVowL8fGNeHnKoa4CqwiPndhrMIxjPI4NQQaEojBPnWMxwtPAgRovR6cgnwJH5Njf
qKT69sCJ8L+Ty1TbXORc3+YVlgWPQeWm02o0VWPHyLd8iXNU5nYYEA+Ept1Y9aQ8ulcz507Qy4e2
95CM1ubrlLfdq46D889UYdmhU8xY3WsP48pFmksGzfS9vG3NUr+t0+mWReaXEWdXWoba/UDbkFYh
J1kGYLhT6ZojVLFa58pWbm0antWK+SMA5Pd6+XaaPAgtEpT7R1uHSmdFFzK/HiW9QTUYv5JIL9Y+
cH/AyQSz9leChokbMSaAl0wojd4hJruDVTcnUmrt6whe/zC2HxG2h9kBOo9OIUfv0XT2Vowc/dDg
ct0c4rLru9ZWx8bIDuaidlEUooh+Jz31qItox6QRPjzeo+FuyCQnkOI0murqYSkcSLFJuH8z7a1t
CSXF/OUc6cWh+qHW7yK/Eu3JxE3nsdgaGd+fZ1I56L6K/kj9Li4KH43UPvJCTC3RrY4Owa7fHVds
qtqC2a4uvSBrIrJfS69mKaZtSDAPCJgP/CLbicpiY6iBYVl5S3TjjhniwTABa6H49waQpG5EjJZ1
JkEGexS2PyfeddWyiyymAX3+hi742Lcz2YzWTbVin+XwgY/tbIw40vCVwMoBfW3uCuxCeEQvjvOV
lNYdIszNqoKbSndflsZ9xK1iWX/gDLOwqFMF7wag8oDiUC74hVz1kZPnk+iv9Hk3WQsQusuuTc5P
gQRCdlhjZ2CCaY+nlvPzJingIRslZZicmBvGPWEO7RNcl1MqzeM0MBaFU+xFZbnTepw5HGuRN9l+
1iOyiqOlvKG2zLbsMv2Wmfr6pT+xI/kO1QxCOOPsFW64n6r4u8nb+UoSyE6E3m6uW+dkgqbdTZb7
S8TZDSdGKliGEUwMxDGiJTm46TWbox1ikhcb0bCQ0U3YVqyIEpNNW924htjFfEU9rMDNgJX+VgJY
ssnlKZo/jUaxsyVLAOT4nNe3dcv97zKF9nH/PtUGarnR4MSnLa3nDzLnwcD5g9m1RuBsYq8p+OcV
QlbqqQ2C14MR70m+2xeO8QW6PxjM+Di6bpBUIe9UXUWsfcZxGBQ9WzyivbPjrVPr5Daqh3yvN+6O
sFca49ZTOTST3xK6Vs90PsvxRGMiaBtygyzvSGkX2LjMPdEErryJM823qEqyKQp0DTnNONhYHMP3
kLLWKKvHFpGmURAbQA9i39m4q99MiyqJOffka1q/Nbu43aZuhOyeiAEp8I0rO4jth6q/pZrdDk52
Fr29kd3BEMPBclGIz6jmLMKpUwcAZzapYOa8AiDxoDXSz9OXDm+uzTjYWqQZyGz2rUTuYi5IOsvB
N9goD2J8yru3CiWSfi/nl2EODxYWq3qpd6THv2igfToEH1jjCSiBqYsnDEPfHVJsHHz6b2lLBjSY
92CymUa6jwTnofE9mpiqePKlZWFW8o9pVGS81EcjdzQfpALRgkha+Z8xJb2NeE0bhqea9DeHG8Rj
7GkvtN+Q27XJ5Ks03mEEYBGuMXElHZpDPEcbDZ+l0m+M7Cn33pL6SMfglpTAkxQwgZUXeCJAyrth
ErahzqfDBIMdaky1Na0x9suRX9poQUgTDjLKjrGOfaQFWq9f6F54JgMr/oKIc1Ms5yFz/IXA7VOV
ytZvs089d9/bNTcrDfPAHprHgnV/bFaUuembRnTH9KJ4Qi42P0ZluBFrkGF002LKmMxiJ7p5z1Nw
jKr80DrNeBQKk56WqeJ3U9XuQWVlIHQUOHVynDFZczrfpHP40HYv6FDh7liIdxlwG2jNDZtboEue
yLsM9JFvnwYX5mW/ZqfZN/ASLANPOqEE7SX1jM1sdXvy5Wpuf8m22qlnFpb7Wtf3HtTirNfqYLIB
NodmgGePMZ+jtq1RtX6GoY3i2/PQxwEWi+f5SUKJX8blTKTefrBoSvYItbepUtHJWGNykLClVj4h
QnE3TljkOxhRvqUYVYxgQReSfw5d84pYMWgL85QMWTCgK2zRwq7q84bAotgdKSbUA/P98tZR1DUC
sXozsWyZr0uMSMTWbst25hkGRVd0/shMi3YmD5kTOBoKrW5RKDiAU5olNbyTSGC1yRazHrOOs3S4
vnqQLKOfob/ETnNbK6Qi0e+BaHPH/uq1dwypqO4RnDA1Y/7pPHQWyA2v3qCbDSBPPdYx5cPyIJFa
h+lnrT+5qjiEfFsx5+GlRtqM7u2x9IgD6R3Ui7OzI0CTYyUrHJjUoCmno0E7FrHK0v8mdIjlpeyZ
h5jncYaXXWpMUMSQXkMZb505fE9deYQ05OsTBWcMgx6PE5zqKju7E2laZKEUqNIDApfLk4watMR9
izOahXqGfkC68zST1ta3xVakMkFsQXKaHXC8cNVZoHWZcf9M9VcGMIwhf5NvG8Z9cJ+GBMU25Vr+
MoctQ6El4QgZd7/DUTLJYTaLlfeQ1zI7JKHNHRhpeneZp9o9dpj7UjxC6JkPkdH36krqTdXeSw+X
uD9gM9JO1YgujcBDy512Ia7Jvlw5HhW7nHUHQJtDrUToPVNMptov4aoAmgMfG7WwQ4t4MuebxZBA
xLJdxtYdzgeLGwlFDqJ8GBr7POu5naOQg0CSeAMoEolKYTUIWyem3fxzROCv4EWbL0GbwDdrnaFj
2GVvyzLkN40VIgIFeBeNPogpke7EFN11iyira17UaFzROSmkCUixVIBfo2VP98wXGiDDqUia+Ypr
nRVyqsonRPni2MmmvPZRTnOjpPojaXzU/jAi02/6Ai57SHvm95JbBjmq0PgRTLEC6RnxaRvXEg9T
B/fE4RoGQOTW23HgW14EDu6WjWBWnRe0cW5edK38SrVVlle6D6gZo4MY+MBQde3nOZVFMAwRdEai
BUlEF+E2wYJ0WpQ7+YvGCTZGjP1VSlqxMsK9zLm+PLvY5plK5O4HNmbm3FSYI5ARz/2ITWZBhEfw
91bPaZxILDeP6+lqD6jXu+j9yF/1UTtLDMo4CsyJIgLROI43rfUuaa9o+sgSg0mZeIySW4SWR2kx
2U7ZAG8hr8vbDhz0ZUnZHlrpYagJJ3njFetFnuuj2YgnXLrlKap6cWgxrz5LkyNZmnrfaVHwlnia
9YM9JrDVmDZsl2X8RauredBVN+5spa1vvSDUbylkoK8DaVJrs73EBPM4Ljr5Gmm8vqeu6Y5tK/iH
Tc3vo0+ECiwZvG0781tLbwiv46ihMZ4x4hh41zBAULKvL9lWNYixoZU3ESL+nQv/7VDaBB+1Tooc
dsQ78/OaZNkhGFjy/lrmZXuT8u1SHcTRvayL6B5xW3uoO3RJUzYcZeN+62bF7/2ZsyOlvCJhkjej
lTPvV976xwr/TVnxsmDdwmvrebyVbBh3pdCsLYZI0uFi3mjr1tG9Hg4S6836SU0Zn8OmCWlr2NO+
rb3v1okS4mMi611lofmuYkB1MAP4xeu1LYeMC9IgGJE56QglMRlBC7GMgqq6G8fIox3onEYQMXuc
g+EVEqncl6LlIE2Si0WBohnUrMurgwp3X1UaA5KcD2ZxF9UzdjEji7YgLMkMizWGQpbtc1XbjVzd
SB4PhCIUcF+aEgiSwj/VcbZ8Twr94edm+nkDSJ4+YVF+lElMj7CZsgdFPuheedrLuCpdft4cQSMy
SPOWj7BeIBvaw94mC4SDm464MGdxcB1O5DQPU2ZQgY2f5ZqFIj50mNU3gPDY2i1BMehO3oX4Rgxa
Hpchg+O24/sQFRe71MlcaYk92f/YowjI+bBCxNY/b5Mu+bc9IPmcsBqWAzinVKKVaJPRu4yVev15
c8jmSJSEpfTAI8c5yOb9tzr6aXtGbJEOvIibyRPrb7FTpWX5alyvTMcRa71+o7RP0qruirqgfg6/
CZOYUHZxXUbQDRtSJieEKavYw+LNpLwRNfMKZa29NEb0SxNQSYA1sCaC/gqa9eaXNd1yhKPr/aR9
W1740ro8R67ekDZdcCl//Ge2qb2UxtqjlbyYXth3si++Q6mQmlID+gzxskPT1ugi1pe3Y+eE0LYK
fj6lahBc2EMRHpCRfNodv1RjhLoG3PCIT0NJ0PAA6nUEurwFjcFbsTPUDnj9Aqn46BbUTLApyyk1
1w/48+tYctC48bmm3rv0RXarRXO9L2qEKz8XpGwr/dBm6/e4fsISSPJVTvx1dNHG2Ig0HsbYtPyi
m1AR2aO8gQ4p9xpC0RNwcNaLeozuf+7OsV6mLybmzVtpIDkCuYlTcOD1R4ayNwrm/19fNQ4sb1P1
ICULfZ41LE48kT9PlGpYcf4aUeRogNqojVeEIXex12uPHJnoRCTIbTeNV8uV3sIIOSYy+OerGOtm
1RthYPBxejRvmaa59338IRqTbrpThGuENTpSTzmHMFXVU6eTpOvFhnFKPKIeEy2tiMns9TfPTlja
+sPaZu9qClHV4AdAWZvs2YLEPfwdbUuq9FWaDx7yK4xqu7ZWD2SucKoHFRP2E+cAKr8d4bG0qSLn
T1IX28Wq3OO8WL9Fbp0rd3oYuxbHszICTZaBbGGrGpHl7PoKvFA19Mdw4Ydn/aaxx+bAg3Du+kp7
iRZsRNM0nzqMzwdhsKPVLnjcMsvu+r6rrhV/8JrxtyeH976Iij1a/8/S1i54brcJJyG7rz5Er+6I
NmQmnqecob+z8N6j0ZaM2o4x8mtv2b+ZMDAlbT9Zwe7AU4v3zHF+FUZyTpV2LCxCh83xuiK0ZDcV
R86cFt6iofdLJKIQM+nT1g4WvqyGXeJRKhb3pHffw3T95RKxEmiVjlqo6Jo1gvhI9MzWnR16s8br
1JePjV0sAYeXxdN3zJrvCwncdbSeIyGOTi9fbVFeGtvy7qeBTpXCIzxstYn+kgpJzOSw9l2P1SGV
LjxkNiy6NpWNLmF+aaKEp1F5+8apGy6v+dJ4LvMs0CgLj13uBUnUmi9eYf0mT/AweuFpaM2HeMQj
YmUBKiEMh2LjNtNtpqMeTk3II8Ko6l1RJwBEkvp5hi3FAeU2igghh3q9xvlmjX2kOCPCSA8iRgfQ
oOW5dIwHB/KL7xXGFCTwqUlxnrdNH71geXubVGn7M5waal0K5Cat/Zi+2EawWMVOjAaAcYaeSgf7
HN/ImFUc1IsukHFt+H2d6gddgM0bovKlaau3sY7FikFOgkrzsp2LPY3DnWNvelYp3xslR+QyoV1B
JGRFH3vbDZaCvDHNj23/YYTSdyo+jRnG0JQxk/uTJrOTl03pkYRe44AYwFjtpNNzRsH9MeDHOWoL
Nm3H4e01WUIAY4azCMiTSWFJhGg2yAHVF9aqEBxGACjJ2OcLJ4dpXtK9R04mi6h23+B6mzBQYgtG
fsBIkkAfrbafyDP7ZuKTnYwQdo+IOqKfWCl2MBzjswl/fkOR174ORt37dPGbu9IJG39INHt9AfT7
ok3/pCNp4hGMBs5RjZbvcTSmt641pG9xF7unhDESGrvI2wnB8a6tElQcmL9POPbxag+DwMDqGNHO
1V3rRUnR+mND3RqPMuH0MfXRttd7HFCiAG3oYM8g9yizTm2hpTs15nwZjjI+JjsuqdRSBAhNVtf+
BOz3F8tqs5WDnh2zFj4B93Cif5ROTRCQqHJ1dlTF7Cvq4nynGsEiGvIFYSRH5wwaq7rp+pjx4Ty7
L4mnhXCSgQBl1mD5BiFs1UZWPLtZDZ0KfPlqJjVmRkWKAg6hQ+TCxDc+ROS5WHYGOnTL1NAwCctr
6/QWXN3FQ03t6Vuvgy+F1UldJnKOqeSr/JPI+9TgXEIOr47khmO5+YbgZvo2Gcgfq5JkJYlwXW7W
oTUknAn5/ti73JCg3SxfL6hEISTM+O9xMD5GNongpmUNR1EW0RjYYlV8liU1WswOfAmVF74RHZh8
pgaFHmpiHGZpZnoXGzDOYYQjc4NgKQPWXXmPdEWRqZSLV31LYyz2+Gmt95+SF1sVxXBReVCyPKci
K7UTFLhlghjUcbG+bIZ5Aof1V9lqmPFZwnu+tdN2DQ9IY9DRnaBXihJkCdavAB02WyaNbcY9DEC7
HZEo4Q3sAs/ZTEk/fSvDZG1OW/M2VXzR5O26BHPbzmhBt0KFvpVx17yN01qSyowi7a9Cm+irQ+p2
Tkeibk+yrSqo8QmOyx6aOla35H7ln9mCgUEOhfiwkGNfZ1PrnlEeJZe4DsObWWTOg55H+QGVk/Dx
4zDfIbxzOXiNHjFbNBMDXfiwdqtxyEKqG8n7jqxin6bsnRAvN0s+uM+tFlc3vVOGd82CzihaaIqr
KlbXuUcfHFbcd3oump0OkZr0W/fBhLZ7g44X7J1VdJ4PUB1C9zLnHk2v2NkzuDZzHGGy9Yj1wPLr
KKf/Y1oDKPDGSA7gMcbzRG3NmTsH9+BA8rQn+lWLSop9XorwbsHeedOArbpYcYQ4xu1ih/ae0Rrf
tLCti50b2R0D4JaevulxvCDk1ydUi0cMD412i3beuoJ1l/quZND3QNBJ9jqPpGNtpnomogyp93uc
GfnvlQO1d0SJfJ7P1b2kvT2yGpNmR1y8Ex5C4aT72FicV8fRmNhWSJK/MzJacZdBabkSxrIEhRLp
bw6w3XcrSvM4TjlcB0/v2w+IQrAseM3mVjaxee7HKiUOujHiY+g5fbwrMgcoqTEyPGpsLtCg6EBO
YaYukSolPEwiKYutXXn9xXEHN2QvhNHUpDwVkEIc963SEkBxgMWHwIvt5Ks1Q7oI85DU+7kc3Fuc
leanV3iCfGczTu/cKDLxcSgM4Kq21o6u3iD+/slfH7uRe1fX1tt+re4roadno5YUQ33TaQlkBJuH
RWL02iojzcg2KMQNymx4+3pZ4v0mjnlGad5Y8rYPe/cu1apqh88pfGZUR2eeMh9rOPZLVZF0sKUX
9AJ6wFRfHidtTlJdb5iXcj2qbCP2VXkrcZxkPoplbWHHBEh9sAGkwEe0ICsRYuhq52yKsVKXlL9a
YNQz7msHVgVMMy1tTl45Gu+uEdF3roYG2qYmsJifab/1iL6mrvUXI0nzS+3F0Xc8eeMnIjnopL2R
rEk1riKvshnRcsNq6Lm72ExgWZGq+4xzAjuVp4ecuHp4erRwJ3XSQIBVW9opTM1lZDoXEiTlrZGP
y11ar3F9WQ+KBTHOIk7s1bSUh9BpXiHrMOhMdJcPnhqZ+tY6w30HHwO73oybAMAUM6qKQOeCo1Kb
HaEYFkeW2qeone7nqsQM0pZ2hfkeq/s8nqjuHu0wLO/Tn167rQ7DjCeqlTEJhVDulkOszeKBSEE4
b8U4f9l1fwfaUb9kSqNb6PJvw0Wui7pIBUeYIQ24QW0/tgZ1T1KUc2pKc9jrMMqCoZPOhYOPuBdp
tOzneEJk1Ef1fZNF9hk4n/hwhdI29boY1d5aWMqiOSPjt76mGHvvRH1xyrnQxIgWIfGgw+h8xpMz
nPORoGh0A3DNw7krHhtpYi3qoGOWBxHn0wRcgtQHf8Fnhkw7SrxpP1bEYlRUAaEvkfG/Vn0/dAFO
t+nMmqn2kYWeh3a7kKPvDKXOxyOnx8XlRle/RF17rW3bKoM6xkKxZWpUPhqNdH85cBGvpM8aH4PR
D4e5VgqDqGFQ34au+WI5Bfb/GcKI5buT6X1VJUI/x2Ri0tjpc9jG7QdGTZQr81fvuPKBRW7gqSzc
7jAP3vzLQdcFMAL5KadFjmsc+Qtgy/TSBdokevbcwgn5By6OLdJ31NMSY4HZV5NXXyvuXfrX4JPD
akYbSa6De/0xNsO0hN9TQk8CfsNaT+URWadsFvTvBw+KY2YMrDNqVJ9a3Eb7aawYGeA4uNiFfbOq
Ifws0/imc3YMpAMckxx3dQo1Bh0sGpl+GCP4zBcj/2BZ7O+UNdSACsTw1qbmd8oyth2JrN0o8IIA
TPlylQH+FL7kZvbafNdPDskloo6ezCURH8LpTnFJ8bcJjel/kXdmu3EjWRp+FaPuKZARXAeoBlq5
ad9tWb4h0pLMfd/5No2+rrt5A7/YfMyUXJJc9rRLBqoGozs7JSaXYMSJ//xLtKdISU1jRMFZT4r2
LeThlmK7klCOSgODBiwpRxVLx8iuT+GKppfIVVikU2MlibXYLQv/WNMa1lmNbh+Og6XnXRZme117
p0IfW+AyZR+iU0L3kXbjeaum7UmVdskFEKi9Z5nlcKDGTXbCBCoXbhAN8zIL4iXzj9wnbCD61I09
Oh6yK49Jna8PY1EosAIK78yFroqPclFdJApeA60ZzUrQwPO0C9jNOG6yZxVFzP1u3BMBF410+aQ1
cDEo4iOMYrxj+BVQb4kv8BWRLAsPZQKgPDQYLYMYEqckdPZqNG9SW17VHZSbXOB53TjjjRWZ5qzj
Eb8nP0dfFbZxSNjpWWQDzDm5TBArIvsE8FUgrFXD3HN98G7COfY0V5jzcYipbqL6k59EzPe5t4Y0
GUxKfN4P1cixq3QwslG0m0JTLmSh5ed13kYXnvDcJVEr7KgxyibKgokrV+p3uYZhFIZ7JeC3a5zE
dWzdGPiVnfZCtz55oxxO/DgKEZj7pKp1mQ3eFjsrarcTqrXwXFh9g4FS5JwBrNVrg3SaVazW1drA
hvTAHVIaxFDBVl7jFaDRunZsiwwe85i79DQwpSq9dgAf19sVACz2ZGjR9skiIUCqzEfjSLGibq/A
lDznuXjeKiFfaS5HlffCzFTtWCmVYFYmWXIY2uTMs3+Cj5d39gIzwblGlDzuRlehHq28yEYR2Qk9
OMnpQB3ElSzPUIfKWeI71RVubcMB9ZbJ7h5saYvwjBtjpYQ1V7U1RFbIj4F8Cem4KEnDoV3oTapf
lCg6tIQF0iqWd5Yi/bRE27MAqyyWdUzUao1ubI5XMcmbYz0ZHxrGqQl/8EhQoR7ktfRP6aRHizrz
h2Nfiat9GmHjnm5lWI9L30NJqmtvzVBLD8fY9fbrHgoWcApdby+rgxNsZet9kaQ9yxKdDKTU0DpK
JT4Ny9RYkuXpnJSJ6Ry2kRMcFXgBHPnIuvcb5LxLM5ryhdxh8PZ9N+ePO7HXYIx9XECgXkkFwBFx
eoET6BGGyKo+0zWcVy/pqZC9N0gbD+ygDao5Pjk0JGVZFyzFxthd5XXWHAW2GTKCTDnPDNhIGI7I
A49NL1xPWqhYxOJjG6s+QmBPEdpRBxJATgvVSRxjnue5bR4fYMIKvlyPzpFlJDifu0LPul0vYLFL
mibf900svdD49wsFs8x9Erbdj7YVOCdj0ofrskS11EodtLhoiBwKKNNg7WGvDwTpq/GF5Tfenc62
82DwtfogGvq8PQL8c08lCNohFlKg+UOqXTd2LWmNgw+k+N3AGwC6q0LQwLIAArXd7GyDK4YlmG2a
gPvCzKQlISPkb5JN33UlM3uFJXf5fqOL0xE4z2gsOUcAe8HhpuGRFiU4HxTFfQt3hmXG3gZELmDf
hZEAe5GS7Oo75kZEe3qm4pGlEDED/FzFFyqM0iVaLDYviKSo9xoaICBSVDsbUFdO8L4QDiCvWaq3
CHZnsYlIMquHteqM3TnuyN4ijrGLKs2Y7ndHvWwPUw+ti6q5UunKVcU2cel05TvVugwqWHVkF51V
Tj818/K5m+JClDqFhSy7yM5Iok1x+ujOo7Avl6XjBkuTimoXSLJAdSatU89X7bnWUMpoUF8HFmh4
lpVlr0bFOhgMZKwwRSFV5gkVjZvNR0KZKnTtNRNyFalirmIgu1Zru1pGqT2eKGqPDLtxisMe3yFK
WK4xg7LNSjVg39dZxpl0DgjphVeUJ/7lYNj9refwWBs8cfo28TH0BiiWDhU2ymKWpoiJe03QcH8V
JSMWbQCERzTn4gtdZYO8IQqnBTdWrVu0apGg0LZDUVxWRKEetf2AHFKxGS2qCdYOBBsc6nbHPjho
YFjht1YSwtP7urtVJf2QgO3/hcgAc1GSMb5tLnoWrJvPvz1TGGz/5FFhoO5IS4ULTntH1zERRaj2
oDDQzR1V4ObpaKSSqJpmIT54MBdVBOIDXVqo2CxQlU3CbEUp4v/6i6KpOxxMNRzGp8MnPyYwMPVJ
2PUk80/HpNRCEGdplrQ07HMn/cET69wqLxWYlxAsPNyXtX18e+yTsUr8bJ4LnA49gvvYmPSG/jZx
Any5XT0fCmShFhWvMrjm21rq2NGEvmKFMwj0SrxUogZDSdJMiWFUOu8ONQDSUQIbUw3KpuHqS/oi
4l5J2f/tBehtwKbQxCizQRrVOcZfkyMd7t3EpJFyr62C0VV56ctw/JQCmd5DLRyvJgg4gBSUEJrV
2IZ/kQsVVwoM+musThGRZ3sWMgl1V4R2Xew1vIz0oYUdnaeDpULTDcn9UPJMP8EISMPCCjuqaNdS
DaXazYZQv2U/59wRtpo3M3LBUjkbK8W5ytOqHq/wfS3hlcSesPcaXLegStDGeY/9P1kG9LLxMfJb
S+BSTffRWCSabg6HQsQ0yz1EqTej6hO0VeMmV8xrwzfvFXxUP7SmXbuLXrNzmtYNFSYq4SQgJj4Y
y+sB5bi7kMQxkjvbJrk+87PaeCsxVDqTQ9bEe52B6xIs2Zz3v8In4aKuu1Kb48U65XFg1kJqSTpG
92Etw0ujQ/wys7EKpNpWFYvC34toF2eQbq5LUvjoj9ohsfMu1jzhPGWcxuADMV2dvG+NU3ApNBrk
bNV3cRLCe0F+EGEoBQJ85Qe6qswazcMI0SDvXYMTqwAYJkSDnIYmSOksyHHKmAkzosQv+8K7yyJY
YRh3EP4yD9IWbUkuxvJ9JYs2PzIDWL17IFXwSHVFZ9KLVQUmdYxg5sK0BySBEp/FZmZATDwpAUQ9
nHGysFrZLk48xLFa3h4kIPtc6Hl8i+uOvIPNjvVYr/nuB6cFDJ8radCsQ8WGC1xWWYxPj+YGlwZw
yMCcC8bDlF2Icy2rwHHsEjshmD/p0gbJgNnmFfDwTTOnYaPJ87wdo9MC3wH6CaP/FsTXQrIuRHQ7
9im675y2EIBA9b7vQlhslBmWtkwiob0dhqJxl24UdPhLabDWsQaKj1BZUlRkETznqjOa6qIiU1Ps
MQ7gu9rd5MSIeghtjC94RLtN4LDnTtSBZoeaoLBe+Intg1AOIqtXCYpbqPF4Nibs/2uKQ0zgm+M0
MQYB+lP5ANeD6DI86uAQsq1p+702GFLr2GbRwWA7OqgbU5syXhAmwuX3q1mQTQEyeNBXaxPr2NNJ
69As2IYk55k20Rw8W5Wnul733Z4X1Oz2o0B00V4rGahzknkm+mSMo86uii6djZ1dZN0yTlwYsUWa
dnMP5ke1inAL4h2XPWx/vbZvOqrjeVx13Q1QVjkeu7hwtxiFldF5j8iDBFheFOaHxMhpZCmEJdVh
WNJqSXT1XWpU2OCbSda2h6VXtuj/M12uTUXTYYrYzhTAaIIeB1Umr+yO4m6WUe6cDVOOxNxqYh6J
CgUXD2Xs2mx2/oE8MgTGA7T4YLrvmoVTXAtFg7bEJNqEyxSFgobI0mD7QXZnKVEWdcUneDLISPLC
I/DIxy9fXxhW5V4btk9NCw2MeS5MVNhHTWlVzYIGHBYnfUHM1Hlkd2a0n4NyZns6HYpjcKRiBE8d
+PXMtJt3JM0oBOXVkXdMDqNp4DGSJsd6EMfhIk1HopHzYKwY8pHar0xKXCBgAyHj0FrpWzweW7GQ
Ih7fh3ErP8RlnEy7fje+9SOofAsCEhDblrk/HPloOOVSrwrtJkNqjJKKEPZ3OmZnvLot7qYzHwf3
HBPhXtzg6oLLD7vDKzhK4WUYBwG6yk4wqsCjm2qWKph21E7iY7ioAujtGqnVk1ujkPDUhEpzLFs7
z98HCo6EmY2vx26o0sRbEfWITVELkeKDGbIgLEanpH4nlLUZ4PfKaq+Gjm6hqOn6S6PlpSGhRMfx
1IfZhz0KPdsLG6FyRIwnqM9l06n6yhA8ZrjhJq8G+3vky3XnFneZRQFnUHAhjcv87MyzodkuAkmc
41wYBGjNq0HieQllJjhmk+g2+6IZtRLINa/f1/hC4+lAl/PDAAJMXlYIG5uk1/jMMkHs5nBePHjj
Y2mdqlp/gO8LPZ54hPG1O3QJYjOjxc5uF4JuhcW9VLX3jZnY152WEHyBHT6mMsAzsLc7LGnPPDD9
cqFrZXPQkqaIRa0/Tdu6B2sZCtsAVZsuXG8vDEn2EtOOi4CgNZg+0H9kxg3j34kPQvyizpvQIza1
1qB8zdvAHZik+gFMP6SXPDMKkZYrrSCLd9bqFVrasbJKLB99DLxXTou1sAkLqFz0fc8LBCJl3Dux
UYlFbvZ4viIhhkIM4RlKDOjdTQTkE8GQU7hZWUGjHP/MOGPP5HfQV5FONbuFbunXko4SDG7Maqas
G39i1dpuQaMTAzODF1fpbmEOqebM8gy0C3nTYb2TM95x/ik7TQMJSehjlpoiaygjLX2/2KHOyLqB
hdMxawWrEDiN73iMJq7YUFevQ6WsbUjhEYwR7BfNewzXdomN92FchtkHpv6CpUEPmtvSwemYSSWu
rugGEJpWCJkXWN86nUrvHBxkHjWiOARLCwG4WkP38AiHITELHNe50thb9EgIjBSKtW5hhog5y3iC
o1hW71ZQZD+whnsVgirNPg8ghhf4KE2FUONhyD4HFg9Yw9lIX4+dzlwz5ClWeFbaGjUts5K1bfB7
+BxZrUF4YzJHfiH7WLkhY5pYqKwj9Bi6OxIAaMoeQTIOPlrD3IndDAa8kSAtxfwORoJRIWFEkO6T
LNSZ3MtZpBrhmep45dIzmeHnLfqhfsn7UnULzjwkE8HAMnrR5uiJ5rrvareVKyYMnduKF3KD/+2u
tOr62veV6n3rsxGOU7OmV2I06lUFwITNUUAXf0ISm5NexEPK5USGw7pa14fYdDUpfUpP3Vfspj5P
NBoB8z6s1AvP7yb3TMXLCGTWCpwxe71iihQYB55jLCTVXZIFS/vQLHOnnlX4n+ZLyjPqKVtE2Udj
pHOM5VOMDpJzyjFYxKsJL5xQa8+BSTplllPXerheAvrjgpPH86FQIDnEKtgfYbG1hsl9j9e7Jjqf
PqM5ClijmQaWEbS5MRu9ADKyaqbmSdcQ1EamUkcnq8/DA3waJvWkA/aISb8WfxgVJlsqq6E4UFpF
g5HcxbSGcxyMHHJuPfXjoFganN+h9C5pN2F1UMBguqgGWgGLSNFjHWM6LTJmUo/HFQyfUFv6pN8U
iFRszzq08To9UmMScmdVkYkVvXEJexcqJM10YQwktmX2SHNRTsMlMMfoVjKlrJO2bfWV1NRGmZF9
DXqmWDqRSiTfRHdpEgIr8sKaSHmrpjiGhJ9YGP6g+98tW/g3rkslCssgza2FsEzmcX+EOTKjD66v
+ibADcM3DAsCLUFAqDIaleI49I1iP/KKsKDv4zj72FB25WJUMYRiHSrs+zaoG3UJcm8k+A8J9Ua1
iDsjWsyzCaO2a/+Db9ce/qOUu/FSw1ymRh5W52IFhxRSGA5FQ80ZjzqENgQqH33ihT5VpqDGN6Ev
l+wlVM9dODlKDpxFXYgktpvWLHNWS0pV1zn5vUrTr0NAZua8/22BlZ1jN5h9yDxtPlqRzUaoUdSo
QvytJR+NUk6sCj0Ub3HBxhyntzpLx3GiZPz5eiI5k0b3igONoVciQ4G/jzXc5J9LzQc5Joa4asYg
hdMk0jMS6ITwcil+yWGZcsqV8GpETRlR1LCqJHXhDFkNuUuNmQ08zLZWlobbpCsde0kYIYQobFNj
/s8iCw8nPrkLLHATqIfz5r4cLu4rUpGrx1SP6dMz7JTqKww1/swvff9AD646V0N+/+sva7w80zna
/jK4rZ8CDzi4SGG9RCs2p7U55+8dJV5z1s0dh1fkDmEjkuQeQ93+4DgTZylF+cPn9o5B8atqk0UM
wMiTG/StW/D9q9vey+//zvfO/X5zx/fvfv2FoCH7pSXED1+/ZuIJoQLaGOb2+rnMp9evOzvCgH1M
oCzwDD9kDf0lt+E2ayDYMRS9IEufDgS5fTC3/X+hqv8yNL8eAy8O8GQMgDHJzY/64uLJ9BWbu2L9
fnP+kov/zlugq4aFE9MzzO6HR4EwdnTJHtpRJyup6efrUWBTTWGktP2Yz/9eN0KQQotnyetug7Ez
IY3YZTEfbH5AB5++DJIYJI2VQbVYzKafrePX32hOEI4tXtqQ/fhokDuGBBuFSfjlMp/eBqBcU9i2
Cf6x/fmr5oRvvhaCx8ize91oEOoOQ17nndjehelpP70Nhr6DhRhjhdlx8/O3Gw0Y8QrHevUaYe9Y
Jsj7N9dIU+44Kr+BA93f9EZMs8Orb4NUd1TYjrxiL8aBxqxA44QPt5f/96sUdG07Yf+vi+SLN+rJ
Iil3qDcEg0DbXuTLtdLk7oDrCxorP3wX/oMJ9EvxOQOFvduUncE92MvX1em3fuGx5Pr684dya6qp
KCae/d5UhG6/elt3Tf/+x7ObtKkIn3z4WCFuvubhzx+u7+tvfvZdjxf1+J97wX25Lm/9YfPB8HCW
J+uEuvWft+X90yII28jHf/5h3fxlJvzuQeO1l62fGYjxsBntv1/eVwX5f3bgZD1m6Ysjb8bka4+8
u/aD9eMJTg9QkEX4+O8/fyeW93fc+/jNH248tKnifO2JL6r8828YdmVvLrFtyx4PuKnrUfL9hG9Y
ZcHnfz1/mNsNw2tP/XhdrlP/87+fnbRQxc846eM1d2RVZgQjvrnj3jTx0zvzsKy//gK+fMnzo7N8
Pf7Hnx87Z+vy878eD7Mdkprzc467/vzbxxejXfyM9/PsvkzXycfm9vkjxTuWIuq1d/si4FHevzlY
Y79cPv8CeOM/YXaZvmDFkORLGDInWVk/mxofdgY/4zJ+/5aXA3NbX7z2O6apYP1mBrxSBunzB03Q
70+YEy55a9+crekYPD7XzQDdbhpeffb333Q43mAWf/6V+q635SuP/U8kPs/fVwml5Se8r8c8wurN
inUkeDYLT4f/CY/y21ScV96Qi28HCL/6yOnd5/9Ony/YX/Yorx1+zLvr9PmTdOQDOvLaY8/uX07q
X+DH7x/6jyq/LyDi1/XgIzj4R3/2vNadfuM25rT+8T8AAAD//w==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svg"/><Relationship Id="rId5" Type="http://schemas.openxmlformats.org/officeDocument/2006/relationships/image" Target="../media/image24.svg"/><Relationship Id="rId10" Type="http://schemas.openxmlformats.org/officeDocument/2006/relationships/image" Target="../media/image29.emf"/><Relationship Id="rId4" Type="http://schemas.openxmlformats.org/officeDocument/2006/relationships/image" Target="../media/image23.png"/><Relationship Id="rId9" Type="http://schemas.openxmlformats.org/officeDocument/2006/relationships/image" Target="../media/image2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6.svg"/><Relationship Id="rId1" Type="http://schemas.openxmlformats.org/officeDocument/2006/relationships/image" Target="../media/image3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png"/><Relationship Id="rId1" Type="http://schemas.openxmlformats.org/officeDocument/2006/relationships/image" Target="../media/image3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svg"/><Relationship Id="rId2" Type="http://schemas.openxmlformats.org/officeDocument/2006/relationships/image" Target="../media/image39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8.emf"/><Relationship Id="rId16" Type="http://schemas.openxmlformats.org/officeDocument/2006/relationships/image" Target="../media/image4.emf"/><Relationship Id="rId20" Type="http://schemas.openxmlformats.org/officeDocument/2006/relationships/image" Target="../media/image31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30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143169</xdr:colOff>
      <xdr:row>0</xdr:row>
      <xdr:rowOff>13607</xdr:rowOff>
    </xdr:from>
    <xdr:to>
      <xdr:col>17</xdr:col>
      <xdr:colOff>13607</xdr:colOff>
      <xdr:row>39</xdr:row>
      <xdr:rowOff>258535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58585DC1-81C3-FEFB-6E9A-C952380D1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2455" y="13607"/>
          <a:ext cx="7490438" cy="7837714"/>
        </a:xfrm>
        <a:prstGeom prst="rect">
          <a:avLst/>
        </a:prstGeom>
      </xdr:spPr>
    </xdr:pic>
    <xdr:clientData/>
  </xdr:twoCellAnchor>
  <xdr:twoCellAnchor>
    <xdr:from>
      <xdr:col>0</xdr:col>
      <xdr:colOff>366384</xdr:colOff>
      <xdr:row>2</xdr:row>
      <xdr:rowOff>66262</xdr:rowOff>
    </xdr:from>
    <xdr:to>
      <xdr:col>1</xdr:col>
      <xdr:colOff>265044</xdr:colOff>
      <xdr:row>4</xdr:row>
      <xdr:rowOff>182218</xdr:rowOff>
    </xdr:to>
    <xdr:sp macro="" textlink="">
      <xdr:nvSpPr>
        <xdr:cNvPr id="11" name="Pentágono 10">
          <a:extLst>
            <a:ext uri="{FF2B5EF4-FFF2-40B4-BE49-F238E27FC236}">
              <a16:creationId xmlns:a16="http://schemas.microsoft.com/office/drawing/2014/main" id="{934F4253-354F-E0F2-7601-A129DCF97CC6}"/>
            </a:ext>
          </a:extLst>
        </xdr:cNvPr>
        <xdr:cNvSpPr>
          <a:spLocks noChangeAspect="1"/>
        </xdr:cNvSpPr>
      </xdr:nvSpPr>
      <xdr:spPr>
        <a:xfrm>
          <a:off x="366384" y="455545"/>
          <a:ext cx="511573" cy="496956"/>
        </a:xfrm>
        <a:prstGeom prst="pentagon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389282</xdr:colOff>
      <xdr:row>2</xdr:row>
      <xdr:rowOff>140804</xdr:rowOff>
    </xdr:from>
    <xdr:to>
      <xdr:col>1</xdr:col>
      <xdr:colOff>198782</xdr:colOff>
      <xdr:row>4</xdr:row>
      <xdr:rowOff>149087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BE4C810-635F-7D59-D65D-6685740C15E1}"/>
            </a:ext>
          </a:extLst>
        </xdr:cNvPr>
        <xdr:cNvSpPr txBox="1"/>
      </xdr:nvSpPr>
      <xdr:spPr>
        <a:xfrm>
          <a:off x="389282" y="530087"/>
          <a:ext cx="422413" cy="389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W</a:t>
          </a:r>
          <a:endParaRPr lang="pt-BR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134702</xdr:colOff>
      <xdr:row>7</xdr:row>
      <xdr:rowOff>97748</xdr:rowOff>
    </xdr:from>
    <xdr:to>
      <xdr:col>7</xdr:col>
      <xdr:colOff>322677</xdr:colOff>
      <xdr:row>30</xdr:row>
      <xdr:rowOff>63013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6AC7782-BC66-4416-9CAD-270BCC07E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4702" y="1464378"/>
          <a:ext cx="4478366" cy="4413026"/>
        </a:xfrm>
        <a:prstGeom prst="rect">
          <a:avLst/>
        </a:prstGeom>
      </xdr:spPr>
    </xdr:pic>
    <xdr:clientData/>
  </xdr:twoCellAnchor>
  <xdr:twoCellAnchor>
    <xdr:from>
      <xdr:col>1</xdr:col>
      <xdr:colOff>471280</xdr:colOff>
      <xdr:row>7</xdr:row>
      <xdr:rowOff>6061</xdr:rowOff>
    </xdr:from>
    <xdr:to>
      <xdr:col>1</xdr:col>
      <xdr:colOff>578653</xdr:colOff>
      <xdr:row>12</xdr:row>
      <xdr:rowOff>16076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1D2ED6F-6A9B-4AEA-86DF-53BD7A988296}"/>
            </a:ext>
          </a:extLst>
        </xdr:cNvPr>
        <xdr:cNvCxnSpPr>
          <a:endCxn id="6" idx="2"/>
        </xdr:cNvCxnSpPr>
      </xdr:nvCxnSpPr>
      <xdr:spPr>
        <a:xfrm flipH="1" flipV="1">
          <a:off x="1084193" y="1372691"/>
          <a:ext cx="107373" cy="100392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256761</xdr:colOff>
      <xdr:row>13</xdr:row>
      <xdr:rowOff>108927</xdr:rowOff>
    </xdr:from>
    <xdr:to>
      <xdr:col>8</xdr:col>
      <xdr:colOff>69180</xdr:colOff>
      <xdr:row>14</xdr:row>
      <xdr:rowOff>0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6D12E348-BEE1-45F9-8253-F1457A795D0B}"/>
            </a:ext>
          </a:extLst>
        </xdr:cNvPr>
        <xdr:cNvCxnSpPr>
          <a:endCxn id="12" idx="1"/>
        </xdr:cNvCxnSpPr>
      </xdr:nvCxnSpPr>
      <xdr:spPr>
        <a:xfrm flipV="1">
          <a:off x="4547152" y="2668253"/>
          <a:ext cx="425332" cy="898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74050</xdr:colOff>
      <xdr:row>23</xdr:row>
      <xdr:rowOff>140336</xdr:rowOff>
    </xdr:from>
    <xdr:to>
      <xdr:col>7</xdr:col>
      <xdr:colOff>99392</xdr:colOff>
      <xdr:row>26</xdr:row>
      <xdr:rowOff>33131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633AFFF0-C8D3-4ED0-997A-D3A593882C08}"/>
            </a:ext>
          </a:extLst>
        </xdr:cNvPr>
        <xdr:cNvCxnSpPr/>
      </xdr:nvCxnSpPr>
      <xdr:spPr>
        <a:xfrm>
          <a:off x="3138615" y="4621227"/>
          <a:ext cx="1251168" cy="46429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535669</xdr:colOff>
      <xdr:row>19</xdr:row>
      <xdr:rowOff>2388</xdr:rowOff>
    </xdr:from>
    <xdr:to>
      <xdr:col>7</xdr:col>
      <xdr:colOff>415075</xdr:colOff>
      <xdr:row>19</xdr:row>
      <xdr:rowOff>38795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D5922DAE-0A2E-405F-8A71-6EBC196C0846}"/>
            </a:ext>
          </a:extLst>
        </xdr:cNvPr>
        <xdr:cNvCxnSpPr>
          <a:endCxn id="32" idx="1"/>
        </xdr:cNvCxnSpPr>
      </xdr:nvCxnSpPr>
      <xdr:spPr>
        <a:xfrm>
          <a:off x="2960214" y="3829706"/>
          <a:ext cx="1697816" cy="364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459382</xdr:colOff>
      <xdr:row>11</xdr:row>
      <xdr:rowOff>16275</xdr:rowOff>
    </xdr:from>
    <xdr:to>
      <xdr:col>10</xdr:col>
      <xdr:colOff>245999</xdr:colOff>
      <xdr:row>16</xdr:row>
      <xdr:rowOff>11079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3316317A-2EA6-6570-7497-F89AA0F3B209}"/>
            </a:ext>
          </a:extLst>
        </xdr:cNvPr>
        <xdr:cNvGrpSpPr/>
      </xdr:nvGrpSpPr>
      <xdr:grpSpPr>
        <a:xfrm>
          <a:off x="4749773" y="2178036"/>
          <a:ext cx="1625356" cy="980434"/>
          <a:chOff x="4782904" y="2045514"/>
          <a:chExt cx="1625356" cy="980434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6A99CF54-9B37-ADD3-36AB-298AC11B2F3A}"/>
              </a:ext>
            </a:extLst>
          </xdr:cNvPr>
          <xdr:cNvGrpSpPr/>
        </xdr:nvGrpSpPr>
        <xdr:grpSpPr>
          <a:xfrm>
            <a:off x="5005615" y="2045514"/>
            <a:ext cx="1402645" cy="980434"/>
            <a:chOff x="3178809" y="1532281"/>
            <a:chExt cx="1636674" cy="1126434"/>
          </a:xfrm>
        </xdr:grpSpPr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0E78092E-0F2B-95D9-74C2-AB511C332A52}"/>
                </a:ext>
              </a:extLst>
            </xdr:cNvPr>
            <xdr:cNvSpPr/>
          </xdr:nvSpPr>
          <xdr:spPr>
            <a:xfrm>
              <a:off x="3178809" y="1532281"/>
              <a:ext cx="1636674" cy="1126434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3" name="Gráfico 12" descr="Homem com preenchimento sólido">
              <a:extLst>
                <a:ext uri="{FF2B5EF4-FFF2-40B4-BE49-F238E27FC236}">
                  <a16:creationId xmlns:a16="http://schemas.microsoft.com/office/drawing/2014/main" id="{D00AE8C0-A028-85F5-720A-2B85DAC98AF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3196978" y="1666891"/>
              <a:ext cx="333804" cy="277728"/>
            </a:xfrm>
            <a:prstGeom prst="rect">
              <a:avLst/>
            </a:prstGeom>
          </xdr:spPr>
        </xdr:pic>
        <xdr:pic>
          <xdr:nvPicPr>
            <xdr:cNvPr id="14" name="Gráfico 13" descr="Carro com preenchimento sólido">
              <a:extLst>
                <a:ext uri="{FF2B5EF4-FFF2-40B4-BE49-F238E27FC236}">
                  <a16:creationId xmlns:a16="http://schemas.microsoft.com/office/drawing/2014/main" id="{A8251FE3-D38C-4FA9-F6BF-75DDFF65D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3253845" y="2154621"/>
              <a:ext cx="287274" cy="28184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C0000}"/>
                  </a:ext>
                </a:extLst>
              </xdr:cNvPr>
              <xdr:cNvSpPr/>
            </xdr:nvSpPr>
            <xdr:spPr bwMode="auto">
              <a:xfrm>
                <a:off x="4782904" y="2196637"/>
                <a:ext cx="175964" cy="1880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LabelResultado3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5374849" y="2117053"/>
                <a:ext cx="961042" cy="3959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147712</xdr:colOff>
      <xdr:row>22</xdr:row>
      <xdr:rowOff>188473</xdr:rowOff>
    </xdr:from>
    <xdr:to>
      <xdr:col>9</xdr:col>
      <xdr:colOff>513520</xdr:colOff>
      <xdr:row>33</xdr:row>
      <xdr:rowOff>41412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5371FFA-6394-4F1F-A7FB-52317E351D22}"/>
            </a:ext>
          </a:extLst>
        </xdr:cNvPr>
        <xdr:cNvGrpSpPr>
          <a:grpSpLocks noChangeAspect="1"/>
        </xdr:cNvGrpSpPr>
      </xdr:nvGrpSpPr>
      <xdr:grpSpPr>
        <a:xfrm>
          <a:off x="4438103" y="4478864"/>
          <a:ext cx="1591634" cy="1948439"/>
          <a:chOff x="10877549" y="7455834"/>
          <a:chExt cx="2148882" cy="2670926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62B19C35-A54F-14AB-F330-D16888205F17}"/>
              </a:ext>
            </a:extLst>
          </xdr:cNvPr>
          <xdr:cNvSpPr/>
        </xdr:nvSpPr>
        <xdr:spPr>
          <a:xfrm>
            <a:off x="10877549" y="7455834"/>
            <a:ext cx="1877333" cy="2670926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3" name="Gráfico 22" descr="Homem com preenchimento sólido">
            <a:extLst>
              <a:ext uri="{FF2B5EF4-FFF2-40B4-BE49-F238E27FC236}">
                <a16:creationId xmlns:a16="http://schemas.microsoft.com/office/drawing/2014/main" id="{A86A62A0-C81A-76EB-2199-36FD751EED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0892762" y="7647018"/>
            <a:ext cx="336552" cy="297179"/>
          </a:xfrm>
          <a:prstGeom prst="rect">
            <a:avLst/>
          </a:prstGeom>
        </xdr:spPr>
      </xdr:pic>
      <xdr:pic>
        <xdr:nvPicPr>
          <xdr:cNvPr id="24" name="Gráfico 23" descr="Carro com preenchimento sólido">
            <a:extLst>
              <a:ext uri="{FF2B5EF4-FFF2-40B4-BE49-F238E27FC236}">
                <a16:creationId xmlns:a16="http://schemas.microsoft.com/office/drawing/2014/main" id="{000CF94F-BAC1-36FF-74E7-533F1A885A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903684" y="8609019"/>
            <a:ext cx="311194" cy="3890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9" name="Button 7" hidden="1">
                <a:extLst>
                  <a:ext uri="{63B3BB69-23CF-44E3-9099-C40C66FF867C}">
                    <a14:compatExt spid="_x0000_s3079"/>
                  </a:ext>
                  <a:ext uri="{FF2B5EF4-FFF2-40B4-BE49-F238E27FC236}">
                    <a16:creationId xmlns:a16="http://schemas.microsoft.com/office/drawing/2014/main" id="{00000000-0008-0000-0100-0000070C0000}"/>
                  </a:ext>
                </a:extLst>
              </xdr:cNvPr>
              <xdr:cNvSpPr/>
            </xdr:nvSpPr>
            <xdr:spPr bwMode="auto">
              <a:xfrm>
                <a:off x="12811071" y="7903797"/>
                <a:ext cx="215360" cy="22469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0" name="LabelResultado5" hidden="1">
                <a:extLst>
                  <a:ext uri="{63B3BB69-23CF-44E3-9099-C40C66FF867C}">
                    <a14:compatExt spid="_x0000_s3080"/>
                  </a:ext>
                  <a:ext uri="{FF2B5EF4-FFF2-40B4-BE49-F238E27FC236}">
                    <a16:creationId xmlns:a16="http://schemas.microsoft.com/office/drawing/2014/main" id="{00000000-0008-0000-0100-0000080C0000}"/>
                  </a:ext>
                </a:extLst>
              </xdr:cNvPr>
              <xdr:cNvSpPr/>
            </xdr:nvSpPr>
            <xdr:spPr bwMode="auto">
              <a:xfrm>
                <a:off x="11277783" y="7488051"/>
                <a:ext cx="1278988" cy="143520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432157</xdr:colOff>
      <xdr:row>27</xdr:row>
      <xdr:rowOff>66551</xdr:rowOff>
    </xdr:from>
    <xdr:to>
      <xdr:col>7</xdr:col>
      <xdr:colOff>91245</xdr:colOff>
      <xdr:row>35</xdr:row>
      <xdr:rowOff>24846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D1A856E-B289-4768-9A9D-A25988119E91}"/>
            </a:ext>
          </a:extLst>
        </xdr:cNvPr>
        <xdr:cNvGrpSpPr>
          <a:grpSpLocks noChangeAspect="1"/>
        </xdr:cNvGrpSpPr>
      </xdr:nvGrpSpPr>
      <xdr:grpSpPr>
        <a:xfrm>
          <a:off x="2883809" y="5309442"/>
          <a:ext cx="1497827" cy="1482295"/>
          <a:chOff x="10857901" y="7601809"/>
          <a:chExt cx="1816821" cy="1566133"/>
        </a:xfrm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52FAD5DF-22DB-4544-FEE4-EC5A63F7D210}"/>
              </a:ext>
            </a:extLst>
          </xdr:cNvPr>
          <xdr:cNvSpPr/>
        </xdr:nvSpPr>
        <xdr:spPr>
          <a:xfrm>
            <a:off x="10877550" y="7601809"/>
            <a:ext cx="1561771" cy="1566133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Homem com preenchimento sólido">
            <a:extLst>
              <a:ext uri="{FF2B5EF4-FFF2-40B4-BE49-F238E27FC236}">
                <a16:creationId xmlns:a16="http://schemas.microsoft.com/office/drawing/2014/main" id="{6EA4AE2E-4BB7-9AB1-1220-AEA4D24AF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57901" y="7805339"/>
            <a:ext cx="357040" cy="297179"/>
          </a:xfrm>
          <a:prstGeom prst="rect">
            <a:avLst/>
          </a:prstGeom>
        </xdr:spPr>
      </xdr:pic>
      <xdr:pic>
        <xdr:nvPicPr>
          <xdr:cNvPr id="28" name="Gráfico 27" descr="Carro com preenchimento sólido">
            <a:extLst>
              <a:ext uri="{FF2B5EF4-FFF2-40B4-BE49-F238E27FC236}">
                <a16:creationId xmlns:a16="http://schemas.microsoft.com/office/drawing/2014/main" id="{515A40CC-B618-ACA3-6F86-28F4978B17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896517" y="8418546"/>
            <a:ext cx="281102" cy="30370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1" name="Button 9" hidden="1">
                <a:extLst>
                  <a:ext uri="{63B3BB69-23CF-44E3-9099-C40C66FF867C}">
                    <a14:compatExt spid="_x0000_s3081"/>
                  </a:ext>
                  <a:ext uri="{FF2B5EF4-FFF2-40B4-BE49-F238E27FC236}">
                    <a16:creationId xmlns:a16="http://schemas.microsoft.com/office/drawing/2014/main" id="{00000000-0008-0000-0100-0000090C0000}"/>
                  </a:ext>
                </a:extLst>
              </xdr:cNvPr>
              <xdr:cNvSpPr/>
            </xdr:nvSpPr>
            <xdr:spPr bwMode="auto">
              <a:xfrm>
                <a:off x="12493749" y="7888551"/>
                <a:ext cx="180973" cy="171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" name="LabelResultado6" hidden="1">
                <a:extLst>
                  <a:ext uri="{63B3BB69-23CF-44E3-9099-C40C66FF867C}">
                    <a14:compatExt spid="_x0000_s3082"/>
                  </a:ext>
                  <a:ext uri="{FF2B5EF4-FFF2-40B4-BE49-F238E27FC236}">
                    <a16:creationId xmlns:a16="http://schemas.microsoft.com/office/drawing/2014/main" id="{00000000-0008-0000-0100-00000A0C0000}"/>
                  </a:ext>
                </a:extLst>
              </xdr:cNvPr>
              <xdr:cNvSpPr/>
            </xdr:nvSpPr>
            <xdr:spPr bwMode="auto">
              <a:xfrm>
                <a:off x="11175118" y="7629894"/>
                <a:ext cx="886602" cy="86421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93760</xdr:colOff>
      <xdr:row>22</xdr:row>
      <xdr:rowOff>115731</xdr:rowOff>
    </xdr:from>
    <xdr:to>
      <xdr:col>2</xdr:col>
      <xdr:colOff>306458</xdr:colOff>
      <xdr:row>29</xdr:row>
      <xdr:rowOff>8283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B2C5CCE-19AB-479C-96EF-2022DFDD00DF}"/>
            </a:ext>
          </a:extLst>
        </xdr:cNvPr>
        <xdr:cNvGrpSpPr>
          <a:grpSpLocks noChangeAspect="1"/>
        </xdr:cNvGrpSpPr>
      </xdr:nvGrpSpPr>
      <xdr:grpSpPr>
        <a:xfrm>
          <a:off x="93760" y="4406122"/>
          <a:ext cx="1438524" cy="1226052"/>
          <a:chOff x="10639529" y="7600969"/>
          <a:chExt cx="2459070" cy="1825727"/>
        </a:xfrm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197277E9-2F5B-E947-5ABC-42712AAD81C5}"/>
              </a:ext>
            </a:extLst>
          </xdr:cNvPr>
          <xdr:cNvSpPr/>
        </xdr:nvSpPr>
        <xdr:spPr>
          <a:xfrm>
            <a:off x="10920887" y="7600969"/>
            <a:ext cx="2177712" cy="1825727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Homem com preenchimento sólido">
            <a:extLst>
              <a:ext uri="{FF2B5EF4-FFF2-40B4-BE49-F238E27FC236}">
                <a16:creationId xmlns:a16="http://schemas.microsoft.com/office/drawing/2014/main" id="{62894455-6EDC-4F33-6827-B27792DEAC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92762" y="7696493"/>
            <a:ext cx="357039" cy="317869"/>
          </a:xfrm>
          <a:prstGeom prst="rect">
            <a:avLst/>
          </a:prstGeom>
        </xdr:spPr>
      </xdr:pic>
      <xdr:pic>
        <xdr:nvPicPr>
          <xdr:cNvPr id="39" name="Gráfico 38" descr="Carro com preenchimento sólido">
            <a:extLst>
              <a:ext uri="{FF2B5EF4-FFF2-40B4-BE49-F238E27FC236}">
                <a16:creationId xmlns:a16="http://schemas.microsoft.com/office/drawing/2014/main" id="{9EFB6437-FBF7-9555-707C-2F1776EA36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936719" y="8665061"/>
            <a:ext cx="309429" cy="30370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5" name="Button 13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100-00000D0C0000}"/>
                  </a:ext>
                </a:extLst>
              </xdr:cNvPr>
              <xdr:cNvSpPr/>
            </xdr:nvSpPr>
            <xdr:spPr bwMode="auto">
              <a:xfrm>
                <a:off x="10639529" y="7862165"/>
                <a:ext cx="236544" cy="1936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6" name="LabelResultado8" hidden="1">
                <a:extLst>
                  <a:ext uri="{63B3BB69-23CF-44E3-9099-C40C66FF867C}">
                    <a14:compatExt spid="_x0000_s3086"/>
                  </a:ext>
                  <a:ext uri="{FF2B5EF4-FFF2-40B4-BE49-F238E27FC236}">
                    <a16:creationId xmlns:a16="http://schemas.microsoft.com/office/drawing/2014/main" id="{00000000-0008-0000-0100-00000E0C0000}"/>
                  </a:ext>
                </a:extLst>
              </xdr:cNvPr>
              <xdr:cNvSpPr/>
            </xdr:nvSpPr>
            <xdr:spPr bwMode="auto">
              <a:xfrm>
                <a:off x="11268073" y="7677707"/>
                <a:ext cx="1703099" cy="10212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184925</xdr:colOff>
      <xdr:row>18</xdr:row>
      <xdr:rowOff>28883</xdr:rowOff>
    </xdr:from>
    <xdr:to>
      <xdr:col>2</xdr:col>
      <xdr:colOff>237172</xdr:colOff>
      <xdr:row>22</xdr:row>
      <xdr:rowOff>18047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D32FA2E9-C174-42E0-B211-A3DC5D728059}"/>
            </a:ext>
          </a:extLst>
        </xdr:cNvPr>
        <xdr:cNvGrpSpPr>
          <a:grpSpLocks noChangeAspect="1"/>
        </xdr:cNvGrpSpPr>
      </xdr:nvGrpSpPr>
      <xdr:grpSpPr>
        <a:xfrm>
          <a:off x="184925" y="3557274"/>
          <a:ext cx="1278073" cy="751164"/>
          <a:chOff x="10672783" y="7584435"/>
          <a:chExt cx="1551663" cy="793648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903ECDA3-9B1D-0168-794B-D9B2469C02CD}"/>
              </a:ext>
            </a:extLst>
          </xdr:cNvPr>
          <xdr:cNvSpPr/>
        </xdr:nvSpPr>
        <xdr:spPr>
          <a:xfrm>
            <a:off x="10869551" y="7584435"/>
            <a:ext cx="1354895" cy="793648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3" name="Gráfico 42" descr="Homem com preenchimento sólido">
            <a:extLst>
              <a:ext uri="{FF2B5EF4-FFF2-40B4-BE49-F238E27FC236}">
                <a16:creationId xmlns:a16="http://schemas.microsoft.com/office/drawing/2014/main" id="{0CCA9D1A-C99E-EAB6-84E4-B7B37F984E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68769" y="7701613"/>
            <a:ext cx="296212" cy="246551"/>
          </a:xfrm>
          <a:prstGeom prst="rect">
            <a:avLst/>
          </a:prstGeom>
        </xdr:spPr>
      </xdr:pic>
      <xdr:pic>
        <xdr:nvPicPr>
          <xdr:cNvPr id="44" name="Gráfico 43" descr="Carro com preenchimento sólido">
            <a:extLst>
              <a:ext uri="{FF2B5EF4-FFF2-40B4-BE49-F238E27FC236}">
                <a16:creationId xmlns:a16="http://schemas.microsoft.com/office/drawing/2014/main" id="{84711FEB-54B8-DF66-7FD7-198DF27AF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890821" y="8015516"/>
            <a:ext cx="253626" cy="24893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7" name="Button 15" hidden="1">
                <a:extLst>
                  <a:ext uri="{63B3BB69-23CF-44E3-9099-C40C66FF867C}">
                    <a14:compatExt spid="_x0000_s3087"/>
                  </a:ext>
                  <a:ext uri="{FF2B5EF4-FFF2-40B4-BE49-F238E27FC236}">
                    <a16:creationId xmlns:a16="http://schemas.microsoft.com/office/drawing/2014/main" id="{00000000-0008-0000-0100-00000F0C0000}"/>
                  </a:ext>
                </a:extLst>
              </xdr:cNvPr>
              <xdr:cNvSpPr/>
            </xdr:nvSpPr>
            <xdr:spPr bwMode="auto">
              <a:xfrm>
                <a:off x="10672783" y="7722956"/>
                <a:ext cx="163700" cy="1439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8" name="LabelResultado9" hidden="1">
                <a:extLst>
                  <a:ext uri="{63B3BB69-23CF-44E3-9099-C40C66FF867C}">
                    <a14:compatExt spid="_x0000_s3088"/>
                  </a:ext>
                  <a:ext uri="{FF2B5EF4-FFF2-40B4-BE49-F238E27FC236}">
                    <a16:creationId xmlns:a16="http://schemas.microsoft.com/office/drawing/2014/main" id="{00000000-0008-0000-0100-0000100C0000}"/>
                  </a:ext>
                </a:extLst>
              </xdr:cNvPr>
              <xdr:cNvSpPr/>
            </xdr:nvSpPr>
            <xdr:spPr bwMode="auto">
              <a:xfrm>
                <a:off x="11160481" y="7622288"/>
                <a:ext cx="1031981" cy="3151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527616</xdr:colOff>
      <xdr:row>30</xdr:row>
      <xdr:rowOff>89615</xdr:rowOff>
    </xdr:from>
    <xdr:to>
      <xdr:col>3</xdr:col>
      <xdr:colOff>546372</xdr:colOff>
      <xdr:row>36</xdr:row>
      <xdr:rowOff>149085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1E6CFDB3-2FF9-4A45-B0FD-CC2200098539}"/>
            </a:ext>
          </a:extLst>
        </xdr:cNvPr>
        <xdr:cNvGrpSpPr>
          <a:grpSpLocks noChangeAspect="1"/>
        </xdr:cNvGrpSpPr>
      </xdr:nvGrpSpPr>
      <xdr:grpSpPr>
        <a:xfrm>
          <a:off x="1140529" y="5904006"/>
          <a:ext cx="1244582" cy="1202470"/>
          <a:chOff x="10692000" y="7556003"/>
          <a:chExt cx="1761478" cy="1481700"/>
        </a:xfrm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55D62703-F2BC-C45C-5E72-F9B831698826}"/>
              </a:ext>
            </a:extLst>
          </xdr:cNvPr>
          <xdr:cNvSpPr/>
        </xdr:nvSpPr>
        <xdr:spPr>
          <a:xfrm>
            <a:off x="10914839" y="7556003"/>
            <a:ext cx="1538639" cy="1481700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Gráfico 47" descr="Homem com preenchimento sólido">
            <a:extLst>
              <a:ext uri="{FF2B5EF4-FFF2-40B4-BE49-F238E27FC236}">
                <a16:creationId xmlns:a16="http://schemas.microsoft.com/office/drawing/2014/main" id="{5E7B8995-B74A-ECC1-230C-041ACA815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92762" y="7647018"/>
            <a:ext cx="357039" cy="297179"/>
          </a:xfrm>
          <a:prstGeom prst="rect">
            <a:avLst/>
          </a:prstGeom>
        </xdr:spPr>
      </xdr:pic>
      <xdr:pic>
        <xdr:nvPicPr>
          <xdr:cNvPr id="49" name="Gráfico 48" descr="Carro com preenchimento sólido">
            <a:extLst>
              <a:ext uri="{FF2B5EF4-FFF2-40B4-BE49-F238E27FC236}">
                <a16:creationId xmlns:a16="http://schemas.microsoft.com/office/drawing/2014/main" id="{23445599-E39E-B5E3-30A0-FAD5C2871F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914730" y="8220273"/>
            <a:ext cx="273116" cy="26806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9" name="Button 17" hidden="1">
                <a:extLst>
                  <a:ext uri="{63B3BB69-23CF-44E3-9099-C40C66FF867C}">
                    <a14:compatExt spid="_x0000_s3089"/>
                  </a:ext>
                  <a:ext uri="{FF2B5EF4-FFF2-40B4-BE49-F238E27FC236}">
                    <a16:creationId xmlns:a16="http://schemas.microsoft.com/office/drawing/2014/main" id="{00000000-0008-0000-0100-0000110C0000}"/>
                  </a:ext>
                </a:extLst>
              </xdr:cNvPr>
              <xdr:cNvSpPr/>
            </xdr:nvSpPr>
            <xdr:spPr bwMode="auto">
              <a:xfrm>
                <a:off x="10692000" y="7797771"/>
                <a:ext cx="180974" cy="171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0" name="LabelResultado7" hidden="1">
                <a:extLst>
                  <a:ext uri="{63B3BB69-23CF-44E3-9099-C40C66FF867C}">
                    <a14:compatExt spid="_x0000_s3090"/>
                  </a:ext>
                  <a:ext uri="{FF2B5EF4-FFF2-40B4-BE49-F238E27FC236}">
                    <a16:creationId xmlns:a16="http://schemas.microsoft.com/office/drawing/2014/main" id="{00000000-0008-0000-0100-0000120C0000}"/>
                  </a:ext>
                </a:extLst>
              </xdr:cNvPr>
              <xdr:cNvSpPr/>
            </xdr:nvSpPr>
            <xdr:spPr bwMode="auto">
              <a:xfrm>
                <a:off x="11186120" y="7598964"/>
                <a:ext cx="1113123" cy="6388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479228</xdr:colOff>
      <xdr:row>2</xdr:row>
      <xdr:rowOff>104393</xdr:rowOff>
    </xdr:from>
    <xdr:to>
      <xdr:col>3</xdr:col>
      <xdr:colOff>368998</xdr:colOff>
      <xdr:row>6</xdr:row>
      <xdr:rowOff>122342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D22862DD-C085-F218-8B1C-DDFF43EF05B5}"/>
            </a:ext>
          </a:extLst>
        </xdr:cNvPr>
        <xdr:cNvGrpSpPr/>
      </xdr:nvGrpSpPr>
      <xdr:grpSpPr>
        <a:xfrm>
          <a:off x="479228" y="485393"/>
          <a:ext cx="1728509" cy="804797"/>
          <a:chOff x="3537796" y="992488"/>
          <a:chExt cx="1689256" cy="906574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2440F407-82E9-4202-9D5C-070E08F5DA67}"/>
              </a:ext>
            </a:extLst>
          </xdr:cNvPr>
          <xdr:cNvGrpSpPr/>
        </xdr:nvGrpSpPr>
        <xdr:grpSpPr>
          <a:xfrm>
            <a:off x="3537796" y="992488"/>
            <a:ext cx="1682421" cy="906574"/>
            <a:chOff x="3414532" y="1706217"/>
            <a:chExt cx="1984703" cy="873654"/>
          </a:xfrm>
        </xdr:grpSpPr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80758744-9054-5BD3-14A9-913F00304A90}"/>
                </a:ext>
              </a:extLst>
            </xdr:cNvPr>
            <xdr:cNvGrpSpPr/>
          </xdr:nvGrpSpPr>
          <xdr:grpSpPr>
            <a:xfrm>
              <a:off x="3414532" y="1706217"/>
              <a:ext cx="1738711" cy="873654"/>
              <a:chOff x="3178808" y="1532283"/>
              <a:chExt cx="2095977" cy="1012247"/>
            </a:xfrm>
          </xdr:grpSpPr>
          <xdr:sp macro="" textlink="">
            <xdr:nvSpPr>
              <xdr:cNvPr id="6" name="Retângulo: Cantos Arredondados 5">
                <a:extLst>
                  <a:ext uri="{FF2B5EF4-FFF2-40B4-BE49-F238E27FC236}">
                    <a16:creationId xmlns:a16="http://schemas.microsoft.com/office/drawing/2014/main" id="{BC24AAD7-1BAE-B62F-D8AD-64FBFB509F7C}"/>
                  </a:ext>
                </a:extLst>
              </xdr:cNvPr>
              <xdr:cNvSpPr/>
            </xdr:nvSpPr>
            <xdr:spPr>
              <a:xfrm>
                <a:off x="3178808" y="1532283"/>
                <a:ext cx="2095977" cy="1012247"/>
              </a:xfrm>
              <a:prstGeom prst="roundRect">
                <a:avLst/>
              </a:prstGeom>
              <a:ln>
                <a:solidFill>
                  <a:srgbClr val="00206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7" name="Gráfico 6" descr="Homem com preenchimento sólido">
                <a:extLst>
                  <a:ext uri="{FF2B5EF4-FFF2-40B4-BE49-F238E27FC236}">
                    <a16:creationId xmlns:a16="http://schemas.microsoft.com/office/drawing/2014/main" id="{3FC103A3-E750-5BA8-FC2B-1D37214DD8F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3215375" y="1680108"/>
                <a:ext cx="426454" cy="315598"/>
              </a:xfrm>
              <a:prstGeom prst="rect">
                <a:avLst/>
              </a:prstGeom>
            </xdr:spPr>
          </xdr:pic>
          <xdr:pic>
            <xdr:nvPicPr>
              <xdr:cNvPr id="8" name="Gráfico 7" descr="Carro com preenchimento sólido">
                <a:extLst>
                  <a:ext uri="{FF2B5EF4-FFF2-40B4-BE49-F238E27FC236}">
                    <a16:creationId xmlns:a16="http://schemas.microsoft.com/office/drawing/2014/main" id="{EF7FF402-3905-081B-1627-10C90A5534B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3253845" y="2154620"/>
                <a:ext cx="369587" cy="362607"/>
              </a:xfrm>
              <a:prstGeom prst="rect">
                <a:avLst/>
              </a:prstGeom>
            </xdr:spPr>
          </xdr:pic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3" name="Button 1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100-0000010C0000}"/>
                    </a:ext>
                  </a:extLst>
                </xdr:cNvPr>
                <xdr:cNvSpPr/>
              </xdr:nvSpPr>
              <xdr:spPr bwMode="auto">
                <a:xfrm>
                  <a:off x="5199212" y="1898082"/>
                  <a:ext cx="200023" cy="180974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4" name="LabelResultado1" hidden="1">
                  <a:extLst>
                    <a:ext uri="{63B3BB69-23CF-44E3-9099-C40C66FF867C}">
                      <a14:compatExt spid="_x0000_s3074"/>
                    </a:ext>
                    <a:ext uri="{FF2B5EF4-FFF2-40B4-BE49-F238E27FC236}">
                      <a16:creationId xmlns:a16="http://schemas.microsoft.com/office/drawing/2014/main" id="{00000000-0008-0000-0100-0000020C0000}"/>
                    </a:ext>
                  </a:extLst>
                </xdr:cNvPr>
                <xdr:cNvSpPr/>
              </xdr:nvSpPr>
              <xdr:spPr bwMode="auto">
                <a:xfrm>
                  <a:off x="3855431" y="1740763"/>
                  <a:ext cx="1195060" cy="41532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1" name="AtualizarArt1" hidden="1">
                <a:extLst>
                  <a:ext uri="{63B3BB69-23CF-44E3-9099-C40C66FF867C}">
                    <a14:compatExt spid="_x0000_s3091"/>
                  </a:ext>
                  <a:ext uri="{FF2B5EF4-FFF2-40B4-BE49-F238E27FC236}">
                    <a16:creationId xmlns:a16="http://schemas.microsoft.com/office/drawing/2014/main" id="{00000000-0008-0000-0100-0000130C0000}"/>
                  </a:ext>
                </a:extLst>
              </xdr:cNvPr>
              <xdr:cNvSpPr/>
            </xdr:nvSpPr>
            <xdr:spPr bwMode="auto">
              <a:xfrm>
                <a:off x="3914076" y="1484528"/>
                <a:ext cx="1012378" cy="3861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2" name="Button 20" hidden="1">
                <a:extLst>
                  <a:ext uri="{63B3BB69-23CF-44E3-9099-C40C66FF867C}">
                    <a14:compatExt spid="_x0000_s3092"/>
                  </a:ext>
                  <a:ext uri="{FF2B5EF4-FFF2-40B4-BE49-F238E27FC236}">
                    <a16:creationId xmlns:a16="http://schemas.microsoft.com/office/drawing/2014/main" id="{00000000-0008-0000-0100-0000140C0000}"/>
                  </a:ext>
                </a:extLst>
              </xdr:cNvPr>
              <xdr:cNvSpPr/>
            </xdr:nvSpPr>
            <xdr:spPr bwMode="auto">
              <a:xfrm>
                <a:off x="5055602" y="1553317"/>
                <a:ext cx="171450" cy="1787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6</xdr:col>
      <xdr:colOff>47883</xdr:colOff>
      <xdr:row>3</xdr:row>
      <xdr:rowOff>188350</xdr:rowOff>
    </xdr:from>
    <xdr:to>
      <xdr:col>9</xdr:col>
      <xdr:colOff>58659</xdr:colOff>
      <xdr:row>9</xdr:row>
      <xdr:rowOff>152596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46FE0058-64B0-CB91-2C55-105D51433A51}"/>
            </a:ext>
          </a:extLst>
        </xdr:cNvPr>
        <xdr:cNvGrpSpPr>
          <a:grpSpLocks noChangeAspect="1"/>
        </xdr:cNvGrpSpPr>
      </xdr:nvGrpSpPr>
      <xdr:grpSpPr>
        <a:xfrm>
          <a:off x="3725361" y="759850"/>
          <a:ext cx="1849515" cy="1156942"/>
          <a:chOff x="8311244" y="1355422"/>
          <a:chExt cx="1844446" cy="1367414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D04710C-867A-40B0-B3D5-110983442EFB}"/>
              </a:ext>
            </a:extLst>
          </xdr:cNvPr>
          <xdr:cNvGrpSpPr/>
        </xdr:nvGrpSpPr>
        <xdr:grpSpPr>
          <a:xfrm>
            <a:off x="8311244" y="1355422"/>
            <a:ext cx="1831193" cy="1367414"/>
            <a:chOff x="7673069" y="791766"/>
            <a:chExt cx="1831193" cy="1525495"/>
          </a:xfrm>
        </xdr:grpSpPr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19188F77-2528-E852-65E3-6969A6677E77}"/>
                </a:ext>
              </a:extLst>
            </xdr:cNvPr>
            <xdr:cNvSpPr/>
          </xdr:nvSpPr>
          <xdr:spPr>
            <a:xfrm>
              <a:off x="7673069" y="791766"/>
              <a:ext cx="1594118" cy="1525495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8" name="Gráfico 17" descr="Homem com preenchimento sólido">
              <a:extLst>
                <a:ext uri="{FF2B5EF4-FFF2-40B4-BE49-F238E27FC236}">
                  <a16:creationId xmlns:a16="http://schemas.microsoft.com/office/drawing/2014/main" id="{9F56751A-AB34-B51C-1CBA-1CCD034B8C0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7694241" y="970359"/>
              <a:ext cx="306570" cy="305018"/>
            </a:xfrm>
            <a:prstGeom prst="rect">
              <a:avLst/>
            </a:prstGeom>
          </xdr:spPr>
        </xdr:pic>
        <xdr:pic>
          <xdr:nvPicPr>
            <xdr:cNvPr id="19" name="Gráfico 18" descr="Carro com preenchimento sólido">
              <a:extLst>
                <a:ext uri="{FF2B5EF4-FFF2-40B4-BE49-F238E27FC236}">
                  <a16:creationId xmlns:a16="http://schemas.microsoft.com/office/drawing/2014/main" id="{2B67BFE7-EDF4-8C5D-5242-FFE8F112B4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7707272" y="1681161"/>
              <a:ext cx="309212" cy="348691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7" name="Button 5" hidden="1">
                  <a:extLst>
                    <a:ext uri="{63B3BB69-23CF-44E3-9099-C40C66FF867C}">
                      <a14:compatExt spid="_x0000_s3077"/>
                    </a:ext>
                    <a:ext uri="{FF2B5EF4-FFF2-40B4-BE49-F238E27FC236}">
                      <a16:creationId xmlns:a16="http://schemas.microsoft.com/office/drawing/2014/main" id="{00000000-0008-0000-0100-0000050C0000}"/>
                    </a:ext>
                  </a:extLst>
                </xdr:cNvPr>
                <xdr:cNvSpPr/>
              </xdr:nvSpPr>
              <xdr:spPr bwMode="auto">
                <a:xfrm>
                  <a:off x="9313760" y="1109800"/>
                  <a:ext cx="190502" cy="212304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pt-BR"/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8" name="LabelResultado2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100-0000060C0000}"/>
                    </a:ext>
                  </a:extLst>
                </xdr:cNvPr>
                <xdr:cNvSpPr/>
              </xdr:nvSpPr>
              <xdr:spPr bwMode="auto">
                <a:xfrm>
                  <a:off x="8028065" y="845946"/>
                  <a:ext cx="1083543" cy="83326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3" name="AtualizarArt2" hidden="1">
                <a:extLst>
                  <a:ext uri="{63B3BB69-23CF-44E3-9099-C40C66FF867C}">
                    <a14:compatExt spid="_x0000_s3093"/>
                  </a:ext>
                  <a:ext uri="{FF2B5EF4-FFF2-40B4-BE49-F238E27FC236}">
                    <a16:creationId xmlns:a16="http://schemas.microsoft.com/office/drawing/2014/main" id="{00000000-0008-0000-0100-0000150C0000}"/>
                  </a:ext>
                </a:extLst>
              </xdr:cNvPr>
              <xdr:cNvSpPr/>
            </xdr:nvSpPr>
            <xdr:spPr bwMode="auto">
              <a:xfrm>
                <a:off x="8677276" y="2188168"/>
                <a:ext cx="1087325" cy="4815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4" name="Button 22" hidden="1">
                <a:extLst>
                  <a:ext uri="{63B3BB69-23CF-44E3-9099-C40C66FF867C}">
                    <a14:compatExt spid="_x0000_s3094"/>
                  </a:ext>
                  <a:ext uri="{FF2B5EF4-FFF2-40B4-BE49-F238E27FC236}">
                    <a16:creationId xmlns:a16="http://schemas.microsoft.com/office/drawing/2014/main" id="{00000000-0008-0000-0100-0000160C0000}"/>
                  </a:ext>
                </a:extLst>
              </xdr:cNvPr>
              <xdr:cNvSpPr/>
            </xdr:nvSpPr>
            <xdr:spPr bwMode="auto">
              <a:xfrm>
                <a:off x="9965189" y="2279302"/>
                <a:ext cx="190501" cy="190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291660</xdr:colOff>
      <xdr:row>15</xdr:row>
      <xdr:rowOff>158330</xdr:rowOff>
    </xdr:from>
    <xdr:to>
      <xdr:col>2</xdr:col>
      <xdr:colOff>118891</xdr:colOff>
      <xdr:row>17</xdr:row>
      <xdr:rowOff>162936</xdr:rowOff>
    </xdr:to>
    <xdr:cxnSp macro="">
      <xdr:nvCxnSpPr>
        <xdr:cNvPr id="3099" name="Conector de Seta Reta 3098">
          <a:extLst>
            <a:ext uri="{FF2B5EF4-FFF2-40B4-BE49-F238E27FC236}">
              <a16:creationId xmlns:a16="http://schemas.microsoft.com/office/drawing/2014/main" id="{ADB78E01-F8D7-AED1-B2C0-AD3C2DCA4F9E}"/>
            </a:ext>
          </a:extLst>
        </xdr:cNvPr>
        <xdr:cNvCxnSpPr>
          <a:endCxn id="42" idx="0"/>
        </xdr:cNvCxnSpPr>
      </xdr:nvCxnSpPr>
      <xdr:spPr>
        <a:xfrm flipH="1">
          <a:off x="904573" y="3115221"/>
          <a:ext cx="440144" cy="38560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306456</xdr:colOff>
      <xdr:row>22</xdr:row>
      <xdr:rowOff>35233</xdr:rowOff>
    </xdr:from>
    <xdr:to>
      <xdr:col>3</xdr:col>
      <xdr:colOff>417428</xdr:colOff>
      <xdr:row>25</xdr:row>
      <xdr:rowOff>157257</xdr:rowOff>
    </xdr:to>
    <xdr:cxnSp macro="">
      <xdr:nvCxnSpPr>
        <xdr:cNvPr id="3103" name="Conector de Seta Reta 3102">
          <a:extLst>
            <a:ext uri="{FF2B5EF4-FFF2-40B4-BE49-F238E27FC236}">
              <a16:creationId xmlns:a16="http://schemas.microsoft.com/office/drawing/2014/main" id="{5F89E0E7-D0CA-CDF5-F676-8F3ECDEA0B49}"/>
            </a:ext>
          </a:extLst>
        </xdr:cNvPr>
        <xdr:cNvCxnSpPr>
          <a:endCxn id="37" idx="3"/>
        </xdr:cNvCxnSpPr>
      </xdr:nvCxnSpPr>
      <xdr:spPr>
        <a:xfrm flipH="1">
          <a:off x="1532282" y="4325624"/>
          <a:ext cx="723885" cy="69352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546372</xdr:colOff>
      <xdr:row>27</xdr:row>
      <xdr:rowOff>107674</xdr:rowOff>
    </xdr:from>
    <xdr:to>
      <xdr:col>4</xdr:col>
      <xdr:colOff>207065</xdr:colOff>
      <xdr:row>33</xdr:row>
      <xdr:rowOff>119350</xdr:rowOff>
    </xdr:to>
    <xdr:cxnSp macro="">
      <xdr:nvCxnSpPr>
        <xdr:cNvPr id="3109" name="Conector de Seta Reta 3108">
          <a:extLst>
            <a:ext uri="{FF2B5EF4-FFF2-40B4-BE49-F238E27FC236}">
              <a16:creationId xmlns:a16="http://schemas.microsoft.com/office/drawing/2014/main" id="{53360FBF-4C84-ECF8-8185-963FEEA1C39F}"/>
            </a:ext>
          </a:extLst>
        </xdr:cNvPr>
        <xdr:cNvCxnSpPr>
          <a:endCxn id="47" idx="3"/>
        </xdr:cNvCxnSpPr>
      </xdr:nvCxnSpPr>
      <xdr:spPr>
        <a:xfrm flipH="1">
          <a:off x="2385111" y="5350565"/>
          <a:ext cx="273606" cy="11546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316923</xdr:colOff>
      <xdr:row>24</xdr:row>
      <xdr:rowOff>135082</xdr:rowOff>
    </xdr:from>
    <xdr:to>
      <xdr:col>5</xdr:col>
      <xdr:colOff>479221</xdr:colOff>
      <xdr:row>27</xdr:row>
      <xdr:rowOff>66553</xdr:rowOff>
    </xdr:to>
    <xdr:cxnSp macro="">
      <xdr:nvCxnSpPr>
        <xdr:cNvPr id="3113" name="Conector de Seta Reta 3112">
          <a:extLst>
            <a:ext uri="{FF2B5EF4-FFF2-40B4-BE49-F238E27FC236}">
              <a16:creationId xmlns:a16="http://schemas.microsoft.com/office/drawing/2014/main" id="{BA532137-CE93-C649-F189-12996AE3E0C0}"/>
            </a:ext>
          </a:extLst>
        </xdr:cNvPr>
        <xdr:cNvCxnSpPr>
          <a:endCxn id="26" idx="0"/>
        </xdr:cNvCxnSpPr>
      </xdr:nvCxnSpPr>
      <xdr:spPr>
        <a:xfrm>
          <a:off x="2768575" y="4806473"/>
          <a:ext cx="775211" cy="50297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324826</xdr:colOff>
      <xdr:row>10</xdr:row>
      <xdr:rowOff>90725</xdr:rowOff>
    </xdr:from>
    <xdr:to>
      <xdr:col>6</xdr:col>
      <xdr:colOff>372718</xdr:colOff>
      <xdr:row>13</xdr:row>
      <xdr:rowOff>8283</xdr:rowOff>
    </xdr:to>
    <xdr:cxnSp macro="">
      <xdr:nvCxnSpPr>
        <xdr:cNvPr id="3117" name="Conector de Seta Reta 3116">
          <a:extLst>
            <a:ext uri="{FF2B5EF4-FFF2-40B4-BE49-F238E27FC236}">
              <a16:creationId xmlns:a16="http://schemas.microsoft.com/office/drawing/2014/main" id="{B5D3F111-7C4E-18FA-05CB-A7D15896EABD}"/>
            </a:ext>
          </a:extLst>
        </xdr:cNvPr>
        <xdr:cNvCxnSpPr>
          <a:endCxn id="17" idx="2"/>
        </xdr:cNvCxnSpPr>
      </xdr:nvCxnSpPr>
      <xdr:spPr>
        <a:xfrm flipH="1" flipV="1">
          <a:off x="4002304" y="2053703"/>
          <a:ext cx="47892" cy="51390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562701</xdr:colOff>
          <xdr:row>21</xdr:row>
          <xdr:rowOff>165653</xdr:rowOff>
        </xdr:from>
        <xdr:to>
          <xdr:col>14</xdr:col>
          <xdr:colOff>1175072</xdr:colOff>
          <xdr:row>37</xdr:row>
          <xdr:rowOff>52758</xdr:rowOff>
        </xdr:to>
        <xdr:pic>
          <xdr:nvPicPr>
            <xdr:cNvPr id="3127" name="Imagem 3126">
              <a:extLst>
                <a:ext uri="{FF2B5EF4-FFF2-40B4-BE49-F238E27FC236}">
                  <a16:creationId xmlns:a16="http://schemas.microsoft.com/office/drawing/2014/main" id="{0C4FEDBC-8C23-C684-9B14-58A29A6082D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elexia!$P$66:$AE$81" spid="_x0000_s387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8918" y="4265544"/>
              <a:ext cx="3801176" cy="29351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309525</xdr:colOff>
          <xdr:row>2</xdr:row>
          <xdr:rowOff>8283</xdr:rowOff>
        </xdr:from>
        <xdr:to>
          <xdr:col>14</xdr:col>
          <xdr:colOff>1184994</xdr:colOff>
          <xdr:row>11</xdr:row>
          <xdr:rowOff>107674</xdr:rowOff>
        </xdr:to>
        <xdr:pic>
          <xdr:nvPicPr>
            <xdr:cNvPr id="3128" name="Imagem 3127">
              <a:extLst>
                <a:ext uri="{FF2B5EF4-FFF2-40B4-BE49-F238E27FC236}">
                  <a16:creationId xmlns:a16="http://schemas.microsoft.com/office/drawing/2014/main" id="{8FBD4682-88A8-4976-FFA5-E8F613C15A5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Wp!$B$94:$E$106" spid="_x0000_s3875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438655" y="389283"/>
              <a:ext cx="3451361" cy="188015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13</xdr:row>
          <xdr:rowOff>95250</xdr:rowOff>
        </xdr:from>
        <xdr:to>
          <xdr:col>10</xdr:col>
          <xdr:colOff>161925</xdr:colOff>
          <xdr:row>15</xdr:row>
          <xdr:rowOff>95250</xdr:rowOff>
        </xdr:to>
        <xdr:sp macro="" textlink="">
          <xdr:nvSpPr>
            <xdr:cNvPr id="3263" name="AtualizarArt3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415439</xdr:colOff>
      <xdr:row>16</xdr:row>
      <xdr:rowOff>45564</xdr:rowOff>
    </xdr:from>
    <xdr:to>
      <xdr:col>9</xdr:col>
      <xdr:colOff>602816</xdr:colOff>
      <xdr:row>22</xdr:row>
      <xdr:rowOff>136587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5180C92D-421A-EE8F-5227-2C8C90F37611}"/>
            </a:ext>
          </a:extLst>
        </xdr:cNvPr>
        <xdr:cNvGrpSpPr/>
      </xdr:nvGrpSpPr>
      <xdr:grpSpPr>
        <a:xfrm>
          <a:off x="4705830" y="3192955"/>
          <a:ext cx="1413203" cy="1234023"/>
          <a:chOff x="4705830" y="3192955"/>
          <a:chExt cx="1413203" cy="1234023"/>
        </a:xfrm>
      </xdr:grpSpPr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59E45717-7C8D-4E56-9B73-D2AA0BFC12F8}"/>
              </a:ext>
            </a:extLst>
          </xdr:cNvPr>
          <xdr:cNvGrpSpPr>
            <a:grpSpLocks noChangeAspect="1"/>
          </xdr:cNvGrpSpPr>
        </xdr:nvGrpSpPr>
        <xdr:grpSpPr>
          <a:xfrm>
            <a:off x="4705830" y="3192955"/>
            <a:ext cx="1413203" cy="1234023"/>
            <a:chOff x="10877550" y="7534276"/>
            <a:chExt cx="2268332" cy="1724024"/>
          </a:xfrm>
        </xdr:grpSpPr>
        <xdr:sp macro="" textlink="">
          <xdr:nvSpPr>
            <xdr:cNvPr id="32" name="Retângulo: Cantos Arredondados 31">
              <a:extLst>
                <a:ext uri="{FF2B5EF4-FFF2-40B4-BE49-F238E27FC236}">
                  <a16:creationId xmlns:a16="http://schemas.microsoft.com/office/drawing/2014/main" id="{47D9DBC0-AC66-E996-0E0E-D0569C3D4247}"/>
                </a:ext>
              </a:extLst>
            </xdr:cNvPr>
            <xdr:cNvSpPr/>
          </xdr:nvSpPr>
          <xdr:spPr>
            <a:xfrm>
              <a:off x="10877550" y="7534276"/>
              <a:ext cx="1948816" cy="1724024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33" name="Gráfico 32" descr="Homem com preenchimento sólido">
              <a:extLst>
                <a:ext uri="{FF2B5EF4-FFF2-40B4-BE49-F238E27FC236}">
                  <a16:creationId xmlns:a16="http://schemas.microsoft.com/office/drawing/2014/main" id="{F800B0AF-1BEF-3B8D-86EE-8E79FB4D6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892760" y="7692137"/>
              <a:ext cx="395621" cy="329294"/>
            </a:xfrm>
            <a:prstGeom prst="rect">
              <a:avLst/>
            </a:prstGeom>
          </xdr:spPr>
        </xdr:pic>
        <xdr:pic>
          <xdr:nvPicPr>
            <xdr:cNvPr id="34" name="Gráfico 33" descr="Carro com preenchimento sólido">
              <a:extLst>
                <a:ext uri="{FF2B5EF4-FFF2-40B4-BE49-F238E27FC236}">
                  <a16:creationId xmlns:a16="http://schemas.microsoft.com/office/drawing/2014/main" id="{9BF3A644-4413-AD8C-5DD4-55B2E9B37F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0897538" y="8579167"/>
              <a:ext cx="309429" cy="303706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83" name="Button 11" hidden="1">
                  <a:extLst>
                    <a:ext uri="{63B3BB69-23CF-44E3-9099-C40C66FF867C}">
                      <a14:compatExt spid="_x0000_s3083"/>
                    </a:ext>
                    <a:ext uri="{FF2B5EF4-FFF2-40B4-BE49-F238E27FC236}">
                      <a16:creationId xmlns:a16="http://schemas.microsoft.com/office/drawing/2014/main" id="{00000000-0008-0000-0100-00000B0C0000}"/>
                    </a:ext>
                  </a:extLst>
                </xdr:cNvPr>
                <xdr:cNvSpPr/>
              </xdr:nvSpPr>
              <xdr:spPr bwMode="auto">
                <a:xfrm>
                  <a:off x="12912683" y="7812004"/>
                  <a:ext cx="233199" cy="20942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84" name="LabelResultado4" hidden="1">
                  <a:extLst>
                    <a:ext uri="{63B3BB69-23CF-44E3-9099-C40C66FF867C}">
                      <a14:compatExt spid="_x0000_s3084"/>
                    </a:ext>
                    <a:ext uri="{FF2B5EF4-FFF2-40B4-BE49-F238E27FC236}">
                      <a16:creationId xmlns:a16="http://schemas.microsoft.com/office/drawing/2014/main" id="{00000000-0008-0000-0100-00000C0C0000}"/>
                    </a:ext>
                  </a:extLst>
                </xdr:cNvPr>
                <xdr:cNvSpPr/>
              </xdr:nvSpPr>
              <xdr:spPr bwMode="auto">
                <a:xfrm>
                  <a:off x="11236327" y="7601952"/>
                  <a:ext cx="1454522" cy="90674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266" name="AtualizarArt4" hidden="1">
                <a:extLst>
                  <a:ext uri="{63B3BB69-23CF-44E3-9099-C40C66FF867C}">
                    <a14:compatExt spid="_x0000_s3266"/>
                  </a:ext>
                  <a:ext uri="{FF2B5EF4-FFF2-40B4-BE49-F238E27FC236}">
                    <a16:creationId xmlns:a16="http://schemas.microsoft.com/office/drawing/2014/main" id="{00000000-0008-0000-0100-0000C20C0000}"/>
                  </a:ext>
                </a:extLst>
              </xdr:cNvPr>
              <xdr:cNvSpPr/>
            </xdr:nvSpPr>
            <xdr:spPr bwMode="auto">
              <a:xfrm>
                <a:off x="4914900" y="3921814"/>
                <a:ext cx="924339" cy="45968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28</xdr:row>
          <xdr:rowOff>123825</xdr:rowOff>
        </xdr:from>
        <xdr:to>
          <xdr:col>9</xdr:col>
          <xdr:colOff>161925</xdr:colOff>
          <xdr:row>32</xdr:row>
          <xdr:rowOff>161925</xdr:rowOff>
        </xdr:to>
        <xdr:sp macro="" textlink="">
          <xdr:nvSpPr>
            <xdr:cNvPr id="3267" name="AtualizarArt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31</xdr:row>
          <xdr:rowOff>161925</xdr:rowOff>
        </xdr:from>
        <xdr:to>
          <xdr:col>6</xdr:col>
          <xdr:colOff>209550</xdr:colOff>
          <xdr:row>34</xdr:row>
          <xdr:rowOff>171450</xdr:rowOff>
        </xdr:to>
        <xdr:sp macro="" textlink="">
          <xdr:nvSpPr>
            <xdr:cNvPr id="3268" name="AtualizarArt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33</xdr:row>
          <xdr:rowOff>85725</xdr:rowOff>
        </xdr:from>
        <xdr:to>
          <xdr:col>3</xdr:col>
          <xdr:colOff>428625</xdr:colOff>
          <xdr:row>36</xdr:row>
          <xdr:rowOff>66675</xdr:rowOff>
        </xdr:to>
        <xdr:sp macro="" textlink="">
          <xdr:nvSpPr>
            <xdr:cNvPr id="3269" name="AtualizarArt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26</xdr:row>
          <xdr:rowOff>123825</xdr:rowOff>
        </xdr:from>
        <xdr:to>
          <xdr:col>2</xdr:col>
          <xdr:colOff>104775</xdr:colOff>
          <xdr:row>28</xdr:row>
          <xdr:rowOff>142875</xdr:rowOff>
        </xdr:to>
        <xdr:sp macro="" textlink="">
          <xdr:nvSpPr>
            <xdr:cNvPr id="3270" name="AtualizarArt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19</xdr:row>
          <xdr:rowOff>171450</xdr:rowOff>
        </xdr:from>
        <xdr:to>
          <xdr:col>2</xdr:col>
          <xdr:colOff>209550</xdr:colOff>
          <xdr:row>21</xdr:row>
          <xdr:rowOff>161925</xdr:rowOff>
        </xdr:to>
        <xdr:sp macro="" textlink="">
          <xdr:nvSpPr>
            <xdr:cNvPr id="3271" name="AtualizarArt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33</xdr:row>
          <xdr:rowOff>133350</xdr:rowOff>
        </xdr:from>
        <xdr:to>
          <xdr:col>2</xdr:col>
          <xdr:colOff>28575</xdr:colOff>
          <xdr:row>34</xdr:row>
          <xdr:rowOff>85725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32</xdr:row>
          <xdr:rowOff>9525</xdr:rowOff>
        </xdr:from>
        <xdr:to>
          <xdr:col>7</xdr:col>
          <xdr:colOff>104775</xdr:colOff>
          <xdr:row>32</xdr:row>
          <xdr:rowOff>161925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20</xdr:row>
          <xdr:rowOff>95250</xdr:rowOff>
        </xdr:from>
        <xdr:to>
          <xdr:col>9</xdr:col>
          <xdr:colOff>581025</xdr:colOff>
          <xdr:row>21</xdr:row>
          <xdr:rowOff>47625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14</xdr:row>
          <xdr:rowOff>0</xdr:rowOff>
        </xdr:from>
        <xdr:to>
          <xdr:col>8</xdr:col>
          <xdr:colOff>19050</xdr:colOff>
          <xdr:row>14</xdr:row>
          <xdr:rowOff>180975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26</xdr:row>
          <xdr:rowOff>161925</xdr:rowOff>
        </xdr:from>
        <xdr:to>
          <xdr:col>0</xdr:col>
          <xdr:colOff>209550</xdr:colOff>
          <xdr:row>27</xdr:row>
          <xdr:rowOff>114300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20</xdr:row>
          <xdr:rowOff>76200</xdr:rowOff>
        </xdr:from>
        <xdr:to>
          <xdr:col>0</xdr:col>
          <xdr:colOff>323850</xdr:colOff>
          <xdr:row>21</xdr:row>
          <xdr:rowOff>28575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28</xdr:row>
          <xdr:rowOff>85725</xdr:rowOff>
        </xdr:from>
        <xdr:to>
          <xdr:col>9</xdr:col>
          <xdr:colOff>495300</xdr:colOff>
          <xdr:row>29</xdr:row>
          <xdr:rowOff>38100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241205</xdr:colOff>
      <xdr:row>0</xdr:row>
      <xdr:rowOff>180287</xdr:rowOff>
    </xdr:from>
    <xdr:to>
      <xdr:col>4</xdr:col>
      <xdr:colOff>347839</xdr:colOff>
      <xdr:row>0</xdr:row>
      <xdr:rowOff>1295399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B5A1B2-8E6D-45AD-B125-CD585F2E58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736505" y="180287"/>
          <a:ext cx="4526233" cy="1115112"/>
        </a:xfrm>
        <a:prstGeom prst="rect">
          <a:avLst/>
        </a:prstGeom>
      </xdr:spPr>
    </xdr:pic>
    <xdr:clientData/>
  </xdr:twoCellAnchor>
  <xdr:twoCellAnchor editAs="oneCell">
    <xdr:from>
      <xdr:col>16</xdr:col>
      <xdr:colOff>96612</xdr:colOff>
      <xdr:row>67</xdr:row>
      <xdr:rowOff>107496</xdr:rowOff>
    </xdr:from>
    <xdr:to>
      <xdr:col>16</xdr:col>
      <xdr:colOff>391008</xdr:colOff>
      <xdr:row>67</xdr:row>
      <xdr:rowOff>395496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1B338E7-67E3-4046-8B30-FFFA4CB8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56362" y="23758071"/>
          <a:ext cx="29439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94128</xdr:colOff>
      <xdr:row>68</xdr:row>
      <xdr:rowOff>65315</xdr:rowOff>
    </xdr:from>
    <xdr:to>
      <xdr:col>16</xdr:col>
      <xdr:colOff>390614</xdr:colOff>
      <xdr:row>68</xdr:row>
      <xdr:rowOff>353315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4FE2C14-23FE-4F81-9C79-B3C829E2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53878" y="24173090"/>
          <a:ext cx="29648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114300</xdr:colOff>
      <xdr:row>69</xdr:row>
      <xdr:rowOff>57150</xdr:rowOff>
    </xdr:from>
    <xdr:to>
      <xdr:col>16</xdr:col>
      <xdr:colOff>408696</xdr:colOff>
      <xdr:row>69</xdr:row>
      <xdr:rowOff>345150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66AD049-4B5F-45E5-8AF2-B3EB3F4F8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6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4050" y="24603075"/>
          <a:ext cx="29439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114300</xdr:colOff>
      <xdr:row>69</xdr:row>
      <xdr:rowOff>447676</xdr:rowOff>
    </xdr:from>
    <xdr:to>
      <xdr:col>16</xdr:col>
      <xdr:colOff>408696</xdr:colOff>
      <xdr:row>70</xdr:row>
      <xdr:rowOff>285401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6BDE0BC-2F20-4CD2-BD1B-054C9717A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4050" y="24993601"/>
          <a:ext cx="294396" cy="29492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112059</xdr:colOff>
      <xdr:row>70</xdr:row>
      <xdr:rowOff>330575</xdr:rowOff>
    </xdr:from>
    <xdr:to>
      <xdr:col>16</xdr:col>
      <xdr:colOff>406455</xdr:colOff>
      <xdr:row>71</xdr:row>
      <xdr:rowOff>169537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7AEC5CF-7A29-46C2-8D38-0D248D58D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1809" y="25333700"/>
          <a:ext cx="294396" cy="286637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123265</xdr:colOff>
      <xdr:row>76</xdr:row>
      <xdr:rowOff>56030</xdr:rowOff>
    </xdr:from>
    <xdr:to>
      <xdr:col>16</xdr:col>
      <xdr:colOff>411193</xdr:colOff>
      <xdr:row>76</xdr:row>
      <xdr:rowOff>321808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AF63B20-E0CD-460C-8DEA-FBDA0AC835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6821280"/>
          <a:ext cx="287928" cy="265778"/>
        </a:xfrm>
        <a:prstGeom prst="rect">
          <a:avLst/>
        </a:prstGeom>
        <a:ln>
          <a:noFill/>
        </a:ln>
      </xdr:spPr>
    </xdr:pic>
    <xdr:clientData/>
  </xdr:twoCellAnchor>
  <xdr:oneCellAnchor>
    <xdr:from>
      <xdr:col>16</xdr:col>
      <xdr:colOff>123265</xdr:colOff>
      <xdr:row>77</xdr:row>
      <xdr:rowOff>56030</xdr:rowOff>
    </xdr:from>
    <xdr:ext cx="287129" cy="265778"/>
    <xdr:pic>
      <xdr:nvPicPr>
        <xdr:cNvPr id="9" name="Imagem 8">
          <a:extLst>
            <a:ext uri="{FF2B5EF4-FFF2-40B4-BE49-F238E27FC236}">
              <a16:creationId xmlns:a16="http://schemas.microsoft.com/office/drawing/2014/main" id="{3090EFD7-2B3F-4BCB-98B9-24DE8625B6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202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16</xdr:col>
      <xdr:colOff>123265</xdr:colOff>
      <xdr:row>78</xdr:row>
      <xdr:rowOff>56030</xdr:rowOff>
    </xdr:from>
    <xdr:ext cx="287129" cy="265778"/>
    <xdr:pic>
      <xdr:nvPicPr>
        <xdr:cNvPr id="10" name="Imagem 9">
          <a:extLst>
            <a:ext uri="{FF2B5EF4-FFF2-40B4-BE49-F238E27FC236}">
              <a16:creationId xmlns:a16="http://schemas.microsoft.com/office/drawing/2014/main" id="{65BFDAAE-677F-4B81-9B3B-7FF7B42FE2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583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16</xdr:col>
      <xdr:colOff>123265</xdr:colOff>
      <xdr:row>79</xdr:row>
      <xdr:rowOff>56030</xdr:rowOff>
    </xdr:from>
    <xdr:ext cx="287129" cy="265778"/>
    <xdr:pic>
      <xdr:nvPicPr>
        <xdr:cNvPr id="11" name="Imagem 10">
          <a:extLst>
            <a:ext uri="{FF2B5EF4-FFF2-40B4-BE49-F238E27FC236}">
              <a16:creationId xmlns:a16="http://schemas.microsoft.com/office/drawing/2014/main" id="{C893E338-5597-43BD-8F82-0F129EF069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964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9</xdr:col>
      <xdr:colOff>163285</xdr:colOff>
      <xdr:row>71</xdr:row>
      <xdr:rowOff>40820</xdr:rowOff>
    </xdr:from>
    <xdr:to>
      <xdr:col>9</xdr:col>
      <xdr:colOff>630114</xdr:colOff>
      <xdr:row>72</xdr:row>
      <xdr:rowOff>14653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A8649703-3869-F807-B0E9-90A38835F6E3}"/>
            </a:ext>
          </a:extLst>
        </xdr:cNvPr>
        <xdr:cNvSpPr/>
      </xdr:nvSpPr>
      <xdr:spPr>
        <a:xfrm>
          <a:off x="12780247" y="29062762"/>
          <a:ext cx="466829" cy="2229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Link</a:t>
          </a:r>
        </a:p>
      </xdr:txBody>
    </xdr:sp>
    <xdr:clientData/>
  </xdr:twoCellAnchor>
  <xdr:twoCellAnchor>
    <xdr:from>
      <xdr:col>9</xdr:col>
      <xdr:colOff>153865</xdr:colOff>
      <xdr:row>72</xdr:row>
      <xdr:rowOff>36634</xdr:rowOff>
    </xdr:from>
    <xdr:to>
      <xdr:col>9</xdr:col>
      <xdr:colOff>630115</xdr:colOff>
      <xdr:row>72</xdr:row>
      <xdr:rowOff>234461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25B376E-3E9C-CF14-1C95-DA39FD123416}"/>
            </a:ext>
          </a:extLst>
        </xdr:cNvPr>
        <xdr:cNvSpPr/>
      </xdr:nvSpPr>
      <xdr:spPr>
        <a:xfrm>
          <a:off x="12770827" y="29307692"/>
          <a:ext cx="476250" cy="19782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Link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174625</xdr:colOff>
      <xdr:row>0</xdr:row>
      <xdr:rowOff>206376</xdr:rowOff>
    </xdr:from>
    <xdr:to>
      <xdr:col>10</xdr:col>
      <xdr:colOff>234121</xdr:colOff>
      <xdr:row>1</xdr:row>
      <xdr:rowOff>285750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35203FC-ACAF-41D9-AB02-FACD4AB6D303}"/>
            </a:ext>
          </a:extLst>
        </xdr:cNvPr>
        <xdr:cNvGrpSpPr>
          <a:grpSpLocks noChangeAspect="1"/>
        </xdr:cNvGrpSpPr>
      </xdr:nvGrpSpPr>
      <xdr:grpSpPr>
        <a:xfrm>
          <a:off x="11064875" y="206376"/>
          <a:ext cx="1869246" cy="825499"/>
          <a:chOff x="9848022" y="256761"/>
          <a:chExt cx="795130" cy="364435"/>
        </a:xfrm>
      </xdr:grpSpPr>
      <xdr:sp macro="[0]!ImportarDadosTI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F12C38C-ADB4-3E32-A08D-C7CE5B56A57D}"/>
              </a:ext>
            </a:extLst>
          </xdr:cNvPr>
          <xdr:cNvSpPr/>
        </xdr:nvSpPr>
        <xdr:spPr>
          <a:xfrm>
            <a:off x="9848022" y="256761"/>
            <a:ext cx="795130" cy="364435"/>
          </a:xfrm>
          <a:prstGeom prst="roundRect">
            <a:avLst/>
          </a:prstGeom>
          <a:ln w="1905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2800">
                <a:latin typeface="Times New Roman" panose="02020603050405020304" pitchFamily="18" charset="0"/>
                <a:cs typeface="Times New Roman" panose="02020603050405020304" pitchFamily="18" charset="0"/>
              </a:rPr>
              <a:t>Atualizar</a:t>
            </a:r>
          </a:p>
        </xdr:txBody>
      </xdr:sp>
      <xdr:pic macro="[0]!ImportarDadosTI">
        <xdr:nvPicPr>
          <xdr:cNvPr id="4" name="Gráfico 3" descr="Seta circular com preenchimento sólido">
            <a:extLst>
              <a:ext uri="{FF2B5EF4-FFF2-40B4-BE49-F238E27FC236}">
                <a16:creationId xmlns:a16="http://schemas.microsoft.com/office/drawing/2014/main" id="{77692C92-26AC-2D74-903F-6EA849E9E3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848022" y="356152"/>
            <a:ext cx="190500" cy="1905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176893</xdr:colOff>
      <xdr:row>0</xdr:row>
      <xdr:rowOff>0</xdr:rowOff>
    </xdr:from>
    <xdr:to>
      <xdr:col>27</xdr:col>
      <xdr:colOff>497052</xdr:colOff>
      <xdr:row>26</xdr:row>
      <xdr:rowOff>176892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C7CB6DB-43E5-9769-9DAE-C42CDA0A6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93" y="0"/>
          <a:ext cx="19193266" cy="512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139155</xdr:colOff>
      <xdr:row>0</xdr:row>
      <xdr:rowOff>81642</xdr:rowOff>
    </xdr:from>
    <xdr:to>
      <xdr:col>2</xdr:col>
      <xdr:colOff>347206</xdr:colOff>
      <xdr:row>1</xdr:row>
      <xdr:rowOff>-1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8588627-ACE8-42FA-B310-90CFBF42FC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139155" y="81642"/>
          <a:ext cx="2147687" cy="5764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68710</xdr:rowOff>
    </xdr:from>
    <xdr:to>
      <xdr:col>2</xdr:col>
      <xdr:colOff>156123</xdr:colOff>
      <xdr:row>42</xdr:row>
      <xdr:rowOff>642638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EAFA192-604C-4097-BC5A-86F8E91C74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0" y="12503165"/>
          <a:ext cx="2095759" cy="5739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51955</xdr:rowOff>
    </xdr:from>
    <xdr:to>
      <xdr:col>12</xdr:col>
      <xdr:colOff>17319</xdr:colOff>
      <xdr:row>19</xdr:row>
      <xdr:rowOff>17318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F243720-DBCD-4B93-8E73-B93F7B6B5413}"/>
            </a:ext>
          </a:extLst>
        </xdr:cNvPr>
        <xdr:cNvCxnSpPr/>
      </xdr:nvCxnSpPr>
      <xdr:spPr>
        <a:xfrm flipH="1">
          <a:off x="2362200" y="480580"/>
          <a:ext cx="0" cy="3308638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922688</xdr:colOff>
      <xdr:row>18</xdr:row>
      <xdr:rowOff>180603</xdr:rowOff>
    </xdr:from>
    <xdr:to>
      <xdr:col>12</xdr:col>
      <xdr:colOff>748393</xdr:colOff>
      <xdr:row>21</xdr:row>
      <xdr:rowOff>128650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270E74D-B9B5-4659-9DA2-001384B21755}"/>
            </a:ext>
          </a:extLst>
        </xdr:cNvPr>
        <xdr:cNvSpPr txBox="1"/>
      </xdr:nvSpPr>
      <xdr:spPr>
        <a:xfrm>
          <a:off x="2362200" y="3762003"/>
          <a:ext cx="0" cy="5195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>
              <a:solidFill>
                <a:srgbClr val="FF0000"/>
              </a:solidFill>
            </a:rPr>
            <a:t>IPCA</a:t>
          </a:r>
        </a:p>
      </xdr:txBody>
    </xdr:sp>
    <xdr:clientData/>
  </xdr:twoCellAnchor>
  <xdr:twoCellAnchor>
    <xdr:from>
      <xdr:col>17</xdr:col>
      <xdr:colOff>884465</xdr:colOff>
      <xdr:row>17</xdr:row>
      <xdr:rowOff>68036</xdr:rowOff>
    </xdr:from>
    <xdr:to>
      <xdr:col>17</xdr:col>
      <xdr:colOff>886939</xdr:colOff>
      <xdr:row>19</xdr:row>
      <xdr:rowOff>174420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8053FA61-A098-453A-A8C6-B8FDA7F937FE}"/>
            </a:ext>
          </a:extLst>
        </xdr:cNvPr>
        <xdr:cNvCxnSpPr/>
      </xdr:nvCxnSpPr>
      <xdr:spPr>
        <a:xfrm>
          <a:off x="7361465" y="3458936"/>
          <a:ext cx="2474" cy="487384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689017</xdr:colOff>
      <xdr:row>19</xdr:row>
      <xdr:rowOff>127658</xdr:rowOff>
    </xdr:from>
    <xdr:to>
      <xdr:col>17</xdr:col>
      <xdr:colOff>1472046</xdr:colOff>
      <xdr:row>24</xdr:row>
      <xdr:rowOff>183076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3D11AB3B-986B-433E-A61F-437CD7D4C850}"/>
            </a:ext>
          </a:extLst>
        </xdr:cNvPr>
        <xdr:cNvSpPr txBox="1"/>
      </xdr:nvSpPr>
      <xdr:spPr>
        <a:xfrm>
          <a:off x="5603917" y="3899558"/>
          <a:ext cx="2345129" cy="1007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2000" i="1">
              <a:solidFill>
                <a:srgbClr val="FF0000"/>
              </a:solidFill>
            </a:rPr>
            <a:t>Pouco</a:t>
          </a:r>
          <a:r>
            <a:rPr lang="pt-BR" sz="2000" i="1" baseline="0">
              <a:solidFill>
                <a:srgbClr val="FF0000"/>
              </a:solidFill>
            </a:rPr>
            <a:t> saldo contratual</a:t>
          </a:r>
          <a:endParaRPr lang="pt-BR" sz="2000" i="1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697676</xdr:colOff>
      <xdr:row>14</xdr:row>
      <xdr:rowOff>143494</xdr:rowOff>
    </xdr:from>
    <xdr:to>
      <xdr:col>15</xdr:col>
      <xdr:colOff>714994</xdr:colOff>
      <xdr:row>23</xdr:row>
      <xdr:rowOff>71746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9070B788-F659-4F04-ACBD-02142714069A}"/>
            </a:ext>
          </a:extLst>
        </xdr:cNvPr>
        <xdr:cNvCxnSpPr/>
      </xdr:nvCxnSpPr>
      <xdr:spPr>
        <a:xfrm>
          <a:off x="19568382" y="3370788"/>
          <a:ext cx="17318" cy="2068576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280147</xdr:colOff>
      <xdr:row>22</xdr:row>
      <xdr:rowOff>84539</xdr:rowOff>
    </xdr:from>
    <xdr:to>
      <xdr:col>17</xdr:col>
      <xdr:colOff>857643</xdr:colOff>
      <xdr:row>27</xdr:row>
      <xdr:rowOff>139957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25D14E8D-00A3-4CBC-AC02-EDD0899F1C52}"/>
            </a:ext>
          </a:extLst>
        </xdr:cNvPr>
        <xdr:cNvSpPr txBox="1"/>
      </xdr:nvSpPr>
      <xdr:spPr>
        <a:xfrm>
          <a:off x="3880597" y="4427939"/>
          <a:ext cx="3454046" cy="1007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i="1">
              <a:solidFill>
                <a:srgbClr val="002060"/>
              </a:solidFill>
            </a:rPr>
            <a:t>Crescimento significativo</a:t>
          </a:r>
          <a:r>
            <a:rPr lang="pt-BR" sz="2000" i="1" baseline="0">
              <a:solidFill>
                <a:srgbClr val="002060"/>
              </a:solidFill>
            </a:rPr>
            <a:t> </a:t>
          </a:r>
          <a:r>
            <a:rPr lang="pt-BR" sz="2000" i="1">
              <a:solidFill>
                <a:srgbClr val="002060"/>
              </a:solidFill>
            </a:rPr>
            <a:t>após absorver contratos XXXX</a:t>
          </a:r>
        </a:p>
      </xdr:txBody>
    </xdr:sp>
    <xdr:clientData/>
  </xdr:twoCellAnchor>
  <xdr:twoCellAnchor>
    <xdr:from>
      <xdr:col>18</xdr:col>
      <xdr:colOff>683559</xdr:colOff>
      <xdr:row>17</xdr:row>
      <xdr:rowOff>44824</xdr:rowOff>
    </xdr:from>
    <xdr:to>
      <xdr:col>18</xdr:col>
      <xdr:colOff>686033</xdr:colOff>
      <xdr:row>19</xdr:row>
      <xdr:rowOff>151208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5E4B42A1-C76C-4A3A-8369-E783A6C96940}"/>
            </a:ext>
          </a:extLst>
        </xdr:cNvPr>
        <xdr:cNvCxnSpPr/>
      </xdr:nvCxnSpPr>
      <xdr:spPr>
        <a:xfrm>
          <a:off x="8722659" y="3435724"/>
          <a:ext cx="2474" cy="487384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89647</xdr:colOff>
      <xdr:row>19</xdr:row>
      <xdr:rowOff>123264</xdr:rowOff>
    </xdr:from>
    <xdr:to>
      <xdr:col>19</xdr:col>
      <xdr:colOff>100854</xdr:colOff>
      <xdr:row>24</xdr:row>
      <xdr:rowOff>145676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6F34F41A-3E6C-4D3B-B628-5D0B9D87A328}"/>
            </a:ext>
          </a:extLst>
        </xdr:cNvPr>
        <xdr:cNvSpPr txBox="1"/>
      </xdr:nvSpPr>
      <xdr:spPr>
        <a:xfrm>
          <a:off x="8128747" y="3895164"/>
          <a:ext cx="1239932" cy="974912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1">
              <a:solidFill>
                <a:srgbClr val="FF0000"/>
              </a:solidFill>
            </a:rPr>
            <a:t>Saldo Contratual</a:t>
          </a:r>
          <a:r>
            <a:rPr lang="pt-BR" sz="1800" b="1" baseline="0">
              <a:solidFill>
                <a:srgbClr val="FF0000"/>
              </a:solidFill>
            </a:rPr>
            <a:t> Exedido</a:t>
          </a:r>
        </a:p>
        <a:p>
          <a:endParaRPr lang="pt-BR" sz="1100"/>
        </a:p>
      </xdr:txBody>
    </xdr:sp>
    <xdr:clientData/>
  </xdr:twoCellAnchor>
  <xdr:twoCellAnchor editAs="oneCell">
    <xdr:from>
      <xdr:col>0</xdr:col>
      <xdr:colOff>33618</xdr:colOff>
      <xdr:row>4</xdr:row>
      <xdr:rowOff>246529</xdr:rowOff>
    </xdr:from>
    <xdr:to>
      <xdr:col>0</xdr:col>
      <xdr:colOff>2338909</xdr:colOff>
      <xdr:row>5</xdr:row>
      <xdr:rowOff>342388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0970F15-CAC6-4522-B886-5CB7406F1C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33618" y="1288676"/>
          <a:ext cx="2305291" cy="521683"/>
        </a:xfrm>
        <a:prstGeom prst="rect">
          <a:avLst/>
        </a:prstGeom>
      </xdr:spPr>
    </xdr:pic>
    <xdr:clientData/>
  </xdr:twoCellAnchor>
  <xdr:twoCellAnchor>
    <xdr:from>
      <xdr:col>23</xdr:col>
      <xdr:colOff>1355912</xdr:colOff>
      <xdr:row>7</xdr:row>
      <xdr:rowOff>11205</xdr:rowOff>
    </xdr:from>
    <xdr:to>
      <xdr:col>24</xdr:col>
      <xdr:colOff>22412</xdr:colOff>
      <xdr:row>18</xdr:row>
      <xdr:rowOff>123264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8542A685-3231-934A-E506-BE1D4D8D6F8F}"/>
            </a:ext>
          </a:extLst>
        </xdr:cNvPr>
        <xdr:cNvCxnSpPr/>
      </xdr:nvCxnSpPr>
      <xdr:spPr>
        <a:xfrm>
          <a:off x="14466794" y="2241176"/>
          <a:ext cx="33618" cy="2297206"/>
        </a:xfrm>
        <a:prstGeom prst="straightConnector1">
          <a:avLst/>
        </a:prstGeom>
        <a:ln w="38100" cap="flat" cmpd="sng" algn="ctr">
          <a:solidFill>
            <a:srgbClr val="FF0000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986116</xdr:colOff>
      <xdr:row>18</xdr:row>
      <xdr:rowOff>67233</xdr:rowOff>
    </xdr:from>
    <xdr:to>
      <xdr:col>24</xdr:col>
      <xdr:colOff>773205</xdr:colOff>
      <xdr:row>23</xdr:row>
      <xdr:rowOff>100852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C657B46B-46BD-4E3C-9C10-2FB7E2BA59F5}"/>
            </a:ext>
          </a:extLst>
        </xdr:cNvPr>
        <xdr:cNvSpPr txBox="1"/>
      </xdr:nvSpPr>
      <xdr:spPr>
        <a:xfrm>
          <a:off x="14096998" y="4482351"/>
          <a:ext cx="1154207" cy="986119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rgbClr val="FF0000"/>
              </a:solidFill>
            </a:rPr>
            <a:t>Renovação</a:t>
          </a:r>
          <a:r>
            <a:rPr lang="pt-BR" sz="1400" b="1" baseline="0">
              <a:solidFill>
                <a:srgbClr val="FF0000"/>
              </a:solidFill>
            </a:rPr>
            <a:t>  de contrato para todas as UFVS.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35297</xdr:colOff>
      <xdr:row>2</xdr:row>
      <xdr:rowOff>128795</xdr:rowOff>
    </xdr:from>
    <xdr:to>
      <xdr:col>6</xdr:col>
      <xdr:colOff>504263</xdr:colOff>
      <xdr:row>16</xdr:row>
      <xdr:rowOff>123265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58FB50-444C-75B8-DC2F-1A1008196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78442</xdr:colOff>
      <xdr:row>9</xdr:row>
      <xdr:rowOff>78442</xdr:rowOff>
    </xdr:from>
    <xdr:to>
      <xdr:col>18</xdr:col>
      <xdr:colOff>600075</xdr:colOff>
      <xdr:row>10</xdr:row>
      <xdr:rowOff>123265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BD80799-B54B-43CA-2F01-729108A46A3C}"/>
            </a:ext>
          </a:extLst>
        </xdr:cNvPr>
        <xdr:cNvGrpSpPr/>
      </xdr:nvGrpSpPr>
      <xdr:grpSpPr>
        <a:xfrm>
          <a:off x="14802971" y="2375648"/>
          <a:ext cx="521633" cy="235323"/>
          <a:chOff x="13736464" y="1792942"/>
          <a:chExt cx="453594" cy="235323"/>
        </a:xfrm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367A5268-44B0-5E3D-0DA1-031BFA57869E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12" name="Gráfico 11" descr="Gráfico de barras com preenchimento sólido">
            <a:extLst>
              <a:ext uri="{FF2B5EF4-FFF2-40B4-BE49-F238E27FC236}">
                <a16:creationId xmlns:a16="http://schemas.microsoft.com/office/drawing/2014/main" id="{C1B04453-14DA-D675-F952-49FFA32E87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66675</xdr:colOff>
      <xdr:row>6</xdr:row>
      <xdr:rowOff>28575</xdr:rowOff>
    </xdr:from>
    <xdr:to>
      <xdr:col>18</xdr:col>
      <xdr:colOff>619125</xdr:colOff>
      <xdr:row>7</xdr:row>
      <xdr:rowOff>73398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59A67CB-6AC8-4A12-9F76-E125B151BE4B}"/>
            </a:ext>
          </a:extLst>
        </xdr:cNvPr>
        <xdr:cNvGrpSpPr/>
      </xdr:nvGrpSpPr>
      <xdr:grpSpPr>
        <a:xfrm>
          <a:off x="14791204" y="1171575"/>
          <a:ext cx="552450" cy="616323"/>
          <a:chOff x="13736464" y="1792942"/>
          <a:chExt cx="453594" cy="235323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DBAFFD66-B054-8686-60D0-BC9E0CFDC7D7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23" name="Gráfico 22" descr="Gráfico de barras com preenchimento sólido">
            <a:extLst>
              <a:ext uri="{FF2B5EF4-FFF2-40B4-BE49-F238E27FC236}">
                <a16:creationId xmlns:a16="http://schemas.microsoft.com/office/drawing/2014/main" id="{60FABF92-20E9-0563-8D2D-4B0C249F5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53788</xdr:colOff>
      <xdr:row>8</xdr:row>
      <xdr:rowOff>44823</xdr:rowOff>
    </xdr:from>
    <xdr:to>
      <xdr:col>18</xdr:col>
      <xdr:colOff>587188</xdr:colOff>
      <xdr:row>8</xdr:row>
      <xdr:rowOff>310962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241D670F-3CEE-4ADB-8C5F-C656609691FE}"/>
            </a:ext>
          </a:extLst>
        </xdr:cNvPr>
        <xdr:cNvGrpSpPr/>
      </xdr:nvGrpSpPr>
      <xdr:grpSpPr>
        <a:xfrm>
          <a:off x="14778317" y="1949823"/>
          <a:ext cx="533400" cy="266139"/>
          <a:chOff x="13736464" y="1792942"/>
          <a:chExt cx="453594" cy="235323"/>
        </a:xfrm>
      </xdr:grpSpPr>
      <xdr:sp macro="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F17630D6-DECB-AE65-3265-20B4BA91783E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32" name="Gráfico 31" descr="Gráfico de barras com preenchimento sólido">
            <a:extLst>
              <a:ext uri="{FF2B5EF4-FFF2-40B4-BE49-F238E27FC236}">
                <a16:creationId xmlns:a16="http://schemas.microsoft.com/office/drawing/2014/main" id="{0A6C592D-E860-AC6C-EF10-BD74C61498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571500</xdr:colOff>
      <xdr:row>2</xdr:row>
      <xdr:rowOff>123266</xdr:rowOff>
    </xdr:from>
    <xdr:to>
      <xdr:col>13</xdr:col>
      <xdr:colOff>1165412</xdr:colOff>
      <xdr:row>16</xdr:row>
      <xdr:rowOff>145677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19E08AA2-7E70-E9E6-0BDD-07E244BAD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66675</xdr:colOff>
      <xdr:row>1</xdr:row>
      <xdr:rowOff>0</xdr:rowOff>
    </xdr:from>
    <xdr:to>
      <xdr:col>18</xdr:col>
      <xdr:colOff>549089</xdr:colOff>
      <xdr:row>2</xdr:row>
      <xdr:rowOff>89647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9BD601F-3739-409B-BAB1-8CF69A8567FD}"/>
            </a:ext>
          </a:extLst>
        </xdr:cNvPr>
        <xdr:cNvGrpSpPr/>
      </xdr:nvGrpSpPr>
      <xdr:grpSpPr>
        <a:xfrm>
          <a:off x="14791204" y="190500"/>
          <a:ext cx="482414" cy="280147"/>
          <a:chOff x="13736464" y="1792942"/>
          <a:chExt cx="453594" cy="235323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E30BF053-F877-8DCB-D075-D575A5AAA5AD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4" name="Gráfico 3" descr="Gráfico de barras com preenchimento sólido">
            <a:extLst>
              <a:ext uri="{FF2B5EF4-FFF2-40B4-BE49-F238E27FC236}">
                <a16:creationId xmlns:a16="http://schemas.microsoft.com/office/drawing/2014/main" id="{06E18E99-2012-52F6-03FA-5AB1DC8659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2" name="Straight Arrow Connector 15">
          <a:extLst>
            <a:ext uri="{FF2B5EF4-FFF2-40B4-BE49-F238E27FC236}">
              <a16:creationId xmlns:a16="http://schemas.microsoft.com/office/drawing/2014/main" id="{2F71503F-67DD-4E2B-8B8F-496E6260AC1D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7A26ACAF-77BC-4117-BED4-76DA371C3F27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4" name="Straight Arrow Connector 15">
          <a:extLst>
            <a:ext uri="{FF2B5EF4-FFF2-40B4-BE49-F238E27FC236}">
              <a16:creationId xmlns:a16="http://schemas.microsoft.com/office/drawing/2014/main" id="{4251E1A9-DF18-4084-B8D0-30D3C4AF9923}"/>
            </a:ext>
          </a:extLst>
        </xdr:cNvPr>
        <xdr:cNvCxnSpPr>
          <a:stCxn id="6" idx="3"/>
          <a:endCxn id="5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576F238-57E0-4D81-A796-3EE408A9C41D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482ECEB-7F01-4091-9010-833101EF28D0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A163AB9-49C1-4714-B812-E1DA1612F8C3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10" name="Straight Arrow Connector 15">
          <a:extLst>
            <a:ext uri="{FF2B5EF4-FFF2-40B4-BE49-F238E27FC236}">
              <a16:creationId xmlns:a16="http://schemas.microsoft.com/office/drawing/2014/main" id="{A57A1FFE-DD49-486E-B7E5-5A92B1DEECC7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63BFEA8B-763D-4D1D-A528-FE9897DFBF6A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12" name="Straight Arrow Connector 15">
          <a:extLst>
            <a:ext uri="{FF2B5EF4-FFF2-40B4-BE49-F238E27FC236}">
              <a16:creationId xmlns:a16="http://schemas.microsoft.com/office/drawing/2014/main" id="{DF1E610B-ED49-4A66-8E4A-D253A65E9D55}"/>
            </a:ext>
          </a:extLst>
        </xdr:cNvPr>
        <xdr:cNvCxnSpPr>
          <a:stCxn id="14" idx="3"/>
          <a:endCxn id="13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77555765-5ECD-424E-BEB4-A6901D9A4C32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04C15C7-0BCA-42B1-9C56-32E1BACCB774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5CA788B-49B6-4FC3-A9E8-82C578CC5D2A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18" name="Straight Arrow Connector 15">
          <a:extLst>
            <a:ext uri="{FF2B5EF4-FFF2-40B4-BE49-F238E27FC236}">
              <a16:creationId xmlns:a16="http://schemas.microsoft.com/office/drawing/2014/main" id="{A0E63F99-8872-446A-AE1B-C1F3C70185E3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ED504B5D-3CB1-4FCC-B622-34C3527F8516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20" name="Straight Arrow Connector 15">
          <a:extLst>
            <a:ext uri="{FF2B5EF4-FFF2-40B4-BE49-F238E27FC236}">
              <a16:creationId xmlns:a16="http://schemas.microsoft.com/office/drawing/2014/main" id="{F5907434-ACDB-49FC-8D2A-25EACEA67E70}"/>
            </a:ext>
          </a:extLst>
        </xdr:cNvPr>
        <xdr:cNvCxnSpPr>
          <a:stCxn id="22" idx="3"/>
          <a:endCxn id="21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6E2F304-4883-4C4B-BDE6-CAB88F29D398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5692AF13-09F4-4773-A31E-9A9BD77C9B9F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8BB73515-FE85-4811-B836-1E8AE4B7175C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URGÊNCIA</a:t>
          </a:r>
        </a:p>
      </xdr:txBody>
    </xdr:sp>
    <xdr:clientData/>
  </xdr:twoCellAnchor>
  <xdr:twoCellAnchor>
    <xdr:from>
      <xdr:col>0</xdr:col>
      <xdr:colOff>1</xdr:colOff>
      <xdr:row>6</xdr:row>
      <xdr:rowOff>1311024</xdr:rowOff>
    </xdr:from>
    <xdr:to>
      <xdr:col>0</xdr:col>
      <xdr:colOff>527539</xdr:colOff>
      <xdr:row>6</xdr:row>
      <xdr:rowOff>1663211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3EED6E8-991C-4EF1-8190-A1D817EE3222}"/>
            </a:ext>
          </a:extLst>
        </xdr:cNvPr>
        <xdr:cNvSpPr txBox="1"/>
      </xdr:nvSpPr>
      <xdr:spPr>
        <a:xfrm>
          <a:off x="1" y="3113447"/>
          <a:ext cx="527538" cy="352187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rgbClr val="00B050"/>
              </a:solidFill>
            </a:rPr>
            <a:t>BAIXA</a:t>
          </a:r>
        </a:p>
      </xdr:txBody>
    </xdr:sp>
    <xdr:clientData/>
  </xdr:twoCellAnchor>
  <xdr:twoCellAnchor>
    <xdr:from>
      <xdr:col>0</xdr:col>
      <xdr:colOff>62433</xdr:colOff>
      <xdr:row>5</xdr:row>
      <xdr:rowOff>108013</xdr:rowOff>
    </xdr:from>
    <xdr:to>
      <xdr:col>1</xdr:col>
      <xdr:colOff>8084</xdr:colOff>
      <xdr:row>5</xdr:row>
      <xdr:rowOff>319527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545ADC64-E172-4377-87E3-F9CCFDDAA52D}"/>
            </a:ext>
          </a:extLst>
        </xdr:cNvPr>
        <xdr:cNvSpPr txBox="1"/>
      </xdr:nvSpPr>
      <xdr:spPr>
        <a:xfrm>
          <a:off x="62433" y="1501384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 b="1">
              <a:solidFill>
                <a:srgbClr val="FF0000"/>
              </a:solidFill>
            </a:rPr>
            <a:t>ALTA</a:t>
          </a:r>
          <a:endParaRPr lang="pt-B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26" name="Straight Arrow Connector 15">
          <a:extLst>
            <a:ext uri="{FF2B5EF4-FFF2-40B4-BE49-F238E27FC236}">
              <a16:creationId xmlns:a16="http://schemas.microsoft.com/office/drawing/2014/main" id="{9132C067-0473-4B37-8953-C7C6B4EE36A9}"/>
            </a:ext>
          </a:extLst>
        </xdr:cNvPr>
        <xdr:cNvCxnSpPr>
          <a:stCxn id="28" idx="3"/>
          <a:endCxn id="27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1798B596-8C69-48FE-AD23-A47FDB16C381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326A8837-E8BB-48C2-80AE-4E93FF008142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F0A357F-5ADA-487C-B322-3910EAA13F32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30" name="Straight Arrow Connector 15">
          <a:extLst>
            <a:ext uri="{FF2B5EF4-FFF2-40B4-BE49-F238E27FC236}">
              <a16:creationId xmlns:a16="http://schemas.microsoft.com/office/drawing/2014/main" id="{6C4C19BC-8177-4493-9B48-C7D74EA4A181}"/>
            </a:ext>
          </a:extLst>
        </xdr:cNvPr>
        <xdr:cNvCxnSpPr>
          <a:stCxn id="32" idx="3"/>
          <a:endCxn id="31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A4332254-07C2-41A5-BFEE-A2021E82F772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A858A8B4-012A-42EE-8278-FA70BB22E781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F88651EC-710D-4B78-A456-5766484BAAAC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34" name="Straight Arrow Connector 15">
          <a:extLst>
            <a:ext uri="{FF2B5EF4-FFF2-40B4-BE49-F238E27FC236}">
              <a16:creationId xmlns:a16="http://schemas.microsoft.com/office/drawing/2014/main" id="{F5C68DEE-2F96-42B7-A6C2-C66ED6DA2666}"/>
            </a:ext>
          </a:extLst>
        </xdr:cNvPr>
        <xdr:cNvCxnSpPr>
          <a:stCxn id="36" idx="3"/>
          <a:endCxn id="35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271E51D1-70B5-4807-8C11-288E37B83E86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9407F7A5-DA68-46C4-87AA-D6C2ADBB41E0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6AC253E3-142F-4E0D-B675-3EFF926B67EB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URGÊNCIA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38" name="Straight Arrow Connector 15">
          <a:extLst>
            <a:ext uri="{FF2B5EF4-FFF2-40B4-BE49-F238E27FC236}">
              <a16:creationId xmlns:a16="http://schemas.microsoft.com/office/drawing/2014/main" id="{CB38CB73-5039-48A4-AB6E-DCD739A0DED5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46088793-23B4-47E2-8C22-3F2659D1D93E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2226C54E-96E5-4311-8605-73EA246523C6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41" name="Straight Arrow Connector 15">
          <a:extLst>
            <a:ext uri="{FF2B5EF4-FFF2-40B4-BE49-F238E27FC236}">
              <a16:creationId xmlns:a16="http://schemas.microsoft.com/office/drawing/2014/main" id="{9B6D67E8-85C5-493C-BC93-91FCCC3C67E2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AEEFA7DC-63AE-44E9-BB79-7D6C750F3BBD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4FE43C0D-23EC-4523-96CB-8D863D9811DA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44" name="Straight Arrow Connector 15">
          <a:extLst>
            <a:ext uri="{FF2B5EF4-FFF2-40B4-BE49-F238E27FC236}">
              <a16:creationId xmlns:a16="http://schemas.microsoft.com/office/drawing/2014/main" id="{A88AE4EB-D33B-4DC1-8127-F20CB9237C79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C8CAE1D-892D-49D1-BAC2-7C783BB97D73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1</xdr:colOff>
      <xdr:row>6</xdr:row>
      <xdr:rowOff>1311024</xdr:rowOff>
    </xdr:from>
    <xdr:to>
      <xdr:col>4</xdr:col>
      <xdr:colOff>527539</xdr:colOff>
      <xdr:row>6</xdr:row>
      <xdr:rowOff>1663211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0BEC6217-E030-455E-BFB8-4FE5E8C03C3F}"/>
            </a:ext>
          </a:extLst>
        </xdr:cNvPr>
        <xdr:cNvSpPr txBox="1"/>
      </xdr:nvSpPr>
      <xdr:spPr>
        <a:xfrm>
          <a:off x="1" y="4495095"/>
          <a:ext cx="527538" cy="352187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rgbClr val="00B050"/>
              </a:solidFill>
            </a:rPr>
            <a:t>BAIXA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6282FD37-EA69-4D95-BFE6-77AF5B6B7618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2</xdr:col>
      <xdr:colOff>1636059</xdr:colOff>
      <xdr:row>5</xdr:row>
      <xdr:rowOff>156882</xdr:rowOff>
    </xdr:from>
    <xdr:to>
      <xdr:col>2</xdr:col>
      <xdr:colOff>2955589</xdr:colOff>
      <xdr:row>5</xdr:row>
      <xdr:rowOff>603287</xdr:rowOff>
    </xdr:to>
    <xdr:sp macro="" textlink="">
      <xdr:nvSpPr>
        <xdr:cNvPr id="48" name="Caixa de Texto 20">
          <a:extLst>
            <a:ext uri="{FF2B5EF4-FFF2-40B4-BE49-F238E27FC236}">
              <a16:creationId xmlns:a16="http://schemas.microsoft.com/office/drawing/2014/main" id="{C2FBD743-C02B-72D6-A1B3-36CEC4801F61}"/>
            </a:ext>
          </a:extLst>
        </xdr:cNvPr>
        <xdr:cNvSpPr txBox="1"/>
      </xdr:nvSpPr>
      <xdr:spPr>
        <a:xfrm>
          <a:off x="4885765" y="1546411"/>
          <a:ext cx="1319530" cy="446405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ACIONAMENTO DAS EQUIPES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1669677</xdr:colOff>
      <xdr:row>5</xdr:row>
      <xdr:rowOff>1367117</xdr:rowOff>
    </xdr:from>
    <xdr:to>
      <xdr:col>1</xdr:col>
      <xdr:colOff>2677422</xdr:colOff>
      <xdr:row>5</xdr:row>
      <xdr:rowOff>1636992</xdr:rowOff>
    </xdr:to>
    <xdr:sp macro="" textlink="">
      <xdr:nvSpPr>
        <xdr:cNvPr id="49" name="Caixa de Texto 20">
          <a:extLst>
            <a:ext uri="{FF2B5EF4-FFF2-40B4-BE49-F238E27FC236}">
              <a16:creationId xmlns:a16="http://schemas.microsoft.com/office/drawing/2014/main" id="{822C64CF-4FDA-19E2-B57F-506B83E5BB43}"/>
            </a:ext>
          </a:extLst>
        </xdr:cNvPr>
        <xdr:cNvSpPr txBox="1"/>
      </xdr:nvSpPr>
      <xdr:spPr>
        <a:xfrm>
          <a:off x="2207559" y="2756646"/>
          <a:ext cx="1007745" cy="269875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SUPRIMENTO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1848971</xdr:colOff>
      <xdr:row>5</xdr:row>
      <xdr:rowOff>1725705</xdr:rowOff>
    </xdr:from>
    <xdr:to>
      <xdr:col>1</xdr:col>
      <xdr:colOff>2342366</xdr:colOff>
      <xdr:row>6</xdr:row>
      <xdr:rowOff>222548</xdr:rowOff>
    </xdr:to>
    <xdr:sp macro="" textlink="">
      <xdr:nvSpPr>
        <xdr:cNvPr id="50" name="Caixa de Texto 20">
          <a:extLst>
            <a:ext uri="{FF2B5EF4-FFF2-40B4-BE49-F238E27FC236}">
              <a16:creationId xmlns:a16="http://schemas.microsoft.com/office/drawing/2014/main" id="{1B483873-5D31-440D-BBEA-E73523ED8DDA}"/>
            </a:ext>
          </a:extLst>
        </xdr:cNvPr>
        <xdr:cNvSpPr txBox="1"/>
      </xdr:nvSpPr>
      <xdr:spPr>
        <a:xfrm>
          <a:off x="2386853" y="3115234"/>
          <a:ext cx="493395" cy="30099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CFTV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493059</xdr:colOff>
      <xdr:row>6</xdr:row>
      <xdr:rowOff>0</xdr:rowOff>
    </xdr:from>
    <xdr:to>
      <xdr:col>2</xdr:col>
      <xdr:colOff>1355389</xdr:colOff>
      <xdr:row>6</xdr:row>
      <xdr:rowOff>446405</xdr:rowOff>
    </xdr:to>
    <xdr:sp macro="" textlink="">
      <xdr:nvSpPr>
        <xdr:cNvPr id="51" name="Caixa de Texto 20">
          <a:extLst>
            <a:ext uri="{FF2B5EF4-FFF2-40B4-BE49-F238E27FC236}">
              <a16:creationId xmlns:a16="http://schemas.microsoft.com/office/drawing/2014/main" id="{8A11F60C-DE77-C319-96B3-413B94CAD939}"/>
            </a:ext>
          </a:extLst>
        </xdr:cNvPr>
        <xdr:cNvSpPr txBox="1"/>
      </xdr:nvSpPr>
      <xdr:spPr>
        <a:xfrm>
          <a:off x="3742765" y="3193676"/>
          <a:ext cx="862330" cy="446405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PARADAS ANUAIS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1815353</xdr:colOff>
      <xdr:row>6</xdr:row>
      <xdr:rowOff>33618</xdr:rowOff>
    </xdr:from>
    <xdr:to>
      <xdr:col>2</xdr:col>
      <xdr:colOff>2999628</xdr:colOff>
      <xdr:row>6</xdr:row>
      <xdr:rowOff>334608</xdr:rowOff>
    </xdr:to>
    <xdr:sp macro="" textlink="">
      <xdr:nvSpPr>
        <xdr:cNvPr id="52" name="Caixa de Texto 20">
          <a:extLst>
            <a:ext uri="{FF2B5EF4-FFF2-40B4-BE49-F238E27FC236}">
              <a16:creationId xmlns:a16="http://schemas.microsoft.com/office/drawing/2014/main" id="{4CC5EEE6-7A0C-6646-EBD6-D31A12CC8BB0}"/>
            </a:ext>
          </a:extLst>
        </xdr:cNvPr>
        <xdr:cNvSpPr txBox="1"/>
      </xdr:nvSpPr>
      <xdr:spPr>
        <a:xfrm>
          <a:off x="5065059" y="3227294"/>
          <a:ext cx="1184275" cy="30099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PREVENTIVAS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2229971</xdr:colOff>
      <xdr:row>6</xdr:row>
      <xdr:rowOff>750795</xdr:rowOff>
    </xdr:from>
    <xdr:to>
      <xdr:col>2</xdr:col>
      <xdr:colOff>702422</xdr:colOff>
      <xdr:row>6</xdr:row>
      <xdr:rowOff>1207995</xdr:rowOff>
    </xdr:to>
    <xdr:sp macro="" textlink="">
      <xdr:nvSpPr>
        <xdr:cNvPr id="53" name="Caixa de Texto 20">
          <a:extLst>
            <a:ext uri="{FF2B5EF4-FFF2-40B4-BE49-F238E27FC236}">
              <a16:creationId xmlns:a16="http://schemas.microsoft.com/office/drawing/2014/main" id="{BAB29015-3A4B-8D89-9DE6-EF8288F01426}"/>
            </a:ext>
          </a:extLst>
        </xdr:cNvPr>
        <xdr:cNvSpPr txBox="1"/>
      </xdr:nvSpPr>
      <xdr:spPr>
        <a:xfrm>
          <a:off x="2767853" y="3944471"/>
          <a:ext cx="1184275" cy="457200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RELATÓRIOS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DE ENGENHARIA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784412</xdr:colOff>
      <xdr:row>6</xdr:row>
      <xdr:rowOff>257736</xdr:rowOff>
    </xdr:from>
    <xdr:to>
      <xdr:col>1</xdr:col>
      <xdr:colOff>1968687</xdr:colOff>
      <xdr:row>6</xdr:row>
      <xdr:rowOff>714936</xdr:rowOff>
    </xdr:to>
    <xdr:sp macro="" textlink="">
      <xdr:nvSpPr>
        <xdr:cNvPr id="54" name="Caixa de Texto 20">
          <a:extLst>
            <a:ext uri="{FF2B5EF4-FFF2-40B4-BE49-F238E27FC236}">
              <a16:creationId xmlns:a16="http://schemas.microsoft.com/office/drawing/2014/main" id="{81E92A06-60E4-4AFD-05E5-6AA9346B5D29}"/>
            </a:ext>
          </a:extLst>
        </xdr:cNvPr>
        <xdr:cNvSpPr txBox="1"/>
      </xdr:nvSpPr>
      <xdr:spPr>
        <a:xfrm>
          <a:off x="1322294" y="3451412"/>
          <a:ext cx="1184275" cy="457200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ESTUDOS DE EFICIÊNCIA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403412</xdr:colOff>
      <xdr:row>5</xdr:row>
      <xdr:rowOff>414617</xdr:rowOff>
    </xdr:from>
    <xdr:to>
      <xdr:col>5</xdr:col>
      <xdr:colOff>870137</xdr:colOff>
      <xdr:row>5</xdr:row>
      <xdr:rowOff>666077</xdr:rowOff>
    </xdr:to>
    <xdr:sp macro="" textlink="">
      <xdr:nvSpPr>
        <xdr:cNvPr id="55" name="Caixa de Texto 20">
          <a:extLst>
            <a:ext uri="{FF2B5EF4-FFF2-40B4-BE49-F238E27FC236}">
              <a16:creationId xmlns:a16="http://schemas.microsoft.com/office/drawing/2014/main" id="{33B6E85D-C781-4C19-008C-E72456D514D1}"/>
            </a:ext>
          </a:extLst>
        </xdr:cNvPr>
        <xdr:cNvSpPr txBox="1"/>
      </xdr:nvSpPr>
      <xdr:spPr>
        <a:xfrm>
          <a:off x="8012206" y="1804146"/>
          <a:ext cx="466725" cy="25146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HSE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403412</xdr:colOff>
      <xdr:row>5</xdr:row>
      <xdr:rowOff>750794</xdr:rowOff>
    </xdr:from>
    <xdr:to>
      <xdr:col>5</xdr:col>
      <xdr:colOff>1411157</xdr:colOff>
      <xdr:row>5</xdr:row>
      <xdr:rowOff>1188944</xdr:rowOff>
    </xdr:to>
    <xdr:sp macro="" textlink="">
      <xdr:nvSpPr>
        <xdr:cNvPr id="56" name="Caixa de Texto 20">
          <a:extLst>
            <a:ext uri="{FF2B5EF4-FFF2-40B4-BE49-F238E27FC236}">
              <a16:creationId xmlns:a16="http://schemas.microsoft.com/office/drawing/2014/main" id="{0B813113-EB40-2760-D2E1-6326DD1200E9}"/>
            </a:ext>
          </a:extLst>
        </xdr:cNvPr>
        <xdr:cNvSpPr txBox="1"/>
      </xdr:nvSpPr>
      <xdr:spPr>
        <a:xfrm>
          <a:off x="8012206" y="2140323"/>
          <a:ext cx="1007745" cy="438150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LOGÍSTICA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VEÍCULOS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1322294</xdr:colOff>
      <xdr:row>5</xdr:row>
      <xdr:rowOff>1624853</xdr:rowOff>
    </xdr:from>
    <xdr:to>
      <xdr:col>5</xdr:col>
      <xdr:colOff>2557369</xdr:colOff>
      <xdr:row>6</xdr:row>
      <xdr:rowOff>251871</xdr:rowOff>
    </xdr:to>
    <xdr:sp macro="" textlink="">
      <xdr:nvSpPr>
        <xdr:cNvPr id="57" name="Caixa de Texto 20">
          <a:extLst>
            <a:ext uri="{FF2B5EF4-FFF2-40B4-BE49-F238E27FC236}">
              <a16:creationId xmlns:a16="http://schemas.microsoft.com/office/drawing/2014/main" id="{0B4FBFEB-E61B-2297-40E6-AD23EB34D73E}"/>
            </a:ext>
          </a:extLst>
        </xdr:cNvPr>
        <xdr:cNvSpPr txBox="1"/>
      </xdr:nvSpPr>
      <xdr:spPr>
        <a:xfrm>
          <a:off x="8931088" y="3014382"/>
          <a:ext cx="1235075" cy="431165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RH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FOLHA DE PONTO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313765</xdr:colOff>
      <xdr:row>5</xdr:row>
      <xdr:rowOff>1692088</xdr:rowOff>
    </xdr:from>
    <xdr:to>
      <xdr:col>5</xdr:col>
      <xdr:colOff>1264995</xdr:colOff>
      <xdr:row>6</xdr:row>
      <xdr:rowOff>148926</xdr:rowOff>
    </xdr:to>
    <xdr:sp macro="" textlink="">
      <xdr:nvSpPr>
        <xdr:cNvPr id="58" name="Caixa de Texto 20">
          <a:extLst>
            <a:ext uri="{FF2B5EF4-FFF2-40B4-BE49-F238E27FC236}">
              <a16:creationId xmlns:a16="http://schemas.microsoft.com/office/drawing/2014/main" id="{0DD591CC-3EA9-9589-28BC-58C80CE48E6F}"/>
            </a:ext>
          </a:extLst>
        </xdr:cNvPr>
        <xdr:cNvSpPr txBox="1"/>
      </xdr:nvSpPr>
      <xdr:spPr>
        <a:xfrm>
          <a:off x="7922559" y="3081617"/>
          <a:ext cx="951230" cy="26098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FINANCEIRO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56029</xdr:colOff>
      <xdr:row>6</xdr:row>
      <xdr:rowOff>425824</xdr:rowOff>
    </xdr:from>
    <xdr:to>
      <xdr:col>6</xdr:col>
      <xdr:colOff>1008529</xdr:colOff>
      <xdr:row>6</xdr:row>
      <xdr:rowOff>733164</xdr:rowOff>
    </xdr:to>
    <xdr:sp macro="" textlink="">
      <xdr:nvSpPr>
        <xdr:cNvPr id="59" name="Caixa de Texto 20">
          <a:extLst>
            <a:ext uri="{FF2B5EF4-FFF2-40B4-BE49-F238E27FC236}">
              <a16:creationId xmlns:a16="http://schemas.microsoft.com/office/drawing/2014/main" id="{3C4D0502-A7CA-D2D3-1DDD-DDC75096DCB7}"/>
            </a:ext>
          </a:extLst>
        </xdr:cNvPr>
        <xdr:cNvSpPr txBox="1"/>
      </xdr:nvSpPr>
      <xdr:spPr>
        <a:xfrm>
          <a:off x="10376647" y="3619500"/>
          <a:ext cx="952500" cy="3073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JURIDICO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44823</xdr:colOff>
      <xdr:row>6</xdr:row>
      <xdr:rowOff>795618</xdr:rowOff>
    </xdr:from>
    <xdr:to>
      <xdr:col>6</xdr:col>
      <xdr:colOff>1229098</xdr:colOff>
      <xdr:row>6</xdr:row>
      <xdr:rowOff>1252818</xdr:rowOff>
    </xdr:to>
    <xdr:sp macro="" textlink="">
      <xdr:nvSpPr>
        <xdr:cNvPr id="60" name="Caixa de Texto 20">
          <a:extLst>
            <a:ext uri="{FF2B5EF4-FFF2-40B4-BE49-F238E27FC236}">
              <a16:creationId xmlns:a16="http://schemas.microsoft.com/office/drawing/2014/main" id="{1ED8397E-E6DB-B2E0-2BAC-FF41DB99D02A}"/>
            </a:ext>
          </a:extLst>
        </xdr:cNvPr>
        <xdr:cNvSpPr txBox="1"/>
      </xdr:nvSpPr>
      <xdr:spPr>
        <a:xfrm>
          <a:off x="10365441" y="3989294"/>
          <a:ext cx="1184275" cy="4572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RH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RECRUTAMENTO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74545</xdr:colOff>
      <xdr:row>2</xdr:row>
      <xdr:rowOff>28158</xdr:rowOff>
    </xdr:from>
    <xdr:to>
      <xdr:col>9</xdr:col>
      <xdr:colOff>629479</xdr:colOff>
      <xdr:row>19</xdr:row>
      <xdr:rowOff>165651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93CC45A9-483B-438B-9C12-92F864520E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2495" y="409158"/>
              <a:ext cx="4031559" cy="33759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B50DFD-CBF3-4EB1-9A39-552A75668B95}" name="Tabela1" displayName="Tabela1" ref="B3:F52" totalsRowShown="0" headerRowDxfId="5">
  <autoFilter ref="B3:F52" xr:uid="{125BF3E1-4C64-4CAB-9287-25D8B18F5E25}"/>
  <tableColumns count="5">
    <tableColumn id="1" xr3:uid="{7C6FDAE3-930C-4C95-9055-2F1318B2CE52}" name="Nome" dataDxfId="4">
      <calculatedColumnFormula>IF(Helexia!C3="","",LEFT(Helexia!C3,FIND(" ",Helexia!C3&amp;" ")-1)
&amp;" "&amp;
LEFT(
    MID(
        Helexia!C3,
        FIND(" ",Helexia!C3)+1,
        FIND(" ",Helexia!C3&amp;" ",FIND(" ",Helexia!C3)+1)-FIND(" ",Helexia!C3)-1
    ),
1
)&amp;".")</calculatedColumnFormula>
    </tableColumn>
    <tableColumn id="2" xr3:uid="{68BF8E2F-09DB-4E84-B515-89CD085DBA99}" name="Cidade" dataDxfId="3">
      <calculatedColumnFormula>TRIM(IF(Helexia!E3="", "",
LEFT(
    Helexia!E3,
    MIN(
        IFERROR(FIND(" /",Helexia!E3),9999),
        IFERROR(FIND("'-",Helexia!E3),9999),
        IFERROR(FIND("/",Helexia!E3),9999),
        IFERROR(FIND(" '- ",Helexia!E3),9999)
    ) - 1
)))</calculatedColumnFormula>
    </tableColumn>
    <tableColumn id="5" xr3:uid="{0E4CA67B-F8E3-4EE0-9277-4B6C220B8055}" name="Estado" dataDxfId="2">
      <calculatedColumnFormula>TRIM(Helexia!F3)</calculatedColumnFormula>
    </tableColumn>
    <tableColumn id="6" xr3:uid="{B47340F8-CF21-419B-B1CE-B0BEC4D38963}" name="País" dataDxfId="1"/>
    <tableColumn id="3" xr3:uid="{6708E6C5-D70D-4D10-8192-3191376497B1}" name="Carros" dataDxfId="0">
      <calculatedColumnFormula>CONCATENATE(Helexia!J3," ",Helexia!K3)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9.emf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42" Type="http://schemas.openxmlformats.org/officeDocument/2006/relationships/ctrlProp" Target="../ctrlProps/ctrlProp3.xml"/><Relationship Id="rId47" Type="http://schemas.openxmlformats.org/officeDocument/2006/relationships/ctrlProp" Target="../ctrlProps/ctrlProp8.xml"/><Relationship Id="rId50" Type="http://schemas.openxmlformats.org/officeDocument/2006/relationships/ctrlProp" Target="../ctrlProps/ctrlProp11.xml"/><Relationship Id="rId55" Type="http://schemas.openxmlformats.org/officeDocument/2006/relationships/ctrlProp" Target="../ctrlProps/ctrlProp16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40" Type="http://schemas.openxmlformats.org/officeDocument/2006/relationships/ctrlProp" Target="../ctrlProps/ctrlProp1.xml"/><Relationship Id="rId45" Type="http://schemas.openxmlformats.org/officeDocument/2006/relationships/ctrlProp" Target="../ctrlProps/ctrlProp6.xml"/><Relationship Id="rId53" Type="http://schemas.openxmlformats.org/officeDocument/2006/relationships/ctrlProp" Target="../ctrlProps/ctrlProp14.xml"/><Relationship Id="rId5" Type="http://schemas.openxmlformats.org/officeDocument/2006/relationships/image" Target="../media/image2.emf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43" Type="http://schemas.openxmlformats.org/officeDocument/2006/relationships/ctrlProp" Target="../ctrlProps/ctrlProp4.xml"/><Relationship Id="rId48" Type="http://schemas.openxmlformats.org/officeDocument/2006/relationships/ctrlProp" Target="../ctrlProps/ctrlProp9.xml"/><Relationship Id="rId56" Type="http://schemas.openxmlformats.org/officeDocument/2006/relationships/ctrlProp" Target="../ctrlProps/ctrlProp17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12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46" Type="http://schemas.openxmlformats.org/officeDocument/2006/relationships/ctrlProp" Target="../ctrlProps/ctrlProp7.xml"/><Relationship Id="rId20" Type="http://schemas.openxmlformats.org/officeDocument/2006/relationships/control" Target="../activeX/activeX9.xml"/><Relationship Id="rId41" Type="http://schemas.openxmlformats.org/officeDocument/2006/relationships/ctrlProp" Target="../ctrlProps/ctrlProp2.xml"/><Relationship Id="rId54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10.xml"/><Relationship Id="rId57" Type="http://schemas.openxmlformats.org/officeDocument/2006/relationships/ctrlProp" Target="../ctrlProps/ctrlProp18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trlProp" Target="../ctrlProps/ctrlProp5.xml"/><Relationship Id="rId52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 tint="0.39997558519241921"/>
    <pageSetUpPr fitToPage="1"/>
  </sheetPr>
  <dimension ref="A1:AC45"/>
  <sheetViews>
    <sheetView view="pageBreakPreview" topLeftCell="A12" zoomScale="70" zoomScaleNormal="100" zoomScaleSheetLayoutView="70" workbookViewId="0">
      <selection activeCell="C28" sqref="C28"/>
    </sheetView>
  </sheetViews>
  <sheetFormatPr defaultRowHeight="15" x14ac:dyDescent="0.25"/>
  <cols>
    <col min="1" max="1" width="9.140625" customWidth="1"/>
    <col min="5" max="5" width="2.140625" customWidth="1"/>
    <col min="17" max="17" width="11" customWidth="1"/>
    <col min="18" max="18" width="9.140625" customWidth="1"/>
  </cols>
  <sheetData>
    <row r="1" spans="1:17" ht="15.75" customHeight="1" x14ac:dyDescent="0.25">
      <c r="A1" s="4"/>
      <c r="B1" s="4"/>
      <c r="C1" s="4"/>
      <c r="D1" s="4"/>
      <c r="E1" s="4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</row>
    <row r="2" spans="1:17" ht="15" customHeight="1" x14ac:dyDescent="0.35">
      <c r="A2" s="4"/>
      <c r="B2" s="399" t="s">
        <v>0</v>
      </c>
      <c r="C2" s="399"/>
      <c r="D2" s="399"/>
      <c r="E2" s="6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 customHeight="1" x14ac:dyDescent="0.35">
      <c r="A3" s="4"/>
      <c r="B3" s="399"/>
      <c r="C3" s="399"/>
      <c r="D3" s="399"/>
      <c r="E3" s="6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5" customHeight="1" x14ac:dyDescent="0.35">
      <c r="A4" s="4"/>
      <c r="B4" s="399"/>
      <c r="C4" s="399"/>
      <c r="D4" s="399"/>
      <c r="E4" s="6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" customHeight="1" x14ac:dyDescent="0.35">
      <c r="A5" s="4"/>
      <c r="B5" s="399"/>
      <c r="C5" s="399"/>
      <c r="D5" s="399"/>
      <c r="E5" s="6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5" customHeight="1" x14ac:dyDescent="0.4">
      <c r="A6" s="4"/>
      <c r="B6" s="4"/>
      <c r="C6" s="5"/>
      <c r="D6" s="5"/>
      <c r="E6" s="5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5" customHeight="1" x14ac:dyDescent="0.35">
      <c r="A7" s="4"/>
      <c r="B7" s="6"/>
      <c r="C7" s="6"/>
      <c r="D7" s="6"/>
      <c r="E7" s="6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5" customHeight="1" x14ac:dyDescent="0.25">
      <c r="A8" s="400" t="s">
        <v>1</v>
      </c>
      <c r="B8" s="400"/>
      <c r="C8" s="400"/>
      <c r="D8" s="400"/>
      <c r="E8" s="400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26.25" customHeight="1" x14ac:dyDescent="0.25">
      <c r="A9" s="400"/>
      <c r="B9" s="400"/>
      <c r="C9" s="400"/>
      <c r="D9" s="400"/>
      <c r="E9" s="400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 customHeight="1" x14ac:dyDescent="0.25">
      <c r="A10" s="400"/>
      <c r="B10" s="400"/>
      <c r="C10" s="400"/>
      <c r="D10" s="400"/>
      <c r="E10" s="400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 customHeight="1" x14ac:dyDescent="0.25">
      <c r="A11" s="400"/>
      <c r="B11" s="400"/>
      <c r="C11" s="400"/>
      <c r="D11" s="400"/>
      <c r="E11" s="400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 customHeight="1" x14ac:dyDescent="0.25">
      <c r="A12" s="398" t="s">
        <v>2</v>
      </c>
      <c r="B12" s="398"/>
      <c r="C12" s="398"/>
      <c r="D12" s="398"/>
      <c r="E12" s="398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ht="15" customHeight="1" x14ac:dyDescent="0.25">
      <c r="A13" s="398"/>
      <c r="B13" s="398"/>
      <c r="C13" s="398"/>
      <c r="D13" s="398"/>
      <c r="E13" s="398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ht="15" customHeight="1" x14ac:dyDescent="0.25">
      <c r="A14" s="4"/>
      <c r="B14" s="4"/>
      <c r="C14" s="4"/>
      <c r="D14" s="4"/>
      <c r="E14" s="4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ht="15" customHeight="1" x14ac:dyDescent="0.25">
      <c r="A15" s="4"/>
      <c r="B15" s="4"/>
      <c r="C15" s="4"/>
      <c r="D15" s="4"/>
      <c r="E15" s="4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ht="15" customHeight="1" x14ac:dyDescent="0.25">
      <c r="A16" s="4"/>
      <c r="B16" s="4"/>
      <c r="C16" s="4"/>
      <c r="D16" s="4"/>
      <c r="E16" s="4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29" ht="15" customHeight="1" x14ac:dyDescent="0.25">
      <c r="A17" s="4"/>
      <c r="B17" s="4"/>
      <c r="C17" s="4"/>
      <c r="D17" s="4"/>
      <c r="E17" s="4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29" ht="15" customHeight="1" x14ac:dyDescent="0.25">
      <c r="A18" s="4"/>
      <c r="B18" s="4"/>
      <c r="C18" s="4"/>
      <c r="D18" s="4"/>
      <c r="E18" s="4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29" ht="15" customHeight="1" x14ac:dyDescent="0.25">
      <c r="A19" s="4"/>
      <c r="B19" s="4"/>
      <c r="C19" s="4"/>
      <c r="D19" s="4"/>
      <c r="E19" s="4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29" ht="15" customHeight="1" x14ac:dyDescent="0.25">
      <c r="A20" s="4"/>
      <c r="B20" s="4"/>
      <c r="C20" s="4"/>
      <c r="D20" s="4"/>
      <c r="E20" s="4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29" ht="15" customHeight="1" x14ac:dyDescent="0.25">
      <c r="A21" s="4"/>
      <c r="B21" s="4"/>
      <c r="C21" s="4"/>
      <c r="D21" s="4"/>
      <c r="E21" s="4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29" ht="15" customHeight="1" x14ac:dyDescent="0.25">
      <c r="A22" s="4"/>
      <c r="B22" s="4"/>
      <c r="C22" s="4"/>
      <c r="D22" s="4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29" ht="15" customHeight="1" x14ac:dyDescent="0.25">
      <c r="A23" s="4"/>
      <c r="B23" s="4"/>
      <c r="C23" s="4"/>
      <c r="D23" s="4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AC23" s="1"/>
    </row>
    <row r="24" spans="1:29" ht="15" customHeight="1" x14ac:dyDescent="0.25">
      <c r="A24" s="397" t="s">
        <v>4</v>
      </c>
      <c r="B24" s="397"/>
      <c r="C24" s="8" t="s">
        <v>5</v>
      </c>
      <c r="D24" s="7"/>
      <c r="E24" s="7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29" ht="15" customHeight="1" x14ac:dyDescent="0.25">
      <c r="A25" s="397" t="s">
        <v>3</v>
      </c>
      <c r="B25" s="397"/>
      <c r="C25" s="8" t="s">
        <v>6</v>
      </c>
      <c r="D25" s="7"/>
      <c r="E25" s="7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29" ht="15" customHeight="1" x14ac:dyDescent="0.25">
      <c r="A26" s="397" t="s">
        <v>447</v>
      </c>
      <c r="B26" s="397"/>
      <c r="C26" s="8" t="s">
        <v>145</v>
      </c>
      <c r="D26" s="8"/>
      <c r="E26" s="7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29" ht="15" customHeight="1" x14ac:dyDescent="0.25">
      <c r="A27" s="7"/>
      <c r="B27" s="7"/>
      <c r="C27" s="7"/>
      <c r="D27" s="7"/>
      <c r="E27" s="7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29" ht="15" customHeight="1" x14ac:dyDescent="0.25">
      <c r="A28" s="4"/>
      <c r="B28" s="4"/>
      <c r="C28" s="4"/>
      <c r="D28" s="4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29" ht="15" customHeight="1" x14ac:dyDescent="0.25">
      <c r="A29" s="4"/>
      <c r="B29" s="4"/>
      <c r="C29" s="4"/>
      <c r="D29" s="4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29" ht="15" customHeight="1" x14ac:dyDescent="0.25">
      <c r="A30" s="4"/>
      <c r="B30" s="4"/>
      <c r="C30" s="4"/>
      <c r="D30" s="4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29" ht="15" customHeight="1" x14ac:dyDescent="0.25">
      <c r="A31" s="4"/>
      <c r="B31" s="4"/>
      <c r="C31" s="4"/>
      <c r="D31" s="4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29" ht="15" customHeight="1" x14ac:dyDescent="0.25">
      <c r="A32" s="4"/>
      <c r="B32" s="4"/>
      <c r="C32" s="4"/>
      <c r="D32" s="4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ht="15" customHeight="1" x14ac:dyDescent="0.25">
      <c r="A33" s="4"/>
      <c r="B33" s="4"/>
      <c r="C33" s="4"/>
      <c r="D33" s="4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ht="15" customHeight="1" x14ac:dyDescent="0.25">
      <c r="A34" s="4"/>
      <c r="B34" s="4"/>
      <c r="C34" s="4"/>
      <c r="D34" s="4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ht="15" customHeight="1" x14ac:dyDescent="0.25">
      <c r="A35" s="4"/>
      <c r="B35" s="4"/>
      <c r="C35" s="4"/>
      <c r="D35" s="4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ht="15" customHeight="1" x14ac:dyDescent="0.25">
      <c r="A36" s="4"/>
      <c r="B36" s="4"/>
      <c r="C36" s="4"/>
      <c r="D36" s="4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ht="15" customHeight="1" x14ac:dyDescent="0.25">
      <c r="A37" s="4"/>
      <c r="B37" s="4"/>
      <c r="C37" s="4"/>
      <c r="D37" s="4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ht="15" customHeight="1" x14ac:dyDescent="0.25">
      <c r="A38" s="4"/>
      <c r="B38" s="4"/>
      <c r="C38" s="4"/>
      <c r="D38" s="4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ht="15" customHeight="1" x14ac:dyDescent="0.25">
      <c r="A39" s="4"/>
      <c r="B39" s="4"/>
      <c r="C39" s="4"/>
      <c r="D39" s="4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ht="21.75" customHeight="1" x14ac:dyDescent="0.25">
      <c r="A40" s="4"/>
      <c r="B40" s="4"/>
      <c r="C40" s="4"/>
      <c r="D40" s="4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ht="15" customHeight="1" x14ac:dyDescent="0.25">
      <c r="L41" s="87"/>
    </row>
    <row r="42" spans="1:17" ht="15" customHeight="1" x14ac:dyDescent="0.25">
      <c r="L42" s="87"/>
    </row>
    <row r="43" spans="1:17" ht="15" customHeight="1" x14ac:dyDescent="0.25">
      <c r="L43" s="87"/>
    </row>
    <row r="44" spans="1:17" ht="15" customHeight="1" x14ac:dyDescent="0.25">
      <c r="L44" s="87"/>
    </row>
    <row r="45" spans="1:17" ht="15" customHeight="1" x14ac:dyDescent="0.25">
      <c r="J45" s="260"/>
      <c r="K45" s="259"/>
      <c r="L45" s="87"/>
    </row>
  </sheetData>
  <mergeCells count="6">
    <mergeCell ref="A26:B26"/>
    <mergeCell ref="A12:E13"/>
    <mergeCell ref="A24:B24"/>
    <mergeCell ref="A25:B25"/>
    <mergeCell ref="B2:D5"/>
    <mergeCell ref="A8:E11"/>
  </mergeCells>
  <printOptions horizontalCentered="1" verticalCentered="1"/>
  <pageMargins left="0" right="0" top="0" bottom="0" header="0" footer="0"/>
  <pageSetup paperSize="9" scale="96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568EC-32D2-4322-8539-A366E67F266F}">
  <sheetPr codeName="Planilha4">
    <tabColor theme="3" tint="0.39997558519241921"/>
    <pageSetUpPr fitToPage="1"/>
  </sheetPr>
  <dimension ref="A1:AE65"/>
  <sheetViews>
    <sheetView view="pageBreakPreview" topLeftCell="A4" zoomScale="115" zoomScaleNormal="40" zoomScaleSheetLayoutView="115" workbookViewId="0">
      <selection activeCell="M19" sqref="M19"/>
    </sheetView>
  </sheetViews>
  <sheetFormatPr defaultColWidth="0" defaultRowHeight="15" customHeight="1" zeroHeight="1" x14ac:dyDescent="0.25"/>
  <cols>
    <col min="1" max="12" width="9.140625" customWidth="1"/>
    <col min="13" max="13" width="11" customWidth="1"/>
    <col min="14" max="14" width="9.140625" customWidth="1"/>
    <col min="15" max="15" width="18.42578125" customWidth="1"/>
    <col min="16" max="16" width="9.140625" customWidth="1"/>
    <col min="17" max="17" width="9.7109375" customWidth="1"/>
    <col min="18" max="18" width="9.140625" customWidth="1"/>
    <col min="19" max="19" width="11" customWidth="1"/>
    <col min="20" max="22" width="9.140625" customWidth="1"/>
    <col min="23" max="23" width="9.7109375" customWidth="1"/>
    <col min="24" max="24" width="9.140625" customWidth="1"/>
    <col min="25" max="25" width="11" customWidth="1"/>
    <col min="26" max="28" width="9.140625" customWidth="1"/>
    <col min="29" max="29" width="9.7109375" customWidth="1"/>
    <col min="30" max="30" width="9.140625" customWidth="1"/>
    <col min="31" max="31" width="11" customWidth="1"/>
    <col min="32" max="16384" width="9.140625" hidden="1"/>
  </cols>
  <sheetData>
    <row r="1" spans="1:31" ht="15" customHeight="1" x14ac:dyDescent="0.25">
      <c r="A1" s="401" t="s">
        <v>196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</row>
    <row r="2" spans="1:31" ht="15" customHeight="1" x14ac:dyDescent="0.25">
      <c r="A2" s="401"/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5" customHeight="1" x14ac:dyDescent="0.25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</row>
    <row r="4" spans="1:31" ht="15.75" customHeight="1" x14ac:dyDescent="0.25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</row>
    <row r="5" spans="1:31" ht="15.75" customHeight="1" x14ac:dyDescent="0.25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</row>
    <row r="6" spans="1:31" ht="15.75" customHeight="1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</row>
    <row r="7" spans="1:31" ht="15.75" customHeight="1" x14ac:dyDescent="0.25">
      <c r="A7" s="87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</row>
    <row r="8" spans="1:31" ht="15.75" customHeight="1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</row>
    <row r="9" spans="1:31" ht="15.75" customHeight="1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</row>
    <row r="10" spans="1:31" ht="15.75" customHeight="1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</row>
    <row r="11" spans="1:31" ht="15.75" customHeight="1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</row>
    <row r="12" spans="1:31" ht="15.75" customHeight="1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</row>
    <row r="13" spans="1:31" ht="15.75" customHeight="1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</row>
    <row r="14" spans="1:31" ht="15.75" customHeight="1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</row>
    <row r="15" spans="1:31" ht="15.75" customHeight="1" x14ac:dyDescent="0.2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</row>
    <row r="16" spans="1:31" ht="15" customHeight="1" x14ac:dyDescent="0.2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</row>
    <row r="17" spans="1:31" x14ac:dyDescent="0.25">
      <c r="A17" s="87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</row>
    <row r="18" spans="1:31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</row>
    <row r="19" spans="1:31" x14ac:dyDescent="0.25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</row>
    <row r="20" spans="1:31" x14ac:dyDescent="0.2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</row>
    <row r="21" spans="1:31" x14ac:dyDescent="0.2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</row>
    <row r="22" spans="1:31" x14ac:dyDescent="0.2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</row>
    <row r="23" spans="1:31" x14ac:dyDescent="0.25">
      <c r="A23" s="87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</row>
    <row r="24" spans="1:31" x14ac:dyDescent="0.2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</row>
    <row r="25" spans="1:3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</row>
    <row r="26" spans="1:31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</row>
    <row r="27" spans="1:31" x14ac:dyDescent="0.2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</row>
    <row r="28" spans="1:31" x14ac:dyDescent="0.2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259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</row>
    <row r="29" spans="1:31" x14ac:dyDescent="0.2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</row>
    <row r="30" spans="1:31" x14ac:dyDescent="0.2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</row>
    <row r="31" spans="1:31" x14ac:dyDescent="0.2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</row>
    <row r="32" spans="1:31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</row>
    <row r="33" spans="1:31" x14ac:dyDescent="0.25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</row>
    <row r="34" spans="1:31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</row>
    <row r="35" spans="1:31" x14ac:dyDescent="0.25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</row>
    <row r="36" spans="1:31" x14ac:dyDescent="0.25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</row>
    <row r="37" spans="1:31" x14ac:dyDescent="0.2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</row>
    <row r="38" spans="1:31" x14ac:dyDescent="0.25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</row>
    <row r="39" spans="1:31" x14ac:dyDescent="0.25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</row>
    <row r="40" spans="1:31" x14ac:dyDescent="0.25">
      <c r="A40" s="87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</row>
    <row r="41" spans="1:31" x14ac:dyDescent="0.25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</row>
    <row r="42" spans="1:31" x14ac:dyDescent="0.25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</row>
    <row r="43" spans="1:31" x14ac:dyDescent="0.25">
      <c r="A43" s="87"/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</row>
    <row r="44" spans="1:31" x14ac:dyDescent="0.25">
      <c r="A44" s="87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</row>
    <row r="45" spans="1:31" x14ac:dyDescent="0.25">
      <c r="A45" s="87"/>
      <c r="B45" s="87"/>
      <c r="C45" s="87"/>
      <c r="D45" s="87"/>
      <c r="E45" s="87"/>
      <c r="F45" s="87"/>
      <c r="G45" s="87"/>
      <c r="H45" s="87"/>
      <c r="I45" s="87"/>
      <c r="J45" s="260"/>
      <c r="K45" s="259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</row>
    <row r="46" spans="1:31" x14ac:dyDescent="0.25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</row>
    <row r="47" spans="1:31" x14ac:dyDescent="0.25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</row>
    <row r="48" spans="1:31" x14ac:dyDescent="0.25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</row>
    <row r="49" spans="1:31" x14ac:dyDescent="0.25">
      <c r="A49" s="87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</row>
    <row r="50" spans="1:31" x14ac:dyDescent="0.25">
      <c r="A50" s="87"/>
      <c r="B50" s="87"/>
      <c r="C50" s="87"/>
      <c r="D50" s="87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</row>
    <row r="51" spans="1:31" x14ac:dyDescent="0.25">
      <c r="A51" s="87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</row>
    <row r="52" spans="1:31" x14ac:dyDescent="0.25">
      <c r="A52" s="87"/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</row>
    <row r="53" spans="1:31" x14ac:dyDescent="0.25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</row>
    <row r="65" x14ac:dyDescent="0.25"/>
  </sheetData>
  <mergeCells count="1">
    <mergeCell ref="A1:P2"/>
  </mergeCells>
  <printOptions horizontalCentered="1" verticalCentered="1"/>
  <pageMargins left="0" right="0" top="0" bottom="0" header="0" footer="0"/>
  <pageSetup paperSize="9" scale="99" orientation="landscape" r:id="rId1"/>
  <drawing r:id="rId2"/>
  <legacyDrawing r:id="rId3"/>
  <controls>
    <mc:AlternateContent xmlns:mc="http://schemas.openxmlformats.org/markup-compatibility/2006">
      <mc:Choice Requires="x14">
        <control shapeId="3271" r:id="rId4" name="AtualizarArt9">
          <controlPr defaultSize="0" autoLine="0" r:id="rId5">
            <anchor moveWithCells="1">
              <from>
                <xdr:col>0</xdr:col>
                <xdr:colOff>600075</xdr:colOff>
                <xdr:row>19</xdr:row>
                <xdr:rowOff>171450</xdr:rowOff>
              </from>
              <to>
                <xdr:col>2</xdr:col>
                <xdr:colOff>209550</xdr:colOff>
                <xdr:row>21</xdr:row>
                <xdr:rowOff>161925</xdr:rowOff>
              </to>
            </anchor>
          </controlPr>
        </control>
      </mc:Choice>
      <mc:Fallback>
        <control shapeId="3271" r:id="rId4" name="AtualizarArt9"/>
      </mc:Fallback>
    </mc:AlternateContent>
    <mc:AlternateContent xmlns:mc="http://schemas.openxmlformats.org/markup-compatibility/2006">
      <mc:Choice Requires="x14">
        <control shapeId="3270" r:id="rId6" name="AtualizarArt8">
          <controlPr defaultSize="0" autoLine="0" autoPict="0" r:id="rId7">
            <anchor moveWithCells="1">
              <from>
                <xdr:col>0</xdr:col>
                <xdr:colOff>447675</xdr:colOff>
                <xdr:row>26</xdr:row>
                <xdr:rowOff>123825</xdr:rowOff>
              </from>
              <to>
                <xdr:col>2</xdr:col>
                <xdr:colOff>104775</xdr:colOff>
                <xdr:row>28</xdr:row>
                <xdr:rowOff>142875</xdr:rowOff>
              </to>
            </anchor>
          </controlPr>
        </control>
      </mc:Choice>
      <mc:Fallback>
        <control shapeId="3270" r:id="rId6" name="AtualizarArt8"/>
      </mc:Fallback>
    </mc:AlternateContent>
    <mc:AlternateContent xmlns:mc="http://schemas.openxmlformats.org/markup-compatibility/2006">
      <mc:Choice Requires="x14">
        <control shapeId="3269" r:id="rId8" name="AtualizarArt7">
          <controlPr defaultSize="0" autoLine="0" autoPict="0" r:id="rId9">
            <anchor moveWithCells="1">
              <from>
                <xdr:col>2</xdr:col>
                <xdr:colOff>266700</xdr:colOff>
                <xdr:row>33</xdr:row>
                <xdr:rowOff>85725</xdr:rowOff>
              </from>
              <to>
                <xdr:col>3</xdr:col>
                <xdr:colOff>428625</xdr:colOff>
                <xdr:row>36</xdr:row>
                <xdr:rowOff>66675</xdr:rowOff>
              </to>
            </anchor>
          </controlPr>
        </control>
      </mc:Choice>
      <mc:Fallback>
        <control shapeId="3269" r:id="rId8" name="AtualizarArt7"/>
      </mc:Fallback>
    </mc:AlternateContent>
    <mc:AlternateContent xmlns:mc="http://schemas.openxmlformats.org/markup-compatibility/2006">
      <mc:Choice Requires="x14">
        <control shapeId="3268" r:id="rId10" name="AtualizarArt6">
          <controlPr defaultSize="0" autoLine="0" autoPict="0" r:id="rId11">
            <anchor moveWithCells="1">
              <from>
                <xdr:col>5</xdr:col>
                <xdr:colOff>85725</xdr:colOff>
                <xdr:row>31</xdr:row>
                <xdr:rowOff>161925</xdr:rowOff>
              </from>
              <to>
                <xdr:col>6</xdr:col>
                <xdr:colOff>209550</xdr:colOff>
                <xdr:row>34</xdr:row>
                <xdr:rowOff>171450</xdr:rowOff>
              </to>
            </anchor>
          </controlPr>
        </control>
      </mc:Choice>
      <mc:Fallback>
        <control shapeId="3268" r:id="rId10" name="AtualizarArt6"/>
      </mc:Fallback>
    </mc:AlternateContent>
    <mc:AlternateContent xmlns:mc="http://schemas.openxmlformats.org/markup-compatibility/2006">
      <mc:Choice Requires="x14">
        <control shapeId="3267" r:id="rId12" name="AtualizarArt5">
          <controlPr defaultSize="0" autoLine="0" r:id="rId13">
            <anchor moveWithCells="1">
              <from>
                <xdr:col>7</xdr:col>
                <xdr:colOff>447675</xdr:colOff>
                <xdr:row>28</xdr:row>
                <xdr:rowOff>123825</xdr:rowOff>
              </from>
              <to>
                <xdr:col>9</xdr:col>
                <xdr:colOff>161925</xdr:colOff>
                <xdr:row>32</xdr:row>
                <xdr:rowOff>161925</xdr:rowOff>
              </to>
            </anchor>
          </controlPr>
        </control>
      </mc:Choice>
      <mc:Fallback>
        <control shapeId="3267" r:id="rId12" name="AtualizarArt5"/>
      </mc:Fallback>
    </mc:AlternateContent>
    <mc:AlternateContent xmlns:mc="http://schemas.openxmlformats.org/markup-compatibility/2006">
      <mc:Choice Requires="x14">
        <control shapeId="3266" r:id="rId14" name="AtualizarArt4">
          <controlPr defaultSize="0" autoLine="0" r:id="rId15">
            <anchor moveWithCells="1">
              <from>
                <xdr:col>8</xdr:col>
                <xdr:colOff>9525</xdr:colOff>
                <xdr:row>20</xdr:row>
                <xdr:rowOff>9525</xdr:rowOff>
              </from>
              <to>
                <xdr:col>9</xdr:col>
                <xdr:colOff>323850</xdr:colOff>
                <xdr:row>22</xdr:row>
                <xdr:rowOff>95250</xdr:rowOff>
              </to>
            </anchor>
          </controlPr>
        </control>
      </mc:Choice>
      <mc:Fallback>
        <control shapeId="3266" r:id="rId14" name="AtualizarArt4"/>
      </mc:Fallback>
    </mc:AlternateContent>
    <mc:AlternateContent xmlns:mc="http://schemas.openxmlformats.org/markup-compatibility/2006">
      <mc:Choice Requires="x14">
        <control shapeId="3263" r:id="rId16" name="AtualizarArt3">
          <controlPr defaultSize="0" autoLine="0" r:id="rId17">
            <anchor moveWithCells="1">
              <from>
                <xdr:col>8</xdr:col>
                <xdr:colOff>438150</xdr:colOff>
                <xdr:row>13</xdr:row>
                <xdr:rowOff>95250</xdr:rowOff>
              </from>
              <to>
                <xdr:col>10</xdr:col>
                <xdr:colOff>161925</xdr:colOff>
                <xdr:row>15</xdr:row>
                <xdr:rowOff>95250</xdr:rowOff>
              </to>
            </anchor>
          </controlPr>
        </control>
      </mc:Choice>
      <mc:Fallback>
        <control shapeId="3263" r:id="rId16" name="AtualizarArt3"/>
      </mc:Fallback>
    </mc:AlternateContent>
    <mc:AlternateContent xmlns:mc="http://schemas.openxmlformats.org/markup-compatibility/2006">
      <mc:Choice Requires="x14">
        <control shapeId="3093" r:id="rId18" name="AtualizarArt2">
          <controlPr defaultSize="0" autoLine="0" r:id="rId19">
            <anchor moveWithCells="1">
              <from>
                <xdr:col>6</xdr:col>
                <xdr:colOff>419100</xdr:colOff>
                <xdr:row>7</xdr:row>
                <xdr:rowOff>95250</xdr:rowOff>
              </from>
              <to>
                <xdr:col>8</xdr:col>
                <xdr:colOff>276225</xdr:colOff>
                <xdr:row>9</xdr:row>
                <xdr:rowOff>104775</xdr:rowOff>
              </to>
            </anchor>
          </controlPr>
        </control>
      </mc:Choice>
      <mc:Fallback>
        <control shapeId="3093" r:id="rId18" name="AtualizarArt2"/>
      </mc:Fallback>
    </mc:AlternateContent>
    <mc:AlternateContent xmlns:mc="http://schemas.openxmlformats.org/markup-compatibility/2006">
      <mc:Choice Requires="x14">
        <control shapeId="3091" r:id="rId20" name="AtualizarArt1">
          <controlPr defaultSize="0" autoLine="0" r:id="rId21">
            <anchor moveWithCells="1">
              <from>
                <xdr:col>1</xdr:col>
                <xdr:colOff>247650</xdr:colOff>
                <xdr:row>4</xdr:row>
                <xdr:rowOff>152400</xdr:rowOff>
              </from>
              <to>
                <xdr:col>3</xdr:col>
                <xdr:colOff>57150</xdr:colOff>
                <xdr:row>6</xdr:row>
                <xdr:rowOff>95250</xdr:rowOff>
              </to>
            </anchor>
          </controlPr>
        </control>
      </mc:Choice>
      <mc:Fallback>
        <control shapeId="3091" r:id="rId20" name="AtualizarArt1"/>
      </mc:Fallback>
    </mc:AlternateContent>
    <mc:AlternateContent xmlns:mc="http://schemas.openxmlformats.org/markup-compatibility/2006">
      <mc:Choice Requires="x14">
        <control shapeId="3090" r:id="rId22" name="LabelResultado7">
          <controlPr defaultSize="0" autoLine="0" r:id="rId23">
            <anchor moveWithCells="1">
              <from>
                <xdr:col>2</xdr:col>
                <xdr:colOff>266700</xdr:colOff>
                <xdr:row>30</xdr:row>
                <xdr:rowOff>123825</xdr:rowOff>
              </from>
              <to>
                <xdr:col>3</xdr:col>
                <xdr:colOff>438150</xdr:colOff>
                <xdr:row>33</xdr:row>
                <xdr:rowOff>76200</xdr:rowOff>
              </to>
            </anchor>
          </controlPr>
        </control>
      </mc:Choice>
      <mc:Fallback>
        <control shapeId="3090" r:id="rId22" name="LabelResultado7"/>
      </mc:Fallback>
    </mc:AlternateContent>
    <mc:AlternateContent xmlns:mc="http://schemas.openxmlformats.org/markup-compatibility/2006">
      <mc:Choice Requires="x14">
        <control shapeId="3088" r:id="rId24" name="LabelResultado9">
          <controlPr defaultSize="0" autoLine="0" r:id="rId25">
            <anchor moveWithCells="1">
              <from>
                <xdr:col>0</xdr:col>
                <xdr:colOff>590550</xdr:colOff>
                <xdr:row>18</xdr:row>
                <xdr:rowOff>66675</xdr:rowOff>
              </from>
              <to>
                <xdr:col>2</xdr:col>
                <xdr:colOff>209550</xdr:colOff>
                <xdr:row>19</xdr:row>
                <xdr:rowOff>171450</xdr:rowOff>
              </to>
            </anchor>
          </controlPr>
        </control>
      </mc:Choice>
      <mc:Fallback>
        <control shapeId="3088" r:id="rId24" name="LabelResultado9"/>
      </mc:Fallback>
    </mc:AlternateContent>
    <mc:AlternateContent xmlns:mc="http://schemas.openxmlformats.org/markup-compatibility/2006">
      <mc:Choice Requires="x14">
        <control shapeId="3086" r:id="rId26" name="LabelResultado8">
          <controlPr defaultSize="0" autoLine="0" r:id="rId27">
            <anchor moveWithCells="1">
              <from>
                <xdr:col>0</xdr:col>
                <xdr:colOff>457200</xdr:colOff>
                <xdr:row>22</xdr:row>
                <xdr:rowOff>171450</xdr:rowOff>
              </from>
              <to>
                <xdr:col>2</xdr:col>
                <xdr:colOff>228600</xdr:colOff>
                <xdr:row>26</xdr:row>
                <xdr:rowOff>95250</xdr:rowOff>
              </to>
            </anchor>
          </controlPr>
        </control>
      </mc:Choice>
      <mc:Fallback>
        <control shapeId="3086" r:id="rId26" name="LabelResultado8"/>
      </mc:Fallback>
    </mc:AlternateContent>
    <mc:AlternateContent xmlns:mc="http://schemas.openxmlformats.org/markup-compatibility/2006">
      <mc:Choice Requires="x14">
        <control shapeId="3084" r:id="rId28" name="LabelResultado4">
          <controlPr defaultSize="0" autoLine="0" r:id="rId29">
            <anchor moveWithCells="1">
              <from>
                <xdr:col>8</xdr:col>
                <xdr:colOff>28575</xdr:colOff>
                <xdr:row>16</xdr:row>
                <xdr:rowOff>95250</xdr:rowOff>
              </from>
              <to>
                <xdr:col>9</xdr:col>
                <xdr:colOff>323850</xdr:colOff>
                <xdr:row>19</xdr:row>
                <xdr:rowOff>171450</xdr:rowOff>
              </to>
            </anchor>
          </controlPr>
        </control>
      </mc:Choice>
      <mc:Fallback>
        <control shapeId="3084" r:id="rId28" name="LabelResultado4"/>
      </mc:Fallback>
    </mc:AlternateContent>
    <mc:AlternateContent xmlns:mc="http://schemas.openxmlformats.org/markup-compatibility/2006">
      <mc:Choice Requires="x14">
        <control shapeId="3082" r:id="rId30" name="LabelResultado6">
          <controlPr defaultSize="0" autoLine="0" r:id="rId31">
            <anchor moveWithCells="1">
              <from>
                <xdr:col>5</xdr:col>
                <xdr:colOff>76200</xdr:colOff>
                <xdr:row>27</xdr:row>
                <xdr:rowOff>95250</xdr:rowOff>
              </from>
              <to>
                <xdr:col>6</xdr:col>
                <xdr:colOff>200025</xdr:colOff>
                <xdr:row>31</xdr:row>
                <xdr:rowOff>152400</xdr:rowOff>
              </to>
            </anchor>
          </controlPr>
        </control>
      </mc:Choice>
      <mc:Fallback>
        <control shapeId="3082" r:id="rId30" name="LabelResultado6"/>
      </mc:Fallback>
    </mc:AlternateContent>
    <mc:AlternateContent xmlns:mc="http://schemas.openxmlformats.org/markup-compatibility/2006">
      <mc:Choice Requires="x14">
        <control shapeId="3080" r:id="rId32" name="LabelResultado5">
          <controlPr defaultSize="0" autoLine="0" r:id="rId33">
            <anchor moveWithCells="1">
              <from>
                <xdr:col>7</xdr:col>
                <xdr:colOff>447675</xdr:colOff>
                <xdr:row>23</xdr:row>
                <xdr:rowOff>19050</xdr:rowOff>
              </from>
              <to>
                <xdr:col>9</xdr:col>
                <xdr:colOff>161925</xdr:colOff>
                <xdr:row>28</xdr:row>
                <xdr:rowOff>114300</xdr:rowOff>
              </to>
            </anchor>
          </controlPr>
        </control>
      </mc:Choice>
      <mc:Fallback>
        <control shapeId="3080" r:id="rId32" name="LabelResultado5"/>
      </mc:Fallback>
    </mc:AlternateContent>
    <mc:AlternateContent xmlns:mc="http://schemas.openxmlformats.org/markup-compatibility/2006">
      <mc:Choice Requires="x14">
        <control shapeId="3078" r:id="rId34" name="LabelResultado2">
          <controlPr defaultSize="0" autoLine="0" r:id="rId35">
            <anchor moveWithCells="1">
              <from>
                <xdr:col>6</xdr:col>
                <xdr:colOff>400050</xdr:colOff>
                <xdr:row>4</xdr:row>
                <xdr:rowOff>28575</xdr:rowOff>
              </from>
              <to>
                <xdr:col>8</xdr:col>
                <xdr:colOff>266700</xdr:colOff>
                <xdr:row>7</xdr:row>
                <xdr:rowOff>66675</xdr:rowOff>
              </to>
            </anchor>
          </controlPr>
        </control>
      </mc:Choice>
      <mc:Fallback>
        <control shapeId="3078" r:id="rId34" name="LabelResultado2"/>
      </mc:Fallback>
    </mc:AlternateContent>
    <mc:AlternateContent xmlns:mc="http://schemas.openxmlformats.org/markup-compatibility/2006">
      <mc:Choice Requires="x14">
        <control shapeId="3076" r:id="rId36" name="LabelResultado3">
          <controlPr defaultSize="0" autoLine="0" r:id="rId37">
            <anchor moveWithCells="1">
              <from>
                <xdr:col>8</xdr:col>
                <xdr:colOff>438150</xdr:colOff>
                <xdr:row>11</xdr:row>
                <xdr:rowOff>85725</xdr:rowOff>
              </from>
              <to>
                <xdr:col>10</xdr:col>
                <xdr:colOff>171450</xdr:colOff>
                <xdr:row>13</xdr:row>
                <xdr:rowOff>85725</xdr:rowOff>
              </to>
            </anchor>
          </controlPr>
        </control>
      </mc:Choice>
      <mc:Fallback>
        <control shapeId="3076" r:id="rId36" name="LabelResultado3"/>
      </mc:Fallback>
    </mc:AlternateContent>
    <mc:AlternateContent xmlns:mc="http://schemas.openxmlformats.org/markup-compatibility/2006">
      <mc:Choice Requires="x14">
        <control shapeId="3074" r:id="rId38" name="LabelResultado1">
          <controlPr defaultSize="0" autoLine="0" r:id="rId39">
            <anchor moveWithCells="1">
              <from>
                <xdr:col>1</xdr:col>
                <xdr:colOff>247650</xdr:colOff>
                <xdr:row>2</xdr:row>
                <xdr:rowOff>133350</xdr:rowOff>
              </from>
              <to>
                <xdr:col>3</xdr:col>
                <xdr:colOff>57150</xdr:colOff>
                <xdr:row>4</xdr:row>
                <xdr:rowOff>133350</xdr:rowOff>
              </to>
            </anchor>
          </controlPr>
        </control>
      </mc:Choice>
      <mc:Fallback>
        <control shapeId="3074" r:id="rId38" name="LabelResultado1"/>
      </mc:Fallback>
    </mc:AlternateContent>
    <mc:AlternateContent xmlns:mc="http://schemas.openxmlformats.org/markup-compatibility/2006">
      <mc:Choice Requires="x14">
        <control shapeId="3073" r:id="rId40" name="Button 1">
          <controlPr defaultSize="0" autoFill="0" autoPict="0" macro="[0]!AtualizarLabelPorEstado1">
            <anchor moveWithCells="1" sizeWithCells="1">
              <from>
                <xdr:col>3</xdr:col>
                <xdr:colOff>190500</xdr:colOff>
                <xdr:row>3</xdr:row>
                <xdr:rowOff>95250</xdr:rowOff>
              </from>
              <to>
                <xdr:col>3</xdr:col>
                <xdr:colOff>361950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41" name="Button 3">
          <controlPr defaultSize="0" autoFill="0" autoPict="0" macro="[0]!AtualizarLabelPorEstado3">
            <anchor moveWithCells="1" sizeWithCells="1">
              <from>
                <xdr:col>7</xdr:col>
                <xdr:colOff>457200</xdr:colOff>
                <xdr:row>11</xdr:row>
                <xdr:rowOff>171450</xdr:rowOff>
              </from>
              <to>
                <xdr:col>8</xdr:col>
                <xdr:colOff>19050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42" name="Button 5">
          <controlPr defaultSize="0" autoFill="0" autoPict="0" macro="[0]!AtualizarLabelPorEstado2">
            <anchor moveWithCells="1" sizeWithCells="1">
              <from>
                <xdr:col>8</xdr:col>
                <xdr:colOff>466725</xdr:colOff>
                <xdr:row>5</xdr:row>
                <xdr:rowOff>28575</xdr:rowOff>
              </from>
              <to>
                <xdr:col>9</xdr:col>
                <xdr:colOff>47625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43" name="Button 7">
          <controlPr defaultSize="0" autoFill="0" autoPict="0" macro="[0]!AtualizarLabelPorEstado5">
            <anchor moveWithCells="1" sizeWithCells="1">
              <from>
                <xdr:col>9</xdr:col>
                <xdr:colOff>352425</xdr:colOff>
                <xdr:row>24</xdr:row>
                <xdr:rowOff>133350</xdr:rowOff>
              </from>
              <to>
                <xdr:col>9</xdr:col>
                <xdr:colOff>514350</xdr:colOff>
                <xdr:row>25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44" name="Button 9">
          <controlPr defaultSize="0" autoFill="0" autoPict="0" macro="[0]!AtualizarLabelPorEstado6">
            <anchor moveWithCells="1" sizeWithCells="1">
              <from>
                <xdr:col>6</xdr:col>
                <xdr:colOff>552450</xdr:colOff>
                <xdr:row>28</xdr:row>
                <xdr:rowOff>142875</xdr:rowOff>
              </from>
              <to>
                <xdr:col>7</xdr:col>
                <xdr:colOff>95250</xdr:colOff>
                <xdr:row>29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45" name="Button 11">
          <controlPr defaultSize="0" autoFill="0" autoPict="0" macro="[0]!AtualizarLabelPorEstado4">
            <anchor moveWithCells="1" sizeWithCells="1">
              <from>
                <xdr:col>9</xdr:col>
                <xdr:colOff>457200</xdr:colOff>
                <xdr:row>17</xdr:row>
                <xdr:rowOff>57150</xdr:rowOff>
              </from>
              <to>
                <xdr:col>9</xdr:col>
                <xdr:colOff>600075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46" name="Button 13">
          <controlPr defaultSize="0" autoFill="0" autoPict="0" macro="[0]!AtualizarLabelPorEstado8">
            <anchor moveWithCells="1" sizeWithCells="1">
              <from>
                <xdr:col>0</xdr:col>
                <xdr:colOff>95250</xdr:colOff>
                <xdr:row>23</xdr:row>
                <xdr:rowOff>104775</xdr:rowOff>
              </from>
              <to>
                <xdr:col>0</xdr:col>
                <xdr:colOff>228600</xdr:colOff>
                <xdr:row>24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47" name="Button 15">
          <controlPr defaultSize="0" autoFill="0" autoPict="0" macro="[0]!AtualizarLabelPorEstado9">
            <anchor moveWithCells="1" sizeWithCells="1">
              <from>
                <xdr:col>0</xdr:col>
                <xdr:colOff>180975</xdr:colOff>
                <xdr:row>18</xdr:row>
                <xdr:rowOff>161925</xdr:rowOff>
              </from>
              <to>
                <xdr:col>0</xdr:col>
                <xdr:colOff>323850</xdr:colOff>
                <xdr:row>19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48" name="Button 17">
          <controlPr defaultSize="0" autoFill="0" autoPict="0" macro="[0]!AtualizarLabelPorEstado7">
            <anchor moveWithCells="1" sizeWithCells="1">
              <from>
                <xdr:col>1</xdr:col>
                <xdr:colOff>523875</xdr:colOff>
                <xdr:row>31</xdr:row>
                <xdr:rowOff>95250</xdr:rowOff>
              </from>
              <to>
                <xdr:col>2</xdr:col>
                <xdr:colOff>38100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49" name="Button 20">
          <controlPr defaultSize="0" autoFill="0" autoPict="0" macro="[0]!AtualizarArt1">
            <anchor moveWithCells="1" sizeWithCells="1">
              <from>
                <xdr:col>3</xdr:col>
                <xdr:colOff>190500</xdr:colOff>
                <xdr:row>5</xdr:row>
                <xdr:rowOff>9525</xdr:rowOff>
              </from>
              <to>
                <xdr:col>3</xdr:col>
                <xdr:colOff>371475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50" name="Button 22">
          <controlPr defaultSize="0" autoFill="0" autoPict="0" macro="[0]!AtualizarArt2">
            <anchor moveWithCells="1" sizeWithCells="1">
              <from>
                <xdr:col>8</xdr:col>
                <xdr:colOff>476250</xdr:colOff>
                <xdr:row>7</xdr:row>
                <xdr:rowOff>171450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2" r:id="rId51" name="Button 200">
          <controlPr defaultSize="0" autoFill="0" autoPict="0" macro="[0]!AtualizarArt7">
            <anchor moveWithCells="1" sizeWithCells="1">
              <from>
                <xdr:col>1</xdr:col>
                <xdr:colOff>514350</xdr:colOff>
                <xdr:row>33</xdr:row>
                <xdr:rowOff>133350</xdr:rowOff>
              </from>
              <to>
                <xdr:col>2</xdr:col>
                <xdr:colOff>28575</xdr:colOff>
                <xdr:row>34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3" r:id="rId52" name="Button 201">
          <controlPr defaultSize="0" autoFill="0" autoPict="0" macro="[0]!AtualizarArt6">
            <anchor moveWithCells="1" sizeWithCells="1">
              <from>
                <xdr:col>6</xdr:col>
                <xdr:colOff>561975</xdr:colOff>
                <xdr:row>32</xdr:row>
                <xdr:rowOff>9525</xdr:rowOff>
              </from>
              <to>
                <xdr:col>7</xdr:col>
                <xdr:colOff>104775</xdr:colOff>
                <xdr:row>32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5" r:id="rId53" name="Button 203">
          <controlPr defaultSize="0" autoFill="0" autoPict="0" macro="[0]!AtualizarArt4">
            <anchor moveWithCells="1" sizeWithCells="1">
              <from>
                <xdr:col>9</xdr:col>
                <xdr:colOff>447675</xdr:colOff>
                <xdr:row>20</xdr:row>
                <xdr:rowOff>95250</xdr:rowOff>
              </from>
              <to>
                <xdr:col>9</xdr:col>
                <xdr:colOff>581025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6" r:id="rId54" name="Button 204">
          <controlPr defaultSize="0" autoFill="0" autoPict="0" macro="[0]!AtualizarArt3">
            <anchor moveWithCells="1" sizeWithCells="1">
              <from>
                <xdr:col>7</xdr:col>
                <xdr:colOff>466725</xdr:colOff>
                <xdr:row>14</xdr:row>
                <xdr:rowOff>0</xdr:rowOff>
              </from>
              <to>
                <xdr:col>8</xdr:col>
                <xdr:colOff>19050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7" r:id="rId55" name="Button 205">
          <controlPr defaultSize="0" autoFill="0" autoPict="0" macro="[0]!AtualizarArt8">
            <anchor moveWithCells="1" sizeWithCells="1">
              <from>
                <xdr:col>0</xdr:col>
                <xdr:colOff>85725</xdr:colOff>
                <xdr:row>26</xdr:row>
                <xdr:rowOff>161925</xdr:rowOff>
              </from>
              <to>
                <xdr:col>0</xdr:col>
                <xdr:colOff>209550</xdr:colOff>
                <xdr:row>27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8" r:id="rId56" name="Button 206">
          <controlPr defaultSize="0" autoFill="0" autoPict="0" macro="[0]!AtualizarArt9">
            <anchor moveWithCells="1" sizeWithCells="1">
              <from>
                <xdr:col>0</xdr:col>
                <xdr:colOff>200025</xdr:colOff>
                <xdr:row>20</xdr:row>
                <xdr:rowOff>76200</xdr:rowOff>
              </from>
              <to>
                <xdr:col>0</xdr:col>
                <xdr:colOff>323850</xdr:colOff>
                <xdr:row>21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95" r:id="rId57" name="Button 223">
          <controlPr defaultSize="0" autoFill="0" autoPict="0" macro="[0]!AtualizarArt5">
            <anchor moveWithCells="1" sizeWithCells="1">
              <from>
                <xdr:col>9</xdr:col>
                <xdr:colOff>361950</xdr:colOff>
                <xdr:row>28</xdr:row>
                <xdr:rowOff>85725</xdr:rowOff>
              </from>
              <to>
                <xdr:col>9</xdr:col>
                <xdr:colOff>495300</xdr:colOff>
                <xdr:row>29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0396-7D93-4E8E-AF2D-0B23530D2333}">
  <sheetPr codeName="Planilha3">
    <tabColor theme="3" tint="0.39997558519241921"/>
    <pageSetUpPr fitToPage="1"/>
  </sheetPr>
  <dimension ref="A1:AE81"/>
  <sheetViews>
    <sheetView showGridLines="0" view="pageBreakPreview" topLeftCell="C64" zoomScale="55" zoomScaleNormal="25" zoomScaleSheetLayoutView="55" workbookViewId="0">
      <selection activeCell="K84" sqref="K84"/>
    </sheetView>
  </sheetViews>
  <sheetFormatPr defaultRowHeight="15" x14ac:dyDescent="0.25"/>
  <cols>
    <col min="1" max="1" width="5" customWidth="1"/>
    <col min="2" max="2" width="38.5703125" style="86" bestFit="1" customWidth="1"/>
    <col min="3" max="3" width="40" customWidth="1"/>
    <col min="4" max="4" width="26.140625" customWidth="1"/>
    <col min="5" max="5" width="23" style="86" customWidth="1"/>
    <col min="6" max="6" width="14.140625" customWidth="1"/>
    <col min="7" max="7" width="21.5703125" customWidth="1"/>
    <col min="8" max="8" width="17.28515625" customWidth="1"/>
    <col min="9" max="9" width="22.7109375" customWidth="1"/>
    <col min="10" max="10" width="25.28515625" customWidth="1"/>
    <col min="11" max="11" width="37.28515625" customWidth="1"/>
    <col min="12" max="13" width="26.5703125" customWidth="1"/>
    <col min="14" max="14" width="40.7109375" style="105" customWidth="1"/>
    <col min="15" max="15" width="5.42578125" customWidth="1"/>
    <col min="17" max="17" width="6.85546875" customWidth="1"/>
    <col min="18" max="18" width="16.7109375" bestFit="1" customWidth="1"/>
    <col min="19" max="19" width="17.7109375" bestFit="1" customWidth="1"/>
    <col min="20" max="20" width="6.5703125" customWidth="1"/>
    <col min="21" max="31" width="4.7109375" customWidth="1"/>
  </cols>
  <sheetData>
    <row r="1" spans="1:18" ht="107.25" customHeight="1" x14ac:dyDescent="0.25">
      <c r="A1" s="1"/>
      <c r="B1" s="251"/>
      <c r="C1" s="410" t="s">
        <v>95</v>
      </c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</row>
    <row r="2" spans="1:18" ht="39" customHeight="1" x14ac:dyDescent="0.25">
      <c r="A2" s="1"/>
      <c r="B2" s="50" t="s">
        <v>397</v>
      </c>
      <c r="C2" s="48" t="s">
        <v>96</v>
      </c>
      <c r="D2" s="49" t="s">
        <v>97</v>
      </c>
      <c r="E2" s="50" t="s">
        <v>98</v>
      </c>
      <c r="F2" s="48" t="s">
        <v>99</v>
      </c>
      <c r="G2" s="48" t="s">
        <v>100</v>
      </c>
      <c r="H2" s="48" t="s">
        <v>248</v>
      </c>
      <c r="I2" s="192" t="s">
        <v>101</v>
      </c>
      <c r="J2" s="48" t="s">
        <v>102</v>
      </c>
      <c r="K2" s="48" t="s">
        <v>103</v>
      </c>
      <c r="L2" s="51" t="s">
        <v>104</v>
      </c>
      <c r="M2" s="51" t="s">
        <v>430</v>
      </c>
      <c r="N2" s="51" t="s">
        <v>405</v>
      </c>
    </row>
    <row r="3" spans="1:18" ht="33" customHeight="1" x14ac:dyDescent="0.25">
      <c r="A3" s="1"/>
      <c r="B3" s="52" t="s">
        <v>105</v>
      </c>
      <c r="C3" s="52" t="s">
        <v>448</v>
      </c>
      <c r="D3" s="53" t="s">
        <v>106</v>
      </c>
      <c r="E3" s="54" t="s">
        <v>107</v>
      </c>
      <c r="F3" s="55" t="str">
        <f t="shared" ref="F3:F23" si="0">RIGHT(E3,2)</f>
        <v>RN</v>
      </c>
      <c r="G3" s="56" t="s">
        <v>108</v>
      </c>
      <c r="H3" s="185">
        <v>44980</v>
      </c>
      <c r="I3" s="55">
        <f>IF(Salários!C3="CLT", Salários!A3, IF(Salários!C3="PJ", Salários!D3, Salários!D3))</f>
        <v>9572.7075514200187</v>
      </c>
      <c r="J3" s="55"/>
      <c r="K3" s="57"/>
      <c r="L3" s="55"/>
      <c r="M3" s="55"/>
      <c r="N3" s="283"/>
    </row>
    <row r="4" spans="1:18" ht="33" customHeight="1" x14ac:dyDescent="0.25">
      <c r="A4" s="1"/>
      <c r="B4" s="52" t="s">
        <v>110</v>
      </c>
      <c r="C4" s="52" t="s">
        <v>449</v>
      </c>
      <c r="D4" s="53" t="s">
        <v>106</v>
      </c>
      <c r="E4" s="54" t="s">
        <v>111</v>
      </c>
      <c r="F4" s="55" t="str">
        <f t="shared" si="0"/>
        <v>CE</v>
      </c>
      <c r="G4" s="56" t="s">
        <v>108</v>
      </c>
      <c r="H4" s="185">
        <v>45300</v>
      </c>
      <c r="I4" s="55">
        <f>IF(Salários!C4="CLT", Salários!A4, IF(Salários!C4="PJ", Salários!D4, Salários!D4))</f>
        <v>10333.626741802002</v>
      </c>
      <c r="J4" s="55" t="s">
        <v>112</v>
      </c>
      <c r="K4" s="55" t="s">
        <v>399</v>
      </c>
      <c r="L4" s="55">
        <v>2883.89</v>
      </c>
      <c r="M4" s="55" t="s">
        <v>431</v>
      </c>
      <c r="N4" s="283"/>
    </row>
    <row r="5" spans="1:18" ht="33" customHeight="1" x14ac:dyDescent="0.25">
      <c r="A5" s="1"/>
      <c r="B5" s="52" t="s">
        <v>115</v>
      </c>
      <c r="C5" s="52" t="s">
        <v>450</v>
      </c>
      <c r="D5" s="53" t="s">
        <v>106</v>
      </c>
      <c r="E5" s="54" t="s">
        <v>116</v>
      </c>
      <c r="F5" s="55" t="str">
        <f t="shared" si="0"/>
        <v>MS</v>
      </c>
      <c r="G5" s="56" t="s">
        <v>108</v>
      </c>
      <c r="H5" s="185">
        <v>45736</v>
      </c>
      <c r="I5" s="55">
        <f>IF(Salários!C5="CLT", Salários!A5, IF(Salários!C5="PJ", Salários!D5, Salários!D5))</f>
        <v>12490.488575678122</v>
      </c>
      <c r="J5" s="55" t="s">
        <v>112</v>
      </c>
      <c r="K5" s="55" t="s">
        <v>399</v>
      </c>
      <c r="L5" s="55">
        <v>2883.89</v>
      </c>
      <c r="M5" s="55" t="s">
        <v>431</v>
      </c>
      <c r="N5" s="283"/>
      <c r="R5" s="58"/>
    </row>
    <row r="6" spans="1:18" ht="33" customHeight="1" x14ac:dyDescent="0.25">
      <c r="A6" s="1"/>
      <c r="B6" s="52" t="s">
        <v>117</v>
      </c>
      <c r="C6" s="52" t="s">
        <v>451</v>
      </c>
      <c r="D6" s="53" t="s">
        <v>106</v>
      </c>
      <c r="E6" s="54" t="s">
        <v>118</v>
      </c>
      <c r="F6" s="55" t="str">
        <f t="shared" si="0"/>
        <v>SP</v>
      </c>
      <c r="G6" s="56" t="s">
        <v>108</v>
      </c>
      <c r="H6" s="185">
        <v>45444</v>
      </c>
      <c r="I6" s="55">
        <f>IF(Salários!C6="CLT", Salários!A6, IF(Salários!C6="PJ", Salários!D6, Salários!D6))</f>
        <v>12490.488575678122</v>
      </c>
      <c r="J6" s="55" t="s">
        <v>112</v>
      </c>
      <c r="K6" s="55" t="s">
        <v>399</v>
      </c>
      <c r="L6" s="55">
        <v>2883.89</v>
      </c>
      <c r="M6" s="55" t="s">
        <v>432</v>
      </c>
      <c r="N6" s="283" t="s">
        <v>410</v>
      </c>
    </row>
    <row r="7" spans="1:18" ht="33" customHeight="1" x14ac:dyDescent="0.25">
      <c r="A7" s="1"/>
      <c r="B7" s="52" t="s">
        <v>119</v>
      </c>
      <c r="C7" s="52" t="s">
        <v>452</v>
      </c>
      <c r="D7" s="53" t="s">
        <v>409</v>
      </c>
      <c r="E7" s="54" t="s">
        <v>120</v>
      </c>
      <c r="F7" s="55" t="str">
        <f t="shared" si="0"/>
        <v>SP</v>
      </c>
      <c r="G7" s="56" t="s">
        <v>108</v>
      </c>
      <c r="H7" s="185">
        <v>45609</v>
      </c>
      <c r="I7" s="55">
        <f>IF(Salários!C7="CLT", Salários!A7, IF(Salários!C7="PJ", Salários!D7, Salários!D7))</f>
        <v>8187.5285026298807</v>
      </c>
      <c r="J7" s="55" t="s">
        <v>112</v>
      </c>
      <c r="K7" s="55" t="s">
        <v>399</v>
      </c>
      <c r="L7" s="55">
        <v>2883.89</v>
      </c>
      <c r="M7" s="367" t="s">
        <v>431</v>
      </c>
      <c r="N7" s="283" t="s">
        <v>445</v>
      </c>
    </row>
    <row r="8" spans="1:18" ht="33" customHeight="1" x14ac:dyDescent="0.25">
      <c r="A8" s="1"/>
      <c r="B8" s="52" t="s">
        <v>415</v>
      </c>
      <c r="C8" s="52" t="s">
        <v>453</v>
      </c>
      <c r="D8" s="53" t="s">
        <v>109</v>
      </c>
      <c r="E8" s="54" t="s">
        <v>121</v>
      </c>
      <c r="F8" s="55" t="str">
        <f t="shared" si="0"/>
        <v>MS</v>
      </c>
      <c r="G8" s="56" t="s">
        <v>108</v>
      </c>
      <c r="H8" s="185">
        <v>45631</v>
      </c>
      <c r="I8" s="55">
        <f>IF(Salários!C8="CLT", Salários!A8, IF(Salários!C8="PJ", Salários!D8, Salários!D8))</f>
        <v>9572.7075514200187</v>
      </c>
      <c r="J8" s="55"/>
      <c r="K8" s="57"/>
      <c r="L8" s="55"/>
      <c r="M8" s="55"/>
      <c r="N8" s="283"/>
    </row>
    <row r="9" spans="1:18" ht="33" customHeight="1" x14ac:dyDescent="0.25">
      <c r="A9" s="1"/>
      <c r="B9" s="52" t="s">
        <v>122</v>
      </c>
      <c r="C9" s="52" t="s">
        <v>454</v>
      </c>
      <c r="D9" s="53" t="s">
        <v>109</v>
      </c>
      <c r="E9" s="54" t="s">
        <v>123</v>
      </c>
      <c r="F9" s="55" t="str">
        <f t="shared" si="0"/>
        <v>RO</v>
      </c>
      <c r="G9" s="56" t="s">
        <v>108</v>
      </c>
      <c r="H9" s="185">
        <v>45660</v>
      </c>
      <c r="I9" s="55">
        <f>IF(Salários!C9="CLT", Salários!A9, IF(Salários!C9="PJ", Salários!D9, Salários!D9))</f>
        <v>9572.7075514200187</v>
      </c>
      <c r="J9" s="55"/>
      <c r="K9" s="55"/>
      <c r="L9" s="55"/>
      <c r="M9" s="55"/>
      <c r="N9" s="283"/>
    </row>
    <row r="10" spans="1:18" ht="33" customHeight="1" x14ac:dyDescent="0.25">
      <c r="A10" s="1"/>
      <c r="B10" s="52" t="s">
        <v>416</v>
      </c>
      <c r="C10" s="52" t="s">
        <v>455</v>
      </c>
      <c r="D10" s="53" t="s">
        <v>409</v>
      </c>
      <c r="E10" s="54" t="s">
        <v>123</v>
      </c>
      <c r="F10" s="55" t="str">
        <f t="shared" si="0"/>
        <v>RO</v>
      </c>
      <c r="G10" s="56" t="s">
        <v>108</v>
      </c>
      <c r="H10" s="185">
        <v>45660</v>
      </c>
      <c r="I10" s="55">
        <f>IF(Salários!C10="CLT", Salários!A10, IF(Salários!C10="PJ", Salários!D10, Salários!D10))</f>
        <v>9572.7075514200187</v>
      </c>
      <c r="J10" s="55" t="s">
        <v>124</v>
      </c>
      <c r="K10" s="55" t="s">
        <v>400</v>
      </c>
      <c r="L10" s="55">
        <v>2883.89</v>
      </c>
      <c r="M10" s="55" t="s">
        <v>431</v>
      </c>
      <c r="N10" s="283"/>
    </row>
    <row r="11" spans="1:18" ht="33" customHeight="1" x14ac:dyDescent="0.25">
      <c r="A11" s="1"/>
      <c r="B11" s="52" t="s">
        <v>322</v>
      </c>
      <c r="C11" s="52" t="s">
        <v>456</v>
      </c>
      <c r="D11" s="53" t="s">
        <v>106</v>
      </c>
      <c r="E11" s="54" t="s">
        <v>111</v>
      </c>
      <c r="F11" s="55" t="str">
        <f t="shared" si="0"/>
        <v>CE</v>
      </c>
      <c r="G11" s="56" t="s">
        <v>108</v>
      </c>
      <c r="H11" s="185">
        <v>45665</v>
      </c>
      <c r="I11" s="55">
        <f>IF(Salários!C11="CLT", Salários!A11, IF(Salários!C11="PJ", Salários!D11, Salários!D11))</f>
        <v>7132.0222440593952</v>
      </c>
      <c r="J11" s="55" t="s">
        <v>124</v>
      </c>
      <c r="K11" s="57" t="s">
        <v>400</v>
      </c>
      <c r="L11" s="55">
        <v>1915.76</v>
      </c>
      <c r="M11" s="55" t="s">
        <v>431</v>
      </c>
      <c r="N11" s="283" t="s">
        <v>426</v>
      </c>
    </row>
    <row r="12" spans="1:18" ht="33" customHeight="1" x14ac:dyDescent="0.25">
      <c r="A12" s="1"/>
      <c r="B12" s="52" t="s">
        <v>125</v>
      </c>
      <c r="C12" s="52" t="s">
        <v>457</v>
      </c>
      <c r="D12" s="53" t="s">
        <v>106</v>
      </c>
      <c r="E12" s="54" t="s">
        <v>411</v>
      </c>
      <c r="F12" s="55" t="str">
        <f t="shared" si="0"/>
        <v>BR</v>
      </c>
      <c r="G12" s="56" t="s">
        <v>108</v>
      </c>
      <c r="H12" s="185">
        <v>45665</v>
      </c>
      <c r="I12" s="55">
        <f>IF(Salários!C12="CLT", Salários!A12, IF(Salários!C12="PJ", Salários!D12, Salários!D12))</f>
        <v>7132.0222440593952</v>
      </c>
      <c r="J12" s="55" t="s">
        <v>124</v>
      </c>
      <c r="K12" s="57" t="s">
        <v>399</v>
      </c>
      <c r="L12" s="55">
        <v>2672.94</v>
      </c>
      <c r="M12" s="55" t="s">
        <v>431</v>
      </c>
      <c r="N12" s="283"/>
    </row>
    <row r="13" spans="1:18" ht="33" customHeight="1" x14ac:dyDescent="0.25">
      <c r="A13" s="1"/>
      <c r="B13" s="52" t="s">
        <v>128</v>
      </c>
      <c r="C13" s="52" t="s">
        <v>458</v>
      </c>
      <c r="D13" s="53" t="s">
        <v>409</v>
      </c>
      <c r="E13" s="54" t="s">
        <v>129</v>
      </c>
      <c r="F13" s="55" t="str">
        <f t="shared" si="0"/>
        <v>PR</v>
      </c>
      <c r="G13" s="56" t="s">
        <v>108</v>
      </c>
      <c r="H13" s="185">
        <v>45665</v>
      </c>
      <c r="I13" s="55">
        <f>IF(Salários!C13="CLT", Salários!A13, IF(Salários!C13="PJ", Salários!D13, Salários!D13))</f>
        <v>9572.7075514200187</v>
      </c>
      <c r="J13" s="55" t="s">
        <v>124</v>
      </c>
      <c r="K13" s="57" t="s">
        <v>400</v>
      </c>
      <c r="L13" s="55">
        <v>2644.32</v>
      </c>
      <c r="M13" s="55" t="s">
        <v>431</v>
      </c>
      <c r="N13" s="283"/>
    </row>
    <row r="14" spans="1:18" ht="33" customHeight="1" x14ac:dyDescent="0.25">
      <c r="A14" s="1"/>
      <c r="B14" s="52" t="s">
        <v>130</v>
      </c>
      <c r="C14" s="52" t="s">
        <v>459</v>
      </c>
      <c r="D14" s="53" t="s">
        <v>109</v>
      </c>
      <c r="E14" s="54" t="s">
        <v>131</v>
      </c>
      <c r="F14" s="55" t="str">
        <f t="shared" si="0"/>
        <v>GO</v>
      </c>
      <c r="G14" s="56" t="s">
        <v>108</v>
      </c>
      <c r="H14" s="185">
        <v>45666</v>
      </c>
      <c r="I14" s="55">
        <f>IF(Salários!C14="CLT", Salários!A14, IF(Salários!C14="PJ", Salários!D14, Salários!D14))</f>
        <v>9572.7075514200187</v>
      </c>
      <c r="J14" s="55" t="s">
        <v>124</v>
      </c>
      <c r="K14" s="57" t="s">
        <v>399</v>
      </c>
      <c r="L14" s="55">
        <v>2672.94</v>
      </c>
      <c r="M14" s="55" t="s">
        <v>431</v>
      </c>
      <c r="N14" s="283" t="s">
        <v>427</v>
      </c>
    </row>
    <row r="15" spans="1:18" ht="33" customHeight="1" x14ac:dyDescent="0.25">
      <c r="A15" s="1"/>
      <c r="B15" s="52" t="s">
        <v>132</v>
      </c>
      <c r="C15" s="52" t="s">
        <v>460</v>
      </c>
      <c r="D15" s="53" t="s">
        <v>109</v>
      </c>
      <c r="E15" s="54" t="s">
        <v>129</v>
      </c>
      <c r="F15" s="55" t="str">
        <f t="shared" si="0"/>
        <v>PR</v>
      </c>
      <c r="G15" s="56" t="s">
        <v>108</v>
      </c>
      <c r="H15" s="185">
        <v>45691</v>
      </c>
      <c r="I15" s="55">
        <f>IF(Salários!C15="CLT", Salários!A15, IF(Salários!C15="PJ", Salários!D15, Salários!D15))</f>
        <v>12490.488575678122</v>
      </c>
      <c r="J15" s="55"/>
      <c r="K15" s="57"/>
      <c r="L15" s="55"/>
      <c r="M15" s="55"/>
      <c r="N15" s="283"/>
    </row>
    <row r="16" spans="1:18" ht="33" customHeight="1" x14ac:dyDescent="0.25">
      <c r="A16" s="1"/>
      <c r="B16" s="52" t="s">
        <v>417</v>
      </c>
      <c r="C16" s="52" t="s">
        <v>461</v>
      </c>
      <c r="D16" s="53" t="s">
        <v>106</v>
      </c>
      <c r="E16" s="54" t="s">
        <v>429</v>
      </c>
      <c r="F16" s="55" t="str">
        <f t="shared" si="0"/>
        <v>SP</v>
      </c>
      <c r="G16" s="56" t="s">
        <v>108</v>
      </c>
      <c r="H16" s="185">
        <v>45736</v>
      </c>
      <c r="I16" s="55">
        <f>IF(Salários!C16="CLT", Salários!A16, IF(Salários!C16="PJ", Salários!D16, Salários!D16))</f>
        <v>9987.4886733192743</v>
      </c>
      <c r="J16" s="55" t="s">
        <v>124</v>
      </c>
      <c r="K16" s="57" t="s">
        <v>400</v>
      </c>
      <c r="L16" s="55">
        <v>2611.56</v>
      </c>
      <c r="M16" s="55" t="s">
        <v>431</v>
      </c>
      <c r="N16" s="283"/>
    </row>
    <row r="17" spans="1:14" ht="33" customHeight="1" x14ac:dyDescent="0.25">
      <c r="A17" s="1"/>
      <c r="B17" s="52" t="s">
        <v>418</v>
      </c>
      <c r="C17" s="52" t="s">
        <v>462</v>
      </c>
      <c r="D17" s="53" t="s">
        <v>109</v>
      </c>
      <c r="E17" s="54" t="s">
        <v>133</v>
      </c>
      <c r="F17" s="55" t="str">
        <f t="shared" si="0"/>
        <v>PR</v>
      </c>
      <c r="G17" s="56" t="s">
        <v>108</v>
      </c>
      <c r="H17" s="185">
        <v>45740</v>
      </c>
      <c r="I17" s="55">
        <f>IF(Salários!C17="CLT", Salários!A17, IF(Salários!C17="PJ", Salários!D17, Salários!D17))</f>
        <v>7436.3899202121884</v>
      </c>
      <c r="J17" s="55" t="s">
        <v>124</v>
      </c>
      <c r="K17" s="57" t="s">
        <v>400</v>
      </c>
      <c r="L17" s="55">
        <v>2644.32</v>
      </c>
      <c r="M17" s="55" t="s">
        <v>431</v>
      </c>
      <c r="N17" s="283"/>
    </row>
    <row r="18" spans="1:14" ht="33" customHeight="1" x14ac:dyDescent="0.25">
      <c r="A18" s="1"/>
      <c r="B18" s="52" t="s">
        <v>134</v>
      </c>
      <c r="C18" s="52" t="s">
        <v>463</v>
      </c>
      <c r="D18" s="53" t="s">
        <v>109</v>
      </c>
      <c r="E18" s="54" t="s">
        <v>493</v>
      </c>
      <c r="F18" s="55" t="str">
        <f t="shared" si="0"/>
        <v>SP</v>
      </c>
      <c r="G18" s="56" t="s">
        <v>108</v>
      </c>
      <c r="H18" s="185">
        <v>45747</v>
      </c>
      <c r="I18" s="55">
        <f>IF(Salários!C18="CLT", Salários!A18, IF(Salários!C18="PJ", Salários!D18, Salários!D18))</f>
        <v>8203.5401422991363</v>
      </c>
      <c r="J18" s="55"/>
      <c r="K18" s="57"/>
      <c r="L18" s="55"/>
      <c r="M18" s="55"/>
      <c r="N18" s="283"/>
    </row>
    <row r="19" spans="1:14" ht="33" customHeight="1" x14ac:dyDescent="0.25">
      <c r="A19" s="1"/>
      <c r="B19" s="52" t="s">
        <v>419</v>
      </c>
      <c r="C19" s="52" t="s">
        <v>464</v>
      </c>
      <c r="D19" s="53" t="s">
        <v>109</v>
      </c>
      <c r="E19" s="54" t="s">
        <v>111</v>
      </c>
      <c r="F19" s="55" t="str">
        <f t="shared" si="0"/>
        <v>CE</v>
      </c>
      <c r="G19" s="56" t="s">
        <v>108</v>
      </c>
      <c r="H19" s="185">
        <v>45813</v>
      </c>
      <c r="I19" s="55">
        <f>IF(Salários!C19="CLT", Salários!A19, IF(Salários!C19="PJ", Salários!D19, Salários!D19))</f>
        <v>9572.7075514200187</v>
      </c>
      <c r="J19" s="55"/>
      <c r="K19" s="57"/>
      <c r="L19" s="57"/>
      <c r="M19" s="57"/>
      <c r="N19" s="283"/>
    </row>
    <row r="20" spans="1:14" ht="33" customHeight="1" x14ac:dyDescent="0.25">
      <c r="A20" s="1"/>
      <c r="B20" s="52" t="s">
        <v>420</v>
      </c>
      <c r="C20" s="52" t="s">
        <v>465</v>
      </c>
      <c r="D20" s="53" t="s">
        <v>409</v>
      </c>
      <c r="E20" s="54" t="s">
        <v>135</v>
      </c>
      <c r="F20" s="55" t="str">
        <f t="shared" si="0"/>
        <v>RS</v>
      </c>
      <c r="G20" s="56" t="s">
        <v>108</v>
      </c>
      <c r="H20" s="185">
        <v>45849</v>
      </c>
      <c r="I20" s="55">
        <f>IF(Salários!C20="CLT", Salários!A20, IF(Salários!C20="PJ", Salários!D20, Salários!D20))</f>
        <v>12490.488575678122</v>
      </c>
      <c r="J20" s="55" t="s">
        <v>124</v>
      </c>
      <c r="K20" s="57" t="s">
        <v>399</v>
      </c>
      <c r="L20" s="55">
        <v>2672.94</v>
      </c>
      <c r="M20" s="55" t="s">
        <v>431</v>
      </c>
      <c r="N20" s="283"/>
    </row>
    <row r="21" spans="1:14" ht="33" customHeight="1" x14ac:dyDescent="0.25">
      <c r="A21" s="1"/>
      <c r="B21" s="52" t="s">
        <v>421</v>
      </c>
      <c r="C21" s="52" t="s">
        <v>466</v>
      </c>
      <c r="D21" s="53" t="s">
        <v>106</v>
      </c>
      <c r="E21" s="54" t="s">
        <v>126</v>
      </c>
      <c r="F21" s="55" t="str">
        <f t="shared" si="0"/>
        <v>PR</v>
      </c>
      <c r="G21" s="56" t="s">
        <v>108</v>
      </c>
      <c r="H21" s="185">
        <v>45856</v>
      </c>
      <c r="I21" s="55">
        <f>IF(Salários!C21="CLT", Salários!A21, IF(Salários!C21="PJ", Salários!D21, Salários!D21))</f>
        <v>8203.5401422991363</v>
      </c>
      <c r="J21" s="55" t="s">
        <v>124</v>
      </c>
      <c r="K21" s="57" t="s">
        <v>400</v>
      </c>
      <c r="L21" s="55">
        <v>2749.15</v>
      </c>
      <c r="M21" s="55" t="s">
        <v>431</v>
      </c>
      <c r="N21" s="283"/>
    </row>
    <row r="22" spans="1:14" ht="33" customHeight="1" x14ac:dyDescent="0.25">
      <c r="A22" s="1"/>
      <c r="B22" s="52" t="s">
        <v>422</v>
      </c>
      <c r="C22" s="52" t="s">
        <v>467</v>
      </c>
      <c r="D22" s="53" t="s">
        <v>106</v>
      </c>
      <c r="E22" s="54" t="s">
        <v>378</v>
      </c>
      <c r="F22" s="55" t="str">
        <f t="shared" si="0"/>
        <v>GO</v>
      </c>
      <c r="G22" s="56" t="s">
        <v>108</v>
      </c>
      <c r="H22" s="185">
        <v>45882</v>
      </c>
      <c r="I22" s="55">
        <f>IF(Salários!C22="CLT", Salários!A22, IF(Salários!C22="PJ", Salários!D22, Salários!D22))</f>
        <v>8618.7109710517343</v>
      </c>
      <c r="J22" s="55" t="s">
        <v>124</v>
      </c>
      <c r="K22" s="57" t="s">
        <v>400</v>
      </c>
      <c r="L22" s="55">
        <v>2594.2600000000002</v>
      </c>
      <c r="M22" s="55" t="s">
        <v>431</v>
      </c>
      <c r="N22" s="283"/>
    </row>
    <row r="23" spans="1:14" ht="33" customHeight="1" x14ac:dyDescent="0.25">
      <c r="A23" s="1"/>
      <c r="B23" s="52" t="s">
        <v>151</v>
      </c>
      <c r="C23" s="52" t="s">
        <v>468</v>
      </c>
      <c r="D23" s="53" t="s">
        <v>409</v>
      </c>
      <c r="E23" s="54" t="s">
        <v>383</v>
      </c>
      <c r="F23" s="55" t="str">
        <f t="shared" si="0"/>
        <v>SP</v>
      </c>
      <c r="G23" s="56" t="s">
        <v>108</v>
      </c>
      <c r="H23" s="185">
        <v>45889</v>
      </c>
      <c r="I23" s="55">
        <f>IF(Salários!C23="CLT", Salários!A23, IF(Salários!C23="PJ", Salários!D23, Salários!D23))</f>
        <v>7021.4139448862607</v>
      </c>
      <c r="J23" s="55" t="s">
        <v>124</v>
      </c>
      <c r="K23" s="57" t="s">
        <v>400</v>
      </c>
      <c r="L23" s="55">
        <v>2817.4</v>
      </c>
      <c r="M23" s="55" t="s">
        <v>431</v>
      </c>
      <c r="N23" s="283"/>
    </row>
    <row r="24" spans="1:14" ht="33" customHeight="1" x14ac:dyDescent="0.25">
      <c r="A24" s="1"/>
      <c r="B24" s="52" t="s">
        <v>372</v>
      </c>
      <c r="C24" s="52" t="s">
        <v>469</v>
      </c>
      <c r="D24" s="53" t="s">
        <v>109</v>
      </c>
      <c r="E24" s="54" t="s">
        <v>379</v>
      </c>
      <c r="F24" s="55" t="str">
        <f>RIGHT(E24,2)</f>
        <v>GO</v>
      </c>
      <c r="G24" s="56" t="s">
        <v>108</v>
      </c>
      <c r="H24" s="185">
        <v>45885</v>
      </c>
      <c r="I24" s="55">
        <f>IF(Salários!C24="CLT", Salários!A24, IF(Salários!C24="PJ", Salários!D24, Salários!D24))</f>
        <v>11287.525895456949</v>
      </c>
      <c r="J24" s="55" t="s">
        <v>124</v>
      </c>
      <c r="K24" s="57" t="s">
        <v>400</v>
      </c>
      <c r="L24" s="55">
        <v>3158.15</v>
      </c>
      <c r="M24" s="55" t="s">
        <v>431</v>
      </c>
      <c r="N24" s="283"/>
    </row>
    <row r="25" spans="1:14" ht="33" customHeight="1" x14ac:dyDescent="0.25">
      <c r="A25" s="1"/>
      <c r="B25" s="52" t="s">
        <v>373</v>
      </c>
      <c r="C25" s="52" t="s">
        <v>470</v>
      </c>
      <c r="D25" s="53" t="s">
        <v>109</v>
      </c>
      <c r="E25" s="54" t="s">
        <v>137</v>
      </c>
      <c r="F25" s="55" t="str">
        <f>RIGHT(E25,2)</f>
        <v>CE</v>
      </c>
      <c r="G25" s="56" t="s">
        <v>108</v>
      </c>
      <c r="H25" s="185">
        <v>45885</v>
      </c>
      <c r="I25" s="55">
        <f>IF(Salários!C25="CLT", Salários!A25, IF(Salários!C25="PJ", Salários!D25, Salários!D25))</f>
        <v>9987.4886733192743</v>
      </c>
      <c r="J25" s="55"/>
      <c r="K25" s="57"/>
      <c r="L25" s="55"/>
      <c r="M25" s="55"/>
      <c r="N25" s="283"/>
    </row>
    <row r="26" spans="1:14" ht="33" customHeight="1" x14ac:dyDescent="0.25">
      <c r="A26" s="1"/>
      <c r="B26" s="52" t="s">
        <v>423</v>
      </c>
      <c r="C26" s="52" t="s">
        <v>471</v>
      </c>
      <c r="D26" s="53" t="s">
        <v>106</v>
      </c>
      <c r="E26" s="54" t="s">
        <v>137</v>
      </c>
      <c r="F26" s="55" t="str">
        <f>RIGHT(E26,2)</f>
        <v>CE</v>
      </c>
      <c r="G26" s="56" t="s">
        <v>108</v>
      </c>
      <c r="H26" s="185">
        <v>45885</v>
      </c>
      <c r="I26" s="55">
        <f>IF(Salários!C26="CLT", Salários!A26, IF(Salários!C26="PJ", Salários!D26, Salários!D26))</f>
        <v>8009.9756187461498</v>
      </c>
      <c r="J26" s="55" t="s">
        <v>124</v>
      </c>
      <c r="K26" s="57" t="s">
        <v>399</v>
      </c>
      <c r="L26" s="55">
        <v>2672.94</v>
      </c>
      <c r="M26" s="55" t="s">
        <v>431</v>
      </c>
      <c r="N26" s="283"/>
    </row>
    <row r="27" spans="1:14" ht="33" customHeight="1" x14ac:dyDescent="0.25">
      <c r="A27" s="1"/>
      <c r="B27" s="52" t="s">
        <v>424</v>
      </c>
      <c r="C27" s="52" t="s">
        <v>472</v>
      </c>
      <c r="D27" s="53" t="s">
        <v>109</v>
      </c>
      <c r="E27" s="54" t="s">
        <v>380</v>
      </c>
      <c r="F27" s="55" t="str">
        <f>RIGHT(E27,2)</f>
        <v>RS</v>
      </c>
      <c r="G27" s="56" t="s">
        <v>108</v>
      </c>
      <c r="H27" s="185">
        <v>45938</v>
      </c>
      <c r="I27" s="55">
        <f>IF(Salários!C27="CLT", Salários!A27, IF(Salários!C27="PJ", Salários!D27, Salários!D27))</f>
        <v>8009.9756187461498</v>
      </c>
      <c r="J27" s="55"/>
      <c r="K27" s="57"/>
      <c r="L27" s="57"/>
      <c r="M27" s="57"/>
      <c r="N27" s="283"/>
    </row>
    <row r="28" spans="1:14" ht="33" customHeight="1" x14ac:dyDescent="0.25">
      <c r="A28" s="1"/>
      <c r="B28" s="52" t="s">
        <v>374</v>
      </c>
      <c r="C28" s="52" t="s">
        <v>473</v>
      </c>
      <c r="D28" s="53" t="s">
        <v>109</v>
      </c>
      <c r="E28" s="54" t="s">
        <v>378</v>
      </c>
      <c r="F28" s="55" t="str">
        <f t="shared" ref="F28:F31" si="1">RIGHT(E28,2)</f>
        <v>GO</v>
      </c>
      <c r="G28" s="56" t="s">
        <v>108</v>
      </c>
      <c r="H28" s="185">
        <v>45932</v>
      </c>
      <c r="I28" s="55">
        <f>IF(Salários!C28="CLT", Salários!A28, IF(Salários!C28="PJ", Salários!D28, Salários!D28))</f>
        <v>13415.663960693088</v>
      </c>
      <c r="J28" s="55"/>
      <c r="K28" s="57"/>
      <c r="L28" s="55"/>
      <c r="M28" s="55"/>
      <c r="N28" s="283"/>
    </row>
    <row r="29" spans="1:14" ht="33" customHeight="1" x14ac:dyDescent="0.25">
      <c r="A29" s="1"/>
      <c r="B29" s="52" t="s">
        <v>375</v>
      </c>
      <c r="C29" s="52" t="s">
        <v>474</v>
      </c>
      <c r="D29" s="53" t="s">
        <v>409</v>
      </c>
      <c r="E29" s="54" t="s">
        <v>381</v>
      </c>
      <c r="F29" s="55" t="str">
        <f t="shared" si="1"/>
        <v>MS</v>
      </c>
      <c r="G29" s="56" t="s">
        <v>108</v>
      </c>
      <c r="H29" s="185">
        <v>45932</v>
      </c>
      <c r="I29" s="55">
        <f>IF(Salários!C29="CLT", Salários!A29, IF(Salários!C29="PJ", Salários!D29, Salários!D29))</f>
        <v>23785.192008174447</v>
      </c>
      <c r="J29" s="55" t="s">
        <v>124</v>
      </c>
      <c r="K29" s="57" t="s">
        <v>400</v>
      </c>
      <c r="L29" s="55">
        <v>2811.98</v>
      </c>
      <c r="M29" s="55" t="s">
        <v>431</v>
      </c>
      <c r="N29" s="283"/>
    </row>
    <row r="30" spans="1:14" ht="33" customHeight="1" x14ac:dyDescent="0.25">
      <c r="A30" s="1"/>
      <c r="B30" s="52" t="s">
        <v>376</v>
      </c>
      <c r="C30" s="52" t="s">
        <v>475</v>
      </c>
      <c r="D30" s="53" t="s">
        <v>109</v>
      </c>
      <c r="E30" s="54" t="s">
        <v>382</v>
      </c>
      <c r="F30" s="55" t="str">
        <f t="shared" si="1"/>
        <v>PR</v>
      </c>
      <c r="G30" s="56" t="s">
        <v>108</v>
      </c>
      <c r="H30" s="185">
        <v>45937</v>
      </c>
      <c r="I30" s="55">
        <f>IF(Salários!C30="CLT", Salários!A30, IF(Salários!C30="PJ", Salários!D30, Salários!D30))</f>
        <v>12103.164675145481</v>
      </c>
      <c r="J30" s="55"/>
      <c r="K30" s="57"/>
      <c r="L30" s="55"/>
      <c r="M30" s="55"/>
      <c r="N30" s="283"/>
    </row>
    <row r="31" spans="1:14" ht="33" customHeight="1" x14ac:dyDescent="0.25">
      <c r="A31" s="1"/>
      <c r="B31" s="52" t="s">
        <v>377</v>
      </c>
      <c r="C31" s="52" t="s">
        <v>476</v>
      </c>
      <c r="D31" s="53" t="s">
        <v>109</v>
      </c>
      <c r="E31" s="54" t="s">
        <v>383</v>
      </c>
      <c r="F31" s="55" t="str">
        <f t="shared" si="1"/>
        <v>SP</v>
      </c>
      <c r="G31" s="56" t="s">
        <v>108</v>
      </c>
      <c r="H31" s="185">
        <v>45932</v>
      </c>
      <c r="I31" s="55">
        <f>IF(Salários!C31="CLT", Salários!A31, IF(Salários!C31="PJ", Salários!D31, Salários!D31))</f>
        <v>9572.7075514200187</v>
      </c>
      <c r="J31" s="55"/>
      <c r="K31" s="57"/>
      <c r="L31" s="55"/>
      <c r="M31" s="55"/>
      <c r="N31" s="283"/>
    </row>
    <row r="32" spans="1:14" ht="33" customHeight="1" x14ac:dyDescent="0.25">
      <c r="A32" s="1"/>
      <c r="B32" s="52" t="s">
        <v>138</v>
      </c>
      <c r="C32" s="52" t="s">
        <v>477</v>
      </c>
      <c r="D32" s="53" t="s">
        <v>409</v>
      </c>
      <c r="E32" s="54" t="s">
        <v>384</v>
      </c>
      <c r="F32" s="55" t="str">
        <f t="shared" ref="F32:F37" si="2">RIGHT(E32,2)</f>
        <v>AM</v>
      </c>
      <c r="G32" s="56" t="s">
        <v>108</v>
      </c>
      <c r="H32" s="185">
        <v>45930</v>
      </c>
      <c r="I32" s="55">
        <f>IF(Salários!C32="CLT", Salários!A32, IF(Salários!C32="PJ", Salários!D32, Salários!D32))</f>
        <v>6710.5229568884934</v>
      </c>
      <c r="J32" s="55" t="s">
        <v>124</v>
      </c>
      <c r="K32" s="57" t="s">
        <v>400</v>
      </c>
      <c r="L32" s="307">
        <v>6074.15</v>
      </c>
      <c r="M32" s="55" t="s">
        <v>431</v>
      </c>
      <c r="N32" s="283" t="s">
        <v>434</v>
      </c>
    </row>
    <row r="33" spans="1:14" ht="33" customHeight="1" x14ac:dyDescent="0.25">
      <c r="A33" s="1"/>
      <c r="B33" s="52" t="s">
        <v>139</v>
      </c>
      <c r="C33" s="52" t="s">
        <v>478</v>
      </c>
      <c r="D33" s="53" t="s">
        <v>109</v>
      </c>
      <c r="E33" s="54" t="s">
        <v>384</v>
      </c>
      <c r="F33" s="55" t="str">
        <f t="shared" si="2"/>
        <v>AM</v>
      </c>
      <c r="G33" s="56" t="s">
        <v>108</v>
      </c>
      <c r="H33" s="185">
        <v>45930</v>
      </c>
      <c r="I33" s="55">
        <f>IF(Salários!C33="CLT", Salários!A33, IF(Salários!C33="PJ", Salários!D33, Salários!D33))</f>
        <v>4663.9284286888269</v>
      </c>
      <c r="J33" s="55"/>
      <c r="K33" s="57"/>
      <c r="L33" s="55"/>
      <c r="M33" s="55"/>
      <c r="N33" s="283"/>
    </row>
    <row r="34" spans="1:14" ht="33" customHeight="1" x14ac:dyDescent="0.25">
      <c r="A34" s="1"/>
      <c r="B34" s="52" t="s">
        <v>425</v>
      </c>
      <c r="C34" s="52" t="s">
        <v>479</v>
      </c>
      <c r="D34" s="53" t="s">
        <v>409</v>
      </c>
      <c r="E34" s="54" t="s">
        <v>136</v>
      </c>
      <c r="F34" s="55" t="str">
        <f t="shared" si="2"/>
        <v>MS</v>
      </c>
      <c r="G34" s="56" t="s">
        <v>108</v>
      </c>
      <c r="H34" s="185">
        <v>45951</v>
      </c>
      <c r="I34" s="55">
        <f>IF(Salários!C34="CLT", Salários!A34, IF(Salários!C34="PJ", Salários!D34, Salários!D34))</f>
        <v>4224.9517413454505</v>
      </c>
      <c r="J34" s="55"/>
      <c r="K34" s="57"/>
      <c r="L34" s="55"/>
      <c r="M34" s="55"/>
      <c r="N34" s="283"/>
    </row>
    <row r="35" spans="1:14" ht="33" customHeight="1" x14ac:dyDescent="0.25">
      <c r="A35" s="1"/>
      <c r="B35" s="52" t="s">
        <v>396</v>
      </c>
      <c r="C35" s="52" t="s">
        <v>480</v>
      </c>
      <c r="D35" s="53" t="s">
        <v>409</v>
      </c>
      <c r="E35" s="54" t="s">
        <v>398</v>
      </c>
      <c r="F35" s="55" t="str">
        <f t="shared" si="2"/>
        <v>SP</v>
      </c>
      <c r="G35" s="56" t="s">
        <v>108</v>
      </c>
      <c r="H35" s="185">
        <v>45951</v>
      </c>
      <c r="I35" s="55">
        <f>IF(Salários!C35="CLT", Salários!A35, IF(Salários!C35="PJ", Salários!D35, Salários!D35))</f>
        <v>5445.2943950257622</v>
      </c>
      <c r="J35" s="55" t="s">
        <v>124</v>
      </c>
      <c r="K35" s="57" t="s">
        <v>400</v>
      </c>
      <c r="L35" s="55">
        <v>2644.32</v>
      </c>
      <c r="M35" s="55" t="s">
        <v>431</v>
      </c>
      <c r="N35" s="283" t="s">
        <v>433</v>
      </c>
    </row>
    <row r="36" spans="1:14" ht="33" customHeight="1" x14ac:dyDescent="0.25">
      <c r="A36" s="1"/>
      <c r="B36" s="52" t="s">
        <v>408</v>
      </c>
      <c r="C36" s="52" t="s">
        <v>481</v>
      </c>
      <c r="D36" s="59" t="s">
        <v>109</v>
      </c>
      <c r="E36" s="59" t="s">
        <v>126</v>
      </c>
      <c r="F36" s="55" t="str">
        <f t="shared" si="2"/>
        <v>PR</v>
      </c>
      <c r="G36" s="57" t="s">
        <v>108</v>
      </c>
      <c r="H36" s="186" t="s">
        <v>92</v>
      </c>
      <c r="I36" s="55">
        <f>IF(Salários!C36="CLT", Salários!A36, IF(Salários!C36="PJ", Salários!D36, Salários!D36))</f>
        <v>6826.4083615656091</v>
      </c>
      <c r="J36" s="55"/>
      <c r="K36" s="57"/>
      <c r="L36" s="55"/>
      <c r="M36" s="55"/>
      <c r="N36" s="283"/>
    </row>
    <row r="37" spans="1:14" ht="33" customHeight="1" x14ac:dyDescent="0.25">
      <c r="A37" s="1"/>
      <c r="B37" s="52" t="s">
        <v>113</v>
      </c>
      <c r="C37" s="52" t="s">
        <v>482</v>
      </c>
      <c r="D37" s="53" t="s">
        <v>106</v>
      </c>
      <c r="E37" s="54" t="s">
        <v>114</v>
      </c>
      <c r="F37" s="55" t="str">
        <f t="shared" si="2"/>
        <v>SP</v>
      </c>
      <c r="G37" s="56" t="s">
        <v>144</v>
      </c>
      <c r="H37" s="185">
        <v>45979</v>
      </c>
      <c r="I37" s="55">
        <f>IF(Salários!C37="CLT", Salários!A37, IF(Salários!C37="PJ", Salários!D37, Salários!D37))</f>
        <v>6500</v>
      </c>
      <c r="J37" s="55" t="s">
        <v>124</v>
      </c>
      <c r="K37" s="57" t="s">
        <v>400</v>
      </c>
      <c r="L37" s="55">
        <v>2938.55</v>
      </c>
      <c r="M37" s="55" t="s">
        <v>431</v>
      </c>
      <c r="N37" s="283" t="s">
        <v>428</v>
      </c>
    </row>
    <row r="38" spans="1:14" ht="33" hidden="1" customHeight="1" x14ac:dyDescent="0.25">
      <c r="A38" s="1"/>
      <c r="B38" s="52"/>
      <c r="C38" s="52"/>
      <c r="D38" s="53"/>
      <c r="E38" s="54"/>
      <c r="F38" s="55"/>
      <c r="G38" s="56"/>
      <c r="H38" s="185"/>
      <c r="I38" s="55">
        <f>IF(Salários!C38="CLT", Salários!A38, IF(Salários!C38="PJ", Salários!D38, Salários!D38))</f>
        <v>0</v>
      </c>
      <c r="J38" s="55"/>
      <c r="K38" s="57"/>
      <c r="L38" s="55"/>
      <c r="M38" s="55"/>
      <c r="N38" s="283"/>
    </row>
    <row r="39" spans="1:14" ht="33" hidden="1" customHeight="1" x14ac:dyDescent="0.25">
      <c r="A39" s="1"/>
      <c r="B39" s="52"/>
      <c r="C39" s="52"/>
      <c r="D39" s="53"/>
      <c r="E39" s="54"/>
      <c r="F39" s="55"/>
      <c r="G39" s="56"/>
      <c r="H39" s="185"/>
      <c r="I39" s="55">
        <f>IF(Salários!C39="CLT", Salários!A39, IF(Salários!C39="PJ", Salários!D39, Salários!D39))</f>
        <v>0</v>
      </c>
      <c r="J39" s="55"/>
      <c r="K39" s="57"/>
      <c r="L39" s="55"/>
      <c r="M39" s="55"/>
      <c r="N39" s="283"/>
    </row>
    <row r="40" spans="1:14" ht="27" hidden="1" customHeight="1" x14ac:dyDescent="0.25">
      <c r="A40" s="1"/>
      <c r="B40" s="52"/>
      <c r="C40" s="52"/>
      <c r="D40" s="52"/>
      <c r="E40" s="52"/>
      <c r="F40" s="172"/>
      <c r="G40" s="172"/>
      <c r="H40" s="187"/>
      <c r="I40" s="55">
        <f>IF(Salários!C40="CLT", Salários!A40, IF(Salários!C40="PJ", Salários!D40, Salários!D40))</f>
        <v>0</v>
      </c>
      <c r="J40" s="52"/>
      <c r="K40" s="52"/>
      <c r="L40" s="52"/>
      <c r="M40" s="55"/>
      <c r="N40" s="283"/>
    </row>
    <row r="41" spans="1:14" ht="33" hidden="1" customHeight="1" x14ac:dyDescent="0.25">
      <c r="A41" s="1"/>
      <c r="B41" s="52"/>
      <c r="C41" s="59"/>
      <c r="D41" s="59"/>
      <c r="E41" s="59"/>
      <c r="F41" s="172"/>
      <c r="G41" s="57"/>
      <c r="H41" s="186"/>
      <c r="I41" s="55">
        <f>IF(Salários!C41="CLT", Salários!A41, IF(Salários!C41="PJ", Salários!D41, Salários!D41))</f>
        <v>0</v>
      </c>
      <c r="J41" s="55"/>
      <c r="K41" s="57"/>
      <c r="L41" s="55"/>
      <c r="M41" s="55"/>
      <c r="N41" s="283"/>
    </row>
    <row r="42" spans="1:14" ht="33" hidden="1" customHeight="1" x14ac:dyDescent="0.25">
      <c r="A42" s="1"/>
      <c r="B42" s="52"/>
      <c r="C42" s="53"/>
      <c r="D42" s="53"/>
      <c r="E42" s="54"/>
      <c r="F42" s="172"/>
      <c r="G42" s="56"/>
      <c r="H42" s="185"/>
      <c r="I42" s="55">
        <f>IF(Salários!C42="CLT", Salários!A42, IF(Salários!C42="PJ", Salários!D42, Salários!D42))</f>
        <v>0</v>
      </c>
      <c r="J42" s="55"/>
      <c r="K42" s="57"/>
      <c r="L42" s="55"/>
      <c r="M42" s="55"/>
      <c r="N42" s="283"/>
    </row>
    <row r="43" spans="1:14" ht="33" hidden="1" customHeight="1" x14ac:dyDescent="0.25">
      <c r="A43" s="1"/>
      <c r="B43" s="52"/>
      <c r="C43" s="53"/>
      <c r="D43" s="53"/>
      <c r="E43" s="54"/>
      <c r="F43" s="172"/>
      <c r="G43" s="56"/>
      <c r="H43" s="185"/>
      <c r="I43" s="55">
        <f>IF(Salários!C43="CLT", Salários!A43, IF(Salários!C43="PJ", Salários!D43, Salários!D43))</f>
        <v>0</v>
      </c>
      <c r="J43" s="55"/>
      <c r="K43" s="57"/>
      <c r="L43" s="55"/>
      <c r="M43" s="55"/>
      <c r="N43" s="283"/>
    </row>
    <row r="44" spans="1:14" ht="33" hidden="1" customHeight="1" x14ac:dyDescent="0.25">
      <c r="A44" s="1"/>
      <c r="B44" s="52"/>
      <c r="C44" s="53"/>
      <c r="D44" s="53"/>
      <c r="E44" s="54"/>
      <c r="F44" s="172"/>
      <c r="G44" s="56"/>
      <c r="H44" s="185"/>
      <c r="I44" s="55">
        <f>IF(Salários!C44="CLT", Salários!A44, IF(Salários!C44="PJ", Salários!D44, Salários!D44))</f>
        <v>0</v>
      </c>
      <c r="J44" s="55"/>
      <c r="K44" s="57"/>
      <c r="L44" s="55"/>
      <c r="M44" s="55"/>
      <c r="N44" s="283"/>
    </row>
    <row r="45" spans="1:14" ht="33" hidden="1" customHeight="1" x14ac:dyDescent="0.25">
      <c r="A45" s="1"/>
      <c r="B45" s="52"/>
      <c r="C45" s="53"/>
      <c r="D45" s="53"/>
      <c r="E45" s="53"/>
      <c r="F45" s="172"/>
      <c r="G45" s="56"/>
      <c r="H45" s="185"/>
      <c r="I45" s="55">
        <f>IF(Salários!C45="CLT", Salários!A45, IF(Salários!C45="PJ", Salários!D45, Salários!D45))</f>
        <v>0</v>
      </c>
      <c r="J45" s="55"/>
      <c r="K45" s="57"/>
      <c r="L45" s="55"/>
      <c r="M45" s="55"/>
      <c r="N45" s="283"/>
    </row>
    <row r="46" spans="1:14" ht="33" hidden="1" customHeight="1" x14ac:dyDescent="0.25">
      <c r="A46" s="1"/>
      <c r="B46" s="52"/>
      <c r="C46" s="53"/>
      <c r="D46" s="53"/>
      <c r="E46" s="53"/>
      <c r="F46" s="172"/>
      <c r="G46" s="56"/>
      <c r="H46" s="185"/>
      <c r="I46" s="55">
        <f>IF(Salários!C46="CLT", Salários!A46, IF(Salários!C46="PJ", Salários!D46, Salários!D46))</f>
        <v>0</v>
      </c>
      <c r="J46" s="55"/>
      <c r="K46" s="57"/>
      <c r="L46" s="55"/>
      <c r="M46" s="55"/>
      <c r="N46" s="283"/>
    </row>
    <row r="47" spans="1:14" ht="33" hidden="1" customHeight="1" x14ac:dyDescent="0.25">
      <c r="A47" s="1"/>
      <c r="B47" s="251"/>
      <c r="C47" s="53"/>
      <c r="D47" s="53"/>
      <c r="E47" s="54"/>
      <c r="F47" s="172" t="str">
        <f t="shared" ref="F47:F62" si="3">RIGHT(E47,2)</f>
        <v/>
      </c>
      <c r="G47" s="56"/>
      <c r="H47" s="185"/>
      <c r="I47" s="55">
        <f>IF(Salários!C47="CLT", Salários!A47, IF(Salários!C47="PJ", Salários!D47, Salários!D47))</f>
        <v>0</v>
      </c>
      <c r="J47" s="55"/>
      <c r="K47" s="57"/>
      <c r="L47" s="55"/>
      <c r="M47" s="55"/>
      <c r="N47" s="284"/>
    </row>
    <row r="48" spans="1:14" ht="33" hidden="1" customHeight="1" x14ac:dyDescent="0.25">
      <c r="A48" s="1"/>
      <c r="B48" s="251"/>
      <c r="C48" s="53"/>
      <c r="D48" s="53"/>
      <c r="E48" s="54"/>
      <c r="F48" s="172" t="str">
        <f t="shared" si="3"/>
        <v/>
      </c>
      <c r="G48" s="56"/>
      <c r="H48" s="185"/>
      <c r="I48" s="55">
        <f>IF(Salários!C48="CLT", Salários!A48, IF(Salários!C48="PJ", Salários!D48, Salários!D48))</f>
        <v>0</v>
      </c>
      <c r="J48" s="55"/>
      <c r="K48" s="57"/>
      <c r="L48" s="55"/>
      <c r="M48" s="55"/>
      <c r="N48" s="284"/>
    </row>
    <row r="49" spans="1:20" ht="33" hidden="1" customHeight="1" x14ac:dyDescent="0.25">
      <c r="A49" s="1"/>
      <c r="B49" s="251"/>
      <c r="C49" s="53"/>
      <c r="D49" s="53"/>
      <c r="E49" s="54"/>
      <c r="F49" s="172" t="str">
        <f t="shared" si="3"/>
        <v/>
      </c>
      <c r="G49" s="56"/>
      <c r="H49" s="185"/>
      <c r="I49" s="55">
        <f>IF(Salários!C49="CLT", Salários!A49, IF(Salários!C49="PJ", Salários!D49, Salários!D49))</f>
        <v>0</v>
      </c>
      <c r="J49" s="55"/>
      <c r="K49" s="57"/>
      <c r="L49" s="55"/>
      <c r="M49" s="55"/>
      <c r="N49" s="284"/>
    </row>
    <row r="50" spans="1:20" ht="33" hidden="1" customHeight="1" x14ac:dyDescent="0.25">
      <c r="A50" s="1"/>
      <c r="B50" s="251"/>
      <c r="C50" s="53"/>
      <c r="D50" s="53"/>
      <c r="E50" s="54"/>
      <c r="F50" s="172" t="str">
        <f t="shared" si="3"/>
        <v/>
      </c>
      <c r="G50" s="56"/>
      <c r="H50" s="185"/>
      <c r="I50" s="55">
        <f>IF(Salários!C50="CLT", Salários!A50, IF(Salários!C50="PJ", Salários!D50, Salários!D50))</f>
        <v>0</v>
      </c>
      <c r="J50" s="55"/>
      <c r="K50" s="57"/>
      <c r="L50" s="55"/>
      <c r="M50" s="55"/>
      <c r="N50" s="284"/>
    </row>
    <row r="51" spans="1:20" ht="33" hidden="1" customHeight="1" x14ac:dyDescent="0.25">
      <c r="A51" s="1"/>
      <c r="B51" s="251"/>
      <c r="C51" s="53"/>
      <c r="D51" s="53"/>
      <c r="E51" s="54"/>
      <c r="F51" s="172" t="str">
        <f t="shared" si="3"/>
        <v/>
      </c>
      <c r="G51" s="56"/>
      <c r="H51" s="185"/>
      <c r="I51" s="55">
        <f>IF(Salários!C51="CLT", Salários!A51, IF(Salários!C51="PJ", Salários!D51, Salários!D51))</f>
        <v>0</v>
      </c>
      <c r="J51" s="55"/>
      <c r="K51" s="57"/>
      <c r="L51" s="55"/>
      <c r="M51" s="55"/>
      <c r="N51" s="284"/>
    </row>
    <row r="52" spans="1:20" ht="33" hidden="1" customHeight="1" x14ac:dyDescent="0.25">
      <c r="A52" s="1"/>
      <c r="B52" s="251"/>
      <c r="C52" s="53"/>
      <c r="D52" s="53"/>
      <c r="E52" s="54"/>
      <c r="F52" s="172" t="str">
        <f t="shared" si="3"/>
        <v/>
      </c>
      <c r="G52" s="56"/>
      <c r="H52" s="185"/>
      <c r="I52" s="55">
        <f>IF(Salários!C52="CLT", Salários!A52, IF(Salários!C52="PJ", Salários!D52, Salários!D52))</f>
        <v>0</v>
      </c>
      <c r="J52" s="55"/>
      <c r="K52" s="57"/>
      <c r="L52" s="55"/>
      <c r="M52" s="55"/>
      <c r="N52" s="284"/>
    </row>
    <row r="53" spans="1:20" ht="33" hidden="1" customHeight="1" x14ac:dyDescent="0.25">
      <c r="A53" s="1"/>
      <c r="B53" s="251"/>
      <c r="C53" s="57"/>
      <c r="D53" s="57"/>
      <c r="E53" s="59"/>
      <c r="F53" s="172" t="str">
        <f t="shared" si="3"/>
        <v/>
      </c>
      <c r="G53" s="57"/>
      <c r="H53" s="186"/>
      <c r="I53" s="55">
        <f>IF(Salários!C53="CLT", Salários!A53, IF(Salários!C53="PJ", Salários!D53, Salários!D53))</f>
        <v>0</v>
      </c>
      <c r="J53" s="55"/>
      <c r="K53" s="57"/>
      <c r="L53" s="55"/>
      <c r="M53" s="55"/>
      <c r="N53" s="284"/>
    </row>
    <row r="54" spans="1:20" ht="33" customHeight="1" x14ac:dyDescent="0.25">
      <c r="A54" s="1"/>
      <c r="B54" s="318" t="s">
        <v>140</v>
      </c>
      <c r="C54" s="60" t="s">
        <v>483</v>
      </c>
      <c r="D54" s="60" t="s">
        <v>108</v>
      </c>
      <c r="E54" s="61" t="s">
        <v>413</v>
      </c>
      <c r="F54" s="194" t="str">
        <f t="shared" si="3"/>
        <v>RN</v>
      </c>
      <c r="G54" s="62" t="s">
        <v>108</v>
      </c>
      <c r="H54" s="188">
        <v>45210</v>
      </c>
      <c r="I54" s="64">
        <f>IF(Salários!C54="CLT", Salários!A54, IF(Salários!C54="PJ", Salários!D54, Salários!D54))</f>
        <v>7600.3212649288735</v>
      </c>
      <c r="J54" s="64"/>
      <c r="K54" s="62"/>
      <c r="L54" s="63"/>
      <c r="M54" s="63"/>
      <c r="N54" s="285"/>
      <c r="O54" s="65"/>
    </row>
    <row r="55" spans="1:20" ht="27" customHeight="1" x14ac:dyDescent="0.25">
      <c r="A55" s="1"/>
      <c r="B55" s="318" t="s">
        <v>142</v>
      </c>
      <c r="C55" s="288" t="s">
        <v>484</v>
      </c>
      <c r="D55" s="66" t="s">
        <v>144</v>
      </c>
      <c r="E55" s="193" t="s">
        <v>413</v>
      </c>
      <c r="F55" s="195" t="str">
        <f t="shared" si="3"/>
        <v>RN</v>
      </c>
      <c r="G55" s="68" t="s">
        <v>144</v>
      </c>
      <c r="H55" s="189">
        <v>45223</v>
      </c>
      <c r="I55" s="69">
        <f>IF(Salários!C55="CLT", Salários!A55, IF(Salários!C55="PJ", Salários!D55, Salários!D55))</f>
        <v>13718.9</v>
      </c>
      <c r="J55" s="69"/>
      <c r="K55" s="68"/>
      <c r="L55" s="67"/>
      <c r="M55" s="67"/>
      <c r="N55" s="286"/>
      <c r="O55" s="65"/>
    </row>
    <row r="56" spans="1:20" ht="27" customHeight="1" x14ac:dyDescent="0.25">
      <c r="A56" s="1"/>
      <c r="B56" s="318" t="s">
        <v>145</v>
      </c>
      <c r="C56" s="288" t="s">
        <v>485</v>
      </c>
      <c r="D56" s="66" t="s">
        <v>144</v>
      </c>
      <c r="E56" s="193" t="s">
        <v>413</v>
      </c>
      <c r="F56" s="195" t="str">
        <f t="shared" si="3"/>
        <v>RN</v>
      </c>
      <c r="G56" s="68" t="s">
        <v>144</v>
      </c>
      <c r="H56" s="189">
        <v>45461</v>
      </c>
      <c r="I56" s="69">
        <f>IF(Salários!C56="CLT", Salários!A56, IF(Salários!C56="PJ", Salários!D56, Salários!D56))</f>
        <v>1420</v>
      </c>
      <c r="J56" s="69"/>
      <c r="K56" s="68"/>
      <c r="L56" s="67"/>
      <c r="M56" s="67"/>
      <c r="N56" s="286"/>
      <c r="T56" s="65"/>
    </row>
    <row r="57" spans="1:20" ht="33" customHeight="1" x14ac:dyDescent="0.25">
      <c r="A57" s="1"/>
      <c r="B57" s="318" t="s">
        <v>385</v>
      </c>
      <c r="C57" s="288" t="s">
        <v>486</v>
      </c>
      <c r="D57" s="66" t="s">
        <v>144</v>
      </c>
      <c r="E57" s="193" t="s">
        <v>413</v>
      </c>
      <c r="F57" s="195" t="str">
        <f t="shared" si="3"/>
        <v>RN</v>
      </c>
      <c r="G57" s="68" t="s">
        <v>144</v>
      </c>
      <c r="H57" s="189">
        <v>45901</v>
      </c>
      <c r="I57" s="69">
        <f>IF(Salários!C57="CLT", Salários!A57, IF(Salários!C57="PJ", Salários!D57, Salários!D57))</f>
        <v>6500</v>
      </c>
      <c r="J57" s="69"/>
      <c r="K57" s="68"/>
      <c r="L57" s="67"/>
      <c r="M57" s="67"/>
      <c r="N57" s="286"/>
      <c r="R57" s="70"/>
      <c r="S57" s="71"/>
    </row>
    <row r="58" spans="1:20" ht="33" customHeight="1" x14ac:dyDescent="0.25">
      <c r="A58" s="1"/>
      <c r="B58" s="318" t="s">
        <v>147</v>
      </c>
      <c r="C58" s="288" t="s">
        <v>487</v>
      </c>
      <c r="D58" s="72" t="s">
        <v>108</v>
      </c>
      <c r="E58" s="193" t="s">
        <v>413</v>
      </c>
      <c r="F58" s="195" t="str">
        <f t="shared" si="3"/>
        <v>RN</v>
      </c>
      <c r="G58" s="68" t="s">
        <v>108</v>
      </c>
      <c r="H58" s="189">
        <v>45691</v>
      </c>
      <c r="I58" s="69">
        <f>IF(Salários!C58="CLT", Salários!A58, IF(Salários!C58="PJ", Salários!D58, Salários!D58))</f>
        <v>6564.8624306570719</v>
      </c>
      <c r="J58" s="69"/>
      <c r="K58" s="68"/>
      <c r="L58" s="67"/>
      <c r="M58" s="67"/>
      <c r="N58" s="286"/>
      <c r="R58" s="70"/>
      <c r="S58" s="71"/>
    </row>
    <row r="59" spans="1:20" ht="33" customHeight="1" x14ac:dyDescent="0.25">
      <c r="A59" s="1"/>
      <c r="B59" s="318" t="s">
        <v>148</v>
      </c>
      <c r="C59" s="288" t="s">
        <v>488</v>
      </c>
      <c r="D59" s="72" t="s">
        <v>108</v>
      </c>
      <c r="E59" s="193" t="s">
        <v>413</v>
      </c>
      <c r="F59" s="195" t="str">
        <f t="shared" si="3"/>
        <v>RN</v>
      </c>
      <c r="G59" s="68" t="s">
        <v>108</v>
      </c>
      <c r="H59" s="189">
        <v>45736</v>
      </c>
      <c r="I59" s="69">
        <f>IF(Salários!C59="CLT", Salários!A59, IF(Salários!C59="PJ", Salários!D59, Salários!D59))</f>
        <v>6893.579520902088</v>
      </c>
      <c r="J59" s="69"/>
      <c r="K59" s="68"/>
      <c r="L59" s="67"/>
      <c r="M59" s="67"/>
      <c r="N59" s="286"/>
      <c r="R59" s="70"/>
      <c r="S59" s="71"/>
    </row>
    <row r="60" spans="1:20" ht="27" customHeight="1" x14ac:dyDescent="0.25">
      <c r="A60" s="1"/>
      <c r="B60" s="318" t="s">
        <v>149</v>
      </c>
      <c r="C60" s="288" t="s">
        <v>489</v>
      </c>
      <c r="D60" s="66" t="s">
        <v>150</v>
      </c>
      <c r="E60" s="193" t="s">
        <v>413</v>
      </c>
      <c r="F60" s="195" t="str">
        <f t="shared" si="3"/>
        <v>RN</v>
      </c>
      <c r="G60" s="68" t="s">
        <v>150</v>
      </c>
      <c r="H60" s="189">
        <v>45754</v>
      </c>
      <c r="I60" s="69">
        <f>IF(Salários!C60="CLT", Salários!A60, IF(Salários!C60="PJ", Salários!D60, Salários!D60))</f>
        <v>820</v>
      </c>
      <c r="J60" s="69"/>
      <c r="K60" s="68"/>
      <c r="L60" s="67"/>
      <c r="M60" s="67"/>
      <c r="N60" s="286"/>
      <c r="R60" s="70"/>
      <c r="S60" s="71"/>
    </row>
    <row r="61" spans="1:20" ht="27" customHeight="1" x14ac:dyDescent="0.25">
      <c r="A61" s="1"/>
      <c r="B61" s="318" t="s">
        <v>435</v>
      </c>
      <c r="C61" s="288" t="s">
        <v>490</v>
      </c>
      <c r="D61" s="66" t="s">
        <v>150</v>
      </c>
      <c r="E61" s="193" t="s">
        <v>413</v>
      </c>
      <c r="F61" s="195" t="str">
        <f t="shared" si="3"/>
        <v>RN</v>
      </c>
      <c r="G61" s="68" t="s">
        <v>150</v>
      </c>
      <c r="H61" s="189">
        <v>45803</v>
      </c>
      <c r="I61" s="69">
        <f>IF(Salários!C61="CLT", Salários!A61, IF(Salários!C61="PJ", Salários!D61, Salários!D61))</f>
        <v>820</v>
      </c>
      <c r="J61" s="69"/>
      <c r="K61" s="68"/>
      <c r="L61" s="67"/>
      <c r="M61" s="67"/>
      <c r="N61" s="286"/>
    </row>
    <row r="62" spans="1:20" ht="27" customHeight="1" x14ac:dyDescent="0.25">
      <c r="A62" s="1"/>
      <c r="B62" s="318" t="s">
        <v>386</v>
      </c>
      <c r="C62" s="288" t="s">
        <v>491</v>
      </c>
      <c r="D62" s="193" t="s">
        <v>150</v>
      </c>
      <c r="E62" s="193" t="s">
        <v>413</v>
      </c>
      <c r="F62" s="195" t="str">
        <f t="shared" si="3"/>
        <v>RN</v>
      </c>
      <c r="G62" s="289" t="s">
        <v>150</v>
      </c>
      <c r="H62" s="290">
        <v>45957</v>
      </c>
      <c r="I62" s="291">
        <f>IF(Salários!C62="CLT", Salários!A62, IF(Salários!C62="PJ", Salários!D62, Salários!D62))</f>
        <v>820</v>
      </c>
      <c r="J62" s="291"/>
      <c r="K62" s="289"/>
      <c r="L62" s="67"/>
      <c r="M62" s="67"/>
      <c r="N62" s="286"/>
    </row>
    <row r="63" spans="1:20" ht="27" customHeight="1" x14ac:dyDescent="0.25">
      <c r="A63" s="1"/>
      <c r="B63" s="318" t="s">
        <v>412</v>
      </c>
      <c r="C63" s="73" t="s">
        <v>492</v>
      </c>
      <c r="D63" s="74" t="s">
        <v>150</v>
      </c>
      <c r="E63" s="74" t="s">
        <v>413</v>
      </c>
      <c r="F63" s="196" t="str">
        <f t="shared" ref="F63" si="4">RIGHT(E63,2)</f>
        <v>RN</v>
      </c>
      <c r="G63" s="77" t="s">
        <v>150</v>
      </c>
      <c r="H63" s="190">
        <v>45964</v>
      </c>
      <c r="I63" s="76">
        <f>IF(Salários!C63="CLT", Salários!A63, IF(Salários!C63="PJ", Salários!D63, Salários!D63))</f>
        <v>820</v>
      </c>
      <c r="J63" s="76"/>
      <c r="K63" s="77"/>
      <c r="L63" s="75"/>
      <c r="M63" s="75"/>
      <c r="N63" s="287"/>
    </row>
    <row r="64" spans="1:20" ht="35.25" customHeight="1" x14ac:dyDescent="0.25">
      <c r="A64" s="276"/>
      <c r="B64" s="251"/>
      <c r="C64" s="1"/>
      <c r="D64" s="1"/>
      <c r="F64" s="407" t="s">
        <v>407</v>
      </c>
      <c r="G64" s="407"/>
      <c r="H64" s="317">
        <f>IFERROR(SUM(I3:I63)/H65, "Pendente")</f>
        <v>0.62400062643317278</v>
      </c>
      <c r="I64" s="279">
        <f>SUM(I3:I62)</f>
        <v>374927.65379097481</v>
      </c>
      <c r="J64" s="280"/>
      <c r="K64" s="280" t="s">
        <v>152</v>
      </c>
      <c r="L64" s="281">
        <f>SUM(L3:L53)</f>
        <v>60715.130000000012</v>
      </c>
      <c r="M64" s="281"/>
    </row>
    <row r="65" spans="1:31" ht="26.25" customHeight="1" x14ac:dyDescent="0.25">
      <c r="A65" s="276"/>
      <c r="B65" s="251"/>
      <c r="C65" s="1"/>
      <c r="D65" s="1"/>
      <c r="F65" s="408" t="s">
        <v>153</v>
      </c>
      <c r="G65" s="408"/>
      <c r="H65" s="409" cm="1">
        <f t="array" ref="H65">IFERROR(_xlfn.XLOOKUP(TRUE,Faturamento!Z14:ZZ14&lt;&gt;"",Faturamento!Z14:ZZ14,,0,-1),"Pendente")</f>
        <v>602159.09708099533</v>
      </c>
      <c r="I65" s="409"/>
      <c r="J65" s="275"/>
      <c r="K65" s="275" t="s">
        <v>154</v>
      </c>
      <c r="L65" s="298" cm="1">
        <f t="array" ref="L65">IFERROR(_xlfn.XLOOKUP(TRUE,Faturamento!Z11:ZZ11&lt;&gt;"",Faturamento!Z11:ZZ11,,0,-1),"Pendente")</f>
        <v>67520.1315591397</v>
      </c>
      <c r="M65" s="309"/>
    </row>
    <row r="66" spans="1:31" ht="23.25" thickBot="1" x14ac:dyDescent="0.3">
      <c r="A66" s="277"/>
      <c r="B66" s="252"/>
      <c r="C66" s="78"/>
      <c r="D66" s="79"/>
      <c r="E66" s="80"/>
      <c r="F66" s="406"/>
      <c r="G66" s="406"/>
      <c r="H66" s="171"/>
      <c r="I66" s="81"/>
      <c r="J66" s="81"/>
      <c r="K66" s="81"/>
      <c r="L66" s="81"/>
      <c r="M66" s="81"/>
      <c r="P66" s="402" t="s">
        <v>155</v>
      </c>
      <c r="Q66" s="402"/>
      <c r="R66" s="402"/>
      <c r="S66" s="402"/>
      <c r="T66" s="402"/>
      <c r="U66" s="402"/>
      <c r="V66" s="402"/>
      <c r="W66" s="402"/>
      <c r="X66" s="402"/>
      <c r="Y66" s="402"/>
      <c r="Z66" s="402"/>
      <c r="AA66" s="402"/>
      <c r="AB66" s="402"/>
      <c r="AC66" s="402"/>
      <c r="AD66" s="402"/>
      <c r="AE66" s="402"/>
    </row>
    <row r="67" spans="1:31" ht="23.25" thickBot="1" x14ac:dyDescent="0.3">
      <c r="A67" s="278"/>
      <c r="B67" s="253"/>
      <c r="C67" s="82" t="s">
        <v>156</v>
      </c>
      <c r="D67" s="83"/>
      <c r="E67" s="84"/>
      <c r="F67" s="403"/>
      <c r="G67" s="403"/>
      <c r="H67" s="403"/>
      <c r="I67" s="403"/>
      <c r="J67" s="403"/>
      <c r="K67" s="403"/>
      <c r="L67" s="404"/>
      <c r="M67" s="312"/>
      <c r="P67" s="405" t="s">
        <v>157</v>
      </c>
      <c r="Q67" s="405"/>
      <c r="R67" s="405"/>
      <c r="S67" s="405"/>
      <c r="T67" s="106" t="s">
        <v>158</v>
      </c>
      <c r="U67" s="106" t="s">
        <v>71</v>
      </c>
      <c r="V67" s="106" t="s">
        <v>80</v>
      </c>
      <c r="W67" s="106" t="s">
        <v>57</v>
      </c>
      <c r="X67" s="106" t="s">
        <v>45</v>
      </c>
      <c r="Y67" s="106" t="s">
        <v>24</v>
      </c>
      <c r="Z67" s="106" t="s">
        <v>38</v>
      </c>
      <c r="AA67" s="106" t="s">
        <v>78</v>
      </c>
      <c r="AB67" s="106" t="s">
        <v>79</v>
      </c>
      <c r="AC67" s="106" t="s">
        <v>15</v>
      </c>
      <c r="AD67" s="106" t="s">
        <v>20</v>
      </c>
      <c r="AE67" s="106" t="s">
        <v>53</v>
      </c>
    </row>
    <row r="68" spans="1:31" ht="36" customHeight="1" thickTop="1" x14ac:dyDescent="0.25">
      <c r="A68" s="278"/>
      <c r="B68" s="253"/>
      <c r="C68" s="173" t="s">
        <v>155</v>
      </c>
      <c r="D68" s="415"/>
      <c r="E68" s="415"/>
      <c r="F68" s="415"/>
      <c r="G68" s="415"/>
      <c r="H68" s="415"/>
      <c r="I68" s="415"/>
      <c r="J68" s="423" t="s">
        <v>285</v>
      </c>
      <c r="K68" s="423"/>
      <c r="L68" s="424"/>
      <c r="M68" s="313"/>
      <c r="P68" s="420" t="s">
        <v>159</v>
      </c>
      <c r="Q68" s="107"/>
      <c r="R68" s="421" t="s">
        <v>106</v>
      </c>
      <c r="S68" s="421"/>
      <c r="T68" s="118">
        <f t="shared" ref="T68:T69" si="5">SUM(U68:AE68)</f>
        <v>10</v>
      </c>
      <c r="U68" s="108">
        <f t="shared" ref="U68:AE72" si="6">COUNTIFS($D$3:$D$62,$R68,$F$3:$F$62,U$67)</f>
        <v>1</v>
      </c>
      <c r="V68" s="109">
        <f t="shared" si="6"/>
        <v>3</v>
      </c>
      <c r="W68" s="109">
        <f t="shared" si="6"/>
        <v>1</v>
      </c>
      <c r="X68" s="109">
        <f t="shared" si="6"/>
        <v>1</v>
      </c>
      <c r="Y68" s="109">
        <f t="shared" si="6"/>
        <v>3</v>
      </c>
      <c r="Z68" s="109">
        <f t="shared" si="6"/>
        <v>1</v>
      </c>
      <c r="AA68" s="109">
        <f t="shared" si="6"/>
        <v>0</v>
      </c>
      <c r="AB68" s="109">
        <f t="shared" si="6"/>
        <v>0</v>
      </c>
      <c r="AC68" s="108">
        <f t="shared" si="6"/>
        <v>0</v>
      </c>
      <c r="AD68" s="108">
        <f t="shared" si="6"/>
        <v>0</v>
      </c>
      <c r="AE68" s="108">
        <f t="shared" si="6"/>
        <v>0</v>
      </c>
    </row>
    <row r="69" spans="1:31" ht="34.5" customHeight="1" thickBot="1" x14ac:dyDescent="0.3">
      <c r="A69" s="277"/>
      <c r="B69" s="252"/>
      <c r="C69" s="174" t="s">
        <v>160</v>
      </c>
      <c r="D69" s="422"/>
      <c r="E69" s="422"/>
      <c r="F69" s="422"/>
      <c r="G69" s="422"/>
      <c r="H69" s="422"/>
      <c r="I69" s="422"/>
      <c r="J69" s="425"/>
      <c r="K69" s="425"/>
      <c r="L69" s="426"/>
      <c r="M69" s="313"/>
      <c r="P69" s="420"/>
      <c r="Q69" s="107"/>
      <c r="R69" s="421" t="s">
        <v>109</v>
      </c>
      <c r="S69" s="421"/>
      <c r="T69" s="118">
        <f t="shared" si="5"/>
        <v>15</v>
      </c>
      <c r="U69" s="109">
        <f t="shared" si="6"/>
        <v>0</v>
      </c>
      <c r="V69" s="109">
        <f t="shared" si="6"/>
        <v>2</v>
      </c>
      <c r="W69" s="109">
        <f t="shared" si="6"/>
        <v>4</v>
      </c>
      <c r="X69" s="109">
        <f t="shared" si="6"/>
        <v>1</v>
      </c>
      <c r="Y69" s="109">
        <f t="shared" si="6"/>
        <v>2</v>
      </c>
      <c r="Z69" s="109">
        <f t="shared" si="6"/>
        <v>3</v>
      </c>
      <c r="AA69" s="109">
        <f t="shared" si="6"/>
        <v>1</v>
      </c>
      <c r="AB69" s="109">
        <f t="shared" si="6"/>
        <v>1</v>
      </c>
      <c r="AC69" s="108">
        <f t="shared" si="6"/>
        <v>1</v>
      </c>
      <c r="AD69" s="108">
        <f t="shared" si="6"/>
        <v>0</v>
      </c>
      <c r="AE69" s="108">
        <f t="shared" si="6"/>
        <v>0</v>
      </c>
    </row>
    <row r="70" spans="1:31" ht="36" customHeight="1" thickTop="1" thickBot="1" x14ac:dyDescent="0.3">
      <c r="A70" s="277"/>
      <c r="B70" s="252"/>
      <c r="C70" s="175" t="s">
        <v>161</v>
      </c>
      <c r="D70" s="417"/>
      <c r="E70" s="417"/>
      <c r="F70" s="417"/>
      <c r="G70" s="417"/>
      <c r="H70" s="417"/>
      <c r="I70" s="417"/>
      <c r="J70" s="428" t="s">
        <v>162</v>
      </c>
      <c r="K70" s="428"/>
      <c r="L70" s="429"/>
      <c r="M70" s="314"/>
      <c r="P70" s="436" t="s">
        <v>163</v>
      </c>
      <c r="Q70" s="110"/>
      <c r="R70" s="437" t="s">
        <v>141</v>
      </c>
      <c r="S70" s="437"/>
      <c r="T70" s="118">
        <f>SUM(U70:AE70)</f>
        <v>0</v>
      </c>
      <c r="U70" s="111">
        <f t="shared" si="6"/>
        <v>0</v>
      </c>
      <c r="V70" s="112">
        <f t="shared" si="6"/>
        <v>0</v>
      </c>
      <c r="W70" s="112">
        <f t="shared" si="6"/>
        <v>0</v>
      </c>
      <c r="X70" s="112">
        <f t="shared" si="6"/>
        <v>0</v>
      </c>
      <c r="Y70" s="112">
        <f t="shared" si="6"/>
        <v>0</v>
      </c>
      <c r="Z70" s="112">
        <f t="shared" si="6"/>
        <v>0</v>
      </c>
      <c r="AA70" s="112">
        <f t="shared" si="6"/>
        <v>0</v>
      </c>
      <c r="AB70" s="112">
        <f t="shared" si="6"/>
        <v>0</v>
      </c>
      <c r="AC70" s="112">
        <f t="shared" si="6"/>
        <v>0</v>
      </c>
      <c r="AD70" s="112">
        <f t="shared" si="6"/>
        <v>0</v>
      </c>
      <c r="AE70" s="112">
        <f t="shared" si="6"/>
        <v>0</v>
      </c>
    </row>
    <row r="71" spans="1:31" ht="35.25" customHeight="1" thickTop="1" thickBot="1" x14ac:dyDescent="0.3">
      <c r="A71" s="277"/>
      <c r="B71" s="252"/>
      <c r="C71" s="174" t="s">
        <v>164</v>
      </c>
      <c r="D71" s="416" t="s">
        <v>165</v>
      </c>
      <c r="E71" s="416"/>
      <c r="F71" s="416"/>
      <c r="G71" s="416"/>
      <c r="H71" s="416"/>
      <c r="I71" s="416"/>
      <c r="J71" s="430" t="s">
        <v>166</v>
      </c>
      <c r="K71" s="430"/>
      <c r="L71" s="431"/>
      <c r="M71" s="315"/>
      <c r="P71" s="436"/>
      <c r="Q71" s="110"/>
      <c r="R71" s="437" t="s">
        <v>143</v>
      </c>
      <c r="S71" s="437"/>
      <c r="T71" s="118">
        <f>SUM(U71:AE71)</f>
        <v>0</v>
      </c>
      <c r="U71" s="111">
        <f t="shared" si="6"/>
        <v>0</v>
      </c>
      <c r="V71" s="112">
        <f t="shared" si="6"/>
        <v>0</v>
      </c>
      <c r="W71" s="112">
        <f t="shared" si="6"/>
        <v>0</v>
      </c>
      <c r="X71" s="112">
        <f t="shared" si="6"/>
        <v>0</v>
      </c>
      <c r="Y71" s="112">
        <f t="shared" si="6"/>
        <v>0</v>
      </c>
      <c r="Z71" s="112">
        <f t="shared" si="6"/>
        <v>0</v>
      </c>
      <c r="AA71" s="112">
        <f t="shared" si="6"/>
        <v>0</v>
      </c>
      <c r="AB71" s="112">
        <f t="shared" si="6"/>
        <v>0</v>
      </c>
      <c r="AC71" s="112">
        <f t="shared" si="6"/>
        <v>0</v>
      </c>
      <c r="AD71" s="112">
        <f t="shared" si="6"/>
        <v>0</v>
      </c>
      <c r="AE71" s="112">
        <f t="shared" si="6"/>
        <v>0</v>
      </c>
    </row>
    <row r="72" spans="1:31" ht="19.5" customHeight="1" thickTop="1" x14ac:dyDescent="0.25">
      <c r="A72" s="277"/>
      <c r="B72" s="252"/>
      <c r="C72" s="173" t="s">
        <v>167</v>
      </c>
      <c r="D72" s="418" t="s">
        <v>168</v>
      </c>
      <c r="E72" s="418"/>
      <c r="F72" s="418"/>
      <c r="G72" s="418"/>
      <c r="H72" s="418"/>
      <c r="I72" s="418"/>
      <c r="J72" s="432"/>
      <c r="K72" s="432"/>
      <c r="L72" s="433"/>
      <c r="M72" s="315"/>
      <c r="P72" s="436"/>
      <c r="Q72" s="110"/>
      <c r="R72" s="437" t="s">
        <v>146</v>
      </c>
      <c r="S72" s="437"/>
      <c r="T72" s="118">
        <f>SUM(U72:AE72)</f>
        <v>0</v>
      </c>
      <c r="U72" s="111">
        <f t="shared" si="6"/>
        <v>0</v>
      </c>
      <c r="V72" s="112">
        <f t="shared" si="6"/>
        <v>0</v>
      </c>
      <c r="W72" s="112">
        <f t="shared" si="6"/>
        <v>0</v>
      </c>
      <c r="X72" s="112">
        <f t="shared" si="6"/>
        <v>0</v>
      </c>
      <c r="Y72" s="112">
        <f t="shared" si="6"/>
        <v>0</v>
      </c>
      <c r="Z72" s="112">
        <f t="shared" si="6"/>
        <v>0</v>
      </c>
      <c r="AA72" s="112">
        <f t="shared" si="6"/>
        <v>0</v>
      </c>
      <c r="AB72" s="112">
        <f t="shared" si="6"/>
        <v>0</v>
      </c>
      <c r="AC72" s="112">
        <f t="shared" si="6"/>
        <v>0</v>
      </c>
      <c r="AD72" s="112">
        <f t="shared" si="6"/>
        <v>0</v>
      </c>
      <c r="AE72" s="112">
        <f t="shared" si="6"/>
        <v>0</v>
      </c>
    </row>
    <row r="73" spans="1:31" s="47" customFormat="1" ht="19.5" thickBot="1" x14ac:dyDescent="0.3">
      <c r="A73" s="277"/>
      <c r="B73" s="252"/>
      <c r="C73" s="174" t="s">
        <v>169</v>
      </c>
      <c r="D73" s="416" t="s">
        <v>170</v>
      </c>
      <c r="E73" s="416"/>
      <c r="F73" s="416"/>
      <c r="G73" s="416"/>
      <c r="H73" s="416"/>
      <c r="I73" s="416"/>
      <c r="J73" s="434"/>
      <c r="K73" s="434"/>
      <c r="L73" s="435"/>
      <c r="M73" s="315"/>
      <c r="N73" s="105"/>
      <c r="P73" s="427" t="s">
        <v>81</v>
      </c>
      <c r="Q73" s="427"/>
      <c r="R73" s="427"/>
      <c r="S73" s="113"/>
      <c r="T73" s="119">
        <f t="shared" ref="T73:AE73" si="7">SUM(T68:T72)</f>
        <v>25</v>
      </c>
      <c r="U73" s="113">
        <f t="shared" si="7"/>
        <v>1</v>
      </c>
      <c r="V73" s="113">
        <f t="shared" si="7"/>
        <v>5</v>
      </c>
      <c r="W73" s="113">
        <f t="shared" si="7"/>
        <v>5</v>
      </c>
      <c r="X73" s="113">
        <f t="shared" si="7"/>
        <v>2</v>
      </c>
      <c r="Y73" s="113">
        <f t="shared" si="7"/>
        <v>5</v>
      </c>
      <c r="Z73" s="113">
        <f t="shared" si="7"/>
        <v>4</v>
      </c>
      <c r="AA73" s="113">
        <f t="shared" si="7"/>
        <v>1</v>
      </c>
      <c r="AB73" s="113">
        <f t="shared" si="7"/>
        <v>1</v>
      </c>
      <c r="AC73" s="113">
        <f t="shared" si="7"/>
        <v>1</v>
      </c>
      <c r="AD73" s="113">
        <f t="shared" si="7"/>
        <v>0</v>
      </c>
      <c r="AE73" s="113">
        <f t="shared" si="7"/>
        <v>0</v>
      </c>
    </row>
    <row r="74" spans="1:31" s="47" customFormat="1" ht="16.5" thickTop="1" x14ac:dyDescent="0.25">
      <c r="A74" s="277"/>
      <c r="B74" s="252"/>
      <c r="C74" s="173"/>
      <c r="D74" s="415"/>
      <c r="E74" s="415"/>
      <c r="F74" s="415"/>
      <c r="G74" s="415"/>
      <c r="H74" s="415"/>
      <c r="I74" s="415"/>
      <c r="J74" s="411"/>
      <c r="K74" s="411"/>
      <c r="L74" s="412"/>
      <c r="M74" s="314"/>
      <c r="N74" s="105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</row>
    <row r="75" spans="1:31" ht="23.25" thickBot="1" x14ac:dyDescent="0.3">
      <c r="A75" s="277"/>
      <c r="B75" s="252"/>
      <c r="C75" s="174"/>
      <c r="D75" s="419"/>
      <c r="E75" s="419"/>
      <c r="F75" s="419"/>
      <c r="G75" s="419"/>
      <c r="H75" s="419"/>
      <c r="I75" s="419"/>
      <c r="J75" s="413"/>
      <c r="K75" s="413"/>
      <c r="L75" s="414"/>
      <c r="M75" s="314"/>
      <c r="P75" s="402" t="s">
        <v>160</v>
      </c>
      <c r="Q75" s="402"/>
      <c r="R75" s="402"/>
      <c r="S75" s="402"/>
      <c r="T75" s="402"/>
      <c r="U75" s="402"/>
      <c r="V75" s="402"/>
      <c r="W75" s="402"/>
      <c r="X75" s="402"/>
      <c r="Y75" s="402"/>
      <c r="Z75" s="402"/>
      <c r="AA75" s="402"/>
      <c r="AB75" s="402"/>
      <c r="AC75" s="402"/>
      <c r="AD75" s="402"/>
      <c r="AE75" s="402"/>
    </row>
    <row r="76" spans="1:31" ht="30" customHeight="1" thickTop="1" x14ac:dyDescent="0.25">
      <c r="A76" s="277"/>
      <c r="C76" s="173" t="s">
        <v>171</v>
      </c>
      <c r="D76" s="444" t="s">
        <v>172</v>
      </c>
      <c r="E76" s="444"/>
      <c r="F76" s="444"/>
      <c r="G76" s="444"/>
      <c r="H76" s="444"/>
      <c r="I76" s="444"/>
      <c r="J76" s="176"/>
      <c r="K76" s="179"/>
      <c r="L76" s="177"/>
      <c r="M76" s="179"/>
      <c r="P76" s="405" t="s">
        <v>157</v>
      </c>
      <c r="Q76" s="405"/>
      <c r="R76" s="405"/>
      <c r="S76" s="405"/>
      <c r="T76" s="106" t="s">
        <v>158</v>
      </c>
      <c r="U76" s="106" t="s">
        <v>71</v>
      </c>
      <c r="V76" s="106" t="s">
        <v>80</v>
      </c>
      <c r="W76" s="106" t="s">
        <v>57</v>
      </c>
      <c r="X76" s="106" t="s">
        <v>45</v>
      </c>
      <c r="Y76" s="106" t="s">
        <v>24</v>
      </c>
      <c r="Z76" s="106" t="s">
        <v>38</v>
      </c>
      <c r="AA76" s="106" t="s">
        <v>78</v>
      </c>
      <c r="AB76" s="106" t="s">
        <v>79</v>
      </c>
      <c r="AC76" s="106" t="s">
        <v>15</v>
      </c>
      <c r="AD76" s="106" t="s">
        <v>20</v>
      </c>
      <c r="AE76" s="106" t="s">
        <v>53</v>
      </c>
    </row>
    <row r="77" spans="1:31" ht="30" customHeight="1" x14ac:dyDescent="0.25">
      <c r="C77" s="178"/>
      <c r="D77" s="445" t="s">
        <v>173</v>
      </c>
      <c r="E77" s="445"/>
      <c r="F77" s="445"/>
      <c r="G77" s="445"/>
      <c r="H77" s="445"/>
      <c r="I77" s="445"/>
      <c r="J77" s="179"/>
      <c r="L77" s="180"/>
      <c r="M77" s="179"/>
      <c r="P77" s="439" t="s">
        <v>174</v>
      </c>
      <c r="Q77" s="107"/>
      <c r="R77" s="421" t="s">
        <v>124</v>
      </c>
      <c r="S77" s="421"/>
      <c r="T77" s="117">
        <f>SUM(U77:AE77)</f>
        <v>16</v>
      </c>
      <c r="U77" s="108">
        <f t="shared" ref="U77:AE80" si="8">COUNTIFS($J$3:$J$62,$R77,$F$3:$F$62,U$76)</f>
        <v>0</v>
      </c>
      <c r="V77" s="109">
        <f t="shared" si="8"/>
        <v>4</v>
      </c>
      <c r="W77" s="109">
        <f t="shared" si="8"/>
        <v>3</v>
      </c>
      <c r="X77" s="109">
        <f t="shared" si="8"/>
        <v>1</v>
      </c>
      <c r="Y77" s="108">
        <f t="shared" si="8"/>
        <v>2</v>
      </c>
      <c r="Z77" s="109">
        <f t="shared" si="8"/>
        <v>3</v>
      </c>
      <c r="AA77" s="109">
        <f t="shared" si="8"/>
        <v>1</v>
      </c>
      <c r="AB77" s="109">
        <f t="shared" si="8"/>
        <v>1</v>
      </c>
      <c r="AC77" s="108">
        <f t="shared" si="8"/>
        <v>1</v>
      </c>
      <c r="AD77" s="108">
        <f t="shared" si="8"/>
        <v>0</v>
      </c>
      <c r="AE77" s="108">
        <f t="shared" si="8"/>
        <v>0</v>
      </c>
    </row>
    <row r="78" spans="1:31" ht="30" customHeight="1" x14ac:dyDescent="0.25">
      <c r="C78" s="178"/>
      <c r="D78" s="445" t="s">
        <v>175</v>
      </c>
      <c r="E78" s="445"/>
      <c r="F78" s="445"/>
      <c r="G78" s="445"/>
      <c r="H78" s="445"/>
      <c r="I78" s="445"/>
      <c r="J78" s="179"/>
      <c r="K78" s="179"/>
      <c r="L78" s="180"/>
      <c r="M78" s="179"/>
      <c r="P78" s="439"/>
      <c r="Q78" s="107"/>
      <c r="R78" s="421" t="s">
        <v>127</v>
      </c>
      <c r="S78" s="421"/>
      <c r="T78" s="117">
        <f>SUM(U78:AE78)</f>
        <v>0</v>
      </c>
      <c r="U78" s="108">
        <f t="shared" si="8"/>
        <v>0</v>
      </c>
      <c r="V78" s="108">
        <f t="shared" si="8"/>
        <v>0</v>
      </c>
      <c r="W78" s="108">
        <f t="shared" si="8"/>
        <v>0</v>
      </c>
      <c r="X78" s="108">
        <f t="shared" si="8"/>
        <v>0</v>
      </c>
      <c r="Y78" s="108">
        <f t="shared" si="8"/>
        <v>0</v>
      </c>
      <c r="Z78" s="108">
        <f t="shared" si="8"/>
        <v>0</v>
      </c>
      <c r="AA78" s="108">
        <f t="shared" si="8"/>
        <v>0</v>
      </c>
      <c r="AB78" s="108">
        <f t="shared" si="8"/>
        <v>0</v>
      </c>
      <c r="AC78" s="108">
        <f t="shared" si="8"/>
        <v>0</v>
      </c>
      <c r="AD78" s="108">
        <f t="shared" si="8"/>
        <v>0</v>
      </c>
      <c r="AE78" s="108">
        <f t="shared" si="8"/>
        <v>0</v>
      </c>
    </row>
    <row r="79" spans="1:31" ht="30" customHeight="1" thickBot="1" x14ac:dyDescent="0.3">
      <c r="C79" s="174"/>
      <c r="D79" s="441" t="s">
        <v>176</v>
      </c>
      <c r="E79" s="441"/>
      <c r="F79" s="441"/>
      <c r="G79" s="441"/>
      <c r="H79" s="441"/>
      <c r="I79" s="441"/>
      <c r="J79" s="181"/>
      <c r="K79" s="181"/>
      <c r="L79" s="182"/>
      <c r="M79" s="179"/>
      <c r="P79" s="440" t="s">
        <v>177</v>
      </c>
      <c r="Q79" s="115"/>
      <c r="R79" s="437" t="s">
        <v>178</v>
      </c>
      <c r="S79" s="437"/>
      <c r="T79" s="118">
        <f>SUM(U79:AE79)</f>
        <v>0</v>
      </c>
      <c r="U79" s="111">
        <f t="shared" si="8"/>
        <v>0</v>
      </c>
      <c r="V79" s="112">
        <f t="shared" si="8"/>
        <v>0</v>
      </c>
      <c r="W79" s="112">
        <f t="shared" si="8"/>
        <v>0</v>
      </c>
      <c r="X79" s="112">
        <f t="shared" si="8"/>
        <v>0</v>
      </c>
      <c r="Y79" s="112">
        <f t="shared" si="8"/>
        <v>0</v>
      </c>
      <c r="Z79" s="112">
        <f t="shared" si="8"/>
        <v>0</v>
      </c>
      <c r="AA79" s="112">
        <f t="shared" si="8"/>
        <v>0</v>
      </c>
      <c r="AB79" s="112">
        <f t="shared" si="8"/>
        <v>0</v>
      </c>
      <c r="AC79" s="112">
        <f t="shared" si="8"/>
        <v>0</v>
      </c>
      <c r="AD79" s="112">
        <f t="shared" si="8"/>
        <v>0</v>
      </c>
      <c r="AE79" s="112">
        <f t="shared" si="8"/>
        <v>0</v>
      </c>
    </row>
    <row r="80" spans="1:31" ht="30" customHeight="1" thickTop="1" thickBot="1" x14ac:dyDescent="0.3">
      <c r="C80" s="183" t="s">
        <v>179</v>
      </c>
      <c r="D80" s="442" t="s">
        <v>180</v>
      </c>
      <c r="E80" s="442"/>
      <c r="F80" s="442"/>
      <c r="G80" s="442"/>
      <c r="H80" s="442"/>
      <c r="I80" s="442"/>
      <c r="J80" s="442"/>
      <c r="K80" s="442"/>
      <c r="L80" s="443"/>
      <c r="M80" s="316"/>
      <c r="P80" s="440"/>
      <c r="Q80" s="115"/>
      <c r="R80" s="437" t="s">
        <v>112</v>
      </c>
      <c r="S80" s="437"/>
      <c r="T80" s="118">
        <f>SUM(U80:AE80)</f>
        <v>4</v>
      </c>
      <c r="U80" s="112">
        <f t="shared" si="8"/>
        <v>0</v>
      </c>
      <c r="V80" s="111">
        <f t="shared" si="8"/>
        <v>2</v>
      </c>
      <c r="W80" s="112">
        <f t="shared" si="8"/>
        <v>0</v>
      </c>
      <c r="X80" s="111">
        <f t="shared" si="8"/>
        <v>1</v>
      </c>
      <c r="Y80" s="111">
        <f t="shared" si="8"/>
        <v>1</v>
      </c>
      <c r="Z80" s="112">
        <f t="shared" si="8"/>
        <v>0</v>
      </c>
      <c r="AA80" s="112">
        <f t="shared" si="8"/>
        <v>0</v>
      </c>
      <c r="AB80" s="112">
        <f t="shared" si="8"/>
        <v>0</v>
      </c>
      <c r="AC80" s="112">
        <f t="shared" si="8"/>
        <v>0</v>
      </c>
      <c r="AD80" s="112">
        <f t="shared" si="8"/>
        <v>0</v>
      </c>
      <c r="AE80" s="112">
        <f t="shared" si="8"/>
        <v>0</v>
      </c>
    </row>
    <row r="81" spans="2:31" s="47" customFormat="1" ht="30" customHeight="1" x14ac:dyDescent="0.25">
      <c r="B81" s="86"/>
      <c r="C81" s="85"/>
      <c r="D81" s="438"/>
      <c r="E81" s="438"/>
      <c r="F81" s="438"/>
      <c r="G81" s="438"/>
      <c r="H81" s="438"/>
      <c r="I81" s="438"/>
      <c r="J81" s="438"/>
      <c r="K81" s="438"/>
      <c r="L81" s="438"/>
      <c r="M81" s="308"/>
      <c r="N81" s="105"/>
      <c r="P81" s="427" t="s">
        <v>81</v>
      </c>
      <c r="Q81" s="427"/>
      <c r="R81" s="427"/>
      <c r="S81" s="113"/>
      <c r="T81" s="119">
        <f t="shared" ref="T81:AE81" si="9">SUM(T77:T80)</f>
        <v>20</v>
      </c>
      <c r="U81" s="116">
        <f t="shared" si="9"/>
        <v>0</v>
      </c>
      <c r="V81" s="116">
        <f t="shared" si="9"/>
        <v>6</v>
      </c>
      <c r="W81" s="116">
        <f t="shared" si="9"/>
        <v>3</v>
      </c>
      <c r="X81" s="116">
        <f t="shared" si="9"/>
        <v>2</v>
      </c>
      <c r="Y81" s="116">
        <f t="shared" si="9"/>
        <v>3</v>
      </c>
      <c r="Z81" s="116">
        <f t="shared" si="9"/>
        <v>3</v>
      </c>
      <c r="AA81" s="116">
        <f t="shared" si="9"/>
        <v>1</v>
      </c>
      <c r="AB81" s="116">
        <f t="shared" si="9"/>
        <v>1</v>
      </c>
      <c r="AC81" s="116">
        <f t="shared" si="9"/>
        <v>1</v>
      </c>
      <c r="AD81" s="116">
        <f t="shared" si="9"/>
        <v>0</v>
      </c>
      <c r="AE81" s="116">
        <f t="shared" si="9"/>
        <v>0</v>
      </c>
    </row>
  </sheetData>
  <autoFilter ref="C2:L65" xr:uid="{F1C50396-7D93-4E8E-AF2D-0B23530D2333}"/>
  <mergeCells count="46">
    <mergeCell ref="P75:AE75"/>
    <mergeCell ref="D81:L81"/>
    <mergeCell ref="P81:R81"/>
    <mergeCell ref="P76:S76"/>
    <mergeCell ref="P77:P78"/>
    <mergeCell ref="R77:S77"/>
    <mergeCell ref="R78:S78"/>
    <mergeCell ref="P79:P80"/>
    <mergeCell ref="R79:S79"/>
    <mergeCell ref="R80:S80"/>
    <mergeCell ref="D79:I79"/>
    <mergeCell ref="D80:L80"/>
    <mergeCell ref="D76:I76"/>
    <mergeCell ref="D77:I77"/>
    <mergeCell ref="D78:I78"/>
    <mergeCell ref="P73:R73"/>
    <mergeCell ref="J70:L70"/>
    <mergeCell ref="J71:L71"/>
    <mergeCell ref="J72:L72"/>
    <mergeCell ref="J73:L73"/>
    <mergeCell ref="P70:P72"/>
    <mergeCell ref="R70:S70"/>
    <mergeCell ref="R71:S71"/>
    <mergeCell ref="R72:S72"/>
    <mergeCell ref="P68:P69"/>
    <mergeCell ref="R68:S68"/>
    <mergeCell ref="D69:I69"/>
    <mergeCell ref="R69:S69"/>
    <mergeCell ref="J68:L69"/>
    <mergeCell ref="F64:G64"/>
    <mergeCell ref="F65:G65"/>
    <mergeCell ref="H65:I65"/>
    <mergeCell ref="C1:N1"/>
    <mergeCell ref="J74:L75"/>
    <mergeCell ref="D74:I74"/>
    <mergeCell ref="D68:I68"/>
    <mergeCell ref="D73:I73"/>
    <mergeCell ref="D70:I70"/>
    <mergeCell ref="D71:I71"/>
    <mergeCell ref="D72:I72"/>
    <mergeCell ref="D75:I75"/>
    <mergeCell ref="P66:AE66"/>
    <mergeCell ref="F67:J67"/>
    <mergeCell ref="K67:L67"/>
    <mergeCell ref="P67:S67"/>
    <mergeCell ref="F66:G66"/>
  </mergeCells>
  <phoneticPr fontId="89" type="noConversion"/>
  <conditionalFormatting sqref="L65:M65">
    <cfRule type="containsText" dxfId="102" priority="7" operator="containsText" text="Pendente">
      <formula>NOT(ISERROR(SEARCH("Pendente",L65)))</formula>
    </cfRule>
  </conditionalFormatting>
  <conditionalFormatting sqref="H64">
    <cfRule type="containsText" dxfId="101" priority="4" operator="containsText" text="Pendente">
      <formula>NOT(ISERROR(SEARCH("Pendente",H64)))</formula>
    </cfRule>
  </conditionalFormatting>
  <conditionalFormatting sqref="H65">
    <cfRule type="containsText" dxfId="100" priority="3" operator="containsText" text="Pendente">
      <formula>NOT(ISERROR(SEARCH("Pendente",H65)))</formula>
    </cfRule>
  </conditionalFormatting>
  <conditionalFormatting sqref="M4:M53">
    <cfRule type="containsText" dxfId="99" priority="1" operator="containsText" text="NÃO">
      <formula>NOT(ISERROR(SEARCH("NÃO",M4)))</formula>
    </cfRule>
    <cfRule type="containsText" dxfId="98" priority="2" operator="containsText" text="SIM">
      <formula>NOT(ISERROR(SEARCH("SIM",M4)))</formula>
    </cfRule>
  </conditionalFormatting>
  <printOptions horizontalCentered="1" verticalCentered="1"/>
  <pageMargins left="0" right="0" top="0" bottom="0.01" header="0" footer="0"/>
  <pageSetup paperSize="9" scale="32" orientation="portrait" r:id="rId1"/>
  <ignoredErrors>
    <ignoredError sqref="L6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E7A37-1456-4A14-B197-52ECD131E30A}">
  <sheetPr codeName="Planilha5">
    <tabColor theme="3" tint="0.39997558519241921"/>
    <pageSetUpPr fitToPage="1"/>
  </sheetPr>
  <dimension ref="A1:L38"/>
  <sheetViews>
    <sheetView view="pageBreakPreview" topLeftCell="A15" zoomScale="60" zoomScaleNormal="100" workbookViewId="0">
      <selection activeCell="G7" sqref="G7"/>
    </sheetView>
  </sheetViews>
  <sheetFormatPr defaultRowHeight="15" x14ac:dyDescent="0.25"/>
  <cols>
    <col min="1" max="1" width="37" style="86" customWidth="1"/>
    <col min="2" max="2" width="29.85546875" bestFit="1" customWidth="1"/>
    <col min="3" max="3" width="20.7109375" customWidth="1"/>
    <col min="4" max="4" width="7.5703125" bestFit="1" customWidth="1"/>
    <col min="5" max="5" width="20.85546875" bestFit="1" customWidth="1"/>
    <col min="6" max="6" width="28.42578125" bestFit="1" customWidth="1"/>
    <col min="7" max="7" width="19.140625" customWidth="1"/>
    <col min="8" max="8" width="9.140625" customWidth="1"/>
  </cols>
  <sheetData>
    <row r="1" spans="1:12" ht="58.5" customHeight="1" x14ac:dyDescent="0.25">
      <c r="A1" s="446" t="s">
        <v>286</v>
      </c>
      <c r="B1" s="447"/>
      <c r="C1" s="447"/>
      <c r="D1" s="447"/>
      <c r="E1" s="447"/>
      <c r="F1" s="447"/>
      <c r="G1" s="447"/>
    </row>
    <row r="2" spans="1:12" ht="28.5" customHeight="1" x14ac:dyDescent="0.25">
      <c r="A2" s="448"/>
      <c r="B2" s="449"/>
      <c r="C2" s="449"/>
      <c r="D2" s="449"/>
      <c r="E2" s="449"/>
      <c r="F2" s="449"/>
      <c r="G2" s="449"/>
    </row>
    <row r="3" spans="1:12" x14ac:dyDescent="0.25">
      <c r="A3" s="356" t="s">
        <v>287</v>
      </c>
      <c r="B3" s="357" t="s">
        <v>288</v>
      </c>
      <c r="C3" s="358" t="s">
        <v>289</v>
      </c>
      <c r="D3" s="359" t="s">
        <v>290</v>
      </c>
      <c r="E3" s="360" t="s">
        <v>291</v>
      </c>
      <c r="F3" s="358" t="s">
        <v>292</v>
      </c>
      <c r="G3" s="359" t="s">
        <v>277</v>
      </c>
      <c r="L3" s="87"/>
    </row>
    <row r="4" spans="1:12" x14ac:dyDescent="0.25">
      <c r="A4" s="361" t="str">
        <f>Helexia!C3</f>
        <v>Leandro Farias</v>
      </c>
      <c r="B4" s="362" t="s">
        <v>293</v>
      </c>
      <c r="C4" s="363" t="s">
        <v>294</v>
      </c>
      <c r="D4" s="364" t="s">
        <v>295</v>
      </c>
      <c r="E4" s="363" t="s">
        <v>296</v>
      </c>
      <c r="F4" s="365"/>
      <c r="G4" s="364"/>
      <c r="L4" s="87"/>
    </row>
    <row r="5" spans="1:12" x14ac:dyDescent="0.25">
      <c r="A5" s="361" t="str">
        <f>Helexia!C4</f>
        <v>Mônica Teles</v>
      </c>
      <c r="B5" s="362" t="s">
        <v>297</v>
      </c>
      <c r="C5" s="363" t="s">
        <v>298</v>
      </c>
      <c r="D5" s="364" t="s">
        <v>295</v>
      </c>
      <c r="E5" s="363" t="s">
        <v>296</v>
      </c>
      <c r="F5" s="365"/>
      <c r="G5" s="364"/>
      <c r="L5" s="87"/>
    </row>
    <row r="6" spans="1:12" x14ac:dyDescent="0.25">
      <c r="A6" s="361" t="str">
        <f>Helexia!C5</f>
        <v>Rogério Bastos</v>
      </c>
      <c r="B6" s="362" t="s">
        <v>438</v>
      </c>
      <c r="C6" s="363" t="s">
        <v>299</v>
      </c>
      <c r="D6" s="364" t="s">
        <v>295</v>
      </c>
      <c r="E6" s="363" t="s">
        <v>296</v>
      </c>
      <c r="F6" s="365"/>
      <c r="G6" s="364"/>
      <c r="L6" s="87"/>
    </row>
    <row r="7" spans="1:12" x14ac:dyDescent="0.25">
      <c r="A7" s="361" t="str">
        <f>Helexia!C6</f>
        <v>Elaine Pimentel</v>
      </c>
      <c r="B7" s="362" t="s">
        <v>300</v>
      </c>
      <c r="C7" s="363" t="s">
        <v>301</v>
      </c>
      <c r="D7" s="364" t="s">
        <v>302</v>
      </c>
      <c r="E7" s="363" t="s">
        <v>303</v>
      </c>
      <c r="F7" s="365"/>
      <c r="G7" s="364" t="s">
        <v>304</v>
      </c>
      <c r="L7" s="87"/>
    </row>
    <row r="8" spans="1:12" x14ac:dyDescent="0.25">
      <c r="A8" s="361" t="str">
        <f>Helexia!C7</f>
        <v>Fábio Cunha</v>
      </c>
      <c r="B8" s="362" t="s">
        <v>305</v>
      </c>
      <c r="C8" s="363" t="s">
        <v>306</v>
      </c>
      <c r="D8" s="364" t="s">
        <v>295</v>
      </c>
      <c r="E8" s="363" t="s">
        <v>303</v>
      </c>
      <c r="F8" s="365"/>
      <c r="G8" s="364"/>
      <c r="L8" s="87"/>
    </row>
    <row r="9" spans="1:12" x14ac:dyDescent="0.25">
      <c r="A9" s="361" t="str">
        <f>Helexia!C8</f>
        <v>Patrícia Andrade Lopes</v>
      </c>
      <c r="B9" s="362" t="s">
        <v>307</v>
      </c>
      <c r="C9" s="363" t="s">
        <v>308</v>
      </c>
      <c r="D9" s="364" t="s">
        <v>302</v>
      </c>
      <c r="E9" s="363" t="s">
        <v>303</v>
      </c>
      <c r="F9" s="365"/>
      <c r="G9" s="364"/>
      <c r="L9" s="87"/>
    </row>
    <row r="10" spans="1:12" x14ac:dyDescent="0.25">
      <c r="A10" s="361" t="str">
        <f>Helexia!C9</f>
        <v>Vinícius Moraes Rangel</v>
      </c>
      <c r="B10" s="362" t="s">
        <v>439</v>
      </c>
      <c r="C10" s="363" t="s">
        <v>309</v>
      </c>
      <c r="D10" s="364" t="s">
        <v>302</v>
      </c>
      <c r="E10" s="363" t="s">
        <v>303</v>
      </c>
      <c r="F10" s="365"/>
      <c r="G10" s="364"/>
      <c r="L10" s="87"/>
    </row>
    <row r="11" spans="1:12" x14ac:dyDescent="0.25">
      <c r="A11" s="361" t="str">
        <f>Helexia!C10</f>
        <v>Cláudia Peixoto Nobre</v>
      </c>
      <c r="B11" s="362" t="s">
        <v>310</v>
      </c>
      <c r="C11" s="363" t="s">
        <v>311</v>
      </c>
      <c r="D11" s="364" t="s">
        <v>295</v>
      </c>
      <c r="E11" s="363" t="s">
        <v>312</v>
      </c>
      <c r="F11" s="365" t="s">
        <v>495</v>
      </c>
      <c r="G11" s="364"/>
      <c r="L11" s="87"/>
    </row>
    <row r="12" spans="1:12" x14ac:dyDescent="0.25">
      <c r="A12" s="361" t="str">
        <f>Helexia!C11</f>
        <v>Renato Guedes Paiva</v>
      </c>
      <c r="B12" s="362" t="s">
        <v>313</v>
      </c>
      <c r="C12" s="363" t="s">
        <v>314</v>
      </c>
      <c r="D12" s="364" t="s">
        <v>295</v>
      </c>
      <c r="E12" s="363" t="s">
        <v>296</v>
      </c>
      <c r="F12" s="365"/>
      <c r="G12" s="364" t="s">
        <v>315</v>
      </c>
      <c r="L12" s="87"/>
    </row>
    <row r="13" spans="1:12" x14ac:dyDescent="0.25">
      <c r="A13" s="361" t="str">
        <f>Helexia!C12</f>
        <v>Silvia Matos Barreto</v>
      </c>
      <c r="B13" s="362" t="s">
        <v>316</v>
      </c>
      <c r="C13" s="363" t="s">
        <v>317</v>
      </c>
      <c r="D13" s="364" t="s">
        <v>295</v>
      </c>
      <c r="E13" s="363" t="s">
        <v>318</v>
      </c>
      <c r="F13" s="365"/>
      <c r="G13" s="364" t="s">
        <v>319</v>
      </c>
      <c r="L13" s="87"/>
    </row>
    <row r="14" spans="1:12" x14ac:dyDescent="0.25">
      <c r="A14" s="361" t="str">
        <f>Helexia!C13</f>
        <v>Daniel Afonso Queiroz Lima</v>
      </c>
      <c r="B14" s="362" t="s">
        <v>320</v>
      </c>
      <c r="C14" s="363" t="s">
        <v>321</v>
      </c>
      <c r="D14" s="364" t="s">
        <v>302</v>
      </c>
      <c r="E14" s="363" t="s">
        <v>318</v>
      </c>
      <c r="F14" s="365"/>
      <c r="G14" s="364"/>
      <c r="L14" s="87"/>
    </row>
    <row r="15" spans="1:12" x14ac:dyDescent="0.25">
      <c r="A15" s="361" t="str">
        <f>Helexia!C14</f>
        <v>Juliane Costa Figueiredo</v>
      </c>
      <c r="B15" s="362" t="s">
        <v>323</v>
      </c>
      <c r="C15" s="363" t="s">
        <v>317</v>
      </c>
      <c r="D15" s="364" t="s">
        <v>295</v>
      </c>
      <c r="E15" s="363" t="s">
        <v>312</v>
      </c>
      <c r="F15" s="365"/>
      <c r="G15" s="364" t="s">
        <v>324</v>
      </c>
      <c r="L15" s="87"/>
    </row>
    <row r="16" spans="1:12" x14ac:dyDescent="0.25">
      <c r="A16" s="361" t="str">
        <f>Helexia!C15</f>
        <v>Mauro Silveira Prado</v>
      </c>
      <c r="B16" s="362" t="s">
        <v>323</v>
      </c>
      <c r="C16" s="363" t="s">
        <v>325</v>
      </c>
      <c r="D16" s="364" t="s">
        <v>302</v>
      </c>
      <c r="E16" s="363" t="s">
        <v>303</v>
      </c>
      <c r="F16" s="365"/>
      <c r="G16" s="364" t="s">
        <v>326</v>
      </c>
      <c r="L16" s="87"/>
    </row>
    <row r="17" spans="1:12" x14ac:dyDescent="0.25">
      <c r="A17" s="361" t="str">
        <f>Helexia!C16</f>
        <v>Tatiana Borges Nascimento</v>
      </c>
      <c r="B17" s="362" t="s">
        <v>327</v>
      </c>
      <c r="C17" s="363" t="s">
        <v>328</v>
      </c>
      <c r="D17" s="364" t="s">
        <v>295</v>
      </c>
      <c r="E17" s="363" t="s">
        <v>329</v>
      </c>
      <c r="F17" s="365" t="s">
        <v>330</v>
      </c>
      <c r="G17" s="364" t="s">
        <v>331</v>
      </c>
      <c r="L17" s="87"/>
    </row>
    <row r="18" spans="1:12" x14ac:dyDescent="0.25">
      <c r="A18" s="361" t="str">
        <f>Helexia!C17</f>
        <v>Alex Rocha Pacheco</v>
      </c>
      <c r="B18" s="362" t="s">
        <v>332</v>
      </c>
      <c r="C18" s="363" t="s">
        <v>333</v>
      </c>
      <c r="D18" s="364" t="s">
        <v>295</v>
      </c>
      <c r="E18" s="363" t="s">
        <v>296</v>
      </c>
      <c r="F18" s="365"/>
      <c r="G18" s="364"/>
      <c r="L18" s="87"/>
    </row>
    <row r="19" spans="1:12" x14ac:dyDescent="0.25">
      <c r="A19" s="361" t="str">
        <f>Helexia!C18</f>
        <v>Eduardo Tavares Montenegro</v>
      </c>
      <c r="B19" s="362" t="s">
        <v>334</v>
      </c>
      <c r="C19" s="363" t="s">
        <v>335</v>
      </c>
      <c r="D19" s="364" t="s">
        <v>295</v>
      </c>
      <c r="E19" s="363" t="s">
        <v>303</v>
      </c>
      <c r="F19" s="365"/>
      <c r="G19" s="364"/>
      <c r="L19" s="259"/>
    </row>
    <row r="20" spans="1:12" ht="30" x14ac:dyDescent="0.25">
      <c r="A20" s="361" t="str">
        <f>Helexia!C19</f>
        <v>Bianca Lacerda Fontes</v>
      </c>
      <c r="B20" s="362" t="s">
        <v>440</v>
      </c>
      <c r="C20" s="363" t="s">
        <v>336</v>
      </c>
      <c r="D20" s="364" t="s">
        <v>302</v>
      </c>
      <c r="E20" s="363" t="s">
        <v>296</v>
      </c>
      <c r="F20" s="365" t="s">
        <v>494</v>
      </c>
      <c r="G20" s="366" t="s">
        <v>337</v>
      </c>
      <c r="H20" s="184"/>
      <c r="I20" s="184"/>
      <c r="L20" s="87"/>
    </row>
    <row r="21" spans="1:12" x14ac:dyDescent="0.25">
      <c r="A21" s="361" t="str">
        <f>Helexia!C20</f>
        <v>Samuel Torres Maciel</v>
      </c>
      <c r="B21" s="362" t="s">
        <v>441</v>
      </c>
      <c r="C21" s="363" t="s">
        <v>309</v>
      </c>
      <c r="D21" s="364" t="s">
        <v>302</v>
      </c>
      <c r="E21" s="363" t="s">
        <v>303</v>
      </c>
      <c r="F21" s="365"/>
      <c r="G21" s="364"/>
      <c r="L21" s="87"/>
    </row>
    <row r="22" spans="1:12" x14ac:dyDescent="0.25">
      <c r="A22" s="361" t="str">
        <f>Helexia!C21</f>
        <v>Priscila Azevedo Goulart</v>
      </c>
      <c r="B22" s="362" t="s">
        <v>338</v>
      </c>
      <c r="C22" s="363" t="s">
        <v>339</v>
      </c>
      <c r="D22" s="364" t="s">
        <v>295</v>
      </c>
      <c r="E22" s="363" t="s">
        <v>340</v>
      </c>
      <c r="F22" s="365"/>
      <c r="G22" s="364"/>
      <c r="L22" s="87"/>
    </row>
    <row r="23" spans="1:12" x14ac:dyDescent="0.25">
      <c r="A23" s="361" t="str">
        <f>Helexia!C22</f>
        <v>Henrique Vidal Soares</v>
      </c>
      <c r="B23" s="362" t="s">
        <v>442</v>
      </c>
      <c r="C23" s="363" t="s">
        <v>341</v>
      </c>
      <c r="D23" s="364" t="s">
        <v>342</v>
      </c>
      <c r="E23" s="363" t="s">
        <v>343</v>
      </c>
      <c r="F23" s="365" t="s">
        <v>344</v>
      </c>
      <c r="G23" s="364"/>
      <c r="L23" s="87"/>
    </row>
    <row r="24" spans="1:12" x14ac:dyDescent="0.25">
      <c r="A24" s="361" t="str">
        <f>Helexia!C23</f>
        <v>André Luiz Falcão Duarte</v>
      </c>
      <c r="B24" s="362" t="s">
        <v>345</v>
      </c>
      <c r="C24" s="363" t="s">
        <v>346</v>
      </c>
      <c r="D24" s="364" t="s">
        <v>302</v>
      </c>
      <c r="E24" s="363" t="s">
        <v>303</v>
      </c>
      <c r="F24" s="365"/>
      <c r="G24" s="364" t="s">
        <v>347</v>
      </c>
      <c r="L24" s="87"/>
    </row>
    <row r="25" spans="1:12" x14ac:dyDescent="0.25">
      <c r="A25" s="361" t="str">
        <f>Helexia!C24</f>
        <v>Camila Noronha Brito</v>
      </c>
      <c r="B25" s="362" t="s">
        <v>438</v>
      </c>
      <c r="C25" s="363" t="s">
        <v>348</v>
      </c>
      <c r="D25" s="364" t="s">
        <v>295</v>
      </c>
      <c r="E25" s="363" t="s">
        <v>349</v>
      </c>
      <c r="F25" s="365"/>
      <c r="G25" s="364" t="s">
        <v>350</v>
      </c>
      <c r="L25" s="87"/>
    </row>
    <row r="26" spans="1:12" x14ac:dyDescent="0.25">
      <c r="A26" s="361" t="str">
        <f>Helexia!C25</f>
        <v>João Victor Meireles</v>
      </c>
      <c r="B26" s="362" t="s">
        <v>443</v>
      </c>
      <c r="C26" s="363" t="s">
        <v>339</v>
      </c>
      <c r="D26" s="364" t="s">
        <v>295</v>
      </c>
      <c r="E26" s="363" t="s">
        <v>340</v>
      </c>
      <c r="F26" s="365"/>
      <c r="G26" s="364"/>
      <c r="L26" s="87"/>
    </row>
    <row r="27" spans="1:12" x14ac:dyDescent="0.25">
      <c r="A27" s="361" t="str">
        <f>Helexia!C26</f>
        <v>Renata Salgado Motta</v>
      </c>
      <c r="B27" s="362" t="s">
        <v>351</v>
      </c>
      <c r="C27" s="363" t="s">
        <v>352</v>
      </c>
      <c r="D27" s="364" t="s">
        <v>353</v>
      </c>
      <c r="E27" s="363" t="s">
        <v>354</v>
      </c>
      <c r="F27" s="365"/>
      <c r="G27" s="364"/>
      <c r="L27" s="87"/>
    </row>
    <row r="28" spans="1:12" x14ac:dyDescent="0.25">
      <c r="A28" s="361" t="str">
        <f>Helexia!C27</f>
        <v>Igor Valente Cruz</v>
      </c>
      <c r="B28" s="362" t="s">
        <v>355</v>
      </c>
      <c r="C28" s="363" t="s">
        <v>356</v>
      </c>
      <c r="D28" s="364" t="s">
        <v>302</v>
      </c>
      <c r="E28" s="363" t="s">
        <v>303</v>
      </c>
      <c r="F28" s="365"/>
      <c r="G28" s="364"/>
      <c r="L28" s="259"/>
    </row>
    <row r="29" spans="1:12" x14ac:dyDescent="0.25">
      <c r="A29" s="361" t="str">
        <f>Helexia!C28</f>
        <v>Lucas Rafael Monte Verde Santos</v>
      </c>
      <c r="B29" s="362" t="s">
        <v>444</v>
      </c>
      <c r="C29" s="363" t="s">
        <v>357</v>
      </c>
      <c r="D29" s="364" t="s">
        <v>302</v>
      </c>
      <c r="E29" s="363" t="s">
        <v>296</v>
      </c>
      <c r="F29" s="365"/>
      <c r="G29" s="364"/>
      <c r="L29" s="87"/>
    </row>
    <row r="30" spans="1:12" x14ac:dyDescent="0.25">
      <c r="A30" s="361" t="str">
        <f>Helexia!C29</f>
        <v>Ana Beatriz Rocha Diniz</v>
      </c>
      <c r="B30" s="362" t="s">
        <v>358</v>
      </c>
      <c r="C30" s="363" t="s">
        <v>359</v>
      </c>
      <c r="D30" s="364" t="s">
        <v>360</v>
      </c>
      <c r="E30" s="363" t="s">
        <v>303</v>
      </c>
      <c r="F30" s="365"/>
      <c r="G30" s="364"/>
      <c r="L30" s="87"/>
    </row>
    <row r="31" spans="1:12" x14ac:dyDescent="0.25">
      <c r="A31" s="361" t="str">
        <f>Helexia!C30</f>
        <v>Marcelo Augusto Ferraz Pinho</v>
      </c>
      <c r="B31" s="362" t="s">
        <v>361</v>
      </c>
      <c r="C31" s="363" t="s">
        <v>362</v>
      </c>
      <c r="D31" s="364" t="s">
        <v>302</v>
      </c>
      <c r="E31" s="363" t="s">
        <v>363</v>
      </c>
      <c r="F31" s="365"/>
      <c r="G31" s="364"/>
      <c r="L31" s="87"/>
    </row>
    <row r="32" spans="1:12" x14ac:dyDescent="0.25">
      <c r="A32" s="361" t="str">
        <f>Helexia!C31</f>
        <v>Carolina Venturini Paes</v>
      </c>
      <c r="B32" s="362" t="s">
        <v>364</v>
      </c>
      <c r="C32" s="363" t="s">
        <v>339</v>
      </c>
      <c r="D32" s="364" t="s">
        <v>295</v>
      </c>
      <c r="E32" s="363" t="s">
        <v>365</v>
      </c>
      <c r="F32" s="365"/>
      <c r="G32" s="364"/>
      <c r="L32" s="87"/>
    </row>
    <row r="33" spans="1:12" x14ac:dyDescent="0.25">
      <c r="A33" s="361" t="str">
        <f>Helexia!C32</f>
        <v>Felipe Otávio Corrêa Leite</v>
      </c>
      <c r="B33" s="362" t="s">
        <v>366</v>
      </c>
      <c r="C33" s="363" t="s">
        <v>367</v>
      </c>
      <c r="D33" s="364" t="s">
        <v>302</v>
      </c>
      <c r="E33" s="363" t="s">
        <v>303</v>
      </c>
      <c r="F33" s="365"/>
      <c r="G33" s="364"/>
      <c r="L33" s="87"/>
    </row>
    <row r="34" spans="1:12" x14ac:dyDescent="0.25">
      <c r="A34" s="361" t="str">
        <f>Helexia!C33</f>
        <v>Nathalia Freire Sampaio</v>
      </c>
      <c r="B34" s="362" t="s">
        <v>368</v>
      </c>
      <c r="C34" s="363" t="s">
        <v>369</v>
      </c>
      <c r="D34" s="364" t="s">
        <v>302</v>
      </c>
      <c r="E34" s="363" t="s">
        <v>303</v>
      </c>
      <c r="F34" s="365"/>
      <c r="G34" s="364"/>
      <c r="L34" s="87"/>
    </row>
    <row r="35" spans="1:12" x14ac:dyDescent="0.25">
      <c r="A35" s="361" t="str">
        <f>Helexia!C34</f>
        <v>Roberto Caetano Nolasco</v>
      </c>
      <c r="B35" s="362" t="s">
        <v>370</v>
      </c>
      <c r="C35" s="363" t="s">
        <v>370</v>
      </c>
      <c r="D35" s="364" t="s">
        <v>370</v>
      </c>
      <c r="E35" s="363" t="s">
        <v>370</v>
      </c>
      <c r="F35" s="365"/>
      <c r="G35" s="364"/>
      <c r="L35" s="87"/>
    </row>
    <row r="36" spans="1:12" x14ac:dyDescent="0.25">
      <c r="A36" s="361" t="str">
        <f>Helexia!C35</f>
        <v>Luiza Barcellos Antunes</v>
      </c>
      <c r="B36" s="362" t="s">
        <v>370</v>
      </c>
      <c r="C36" s="363" t="s">
        <v>370</v>
      </c>
      <c r="D36" s="364" t="s">
        <v>370</v>
      </c>
      <c r="E36" s="363" t="s">
        <v>370</v>
      </c>
      <c r="F36" s="365" t="s">
        <v>344</v>
      </c>
      <c r="G36" s="364"/>
      <c r="L36" s="87"/>
    </row>
    <row r="37" spans="1:12" x14ac:dyDescent="0.25">
      <c r="A37" s="361" t="str">
        <f>Helexia!C36</f>
        <v>Pedro Henrique Alvarenga</v>
      </c>
      <c r="B37" s="362" t="s">
        <v>371</v>
      </c>
      <c r="C37" s="363" t="s">
        <v>369</v>
      </c>
      <c r="D37" s="364" t="s">
        <v>302</v>
      </c>
      <c r="E37" s="363" t="s">
        <v>296</v>
      </c>
      <c r="F37" s="365"/>
      <c r="G37" s="364"/>
      <c r="L37" s="87"/>
    </row>
    <row r="38" spans="1:12" x14ac:dyDescent="0.25">
      <c r="A38" s="361" t="str">
        <f>Helexia!C37</f>
        <v>Sofia Mendes Albuquerque</v>
      </c>
      <c r="B38" s="362" t="s">
        <v>370</v>
      </c>
      <c r="C38" s="363" t="s">
        <v>370</v>
      </c>
      <c r="D38" s="364" t="s">
        <v>370</v>
      </c>
      <c r="E38" s="363" t="s">
        <v>370</v>
      </c>
      <c r="F38" s="365"/>
      <c r="G38" s="364"/>
      <c r="L38" s="87"/>
    </row>
  </sheetData>
  <mergeCells count="1">
    <mergeCell ref="A1:G2"/>
  </mergeCells>
  <printOptions horizontalCentered="1" verticalCentered="1"/>
  <pageMargins left="0" right="0" top="0" bottom="0" header="0" footer="0"/>
  <pageSetup paperSize="9" scale="6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67808-0B7E-4DDC-8BE7-A87E295FB8C2}">
  <sheetPr codeName="Planilha6">
    <tabColor theme="3" tint="0.39997558519241921"/>
    <pageSetUpPr fitToPage="1"/>
  </sheetPr>
  <dimension ref="A1:AB45"/>
  <sheetViews>
    <sheetView view="pageBreakPreview" zoomScale="70" zoomScaleNormal="100" zoomScaleSheetLayoutView="70" workbookViewId="0">
      <selection activeCell="L30" sqref="L30"/>
    </sheetView>
  </sheetViews>
  <sheetFormatPr defaultRowHeight="15" x14ac:dyDescent="0.25"/>
  <cols>
    <col min="1" max="13" width="9.140625" style="1"/>
    <col min="14" max="14" width="30" style="1" customWidth="1"/>
    <col min="15" max="15" width="21" customWidth="1"/>
    <col min="16" max="16" width="11.7109375" customWidth="1"/>
  </cols>
  <sheetData>
    <row r="1" spans="1:28" ht="15" customHeight="1" x14ac:dyDescent="0.25">
      <c r="A1" s="292"/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</row>
    <row r="2" spans="1:28" ht="15" customHeight="1" x14ac:dyDescent="0.25">
      <c r="A2" s="292"/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</row>
    <row r="3" spans="1:28" x14ac:dyDescent="0.25">
      <c r="A3" s="292"/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</row>
    <row r="4" spans="1:28" x14ac:dyDescent="0.25">
      <c r="A4" s="292"/>
      <c r="B4" s="292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</row>
    <row r="5" spans="1:28" x14ac:dyDescent="0.25">
      <c r="A5" s="292"/>
      <c r="B5" s="292"/>
      <c r="C5" s="292"/>
      <c r="D5" s="292"/>
      <c r="E5" s="292"/>
      <c r="F5" s="292"/>
      <c r="G5" s="292"/>
      <c r="H5" s="292"/>
      <c r="I5" s="292"/>
      <c r="J5" s="292"/>
      <c r="K5" s="292"/>
      <c r="L5" s="292"/>
      <c r="M5" s="292"/>
      <c r="N5" s="292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</row>
    <row r="6" spans="1:28" x14ac:dyDescent="0.25">
      <c r="A6" s="292"/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</row>
    <row r="7" spans="1:28" x14ac:dyDescent="0.25">
      <c r="A7" s="292"/>
      <c r="B7" s="292"/>
      <c r="C7" s="292"/>
      <c r="D7" s="292"/>
      <c r="E7" s="292"/>
      <c r="F7" s="292"/>
      <c r="G7" s="292"/>
      <c r="H7" s="292"/>
      <c r="I7" s="292"/>
      <c r="J7" s="292"/>
      <c r="K7" s="292"/>
      <c r="L7" s="292"/>
      <c r="M7" s="292"/>
      <c r="N7" s="292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</row>
    <row r="8" spans="1:28" x14ac:dyDescent="0.25">
      <c r="A8" s="292"/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2"/>
      <c r="M8" s="292"/>
      <c r="N8" s="292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</row>
    <row r="9" spans="1:28" x14ac:dyDescent="0.25">
      <c r="A9" s="292"/>
      <c r="B9" s="292"/>
      <c r="C9" s="292"/>
      <c r="D9" s="292"/>
      <c r="E9" s="292"/>
      <c r="F9" s="292"/>
      <c r="G9" s="292"/>
      <c r="H9" s="292"/>
      <c r="I9" s="292"/>
      <c r="J9" s="292"/>
      <c r="K9" s="292"/>
      <c r="L9" s="292"/>
      <c r="M9" s="292"/>
      <c r="N9" s="292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</row>
    <row r="10" spans="1:28" x14ac:dyDescent="0.25">
      <c r="A10" s="292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</row>
    <row r="11" spans="1:28" x14ac:dyDescent="0.25">
      <c r="A11" s="292"/>
      <c r="B11" s="292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</row>
    <row r="12" spans="1:28" x14ac:dyDescent="0.25">
      <c r="A12" s="292"/>
      <c r="B12" s="292"/>
      <c r="C12" s="292"/>
      <c r="D12" s="292"/>
      <c r="E12" s="292"/>
      <c r="F12" s="292"/>
      <c r="G12" s="292"/>
      <c r="H12" s="292"/>
      <c r="I12" s="292"/>
      <c r="J12" s="292"/>
      <c r="K12" s="292"/>
      <c r="L12" s="292"/>
      <c r="M12" s="292"/>
      <c r="N12" s="292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</row>
    <row r="13" spans="1:28" x14ac:dyDescent="0.25">
      <c r="A13" s="292"/>
      <c r="B13" s="292"/>
      <c r="C13" s="292"/>
      <c r="D13" s="292"/>
      <c r="E13" s="292"/>
      <c r="F13" s="292"/>
      <c r="G13" s="292"/>
      <c r="H13" s="292"/>
      <c r="I13" s="292"/>
      <c r="J13" s="292"/>
      <c r="K13" s="292"/>
      <c r="L13" s="292"/>
      <c r="M13" s="292"/>
      <c r="N13" s="292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</row>
    <row r="14" spans="1:28" x14ac:dyDescent="0.25">
      <c r="A14" s="292"/>
      <c r="B14" s="292"/>
      <c r="C14" s="292"/>
      <c r="D14" s="292"/>
      <c r="E14" s="292"/>
      <c r="F14" s="292"/>
      <c r="G14" s="292"/>
      <c r="H14" s="292"/>
      <c r="I14" s="292"/>
      <c r="J14" s="292"/>
      <c r="K14" s="292"/>
      <c r="L14" s="292"/>
      <c r="M14" s="292"/>
      <c r="N14" s="292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</row>
    <row r="15" spans="1:28" x14ac:dyDescent="0.25">
      <c r="A15" s="292"/>
      <c r="B15" s="292"/>
      <c r="C15" s="292"/>
      <c r="D15" s="292"/>
      <c r="E15" s="292"/>
      <c r="F15" s="292"/>
      <c r="G15" s="292"/>
      <c r="H15" s="292"/>
      <c r="I15" s="292"/>
      <c r="J15" s="292"/>
      <c r="K15" s="292"/>
      <c r="L15" s="292"/>
      <c r="M15" s="292"/>
      <c r="N15" s="292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</row>
    <row r="16" spans="1:28" x14ac:dyDescent="0.25">
      <c r="A16" s="292"/>
      <c r="B16" s="292"/>
      <c r="C16" s="292"/>
      <c r="D16" s="292"/>
      <c r="E16" s="292"/>
      <c r="F16" s="292"/>
      <c r="G16" s="292"/>
      <c r="H16" s="292"/>
      <c r="I16" s="292"/>
      <c r="J16" s="292"/>
      <c r="K16" s="292"/>
      <c r="L16" s="292"/>
      <c r="M16" s="292"/>
      <c r="N16" s="292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  <c r="AB16" s="191"/>
    </row>
    <row r="17" spans="1:28" x14ac:dyDescent="0.25">
      <c r="A17" s="292"/>
      <c r="B17" s="292"/>
      <c r="C17" s="292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2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</row>
    <row r="18" spans="1:28" x14ac:dyDescent="0.25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  <c r="N18" s="292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</row>
    <row r="19" spans="1:28" x14ac:dyDescent="0.25">
      <c r="A19" s="292"/>
      <c r="B19" s="292"/>
      <c r="C19" s="292"/>
      <c r="D19" s="292"/>
      <c r="E19" s="292"/>
      <c r="F19" s="292"/>
      <c r="G19" s="292"/>
      <c r="H19" s="292"/>
      <c r="I19" s="292"/>
      <c r="J19" s="292"/>
      <c r="K19" s="292"/>
      <c r="L19" s="292"/>
      <c r="M19" s="292"/>
      <c r="N19" s="292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</row>
    <row r="20" spans="1:28" x14ac:dyDescent="0.25">
      <c r="A20" s="292"/>
      <c r="B20" s="292"/>
      <c r="C20" s="292"/>
      <c r="D20" s="292"/>
      <c r="E20" s="292"/>
      <c r="F20" s="292"/>
      <c r="G20" s="292"/>
      <c r="H20" s="292"/>
      <c r="I20" s="292"/>
      <c r="J20" s="292"/>
      <c r="K20" s="292"/>
      <c r="L20" s="292"/>
      <c r="M20" s="292"/>
      <c r="N20" s="292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1"/>
      <c r="AB20" s="191"/>
    </row>
    <row r="21" spans="1:28" x14ac:dyDescent="0.25">
      <c r="A21" s="292"/>
      <c r="B21" s="292"/>
      <c r="C21" s="292"/>
      <c r="D21" s="292"/>
      <c r="E21" s="292"/>
      <c r="F21" s="292"/>
      <c r="G21" s="292"/>
      <c r="H21" s="292"/>
      <c r="I21" s="292"/>
      <c r="J21" s="292"/>
      <c r="K21" s="292"/>
      <c r="L21" s="292"/>
      <c r="M21" s="292"/>
      <c r="N21" s="292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</row>
    <row r="22" spans="1:28" x14ac:dyDescent="0.25">
      <c r="A22" s="292"/>
      <c r="B22" s="292"/>
      <c r="C22" s="292"/>
      <c r="D22" s="292"/>
      <c r="E22" s="292"/>
      <c r="F22" s="292"/>
      <c r="G22" s="292"/>
      <c r="H22" s="292"/>
      <c r="I22" s="292"/>
      <c r="J22" s="292"/>
      <c r="K22" s="292"/>
      <c r="L22" s="292"/>
      <c r="M22" s="292"/>
      <c r="N22" s="292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</row>
    <row r="23" spans="1:28" x14ac:dyDescent="0.25">
      <c r="A23" s="292"/>
      <c r="B23" s="292"/>
      <c r="C23" s="292"/>
      <c r="D23" s="292"/>
      <c r="E23" s="292"/>
      <c r="F23" s="292"/>
      <c r="G23" s="292"/>
      <c r="H23" s="292"/>
      <c r="I23" s="292"/>
      <c r="J23" s="292"/>
      <c r="K23" s="292"/>
      <c r="L23" s="292"/>
      <c r="M23" s="292"/>
      <c r="N23" s="292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</row>
    <row r="24" spans="1:28" x14ac:dyDescent="0.25">
      <c r="A24" s="292"/>
      <c r="B24" s="292"/>
      <c r="C24" s="292"/>
      <c r="D24" s="292"/>
      <c r="E24" s="292"/>
      <c r="F24" s="292"/>
      <c r="G24" s="292"/>
      <c r="H24" s="292"/>
      <c r="I24" s="292"/>
      <c r="J24" s="292"/>
      <c r="K24" s="292"/>
      <c r="L24" s="292"/>
      <c r="M24" s="292"/>
      <c r="N24" s="292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</row>
    <row r="25" spans="1:28" x14ac:dyDescent="0.25">
      <c r="A25" s="292"/>
      <c r="B25" s="292"/>
      <c r="C25" s="292"/>
      <c r="D25" s="292"/>
      <c r="E25" s="292"/>
      <c r="F25" s="292"/>
      <c r="G25" s="292"/>
      <c r="H25" s="292"/>
      <c r="I25" s="292"/>
      <c r="J25" s="292"/>
      <c r="K25" s="292"/>
      <c r="L25" s="292"/>
      <c r="M25" s="292"/>
      <c r="N25" s="292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</row>
    <row r="26" spans="1:28" x14ac:dyDescent="0.25">
      <c r="A26" s="292"/>
      <c r="B26" s="292"/>
      <c r="C26" s="292"/>
      <c r="D26" s="292"/>
      <c r="E26" s="292"/>
      <c r="F26" s="292"/>
      <c r="G26" s="292"/>
      <c r="H26" s="292"/>
      <c r="I26" s="292"/>
      <c r="J26" s="292"/>
      <c r="K26" s="292"/>
      <c r="L26" s="292"/>
      <c r="M26" s="292"/>
      <c r="N26" s="292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</row>
    <row r="27" spans="1:28" x14ac:dyDescent="0.25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</row>
    <row r="28" spans="1:28" x14ac:dyDescent="0.25">
      <c r="A28" s="292"/>
      <c r="B28" s="292"/>
      <c r="C28" s="292"/>
      <c r="D28" s="292"/>
      <c r="E28" s="292"/>
      <c r="F28" s="292"/>
      <c r="G28" s="292"/>
      <c r="H28" s="292"/>
      <c r="I28" s="292"/>
      <c r="J28" s="292"/>
      <c r="K28" s="292"/>
      <c r="L28" s="292"/>
      <c r="M28" s="292"/>
      <c r="N28" s="292"/>
      <c r="O28" s="191"/>
      <c r="P28" s="191"/>
    </row>
    <row r="29" spans="1:28" x14ac:dyDescent="0.25">
      <c r="A29" s="292"/>
      <c r="B29" s="292"/>
      <c r="C29" s="292"/>
      <c r="D29" s="292"/>
      <c r="E29" s="292"/>
      <c r="F29" s="292"/>
      <c r="G29" s="292"/>
      <c r="H29" s="292"/>
      <c r="I29" s="292"/>
      <c r="J29" s="292"/>
      <c r="K29" s="292"/>
      <c r="L29" s="292"/>
      <c r="M29" s="292"/>
      <c r="N29" s="292"/>
      <c r="O29" s="191"/>
      <c r="P29" s="191"/>
    </row>
    <row r="30" spans="1:28" x14ac:dyDescent="0.25">
      <c r="A30" s="292"/>
      <c r="B30" s="292"/>
      <c r="C30" s="292"/>
      <c r="D30" s="292"/>
      <c r="E30" s="292"/>
      <c r="F30" s="292"/>
      <c r="G30" s="292"/>
      <c r="H30" s="292"/>
      <c r="I30" s="292"/>
      <c r="J30" s="292"/>
      <c r="K30" s="292"/>
      <c r="L30" s="292"/>
      <c r="M30" s="292"/>
      <c r="N30" s="292"/>
      <c r="O30" s="191"/>
      <c r="P30" s="191"/>
    </row>
    <row r="31" spans="1:28" x14ac:dyDescent="0.25">
      <c r="A31" s="292"/>
      <c r="B31" s="292"/>
      <c r="C31" s="292"/>
      <c r="D31" s="292"/>
      <c r="E31" s="292"/>
      <c r="F31" s="292"/>
      <c r="G31" s="292"/>
      <c r="H31" s="292"/>
      <c r="I31" s="292"/>
      <c r="J31" s="292"/>
      <c r="K31" s="292"/>
      <c r="L31" s="292"/>
      <c r="M31" s="292"/>
      <c r="N31" s="292"/>
      <c r="O31" s="191"/>
      <c r="P31" s="191"/>
    </row>
    <row r="32" spans="1:28" x14ac:dyDescent="0.25">
      <c r="A32" s="292"/>
      <c r="B32" s="292"/>
      <c r="C32" s="292"/>
      <c r="D32" s="292"/>
      <c r="E32" s="292"/>
      <c r="F32" s="292"/>
      <c r="G32" s="292"/>
      <c r="H32" s="292"/>
      <c r="I32" s="292"/>
      <c r="J32" s="292"/>
      <c r="K32" s="292"/>
      <c r="L32" s="292"/>
      <c r="M32" s="292"/>
      <c r="N32" s="292"/>
      <c r="O32" s="191"/>
      <c r="P32" s="191"/>
    </row>
    <row r="33" spans="1:16" x14ac:dyDescent="0.25">
      <c r="A33" s="292"/>
      <c r="B33" s="292"/>
      <c r="C33" s="292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191"/>
      <c r="P33" s="191"/>
    </row>
    <row r="34" spans="1:16" x14ac:dyDescent="0.25">
      <c r="A34" s="292"/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191"/>
      <c r="P34" s="191"/>
    </row>
    <row r="35" spans="1:16" x14ac:dyDescent="0.25">
      <c r="A35" s="292"/>
      <c r="B35" s="292"/>
      <c r="C35" s="292"/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292"/>
      <c r="O35" s="191"/>
      <c r="P35" s="191"/>
    </row>
    <row r="36" spans="1:16" x14ac:dyDescent="0.25">
      <c r="A36" s="292"/>
      <c r="B36" s="292"/>
      <c r="C36" s="292"/>
      <c r="D36" s="292"/>
      <c r="E36" s="292"/>
      <c r="F36" s="292"/>
      <c r="G36" s="292"/>
      <c r="H36" s="292"/>
      <c r="I36" s="292"/>
      <c r="J36" s="292"/>
      <c r="K36" s="292"/>
      <c r="L36" s="292"/>
      <c r="M36" s="292"/>
      <c r="N36" s="292"/>
      <c r="O36" s="191"/>
      <c r="P36" s="191"/>
    </row>
    <row r="37" spans="1:16" x14ac:dyDescent="0.25">
      <c r="A37" s="292"/>
      <c r="B37" s="292"/>
      <c r="C37" s="292"/>
      <c r="D37" s="292"/>
      <c r="E37" s="292"/>
      <c r="F37" s="292"/>
      <c r="G37" s="292"/>
      <c r="H37" s="292"/>
      <c r="I37" s="292"/>
      <c r="J37" s="292"/>
      <c r="K37" s="292"/>
      <c r="L37" s="292"/>
      <c r="M37" s="292"/>
      <c r="N37" s="292"/>
      <c r="O37" s="191"/>
      <c r="P37" s="191"/>
    </row>
    <row r="38" spans="1:16" x14ac:dyDescent="0.25">
      <c r="A38" s="292"/>
      <c r="B38" s="292"/>
      <c r="C38" s="292"/>
      <c r="D38" s="292"/>
      <c r="E38" s="292"/>
      <c r="F38" s="292"/>
      <c r="G38" s="292"/>
      <c r="H38" s="292"/>
      <c r="I38" s="292"/>
      <c r="J38" s="292"/>
      <c r="K38" s="292"/>
      <c r="L38" s="292"/>
      <c r="M38" s="292"/>
      <c r="N38" s="292"/>
      <c r="O38" s="191"/>
      <c r="P38" s="191"/>
    </row>
    <row r="39" spans="1:16" x14ac:dyDescent="0.25">
      <c r="A39" s="292"/>
      <c r="B39" s="292"/>
      <c r="C39" s="292"/>
      <c r="D39" s="292"/>
      <c r="E39" s="292"/>
      <c r="F39" s="292"/>
      <c r="G39" s="292"/>
      <c r="H39" s="292"/>
      <c r="I39" s="292"/>
      <c r="J39" s="292"/>
      <c r="K39" s="292"/>
      <c r="L39" s="292"/>
      <c r="M39" s="292"/>
      <c r="N39" s="292"/>
      <c r="O39" s="191"/>
      <c r="P39" s="191"/>
    </row>
    <row r="40" spans="1:16" x14ac:dyDescent="0.25">
      <c r="A40" s="292"/>
      <c r="B40" s="292"/>
      <c r="C40" s="292"/>
      <c r="D40" s="292"/>
      <c r="E40" s="292"/>
      <c r="F40" s="292"/>
      <c r="G40" s="292"/>
      <c r="H40" s="292"/>
      <c r="I40" s="292"/>
      <c r="J40" s="292"/>
      <c r="K40" s="292"/>
      <c r="L40" s="292"/>
      <c r="M40" s="292"/>
      <c r="N40" s="292"/>
      <c r="O40" s="191"/>
      <c r="P40" s="191"/>
    </row>
    <row r="41" spans="1:16" x14ac:dyDescent="0.25">
      <c r="A41" s="292"/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121"/>
      <c r="M41" s="292"/>
      <c r="N41" s="292"/>
      <c r="O41" s="191"/>
      <c r="P41" s="191"/>
    </row>
    <row r="42" spans="1:16" x14ac:dyDescent="0.25">
      <c r="L42" s="121"/>
    </row>
    <row r="43" spans="1:16" x14ac:dyDescent="0.25">
      <c r="L43" s="121"/>
    </row>
    <row r="44" spans="1:16" x14ac:dyDescent="0.25">
      <c r="L44" s="121"/>
    </row>
    <row r="45" spans="1:16" x14ac:dyDescent="0.25">
      <c r="J45" s="260"/>
      <c r="K45" s="293"/>
      <c r="L45" s="121"/>
    </row>
  </sheetData>
  <pageMargins left="0" right="0" top="0" bottom="0" header="0" footer="0"/>
  <pageSetup paperSize="9" scale="5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F71B6-C569-456B-9E13-87324C981BA2}">
  <sheetPr codeName="Planilha7">
    <tabColor theme="3" tint="0.39997558519241921"/>
    <pageSetUpPr fitToPage="1"/>
  </sheetPr>
  <dimension ref="A1:M53"/>
  <sheetViews>
    <sheetView view="pageBreakPreview" topLeftCell="A17" zoomScale="55" zoomScaleNormal="55" zoomScaleSheetLayoutView="55" workbookViewId="0">
      <selection activeCell="D51" sqref="D51:D52"/>
    </sheetView>
  </sheetViews>
  <sheetFormatPr defaultRowHeight="15" x14ac:dyDescent="0.25"/>
  <cols>
    <col min="1" max="1" width="3.7109375" bestFit="1" customWidth="1"/>
    <col min="2" max="2" width="25.42578125" customWidth="1"/>
    <col min="3" max="3" width="12.28515625" bestFit="1" customWidth="1"/>
    <col min="4" max="4" width="5.5703125" bestFit="1" customWidth="1"/>
    <col min="5" max="5" width="20.140625" bestFit="1" customWidth="1"/>
    <col min="6" max="6" width="17" bestFit="1" customWidth="1"/>
    <col min="7" max="7" width="34.85546875" bestFit="1" customWidth="1"/>
    <col min="8" max="8" width="38.85546875" bestFit="1" customWidth="1"/>
    <col min="9" max="9" width="29.42578125" bestFit="1" customWidth="1"/>
    <col min="10" max="10" width="20.140625" bestFit="1" customWidth="1"/>
    <col min="11" max="11" width="10.85546875" bestFit="1" customWidth="1"/>
    <col min="12" max="12" width="14.140625" bestFit="1" customWidth="1"/>
    <col min="13" max="13" width="20.85546875" bestFit="1" customWidth="1"/>
  </cols>
  <sheetData>
    <row r="1" spans="1:13" ht="51.75" customHeight="1" x14ac:dyDescent="0.25">
      <c r="A1" s="463" t="s">
        <v>197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5"/>
    </row>
    <row r="2" spans="1:13" ht="15.75" x14ac:dyDescent="0.25">
      <c r="A2" s="261" t="s">
        <v>198</v>
      </c>
      <c r="B2" s="261" t="s">
        <v>199</v>
      </c>
      <c r="C2" s="262" t="s">
        <v>200</v>
      </c>
      <c r="D2" s="263" t="s">
        <v>99</v>
      </c>
      <c r="E2" s="263" t="s">
        <v>201</v>
      </c>
      <c r="F2" s="263" t="s">
        <v>202</v>
      </c>
      <c r="G2" s="263" t="s">
        <v>203</v>
      </c>
      <c r="H2" s="264" t="s">
        <v>157</v>
      </c>
      <c r="I2" s="263" t="s">
        <v>204</v>
      </c>
      <c r="J2" s="263" t="s">
        <v>205</v>
      </c>
      <c r="K2" s="263" t="s">
        <v>206</v>
      </c>
      <c r="L2" s="263" t="s">
        <v>207</v>
      </c>
      <c r="M2" s="263" t="s">
        <v>208</v>
      </c>
    </row>
    <row r="3" spans="1:13" ht="23.25" customHeight="1" x14ac:dyDescent="0.25">
      <c r="A3" s="265">
        <v>1</v>
      </c>
      <c r="B3" s="124" t="s">
        <v>511</v>
      </c>
      <c r="C3" s="124" t="s">
        <v>22</v>
      </c>
      <c r="D3" s="125" t="s">
        <v>24</v>
      </c>
      <c r="E3" s="255" t="s">
        <v>496</v>
      </c>
      <c r="F3" s="266" t="s">
        <v>497</v>
      </c>
      <c r="G3" s="126" t="s">
        <v>210</v>
      </c>
      <c r="H3" s="295" t="s">
        <v>211</v>
      </c>
      <c r="I3" s="369" t="s">
        <v>510</v>
      </c>
      <c r="J3" s="127" t="s">
        <v>212</v>
      </c>
      <c r="K3" s="128">
        <v>45387</v>
      </c>
      <c r="L3" s="128">
        <v>45947</v>
      </c>
      <c r="M3" s="127" t="s">
        <v>213</v>
      </c>
    </row>
    <row r="4" spans="1:13" ht="23.25" customHeight="1" x14ac:dyDescent="0.25">
      <c r="A4" s="265">
        <v>2</v>
      </c>
      <c r="B4" s="124" t="s">
        <v>512</v>
      </c>
      <c r="C4" s="124" t="s">
        <v>23</v>
      </c>
      <c r="D4" s="125" t="s">
        <v>24</v>
      </c>
      <c r="E4" s="369" t="s">
        <v>496</v>
      </c>
      <c r="F4" s="368" t="s">
        <v>498</v>
      </c>
      <c r="G4" s="126" t="s">
        <v>210</v>
      </c>
      <c r="H4" s="295" t="s">
        <v>211</v>
      </c>
      <c r="I4" s="369" t="s">
        <v>510</v>
      </c>
      <c r="J4" s="127" t="s">
        <v>212</v>
      </c>
      <c r="K4" s="128">
        <v>45387</v>
      </c>
      <c r="L4" s="128">
        <v>45947</v>
      </c>
      <c r="M4" s="127" t="s">
        <v>213</v>
      </c>
    </row>
    <row r="5" spans="1:13" ht="23.25" customHeight="1" x14ac:dyDescent="0.25">
      <c r="A5" s="265">
        <v>3</v>
      </c>
      <c r="B5" s="124" t="s">
        <v>513</v>
      </c>
      <c r="C5" s="124" t="s">
        <v>28</v>
      </c>
      <c r="D5" s="125" t="s">
        <v>24</v>
      </c>
      <c r="E5" s="369" t="s">
        <v>496</v>
      </c>
      <c r="F5" s="368" t="s">
        <v>499</v>
      </c>
      <c r="G5" s="255"/>
      <c r="H5" s="295"/>
      <c r="I5" s="255"/>
      <c r="J5" s="129" t="s">
        <v>217</v>
      </c>
      <c r="K5" s="128"/>
      <c r="L5" s="128"/>
      <c r="M5" s="129" t="s">
        <v>218</v>
      </c>
    </row>
    <row r="6" spans="1:13" ht="23.25" customHeight="1" x14ac:dyDescent="0.25">
      <c r="A6" s="265">
        <v>4</v>
      </c>
      <c r="B6" s="124" t="s">
        <v>514</v>
      </c>
      <c r="C6" s="124" t="s">
        <v>22</v>
      </c>
      <c r="D6" s="125" t="s">
        <v>24</v>
      </c>
      <c r="E6" s="369" t="s">
        <v>496</v>
      </c>
      <c r="F6" s="267" t="s">
        <v>221</v>
      </c>
      <c r="G6" s="255"/>
      <c r="H6" s="295"/>
      <c r="I6" s="255"/>
      <c r="J6" s="130" t="s">
        <v>217</v>
      </c>
      <c r="K6" s="128"/>
      <c r="L6" s="128"/>
      <c r="M6" s="130" t="s">
        <v>218</v>
      </c>
    </row>
    <row r="7" spans="1:13" ht="23.25" customHeight="1" x14ac:dyDescent="0.25">
      <c r="A7" s="265">
        <v>5</v>
      </c>
      <c r="B7" s="124" t="s">
        <v>515</v>
      </c>
      <c r="C7" s="124" t="s">
        <v>33</v>
      </c>
      <c r="D7" s="125" t="s">
        <v>38</v>
      </c>
      <c r="E7" s="369" t="s">
        <v>496</v>
      </c>
      <c r="F7" s="267" t="s">
        <v>221</v>
      </c>
      <c r="G7" s="255"/>
      <c r="H7" s="295"/>
      <c r="I7" s="255"/>
      <c r="J7" s="130" t="s">
        <v>217</v>
      </c>
      <c r="K7" s="128"/>
      <c r="L7" s="128"/>
      <c r="M7" s="130" t="s">
        <v>218</v>
      </c>
    </row>
    <row r="8" spans="1:13" ht="23.25" customHeight="1" x14ac:dyDescent="0.25">
      <c r="A8" s="265">
        <v>6</v>
      </c>
      <c r="B8" s="124" t="s">
        <v>516</v>
      </c>
      <c r="C8" s="124" t="s">
        <v>224</v>
      </c>
      <c r="D8" s="125" t="s">
        <v>38</v>
      </c>
      <c r="E8" s="369" t="s">
        <v>496</v>
      </c>
      <c r="F8" s="267" t="s">
        <v>221</v>
      </c>
      <c r="G8" s="255"/>
      <c r="H8" s="295"/>
      <c r="I8" s="255"/>
      <c r="J8" s="130" t="s">
        <v>217</v>
      </c>
      <c r="K8" s="128"/>
      <c r="L8" s="128"/>
      <c r="M8" s="130" t="s">
        <v>218</v>
      </c>
    </row>
    <row r="9" spans="1:13" ht="23.25" customHeight="1" x14ac:dyDescent="0.25">
      <c r="A9" s="265">
        <v>7</v>
      </c>
      <c r="B9" s="124" t="s">
        <v>517</v>
      </c>
      <c r="C9" s="124" t="s">
        <v>37</v>
      </c>
      <c r="D9" s="125" t="s">
        <v>45</v>
      </c>
      <c r="E9" s="369" t="s">
        <v>496</v>
      </c>
      <c r="F9" s="267" t="s">
        <v>221</v>
      </c>
      <c r="G9" s="255"/>
      <c r="H9" s="295"/>
      <c r="I9" s="255"/>
      <c r="J9" s="130" t="s">
        <v>217</v>
      </c>
      <c r="K9" s="128"/>
      <c r="L9" s="128"/>
      <c r="M9" s="130" t="s">
        <v>218</v>
      </c>
    </row>
    <row r="10" spans="1:13" ht="23.25" customHeight="1" x14ac:dyDescent="0.25">
      <c r="A10" s="265">
        <v>8</v>
      </c>
      <c r="B10" s="124" t="s">
        <v>518</v>
      </c>
      <c r="C10" s="124" t="s">
        <v>37</v>
      </c>
      <c r="D10" s="125" t="s">
        <v>45</v>
      </c>
      <c r="E10" s="369" t="s">
        <v>496</v>
      </c>
      <c r="F10" s="267" t="s">
        <v>221</v>
      </c>
      <c r="G10" s="255"/>
      <c r="H10" s="295"/>
      <c r="I10" s="255"/>
      <c r="J10" s="130" t="s">
        <v>217</v>
      </c>
      <c r="K10" s="128"/>
      <c r="L10" s="128"/>
      <c r="M10" s="130" t="s">
        <v>218</v>
      </c>
    </row>
    <row r="11" spans="1:13" ht="23.25" customHeight="1" x14ac:dyDescent="0.25">
      <c r="A11" s="265">
        <v>9</v>
      </c>
      <c r="B11" s="124" t="s">
        <v>519</v>
      </c>
      <c r="C11" s="124" t="s">
        <v>39</v>
      </c>
      <c r="D11" s="125" t="s">
        <v>45</v>
      </c>
      <c r="E11" s="369" t="s">
        <v>496</v>
      </c>
      <c r="F11" s="267" t="s">
        <v>221</v>
      </c>
      <c r="G11" s="255"/>
      <c r="H11" s="295"/>
      <c r="I11" s="255"/>
      <c r="J11" s="130" t="s">
        <v>217</v>
      </c>
      <c r="K11" s="128"/>
      <c r="L11" s="128"/>
      <c r="M11" s="130" t="s">
        <v>218</v>
      </c>
    </row>
    <row r="12" spans="1:13" ht="23.25" customHeight="1" x14ac:dyDescent="0.25">
      <c r="A12" s="265">
        <v>10</v>
      </c>
      <c r="B12" s="124" t="s">
        <v>520</v>
      </c>
      <c r="C12" s="124" t="s">
        <v>40</v>
      </c>
      <c r="D12" s="125" t="s">
        <v>45</v>
      </c>
      <c r="E12" s="369" t="s">
        <v>496</v>
      </c>
      <c r="F12" s="267" t="s">
        <v>221</v>
      </c>
      <c r="G12" s="255"/>
      <c r="H12" s="295"/>
      <c r="I12" s="255"/>
      <c r="J12" s="130" t="s">
        <v>217</v>
      </c>
      <c r="K12" s="128"/>
      <c r="L12" s="128"/>
      <c r="M12" s="130" t="s">
        <v>218</v>
      </c>
    </row>
    <row r="13" spans="1:13" ht="23.25" customHeight="1" x14ac:dyDescent="0.25">
      <c r="A13" s="265">
        <v>11</v>
      </c>
      <c r="B13" s="124" t="s">
        <v>521</v>
      </c>
      <c r="C13" s="124" t="s">
        <v>37</v>
      </c>
      <c r="D13" s="125" t="s">
        <v>45</v>
      </c>
      <c r="E13" s="369" t="s">
        <v>496</v>
      </c>
      <c r="F13" s="267" t="s">
        <v>221</v>
      </c>
      <c r="G13" s="255"/>
      <c r="H13" s="295"/>
      <c r="I13" s="255"/>
      <c r="J13" s="130" t="s">
        <v>217</v>
      </c>
      <c r="K13" s="128"/>
      <c r="L13" s="128"/>
      <c r="M13" s="130" t="s">
        <v>218</v>
      </c>
    </row>
    <row r="14" spans="1:13" ht="23.25" customHeight="1" x14ac:dyDescent="0.25">
      <c r="A14" s="265">
        <v>12</v>
      </c>
      <c r="B14" s="124" t="s">
        <v>522</v>
      </c>
      <c r="C14" s="124" t="s">
        <v>37</v>
      </c>
      <c r="D14" s="125" t="s">
        <v>45</v>
      </c>
      <c r="E14" s="369" t="s">
        <v>496</v>
      </c>
      <c r="F14" s="267" t="s">
        <v>221</v>
      </c>
      <c r="G14" s="255"/>
      <c r="H14" s="295"/>
      <c r="I14" s="255"/>
      <c r="J14" s="130" t="s">
        <v>217</v>
      </c>
      <c r="K14" s="128"/>
      <c r="L14" s="128"/>
      <c r="M14" s="130" t="s">
        <v>218</v>
      </c>
    </row>
    <row r="15" spans="1:13" ht="23.25" customHeight="1" x14ac:dyDescent="0.25">
      <c r="A15" s="265">
        <v>13</v>
      </c>
      <c r="B15" s="124" t="s">
        <v>523</v>
      </c>
      <c r="C15" s="124" t="s">
        <v>43</v>
      </c>
      <c r="D15" s="125" t="s">
        <v>57</v>
      </c>
      <c r="E15" s="369" t="s">
        <v>496</v>
      </c>
      <c r="F15" s="267" t="s">
        <v>221</v>
      </c>
      <c r="G15" s="255"/>
      <c r="H15" s="295"/>
      <c r="I15" s="255"/>
      <c r="J15" s="130" t="s">
        <v>217</v>
      </c>
      <c r="K15" s="128"/>
      <c r="L15" s="128"/>
      <c r="M15" s="130" t="s">
        <v>218</v>
      </c>
    </row>
    <row r="16" spans="1:13" ht="23.25" customHeight="1" x14ac:dyDescent="0.25">
      <c r="A16" s="265">
        <v>14</v>
      </c>
      <c r="B16" s="124" t="s">
        <v>524</v>
      </c>
      <c r="C16" s="124" t="s">
        <v>46</v>
      </c>
      <c r="D16" s="125" t="s">
        <v>57</v>
      </c>
      <c r="E16" s="369" t="s">
        <v>496</v>
      </c>
      <c r="F16" s="267" t="s">
        <v>221</v>
      </c>
      <c r="G16" s="255"/>
      <c r="H16" s="295"/>
      <c r="I16" s="255"/>
      <c r="J16" s="130" t="s">
        <v>217</v>
      </c>
      <c r="K16" s="128"/>
      <c r="L16" s="128"/>
      <c r="M16" s="130" t="s">
        <v>218</v>
      </c>
    </row>
    <row r="17" spans="1:13" ht="23.25" customHeight="1" x14ac:dyDescent="0.25">
      <c r="A17" s="265">
        <v>15</v>
      </c>
      <c r="B17" s="124" t="s">
        <v>525</v>
      </c>
      <c r="C17" s="124" t="s">
        <v>49</v>
      </c>
      <c r="D17" s="125" t="s">
        <v>57</v>
      </c>
      <c r="E17" s="369" t="s">
        <v>496</v>
      </c>
      <c r="F17" s="267" t="s">
        <v>221</v>
      </c>
      <c r="G17" s="255"/>
      <c r="H17" s="295"/>
      <c r="I17" s="255"/>
      <c r="J17" s="130" t="s">
        <v>217</v>
      </c>
      <c r="K17" s="128"/>
      <c r="L17" s="128"/>
      <c r="M17" s="130" t="s">
        <v>218</v>
      </c>
    </row>
    <row r="18" spans="1:13" ht="23.25" customHeight="1" x14ac:dyDescent="0.25">
      <c r="A18" s="265">
        <v>16</v>
      </c>
      <c r="B18" s="124" t="s">
        <v>526</v>
      </c>
      <c r="C18" s="124" t="s">
        <v>50</v>
      </c>
      <c r="D18" s="125" t="s">
        <v>57</v>
      </c>
      <c r="E18" s="369" t="s">
        <v>496</v>
      </c>
      <c r="F18" s="267" t="s">
        <v>221</v>
      </c>
      <c r="G18" s="255"/>
      <c r="H18" s="295"/>
      <c r="I18" s="255"/>
      <c r="J18" s="130" t="s">
        <v>217</v>
      </c>
      <c r="K18" s="128"/>
      <c r="L18" s="128"/>
      <c r="M18" s="130" t="s">
        <v>218</v>
      </c>
    </row>
    <row r="19" spans="1:13" ht="23.25" customHeight="1" x14ac:dyDescent="0.25">
      <c r="A19" s="265">
        <v>17</v>
      </c>
      <c r="B19" s="124" t="s">
        <v>527</v>
      </c>
      <c r="C19" s="124" t="s">
        <v>50</v>
      </c>
      <c r="D19" s="125" t="s">
        <v>57</v>
      </c>
      <c r="E19" s="369" t="s">
        <v>496</v>
      </c>
      <c r="F19" s="267" t="s">
        <v>221</v>
      </c>
      <c r="G19" s="255"/>
      <c r="H19" s="295"/>
      <c r="I19" s="255"/>
      <c r="J19" s="130" t="s">
        <v>217</v>
      </c>
      <c r="K19" s="128"/>
      <c r="L19" s="128"/>
      <c r="M19" s="130" t="s">
        <v>218</v>
      </c>
    </row>
    <row r="20" spans="1:13" ht="23.25" customHeight="1" x14ac:dyDescent="0.25">
      <c r="A20" s="265">
        <v>18</v>
      </c>
      <c r="B20" s="124" t="s">
        <v>528</v>
      </c>
      <c r="C20" s="124" t="s">
        <v>51</v>
      </c>
      <c r="D20" s="125" t="s">
        <v>57</v>
      </c>
      <c r="E20" s="369" t="s">
        <v>496</v>
      </c>
      <c r="F20" s="267" t="s">
        <v>221</v>
      </c>
      <c r="G20" s="255"/>
      <c r="H20" s="295"/>
      <c r="I20" s="255"/>
      <c r="J20" s="130" t="s">
        <v>217</v>
      </c>
      <c r="K20" s="128"/>
      <c r="L20" s="128"/>
      <c r="M20" s="130" t="s">
        <v>218</v>
      </c>
    </row>
    <row r="21" spans="1:13" ht="23.25" customHeight="1" x14ac:dyDescent="0.25">
      <c r="A21" s="265">
        <v>19</v>
      </c>
      <c r="B21" s="124" t="s">
        <v>529</v>
      </c>
      <c r="C21" s="124" t="s">
        <v>52</v>
      </c>
      <c r="D21" s="125" t="s">
        <v>57</v>
      </c>
      <c r="E21" s="369" t="s">
        <v>496</v>
      </c>
      <c r="F21" s="267" t="s">
        <v>221</v>
      </c>
      <c r="G21" s="255"/>
      <c r="H21" s="295"/>
      <c r="I21" s="255"/>
      <c r="J21" s="130" t="s">
        <v>217</v>
      </c>
      <c r="K21" s="128"/>
      <c r="L21" s="128"/>
      <c r="M21" s="130" t="s">
        <v>218</v>
      </c>
    </row>
    <row r="22" spans="1:13" ht="23.25" customHeight="1" x14ac:dyDescent="0.25">
      <c r="A22" s="265">
        <v>20</v>
      </c>
      <c r="B22" s="124" t="s">
        <v>530</v>
      </c>
      <c r="C22" s="124" t="s">
        <v>56</v>
      </c>
      <c r="D22" s="125" t="s">
        <v>71</v>
      </c>
      <c r="E22" s="369" t="s">
        <v>496</v>
      </c>
      <c r="F22" s="267" t="s">
        <v>221</v>
      </c>
      <c r="G22" s="255"/>
      <c r="H22" s="295"/>
      <c r="I22" s="255"/>
      <c r="J22" s="130" t="s">
        <v>217</v>
      </c>
      <c r="K22" s="128"/>
      <c r="L22" s="128"/>
      <c r="M22" s="130" t="s">
        <v>218</v>
      </c>
    </row>
    <row r="23" spans="1:13" ht="23.25" customHeight="1" x14ac:dyDescent="0.25">
      <c r="A23" s="265">
        <v>21</v>
      </c>
      <c r="B23" s="124" t="s">
        <v>531</v>
      </c>
      <c r="C23" s="124" t="s">
        <v>56</v>
      </c>
      <c r="D23" s="125" t="s">
        <v>71</v>
      </c>
      <c r="E23" s="369" t="s">
        <v>496</v>
      </c>
      <c r="F23" s="368" t="s">
        <v>500</v>
      </c>
      <c r="G23" s="126" t="s">
        <v>210</v>
      </c>
      <c r="H23" s="295" t="s">
        <v>225</v>
      </c>
      <c r="I23" s="369" t="s">
        <v>510</v>
      </c>
      <c r="J23" s="127" t="s">
        <v>212</v>
      </c>
      <c r="K23" s="128">
        <v>45229</v>
      </c>
      <c r="L23" s="128">
        <v>45947</v>
      </c>
      <c r="M23" s="127" t="s">
        <v>213</v>
      </c>
    </row>
    <row r="24" spans="1:13" ht="23.25" customHeight="1" x14ac:dyDescent="0.25">
      <c r="A24" s="265">
        <v>22</v>
      </c>
      <c r="B24" s="124" t="s">
        <v>532</v>
      </c>
      <c r="C24" s="124" t="s">
        <v>60</v>
      </c>
      <c r="D24" s="125" t="s">
        <v>78</v>
      </c>
      <c r="E24" s="369" t="s">
        <v>496</v>
      </c>
      <c r="F24" s="267" t="s">
        <v>221</v>
      </c>
      <c r="G24" s="255"/>
      <c r="H24" s="295"/>
      <c r="I24" s="255"/>
      <c r="J24" s="130" t="s">
        <v>217</v>
      </c>
      <c r="K24" s="128"/>
      <c r="L24" s="128"/>
      <c r="M24" s="130" t="s">
        <v>218</v>
      </c>
    </row>
    <row r="25" spans="1:13" ht="23.25" customHeight="1" x14ac:dyDescent="0.25">
      <c r="A25" s="265">
        <v>23</v>
      </c>
      <c r="B25" s="124" t="s">
        <v>533</v>
      </c>
      <c r="C25" s="124" t="s">
        <v>60</v>
      </c>
      <c r="D25" s="125" t="s">
        <v>78</v>
      </c>
      <c r="E25" s="369" t="s">
        <v>496</v>
      </c>
      <c r="F25" s="267" t="s">
        <v>221</v>
      </c>
      <c r="G25" s="255"/>
      <c r="H25" s="295"/>
      <c r="I25" s="255"/>
      <c r="J25" s="130" t="s">
        <v>217</v>
      </c>
      <c r="K25" s="128"/>
      <c r="L25" s="128"/>
      <c r="M25" s="130" t="s">
        <v>218</v>
      </c>
    </row>
    <row r="26" spans="1:13" ht="23.25" customHeight="1" x14ac:dyDescent="0.25">
      <c r="A26" s="265">
        <v>24</v>
      </c>
      <c r="B26" s="124" t="s">
        <v>534</v>
      </c>
      <c r="C26" s="124" t="s">
        <v>63</v>
      </c>
      <c r="D26" s="125" t="s">
        <v>79</v>
      </c>
      <c r="E26" s="369" t="s">
        <v>496</v>
      </c>
      <c r="F26" s="267" t="s">
        <v>221</v>
      </c>
      <c r="G26" s="255"/>
      <c r="H26" s="295"/>
      <c r="I26" s="255"/>
      <c r="J26" s="130" t="s">
        <v>217</v>
      </c>
      <c r="K26" s="128"/>
      <c r="L26" s="128"/>
      <c r="M26" s="130" t="s">
        <v>218</v>
      </c>
    </row>
    <row r="27" spans="1:13" ht="23.25" customHeight="1" x14ac:dyDescent="0.25">
      <c r="A27" s="265">
        <v>25</v>
      </c>
      <c r="B27" s="124" t="s">
        <v>535</v>
      </c>
      <c r="C27" s="124" t="s">
        <v>64</v>
      </c>
      <c r="D27" s="125" t="s">
        <v>80</v>
      </c>
      <c r="E27" s="369" t="s">
        <v>496</v>
      </c>
      <c r="F27" s="368" t="s">
        <v>500</v>
      </c>
      <c r="G27" s="255"/>
      <c r="H27" s="295"/>
      <c r="I27" s="255"/>
      <c r="J27" s="129" t="s">
        <v>217</v>
      </c>
      <c r="K27" s="128"/>
      <c r="L27" s="128"/>
      <c r="M27" s="129" t="s">
        <v>218</v>
      </c>
    </row>
    <row r="28" spans="1:13" ht="23.25" customHeight="1" x14ac:dyDescent="0.25">
      <c r="A28" s="265">
        <v>26</v>
      </c>
      <c r="B28" s="124" t="s">
        <v>536</v>
      </c>
      <c r="C28" s="124" t="s">
        <v>64</v>
      </c>
      <c r="D28" s="125" t="s">
        <v>80</v>
      </c>
      <c r="E28" s="369" t="s">
        <v>496</v>
      </c>
      <c r="F28" s="368" t="s">
        <v>501</v>
      </c>
      <c r="G28" s="126" t="s">
        <v>210</v>
      </c>
      <c r="H28" s="295" t="s">
        <v>225</v>
      </c>
      <c r="I28" s="369" t="s">
        <v>510</v>
      </c>
      <c r="J28" s="127" t="s">
        <v>212</v>
      </c>
      <c r="K28" s="128">
        <v>45384</v>
      </c>
      <c r="L28" s="128">
        <v>45947</v>
      </c>
      <c r="M28" s="127" t="s">
        <v>213</v>
      </c>
    </row>
    <row r="29" spans="1:13" ht="23.25" customHeight="1" x14ac:dyDescent="0.25">
      <c r="A29" s="265">
        <v>27</v>
      </c>
      <c r="B29" s="124" t="s">
        <v>537</v>
      </c>
      <c r="C29" s="124" t="s">
        <v>64</v>
      </c>
      <c r="D29" s="125" t="s">
        <v>80</v>
      </c>
      <c r="E29" s="369" t="s">
        <v>496</v>
      </c>
      <c r="F29" s="368" t="s">
        <v>502</v>
      </c>
      <c r="G29" s="255"/>
      <c r="H29" s="295"/>
      <c r="I29" s="255"/>
      <c r="J29" s="129" t="s">
        <v>217</v>
      </c>
      <c r="K29" s="128"/>
      <c r="L29" s="128"/>
      <c r="M29" s="129" t="s">
        <v>218</v>
      </c>
    </row>
    <row r="30" spans="1:13" ht="23.25" customHeight="1" x14ac:dyDescent="0.25">
      <c r="A30" s="265">
        <v>28</v>
      </c>
      <c r="B30" s="124" t="s">
        <v>538</v>
      </c>
      <c r="C30" s="124" t="s">
        <v>65</v>
      </c>
      <c r="D30" s="125" t="s">
        <v>80</v>
      </c>
      <c r="E30" s="369" t="s">
        <v>496</v>
      </c>
      <c r="F30" s="267" t="s">
        <v>221</v>
      </c>
      <c r="G30" s="255"/>
      <c r="H30" s="295"/>
      <c r="I30" s="255"/>
      <c r="J30" s="130" t="s">
        <v>217</v>
      </c>
      <c r="K30" s="128"/>
      <c r="L30" s="128"/>
      <c r="M30" s="130" t="s">
        <v>218</v>
      </c>
    </row>
    <row r="31" spans="1:13" ht="23.25" customHeight="1" x14ac:dyDescent="0.25">
      <c r="A31" s="265">
        <v>29</v>
      </c>
      <c r="B31" s="124" t="s">
        <v>539</v>
      </c>
      <c r="C31" s="124" t="s">
        <v>66</v>
      </c>
      <c r="D31" s="125" t="s">
        <v>80</v>
      </c>
      <c r="E31" s="369" t="s">
        <v>496</v>
      </c>
      <c r="F31" s="368" t="s">
        <v>503</v>
      </c>
      <c r="G31" s="126" t="s">
        <v>210</v>
      </c>
      <c r="H31" s="295" t="s">
        <v>225</v>
      </c>
      <c r="I31" s="369" t="s">
        <v>510</v>
      </c>
      <c r="J31" s="127" t="s">
        <v>212</v>
      </c>
      <c r="K31" s="128">
        <v>45384</v>
      </c>
      <c r="L31" s="128">
        <v>45947</v>
      </c>
      <c r="M31" s="127" t="s">
        <v>213</v>
      </c>
    </row>
    <row r="32" spans="1:13" ht="23.25" customHeight="1" x14ac:dyDescent="0.25">
      <c r="A32" s="265">
        <v>30</v>
      </c>
      <c r="B32" s="124" t="s">
        <v>540</v>
      </c>
      <c r="C32" s="124" t="s">
        <v>69</v>
      </c>
      <c r="D32" s="125" t="s">
        <v>80</v>
      </c>
      <c r="E32" s="369" t="s">
        <v>496</v>
      </c>
      <c r="F32" s="368" t="s">
        <v>504</v>
      </c>
      <c r="G32" s="126" t="s">
        <v>210</v>
      </c>
      <c r="H32" s="295" t="s">
        <v>225</v>
      </c>
      <c r="I32" s="369" t="s">
        <v>510</v>
      </c>
      <c r="J32" s="127" t="s">
        <v>212</v>
      </c>
      <c r="K32" s="128">
        <v>45384</v>
      </c>
      <c r="L32" s="128">
        <v>45947</v>
      </c>
      <c r="M32" s="127" t="s">
        <v>213</v>
      </c>
    </row>
    <row r="33" spans="1:13" ht="23.25" customHeight="1" x14ac:dyDescent="0.25">
      <c r="A33" s="265">
        <v>31</v>
      </c>
      <c r="B33" s="124" t="s">
        <v>541</v>
      </c>
      <c r="C33" s="124" t="s">
        <v>69</v>
      </c>
      <c r="D33" s="125" t="s">
        <v>80</v>
      </c>
      <c r="E33" s="369" t="s">
        <v>496</v>
      </c>
      <c r="F33" s="267" t="s">
        <v>221</v>
      </c>
      <c r="G33" s="255"/>
      <c r="H33" s="295"/>
      <c r="I33" s="255"/>
      <c r="J33" s="130" t="s">
        <v>217</v>
      </c>
      <c r="K33" s="128"/>
      <c r="L33" s="128"/>
      <c r="M33" s="130" t="s">
        <v>218</v>
      </c>
    </row>
    <row r="34" spans="1:13" ht="23.25" customHeight="1" x14ac:dyDescent="0.25">
      <c r="A34" s="265">
        <v>32</v>
      </c>
      <c r="B34" s="124" t="s">
        <v>542</v>
      </c>
      <c r="C34" s="124" t="s">
        <v>70</v>
      </c>
      <c r="D34" s="125" t="s">
        <v>80</v>
      </c>
      <c r="E34" s="369" t="s">
        <v>496</v>
      </c>
      <c r="F34" s="368" t="s">
        <v>505</v>
      </c>
      <c r="G34" s="255"/>
      <c r="H34" s="295"/>
      <c r="I34" s="255"/>
      <c r="J34" s="127" t="s">
        <v>212</v>
      </c>
      <c r="K34" s="128"/>
      <c r="L34" s="128"/>
      <c r="M34" s="127" t="s">
        <v>213</v>
      </c>
    </row>
    <row r="35" spans="1:13" ht="23.25" customHeight="1" x14ac:dyDescent="0.25">
      <c r="A35" s="265">
        <v>33</v>
      </c>
      <c r="B35" s="124" t="s">
        <v>543</v>
      </c>
      <c r="C35" s="124" t="s">
        <v>72</v>
      </c>
      <c r="D35" s="125" t="s">
        <v>80</v>
      </c>
      <c r="E35" s="369" t="s">
        <v>496</v>
      </c>
      <c r="F35" s="368" t="s">
        <v>506</v>
      </c>
      <c r="G35" s="255"/>
      <c r="H35" s="295"/>
      <c r="I35" s="255"/>
      <c r="J35" s="127" t="s">
        <v>212</v>
      </c>
      <c r="K35" s="128"/>
      <c r="L35" s="128"/>
      <c r="M35" s="127" t="s">
        <v>213</v>
      </c>
    </row>
    <row r="36" spans="1:13" ht="23.25" customHeight="1" x14ac:dyDescent="0.25">
      <c r="A36" s="265">
        <v>34</v>
      </c>
      <c r="B36" s="124" t="s">
        <v>544</v>
      </c>
      <c r="C36" s="124" t="s">
        <v>73</v>
      </c>
      <c r="D36" s="125" t="s">
        <v>80</v>
      </c>
      <c r="E36" s="369" t="s">
        <v>496</v>
      </c>
      <c r="F36" s="368" t="s">
        <v>507</v>
      </c>
      <c r="G36" s="255"/>
      <c r="H36" s="295"/>
      <c r="I36" s="255"/>
      <c r="J36" s="127" t="s">
        <v>212</v>
      </c>
      <c r="K36" s="128"/>
      <c r="L36" s="128"/>
      <c r="M36" s="127" t="s">
        <v>213</v>
      </c>
    </row>
    <row r="37" spans="1:13" ht="23.25" customHeight="1" x14ac:dyDescent="0.25">
      <c r="A37" s="265">
        <v>35</v>
      </c>
      <c r="B37" s="124" t="s">
        <v>545</v>
      </c>
      <c r="C37" s="124" t="s">
        <v>73</v>
      </c>
      <c r="D37" s="125" t="s">
        <v>80</v>
      </c>
      <c r="E37" s="369" t="s">
        <v>496</v>
      </c>
      <c r="F37" s="131" t="s">
        <v>221</v>
      </c>
      <c r="G37" s="255"/>
      <c r="H37" s="295"/>
      <c r="I37" s="255"/>
      <c r="J37" s="130" t="s">
        <v>217</v>
      </c>
      <c r="K37" s="128"/>
      <c r="L37" s="128"/>
      <c r="M37" s="130" t="s">
        <v>218</v>
      </c>
    </row>
    <row r="38" spans="1:13" ht="23.25" customHeight="1" x14ac:dyDescent="0.25">
      <c r="A38" s="265">
        <v>36</v>
      </c>
      <c r="B38" s="124" t="s">
        <v>546</v>
      </c>
      <c r="C38" s="124" t="s">
        <v>73</v>
      </c>
      <c r="D38" s="125" t="s">
        <v>80</v>
      </c>
      <c r="E38" s="369" t="s">
        <v>496</v>
      </c>
      <c r="F38" s="131" t="s">
        <v>221</v>
      </c>
      <c r="G38" s="255"/>
      <c r="H38" s="295"/>
      <c r="I38" s="255"/>
      <c r="J38" s="130" t="s">
        <v>217</v>
      </c>
      <c r="K38" s="128"/>
      <c r="L38" s="128"/>
      <c r="M38" s="130" t="s">
        <v>218</v>
      </c>
    </row>
    <row r="39" spans="1:13" ht="23.25" customHeight="1" x14ac:dyDescent="0.25">
      <c r="A39" s="265">
        <v>37</v>
      </c>
      <c r="B39" s="124" t="s">
        <v>547</v>
      </c>
      <c r="C39" s="124" t="s">
        <v>74</v>
      </c>
      <c r="D39" s="125" t="s">
        <v>80</v>
      </c>
      <c r="E39" s="369" t="s">
        <v>496</v>
      </c>
      <c r="F39" s="368" t="s">
        <v>508</v>
      </c>
      <c r="G39" s="126" t="s">
        <v>210</v>
      </c>
      <c r="H39" s="295" t="s">
        <v>225</v>
      </c>
      <c r="I39" s="369" t="s">
        <v>510</v>
      </c>
      <c r="J39" s="127" t="s">
        <v>212</v>
      </c>
      <c r="K39" s="128">
        <v>45384</v>
      </c>
      <c r="L39" s="128">
        <v>45947</v>
      </c>
      <c r="M39" s="127" t="s">
        <v>213</v>
      </c>
    </row>
    <row r="40" spans="1:13" ht="23.25" customHeight="1" x14ac:dyDescent="0.25">
      <c r="A40" s="265">
        <v>38</v>
      </c>
      <c r="B40" s="124" t="s">
        <v>548</v>
      </c>
      <c r="C40" s="124" t="s">
        <v>74</v>
      </c>
      <c r="D40" s="125" t="s">
        <v>80</v>
      </c>
      <c r="E40" s="369" t="s">
        <v>496</v>
      </c>
      <c r="F40" s="368" t="s">
        <v>509</v>
      </c>
      <c r="G40" s="126" t="s">
        <v>210</v>
      </c>
      <c r="H40" s="295" t="s">
        <v>225</v>
      </c>
      <c r="I40" s="255" t="s">
        <v>510</v>
      </c>
      <c r="J40" s="127" t="s">
        <v>212</v>
      </c>
      <c r="K40" s="128">
        <v>45384</v>
      </c>
      <c r="L40" s="128">
        <v>45947</v>
      </c>
      <c r="M40" s="127" t="s">
        <v>213</v>
      </c>
    </row>
    <row r="41" spans="1:13" x14ac:dyDescent="0.25">
      <c r="K41" s="268"/>
      <c r="L41" s="268"/>
    </row>
    <row r="42" spans="1:13" x14ac:dyDescent="0.25">
      <c r="K42" s="268"/>
      <c r="L42" s="268"/>
    </row>
    <row r="43" spans="1:13" ht="55.5" customHeight="1" x14ac:dyDescent="0.25">
      <c r="A43" s="466"/>
      <c r="B43" s="467"/>
      <c r="C43" s="468" t="s">
        <v>226</v>
      </c>
      <c r="D43" s="465"/>
      <c r="E43" s="469"/>
      <c r="F43" s="469"/>
      <c r="G43" s="469"/>
      <c r="H43" s="469"/>
      <c r="I43" s="469"/>
      <c r="J43" s="469"/>
      <c r="K43" s="469"/>
      <c r="L43" s="469"/>
    </row>
    <row r="44" spans="1:13" ht="31.5" x14ac:dyDescent="0.25">
      <c r="A44" s="269" t="s">
        <v>198</v>
      </c>
      <c r="B44" s="269" t="s">
        <v>214</v>
      </c>
      <c r="C44" s="270" t="s">
        <v>227</v>
      </c>
      <c r="D44" s="270" t="s">
        <v>201</v>
      </c>
      <c r="E44" s="270" t="s">
        <v>202</v>
      </c>
      <c r="F44" s="270" t="s">
        <v>228</v>
      </c>
      <c r="G44" s="271" t="s">
        <v>229</v>
      </c>
      <c r="H44" s="270" t="s">
        <v>157</v>
      </c>
      <c r="I44" s="270" t="s">
        <v>230</v>
      </c>
      <c r="J44" s="270" t="s">
        <v>231</v>
      </c>
      <c r="K44" s="270" t="s">
        <v>232</v>
      </c>
      <c r="L44" s="270" t="s">
        <v>205</v>
      </c>
    </row>
    <row r="45" spans="1:13" ht="15" customHeight="1" x14ac:dyDescent="0.25">
      <c r="A45" s="470">
        <v>1</v>
      </c>
      <c r="B45" s="473" t="s">
        <v>233</v>
      </c>
      <c r="C45" s="475" t="s">
        <v>87</v>
      </c>
      <c r="D45" s="477" t="s">
        <v>209</v>
      </c>
      <c r="E45" s="475" t="s">
        <v>497</v>
      </c>
      <c r="F45" s="256" t="s">
        <v>234</v>
      </c>
      <c r="G45" s="255" t="s">
        <v>5</v>
      </c>
      <c r="H45" s="255" t="s">
        <v>235</v>
      </c>
      <c r="I45" s="272" t="s">
        <v>236</v>
      </c>
      <c r="J45" s="128">
        <v>45555</v>
      </c>
      <c r="K45" s="128">
        <v>45920</v>
      </c>
      <c r="L45" s="297" t="s">
        <v>401</v>
      </c>
    </row>
    <row r="46" spans="1:13" x14ac:dyDescent="0.25">
      <c r="A46" s="471"/>
      <c r="B46" s="474"/>
      <c r="C46" s="476"/>
      <c r="D46" s="478"/>
      <c r="E46" s="476"/>
      <c r="F46" s="256" t="s">
        <v>237</v>
      </c>
      <c r="G46" s="255" t="s">
        <v>5</v>
      </c>
      <c r="H46" s="255" t="s">
        <v>235</v>
      </c>
      <c r="I46" s="272" t="s">
        <v>238</v>
      </c>
      <c r="J46" s="128">
        <v>45920</v>
      </c>
      <c r="K46" s="128">
        <v>45920</v>
      </c>
      <c r="L46" s="296" t="s">
        <v>414</v>
      </c>
    </row>
    <row r="47" spans="1:13" x14ac:dyDescent="0.25">
      <c r="A47" s="471"/>
      <c r="B47" s="474"/>
      <c r="C47" s="476"/>
      <c r="D47" s="478"/>
      <c r="E47" s="476"/>
      <c r="F47" s="256" t="s">
        <v>239</v>
      </c>
      <c r="G47" s="255" t="s">
        <v>5</v>
      </c>
      <c r="H47" s="255" t="s">
        <v>235</v>
      </c>
      <c r="I47" s="272" t="s">
        <v>236</v>
      </c>
      <c r="J47" s="128">
        <v>45920</v>
      </c>
      <c r="K47" s="128">
        <v>45920</v>
      </c>
      <c r="L47" s="296" t="s">
        <v>414</v>
      </c>
    </row>
    <row r="48" spans="1:13" x14ac:dyDescent="0.25">
      <c r="A48" s="472"/>
      <c r="B48" s="456"/>
      <c r="C48" s="459"/>
      <c r="D48" s="458"/>
      <c r="E48" s="459"/>
      <c r="F48" s="256" t="s">
        <v>240</v>
      </c>
      <c r="G48" s="255" t="s">
        <v>549</v>
      </c>
      <c r="H48" s="255" t="s">
        <v>241</v>
      </c>
      <c r="I48" s="272" t="s">
        <v>236</v>
      </c>
      <c r="J48" s="128">
        <v>45920</v>
      </c>
      <c r="K48" s="128">
        <v>45920</v>
      </c>
      <c r="L48" s="296" t="s">
        <v>414</v>
      </c>
    </row>
    <row r="49" spans="1:8" ht="15.75" thickBot="1" x14ac:dyDescent="0.3"/>
    <row r="50" spans="1:8" ht="15.75" x14ac:dyDescent="0.25">
      <c r="A50" s="132" t="s">
        <v>198</v>
      </c>
      <c r="B50" s="154" t="s">
        <v>214</v>
      </c>
      <c r="C50" s="154" t="s">
        <v>201</v>
      </c>
      <c r="D50" s="154" t="s">
        <v>215</v>
      </c>
      <c r="E50" s="154" t="s">
        <v>202</v>
      </c>
      <c r="F50" s="153" t="s">
        <v>202</v>
      </c>
      <c r="G50" s="154" t="s">
        <v>216</v>
      </c>
      <c r="H50" s="155" t="s">
        <v>207</v>
      </c>
    </row>
    <row r="51" spans="1:8" x14ac:dyDescent="0.25">
      <c r="A51" s="454">
        <v>1</v>
      </c>
      <c r="B51" s="456" t="s">
        <v>219</v>
      </c>
      <c r="C51" s="458" t="s">
        <v>209</v>
      </c>
      <c r="D51" s="458" t="s">
        <v>220</v>
      </c>
      <c r="E51" s="459" t="s">
        <v>497</v>
      </c>
      <c r="F51" s="461">
        <v>14827532.779999999</v>
      </c>
      <c r="G51" s="450">
        <v>45931</v>
      </c>
      <c r="H51" s="452">
        <v>46296</v>
      </c>
    </row>
    <row r="52" spans="1:8" x14ac:dyDescent="0.25">
      <c r="A52" s="455"/>
      <c r="B52" s="457"/>
      <c r="C52" s="451"/>
      <c r="D52" s="451"/>
      <c r="E52" s="460"/>
      <c r="F52" s="462"/>
      <c r="G52" s="451"/>
      <c r="H52" s="453"/>
    </row>
    <row r="53" spans="1:8" ht="15.75" thickBot="1" x14ac:dyDescent="0.3">
      <c r="A53" s="133"/>
      <c r="B53" s="134" t="s">
        <v>222</v>
      </c>
      <c r="C53" s="135"/>
      <c r="D53" s="135"/>
      <c r="E53" s="135"/>
      <c r="F53" s="135" t="s">
        <v>223</v>
      </c>
      <c r="G53" s="135"/>
      <c r="H53" s="136"/>
    </row>
  </sheetData>
  <mergeCells count="16">
    <mergeCell ref="A1:M1"/>
    <mergeCell ref="A43:B43"/>
    <mergeCell ref="C43:L43"/>
    <mergeCell ref="A45:A48"/>
    <mergeCell ref="B45:B48"/>
    <mergeCell ref="C45:C48"/>
    <mergeCell ref="D45:D48"/>
    <mergeCell ref="E45:E48"/>
    <mergeCell ref="G51:G52"/>
    <mergeCell ref="H51:H52"/>
    <mergeCell ref="A51:A52"/>
    <mergeCell ref="B51:B52"/>
    <mergeCell ref="C51:C52"/>
    <mergeCell ref="D51:D52"/>
    <mergeCell ref="E51:E52"/>
    <mergeCell ref="F51:F52"/>
  </mergeCells>
  <phoneticPr fontId="89" type="noConversion"/>
  <dataValidations count="1">
    <dataValidation type="list" allowBlank="1" showInputMessage="1" showErrorMessage="1" sqref="D3:D40" xr:uid="{8791FA94-E0F9-4549-B0B0-A7BC89255017}">
      <formula1>"AC,AL,AP,AM,BA,CE,DF,ES,GO,MA,MT,MS,MG,PA,PB,PR,PE,PI,RJ,RN,RS,RO,RR,SC,SP,SE,TO"</formula1>
    </dataValidation>
  </dataValidations>
  <printOptions horizontalCentered="1" verticalCentered="1"/>
  <pageMargins left="0" right="0" top="0" bottom="0" header="0" footer="0"/>
  <pageSetup paperSize="9" scale="4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C9C1F-5C3A-49F7-A426-1AD8D598EB94}">
  <sheetPr codeName="Planilha10">
    <tabColor theme="3" tint="0.39997558519241921"/>
    <pageSetUpPr fitToPage="1"/>
  </sheetPr>
  <dimension ref="A1:AI45"/>
  <sheetViews>
    <sheetView view="pageBreakPreview" zoomScale="85" zoomScaleNormal="85" zoomScaleSheetLayoutView="85" workbookViewId="0">
      <pane xSplit="1" topLeftCell="P1" activePane="topRight" state="frozen"/>
      <selection activeCell="K23" sqref="K23"/>
      <selection pane="topRight" activeCell="U24" sqref="U24"/>
    </sheetView>
  </sheetViews>
  <sheetFormatPr defaultRowHeight="15" x14ac:dyDescent="0.25"/>
  <cols>
    <col min="1" max="1" width="35.42578125" customWidth="1"/>
    <col min="2" max="27" width="17" customWidth="1"/>
  </cols>
  <sheetData>
    <row r="1" spans="1:35" ht="36" x14ac:dyDescent="0.25">
      <c r="A1" s="123"/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57"/>
      <c r="S1" s="123"/>
      <c r="T1" s="123"/>
      <c r="U1" s="123"/>
      <c r="V1" s="123"/>
      <c r="W1" s="123"/>
      <c r="X1" s="123"/>
      <c r="Y1" s="123"/>
      <c r="Z1" s="123"/>
      <c r="AA1" s="123"/>
    </row>
    <row r="2" spans="1:35" ht="15.75" x14ac:dyDescent="0.25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56"/>
      <c r="S2" s="123"/>
      <c r="T2" s="123"/>
      <c r="U2" s="123"/>
      <c r="V2" s="123"/>
      <c r="W2" s="123"/>
      <c r="X2" s="123"/>
      <c r="Y2" s="123"/>
      <c r="Z2" s="123"/>
      <c r="AA2" s="123"/>
    </row>
    <row r="3" spans="1:35" x14ac:dyDescent="0.25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257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</row>
    <row r="4" spans="1:35" x14ac:dyDescent="0.25">
      <c r="A4" s="123"/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257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</row>
    <row r="5" spans="1:35" ht="33.75" customHeight="1" x14ac:dyDescent="0.25">
      <c r="A5" s="137"/>
      <c r="B5" s="137" t="s">
        <v>242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</row>
    <row r="6" spans="1:35" ht="30.6" customHeight="1" x14ac:dyDescent="0.25">
      <c r="A6" s="139"/>
      <c r="B6" s="372" t="s">
        <v>551</v>
      </c>
      <c r="C6" s="372" t="s">
        <v>552</v>
      </c>
      <c r="D6" s="372" t="s">
        <v>553</v>
      </c>
      <c r="E6" s="372" t="s">
        <v>554</v>
      </c>
      <c r="F6" s="372" t="s">
        <v>555</v>
      </c>
      <c r="G6" s="372" t="s">
        <v>556</v>
      </c>
      <c r="H6" s="372" t="s">
        <v>557</v>
      </c>
      <c r="I6" s="372" t="s">
        <v>558</v>
      </c>
      <c r="J6" s="372" t="s">
        <v>559</v>
      </c>
      <c r="K6" s="372" t="s">
        <v>560</v>
      </c>
      <c r="L6" s="372" t="s">
        <v>561</v>
      </c>
      <c r="M6" s="372" t="s">
        <v>562</v>
      </c>
      <c r="N6" s="372" t="s">
        <v>563</v>
      </c>
      <c r="O6" s="372" t="s">
        <v>564</v>
      </c>
      <c r="P6" s="372" t="s">
        <v>565</v>
      </c>
      <c r="Q6" s="372" t="s">
        <v>566</v>
      </c>
      <c r="R6" s="372" t="s">
        <v>567</v>
      </c>
      <c r="S6" s="372" t="s">
        <v>568</v>
      </c>
      <c r="T6" s="372" t="s">
        <v>569</v>
      </c>
      <c r="U6" s="372" t="s">
        <v>570</v>
      </c>
      <c r="V6" s="372" t="s">
        <v>571</v>
      </c>
      <c r="W6" s="372" t="s">
        <v>572</v>
      </c>
      <c r="X6" s="372" t="s">
        <v>573</v>
      </c>
      <c r="Y6" s="372" t="s">
        <v>574</v>
      </c>
      <c r="Z6" s="372" t="s">
        <v>575</v>
      </c>
      <c r="AA6" s="372" t="s">
        <v>576</v>
      </c>
    </row>
    <row r="7" spans="1:35" ht="30.6" customHeight="1" x14ac:dyDescent="0.25">
      <c r="A7" s="139"/>
      <c r="B7" s="140">
        <v>45231</v>
      </c>
      <c r="C7" s="140">
        <v>45261</v>
      </c>
      <c r="D7" s="140">
        <v>45292</v>
      </c>
      <c r="E7" s="140">
        <v>45323</v>
      </c>
      <c r="F7" s="140">
        <v>45352</v>
      </c>
      <c r="G7" s="140">
        <v>45383</v>
      </c>
      <c r="H7" s="140">
        <v>45413</v>
      </c>
      <c r="I7" s="140">
        <v>45444</v>
      </c>
      <c r="J7" s="140">
        <v>45474</v>
      </c>
      <c r="K7" s="140">
        <v>45505</v>
      </c>
      <c r="L7" s="140">
        <v>45536</v>
      </c>
      <c r="M7" s="140">
        <v>45566</v>
      </c>
      <c r="N7" s="140">
        <v>45597</v>
      </c>
      <c r="O7" s="140">
        <v>45627</v>
      </c>
      <c r="P7" s="140">
        <v>45658</v>
      </c>
      <c r="Q7" s="140">
        <v>45689</v>
      </c>
      <c r="R7" s="140">
        <v>45717</v>
      </c>
      <c r="S7" s="140">
        <v>45748</v>
      </c>
      <c r="T7" s="140">
        <v>45778</v>
      </c>
      <c r="U7" s="140">
        <v>45809</v>
      </c>
      <c r="V7" s="140">
        <v>45839</v>
      </c>
      <c r="W7" s="140">
        <v>45870</v>
      </c>
      <c r="X7" s="140">
        <v>45901</v>
      </c>
      <c r="Y7" s="140">
        <v>45931</v>
      </c>
      <c r="Z7" s="140">
        <v>45962</v>
      </c>
      <c r="AA7" s="140">
        <v>45992</v>
      </c>
    </row>
    <row r="8" spans="1:35" x14ac:dyDescent="0.25">
      <c r="A8" s="141" t="s">
        <v>243</v>
      </c>
      <c r="B8" s="142">
        <v>54574.252932940442</v>
      </c>
      <c r="C8" s="142">
        <v>68787.682431046022</v>
      </c>
      <c r="D8" s="142">
        <v>83001.111929151593</v>
      </c>
      <c r="E8" s="142">
        <v>97214.541427257194</v>
      </c>
      <c r="F8" s="142">
        <v>111427.970925363</v>
      </c>
      <c r="G8" s="142">
        <v>125641.400423468</v>
      </c>
      <c r="H8" s="142">
        <v>139854.82992157401</v>
      </c>
      <c r="I8" s="142">
        <v>154068.25941967999</v>
      </c>
      <c r="J8" s="142">
        <v>168281.68891778501</v>
      </c>
      <c r="K8" s="142">
        <v>182495.11841589</v>
      </c>
      <c r="L8" s="142">
        <v>196708.54791399601</v>
      </c>
      <c r="M8" s="142">
        <v>210921.977412101</v>
      </c>
      <c r="N8" s="142">
        <v>225135.40691020701</v>
      </c>
      <c r="O8" s="142">
        <v>239348.83640831301</v>
      </c>
      <c r="P8" s="142">
        <v>253562.265906418</v>
      </c>
      <c r="Q8" s="142">
        <v>267775.69540452398</v>
      </c>
      <c r="R8" s="142">
        <v>281989.124902629</v>
      </c>
      <c r="S8" s="142">
        <v>296202.55440073501</v>
      </c>
      <c r="T8" s="142">
        <v>310415.98389883997</v>
      </c>
      <c r="U8" s="142">
        <v>324629.41339694598</v>
      </c>
      <c r="V8" s="142">
        <v>338842.84289505199</v>
      </c>
      <c r="W8" s="142">
        <v>353056.27239315701</v>
      </c>
      <c r="X8" s="142">
        <v>367269.70189126302</v>
      </c>
      <c r="Y8" s="142">
        <v>381483.13138936798</v>
      </c>
      <c r="Z8" s="142">
        <v>395696.56088747398</v>
      </c>
      <c r="AA8" s="142">
        <v>409909.990385579</v>
      </c>
    </row>
    <row r="9" spans="1:35" s="355" customFormat="1" x14ac:dyDescent="0.25">
      <c r="A9" s="351" t="s">
        <v>550</v>
      </c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3"/>
      <c r="S9" s="353"/>
      <c r="T9" s="353"/>
      <c r="U9" s="353"/>
      <c r="V9" s="353"/>
      <c r="W9" s="353"/>
      <c r="X9" s="353"/>
      <c r="Y9" s="354">
        <f>-(Y8*5%)</f>
        <v>-19074.1565694684</v>
      </c>
      <c r="Z9" s="354">
        <f t="shared" ref="Z9:AA9" si="0">-(Z8*5%)</f>
        <v>-19784.828044373702</v>
      </c>
      <c r="AA9" s="354">
        <f t="shared" si="0"/>
        <v>-20495.49951927895</v>
      </c>
    </row>
    <row r="10" spans="1:35" s="146" customFormat="1" ht="15" hidden="1" customHeight="1" x14ac:dyDescent="0.25">
      <c r="A10" s="143" t="s">
        <v>244</v>
      </c>
      <c r="B10" s="144"/>
      <c r="C10" s="144"/>
      <c r="D10" s="144"/>
      <c r="E10" s="144">
        <v>425.59157446482556</v>
      </c>
      <c r="F10" s="144">
        <v>1763.1650942114188</v>
      </c>
      <c r="G10" s="144">
        <v>1763.1650942114197</v>
      </c>
      <c r="H10" s="144">
        <v>1763.1650942114188</v>
      </c>
      <c r="I10" s="144">
        <v>1763.1650942114197</v>
      </c>
      <c r="J10" s="144">
        <v>1763.1650942114188</v>
      </c>
      <c r="K10" s="144">
        <v>6028.8870963358113</v>
      </c>
      <c r="L10" s="144">
        <v>7052.660376845668</v>
      </c>
      <c r="M10" s="144">
        <v>51422.454850064489</v>
      </c>
      <c r="N10" s="144">
        <v>78363.737104799991</v>
      </c>
      <c r="O10" s="144">
        <v>119690.71124852897</v>
      </c>
      <c r="P10" s="144">
        <v>300586.49459639989</v>
      </c>
      <c r="Q10" s="144">
        <v>323063.65702439996</v>
      </c>
      <c r="R10" s="145">
        <v>323063.6570243999</v>
      </c>
      <c r="S10" s="145">
        <v>323063.65702440002</v>
      </c>
      <c r="T10" s="145">
        <v>323063.65999999997</v>
      </c>
      <c r="U10" s="145">
        <v>325623.05746804801</v>
      </c>
      <c r="V10" s="145">
        <v>330974.53608818311</v>
      </c>
      <c r="W10" s="145">
        <v>350611.55217253149</v>
      </c>
      <c r="X10" s="145">
        <v>370923.07</v>
      </c>
      <c r="Y10" s="274"/>
      <c r="Z10" s="299"/>
      <c r="AA10" s="299"/>
    </row>
    <row r="11" spans="1:35" x14ac:dyDescent="0.25">
      <c r="A11" s="141" t="s">
        <v>245</v>
      </c>
      <c r="B11" s="142">
        <v>4503.9249999999993</v>
      </c>
      <c r="C11" s="142">
        <v>5404.7099999999964</v>
      </c>
      <c r="D11" s="142">
        <v>9589.0016129032192</v>
      </c>
      <c r="E11" s="142">
        <v>11584.2888172043</v>
      </c>
      <c r="F11" s="142">
        <v>14126.827123655899</v>
      </c>
      <c r="G11" s="142">
        <v>16669.3654301075</v>
      </c>
      <c r="H11" s="142">
        <v>19211.903736559201</v>
      </c>
      <c r="I11" s="142">
        <v>21754.4420430108</v>
      </c>
      <c r="J11" s="142">
        <v>24296.980349462399</v>
      </c>
      <c r="K11" s="142">
        <v>26839.518655913998</v>
      </c>
      <c r="L11" s="142">
        <v>29382.056962365601</v>
      </c>
      <c r="M11" s="142">
        <v>31924.5952688172</v>
      </c>
      <c r="N11" s="142">
        <v>34467.133575268803</v>
      </c>
      <c r="O11" s="142">
        <v>37009.671881720402</v>
      </c>
      <c r="P11" s="142">
        <v>39552.210188172001</v>
      </c>
      <c r="Q11" s="142">
        <v>42094.748494623702</v>
      </c>
      <c r="R11" s="142">
        <v>44637.286801075301</v>
      </c>
      <c r="S11" s="142">
        <v>47179.8251075269</v>
      </c>
      <c r="T11" s="142">
        <v>49722.363413978499</v>
      </c>
      <c r="U11" s="142">
        <v>52264.901720430098</v>
      </c>
      <c r="V11" s="142">
        <v>54807.440026881697</v>
      </c>
      <c r="W11" s="142">
        <v>57349.978333333303</v>
      </c>
      <c r="X11" s="142">
        <v>59892.516639784903</v>
      </c>
      <c r="Y11" s="142">
        <v>62435.054946236502</v>
      </c>
      <c r="Z11" s="142">
        <v>64977.593252688101</v>
      </c>
      <c r="AA11" s="142">
        <v>67520.1315591397</v>
      </c>
    </row>
    <row r="12" spans="1:35" x14ac:dyDescent="0.25">
      <c r="A12" s="141" t="s">
        <v>246</v>
      </c>
      <c r="B12" s="142">
        <v>0</v>
      </c>
      <c r="C12" s="142">
        <v>2286.4539999999997</v>
      </c>
      <c r="D12" s="142">
        <v>5609.8035666666665</v>
      </c>
      <c r="E12" s="142">
        <v>8241.8894222222207</v>
      </c>
      <c r="F12" s="142">
        <v>11046.791205555501</v>
      </c>
      <c r="G12" s="142">
        <v>13851.692988888901</v>
      </c>
      <c r="H12" s="142">
        <v>16656.594772222201</v>
      </c>
      <c r="I12" s="142">
        <v>19461.496555555499</v>
      </c>
      <c r="J12" s="142">
        <v>22266.398338888899</v>
      </c>
      <c r="K12" s="142">
        <v>25071.300122222201</v>
      </c>
      <c r="L12" s="142">
        <v>27876.201905555499</v>
      </c>
      <c r="M12" s="142">
        <v>30681.103688888899</v>
      </c>
      <c r="N12" s="142">
        <v>33486.005472222198</v>
      </c>
      <c r="O12" s="142">
        <v>36290.907255555503</v>
      </c>
      <c r="P12" s="142">
        <v>39095.809038888903</v>
      </c>
      <c r="Q12" s="142">
        <v>41900.710822222201</v>
      </c>
      <c r="R12" s="142">
        <v>44705.6126055555</v>
      </c>
      <c r="S12" s="142">
        <v>47510.5143888889</v>
      </c>
      <c r="T12" s="142">
        <v>50315.416172222198</v>
      </c>
      <c r="U12" s="142">
        <v>53120.317955555503</v>
      </c>
      <c r="V12" s="142">
        <v>55925.219738888904</v>
      </c>
      <c r="W12" s="142">
        <v>58730.121522222202</v>
      </c>
      <c r="X12" s="142">
        <v>61535.0233055555</v>
      </c>
      <c r="Y12" s="142">
        <v>64339.9250888889</v>
      </c>
      <c r="Z12" s="142">
        <v>67144.826872222198</v>
      </c>
      <c r="AA12" s="142">
        <v>69949.728655555504</v>
      </c>
    </row>
    <row r="13" spans="1:35" x14ac:dyDescent="0.25">
      <c r="A13" s="141" t="s">
        <v>437</v>
      </c>
      <c r="B13" s="142">
        <v>0</v>
      </c>
      <c r="C13" s="142">
        <v>0</v>
      </c>
      <c r="D13" s="142">
        <v>27942.057000000001</v>
      </c>
      <c r="E13" s="142">
        <v>30000</v>
      </c>
      <c r="F13" s="142">
        <v>32057.942999999999</v>
      </c>
      <c r="G13" s="142">
        <v>34115.885999999999</v>
      </c>
      <c r="H13" s="142">
        <v>36173.828999999998</v>
      </c>
      <c r="I13" s="142">
        <v>38231.771999999997</v>
      </c>
      <c r="J13" s="142">
        <v>40289.714999999997</v>
      </c>
      <c r="K13" s="142">
        <v>42347.658000000003</v>
      </c>
      <c r="L13" s="142">
        <v>44405.601000000002</v>
      </c>
      <c r="M13" s="142">
        <v>46463.544000000002</v>
      </c>
      <c r="N13" s="142">
        <v>48521.487000000001</v>
      </c>
      <c r="O13" s="142">
        <v>50579.43</v>
      </c>
      <c r="P13" s="142">
        <v>52637.373</v>
      </c>
      <c r="Q13" s="142">
        <v>54695.315999999999</v>
      </c>
      <c r="R13" s="142">
        <v>56753.258999999998</v>
      </c>
      <c r="S13" s="142">
        <v>58811.201999999997</v>
      </c>
      <c r="T13" s="142">
        <v>60869.144999999997</v>
      </c>
      <c r="U13" s="142">
        <v>62927.088000000003</v>
      </c>
      <c r="V13" s="142">
        <v>64985.031000000003</v>
      </c>
      <c r="W13" s="142">
        <v>67042.974000000002</v>
      </c>
      <c r="X13" s="142">
        <v>69100.917000000001</v>
      </c>
      <c r="Y13" s="142">
        <v>71158.86</v>
      </c>
      <c r="Z13" s="142">
        <v>73216.803</v>
      </c>
      <c r="AA13" s="142">
        <v>75274.745999999999</v>
      </c>
    </row>
    <row r="14" spans="1:35" ht="18.75" customHeight="1" x14ac:dyDescent="0.25">
      <c r="A14" s="147" t="s">
        <v>81</v>
      </c>
      <c r="B14" s="148">
        <f>SUM(B8:B13)</f>
        <v>59078.177932940438</v>
      </c>
      <c r="C14" s="148">
        <f t="shared" ref="C14:AA14" si="1">SUM(C8:C13)</f>
        <v>76478.846431046011</v>
      </c>
      <c r="D14" s="148">
        <f t="shared" si="1"/>
        <v>126141.97410872148</v>
      </c>
      <c r="E14" s="148">
        <f t="shared" si="1"/>
        <v>147466.31124114853</v>
      </c>
      <c r="F14" s="148">
        <f t="shared" si="1"/>
        <v>170422.69734878582</v>
      </c>
      <c r="G14" s="148">
        <f t="shared" si="1"/>
        <v>192041.50993667584</v>
      </c>
      <c r="H14" s="148">
        <f t="shared" si="1"/>
        <v>213660.32252456681</v>
      </c>
      <c r="I14" s="148">
        <f t="shared" si="1"/>
        <v>235279.13511245768</v>
      </c>
      <c r="J14" s="148">
        <f t="shared" si="1"/>
        <v>256897.94770034769</v>
      </c>
      <c r="K14" s="148">
        <f t="shared" si="1"/>
        <v>282782.48229036201</v>
      </c>
      <c r="L14" s="148">
        <f t="shared" si="1"/>
        <v>305425.06815876276</v>
      </c>
      <c r="M14" s="148">
        <f t="shared" si="1"/>
        <v>371413.67521987157</v>
      </c>
      <c r="N14" s="148">
        <f t="shared" si="1"/>
        <v>419973.77006249799</v>
      </c>
      <c r="O14" s="148">
        <f t="shared" si="1"/>
        <v>482919.5567941179</v>
      </c>
      <c r="P14" s="148">
        <f t="shared" si="1"/>
        <v>685434.15272987878</v>
      </c>
      <c r="Q14" s="148">
        <f t="shared" si="1"/>
        <v>729530.1277457698</v>
      </c>
      <c r="R14" s="148">
        <f t="shared" si="1"/>
        <v>751148.94033365964</v>
      </c>
      <c r="S14" s="148">
        <f t="shared" si="1"/>
        <v>772767.75292155077</v>
      </c>
      <c r="T14" s="148">
        <f t="shared" si="1"/>
        <v>794386.56848504068</v>
      </c>
      <c r="U14" s="148">
        <f t="shared" si="1"/>
        <v>818564.77854097961</v>
      </c>
      <c r="V14" s="148">
        <f t="shared" si="1"/>
        <v>845535.06974900572</v>
      </c>
      <c r="W14" s="148">
        <f t="shared" si="1"/>
        <v>886790.898421244</v>
      </c>
      <c r="X14" s="148">
        <f t="shared" si="1"/>
        <v>928721.22883660346</v>
      </c>
      <c r="Y14" s="148">
        <f t="shared" si="1"/>
        <v>560342.81485502503</v>
      </c>
      <c r="Z14" s="148">
        <f t="shared" si="1"/>
        <v>581250.95596801059</v>
      </c>
      <c r="AA14" s="294">
        <f t="shared" si="1"/>
        <v>602159.09708099533</v>
      </c>
    </row>
    <row r="15" spans="1:35" ht="18.75" customHeight="1" x14ac:dyDescent="0.25">
      <c r="A15" s="149" t="s">
        <v>247</v>
      </c>
      <c r="B15" s="150">
        <v>0</v>
      </c>
      <c r="C15" s="150">
        <f t="shared" ref="C15:Q15" si="2">(C14-B14)/B14</f>
        <v>0.29453630946196496</v>
      </c>
      <c r="D15" s="150">
        <f t="shared" si="2"/>
        <v>0.64937077368775653</v>
      </c>
      <c r="E15" s="150">
        <f t="shared" si="2"/>
        <v>0.16905028863784594</v>
      </c>
      <c r="F15" s="150">
        <f t="shared" si="2"/>
        <v>0.15567207123054155</v>
      </c>
      <c r="G15" s="150">
        <f t="shared" si="2"/>
        <v>0.12685406887819126</v>
      </c>
      <c r="H15" s="150">
        <f t="shared" si="2"/>
        <v>0.11257364407840581</v>
      </c>
      <c r="I15" s="150">
        <f t="shared" si="2"/>
        <v>0.10118309442037426</v>
      </c>
      <c r="J15" s="150">
        <f t="shared" si="2"/>
        <v>9.188580439806851E-2</v>
      </c>
      <c r="K15" s="150">
        <f t="shared" si="2"/>
        <v>0.10075804350218748</v>
      </c>
      <c r="L15" s="150">
        <f t="shared" si="2"/>
        <v>8.0070680775590874E-2</v>
      </c>
      <c r="M15" s="150">
        <f t="shared" si="2"/>
        <v>0.21605498022450248</v>
      </c>
      <c r="N15" s="150">
        <f t="shared" si="2"/>
        <v>0.13074396039370265</v>
      </c>
      <c r="O15" s="151">
        <f>(O14-N14)/N14</f>
        <v>0.14988028114768381</v>
      </c>
      <c r="P15" s="150">
        <f>(P14-O14)/O14</f>
        <v>0.41935472085695324</v>
      </c>
      <c r="Q15" s="150">
        <f t="shared" si="2"/>
        <v>6.4332911980341176E-2</v>
      </c>
      <c r="R15" s="150">
        <f>(R14-Q14)/Q14</f>
        <v>2.9633885929689352E-2</v>
      </c>
      <c r="S15" s="150">
        <f>(S14-R14)/R14</f>
        <v>2.8780993258524824E-2</v>
      </c>
      <c r="T15" s="150">
        <f>(T14-S14)/S14</f>
        <v>2.7975825183901789E-2</v>
      </c>
      <c r="U15" s="150">
        <f>(U14-T14)/T14</f>
        <v>3.043632787252272E-2</v>
      </c>
      <c r="V15" s="150">
        <f t="shared" ref="V15:Y15" si="3">(V14-U14)/U14</f>
        <v>3.2948267400532805E-2</v>
      </c>
      <c r="W15" s="150">
        <f t="shared" si="3"/>
        <v>4.8792569519895766E-2</v>
      </c>
      <c r="X15" s="150">
        <f t="shared" si="3"/>
        <v>4.7283221433607553E-2</v>
      </c>
      <c r="Y15" s="150">
        <f t="shared" si="3"/>
        <v>-0.3966512259475764</v>
      </c>
      <c r="Z15" s="150">
        <f t="shared" ref="Z15" si="4">(Z14-Y14)/Y14</f>
        <v>3.731312432085887E-2</v>
      </c>
      <c r="AA15" s="273">
        <f t="shared" ref="AA15" si="5">(AA14-Z14)/Z14</f>
        <v>3.5970936302658622E-2</v>
      </c>
    </row>
    <row r="16" spans="1:35" ht="23.25" customHeight="1" x14ac:dyDescent="0.25">
      <c r="A16" s="149" t="s">
        <v>402</v>
      </c>
      <c r="B16" s="479">
        <f>SUM(B14:BL14)</f>
        <v>12296613.860530067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0"/>
      <c r="Z16" s="480"/>
      <c r="AA16" s="480"/>
    </row>
    <row r="17" spans="1:27" ht="18.75" customHeight="1" x14ac:dyDescent="0.25">
      <c r="A17" s="149" t="s">
        <v>202</v>
      </c>
      <c r="B17" s="373">
        <v>3562528.2192784199</v>
      </c>
      <c r="C17" s="373">
        <v>3872422.8768084901</v>
      </c>
      <c r="D17" s="373">
        <v>4182317.53433856</v>
      </c>
      <c r="E17" s="373">
        <v>4492212.19186862</v>
      </c>
      <c r="F17" s="373">
        <v>4802106.8493986903</v>
      </c>
      <c r="G17" s="373">
        <v>5112001.5069287503</v>
      </c>
      <c r="H17" s="373">
        <v>5421896.1644588197</v>
      </c>
      <c r="I17" s="373">
        <v>5731790.8219888797</v>
      </c>
      <c r="J17" s="373">
        <v>6041685.47951895</v>
      </c>
      <c r="K17" s="373">
        <v>6351580.1370490203</v>
      </c>
      <c r="L17" s="373">
        <v>6661474.7945790803</v>
      </c>
      <c r="M17" s="373">
        <v>6971369.4521091497</v>
      </c>
      <c r="N17" s="373">
        <v>7281264.1096392097</v>
      </c>
      <c r="O17" s="373">
        <v>7591158.76716928</v>
      </c>
      <c r="P17" s="373">
        <v>7901053.42469934</v>
      </c>
      <c r="Q17" s="373">
        <v>8210948.0822294103</v>
      </c>
      <c r="R17" s="373">
        <v>8520842.7397594694</v>
      </c>
      <c r="S17" s="373">
        <v>8830737.3972895406</v>
      </c>
      <c r="T17" s="373">
        <v>9140632.05481961</v>
      </c>
      <c r="U17" s="373">
        <v>9450526.71234967</v>
      </c>
      <c r="V17" s="373">
        <v>9760421.3698797394</v>
      </c>
      <c r="W17" s="373">
        <v>10070316.027409799</v>
      </c>
      <c r="X17" s="373">
        <v>10380210.6849399</v>
      </c>
      <c r="Y17" s="373">
        <v>10690105.342469901</v>
      </c>
      <c r="Z17" s="373">
        <v>11000000</v>
      </c>
      <c r="AA17" s="374">
        <v>11309894.657530066</v>
      </c>
    </row>
    <row r="18" spans="1:27" ht="15" customHeight="1" x14ac:dyDescent="0.25">
      <c r="A18" s="152"/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</row>
    <row r="19" spans="1:27" ht="15" customHeight="1" x14ac:dyDescent="0.25">
      <c r="A19" s="152"/>
      <c r="B19" s="152"/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2"/>
    </row>
    <row r="20" spans="1:27" ht="15" customHeight="1" x14ac:dyDescent="0.25">
      <c r="A20" s="152"/>
      <c r="B20" s="152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2"/>
    </row>
    <row r="21" spans="1:27" ht="15" customHeight="1" x14ac:dyDescent="0.25">
      <c r="A21" s="152"/>
      <c r="B21" s="152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2"/>
    </row>
    <row r="22" spans="1:27" ht="15" customHeight="1" x14ac:dyDescent="0.25">
      <c r="A22" s="152"/>
      <c r="B22" s="152"/>
      <c r="C22" s="152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282"/>
      <c r="X22" s="152"/>
      <c r="Y22" s="152"/>
      <c r="Z22" s="152"/>
      <c r="AA22" s="152"/>
    </row>
    <row r="23" spans="1:27" ht="15" customHeight="1" x14ac:dyDescent="0.25">
      <c r="A23" s="152"/>
      <c r="B23" s="152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</row>
    <row r="24" spans="1:27" ht="15" customHeight="1" x14ac:dyDescent="0.25">
      <c r="A24" s="152"/>
      <c r="B24" s="152"/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2"/>
      <c r="U24" s="152"/>
      <c r="V24" s="152"/>
      <c r="W24" s="152"/>
      <c r="X24" s="152"/>
      <c r="Y24" s="152"/>
      <c r="Z24" s="152"/>
      <c r="AA24" s="152"/>
    </row>
    <row r="25" spans="1:27" ht="15" customHeight="1" x14ac:dyDescent="0.25">
      <c r="A25" s="152"/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</row>
    <row r="26" spans="1:27" ht="15" customHeight="1" x14ac:dyDescent="0.25">
      <c r="A26" s="152"/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2"/>
      <c r="U26" s="152"/>
      <c r="V26" s="152"/>
      <c r="W26" s="152"/>
      <c r="X26" s="152"/>
      <c r="Y26" s="152"/>
      <c r="Z26" s="152"/>
      <c r="AA26" s="152"/>
    </row>
    <row r="27" spans="1:27" ht="15" customHeight="1" x14ac:dyDescent="0.25">
      <c r="A27" s="152"/>
      <c r="B27" s="152"/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</row>
    <row r="28" spans="1:27" ht="15" customHeight="1" x14ac:dyDescent="0.25">
      <c r="L28" s="259"/>
    </row>
    <row r="29" spans="1:27" ht="15" customHeight="1" x14ac:dyDescent="0.25">
      <c r="L29" s="87"/>
    </row>
    <row r="30" spans="1:27" ht="15" customHeight="1" x14ac:dyDescent="0.25">
      <c r="L30" s="87"/>
    </row>
    <row r="31" spans="1:27" ht="15" customHeight="1" x14ac:dyDescent="0.25">
      <c r="L31" s="258"/>
    </row>
    <row r="32" spans="1:27" ht="15.75" customHeight="1" x14ac:dyDescent="0.25">
      <c r="L32" s="258"/>
    </row>
    <row r="33" spans="10:12" x14ac:dyDescent="0.25">
      <c r="L33" s="87"/>
    </row>
    <row r="34" spans="10:12" x14ac:dyDescent="0.25">
      <c r="L34" s="87"/>
    </row>
    <row r="35" spans="10:12" x14ac:dyDescent="0.25">
      <c r="L35" s="87"/>
    </row>
    <row r="36" spans="10:12" x14ac:dyDescent="0.25">
      <c r="L36" s="87"/>
    </row>
    <row r="37" spans="10:12" x14ac:dyDescent="0.25">
      <c r="L37" s="87"/>
    </row>
    <row r="38" spans="10:12" x14ac:dyDescent="0.25">
      <c r="L38" s="87"/>
    </row>
    <row r="39" spans="10:12" x14ac:dyDescent="0.25">
      <c r="L39" s="87"/>
    </row>
    <row r="40" spans="10:12" x14ac:dyDescent="0.25">
      <c r="L40" s="87"/>
    </row>
    <row r="41" spans="10:12" x14ac:dyDescent="0.25">
      <c r="L41" s="87"/>
    </row>
    <row r="42" spans="10:12" x14ac:dyDescent="0.25">
      <c r="L42" s="87"/>
    </row>
    <row r="43" spans="10:12" x14ac:dyDescent="0.25">
      <c r="L43" s="87"/>
    </row>
    <row r="44" spans="10:12" x14ac:dyDescent="0.25">
      <c r="L44" s="87"/>
    </row>
    <row r="45" spans="10:12" ht="15.75" customHeight="1" x14ac:dyDescent="0.25">
      <c r="J45" s="260"/>
      <c r="K45" s="259"/>
      <c r="L45" s="258"/>
    </row>
  </sheetData>
  <mergeCells count="1">
    <mergeCell ref="B16:AA16"/>
  </mergeCells>
  <phoneticPr fontId="89" type="noConversion"/>
  <printOptions horizontalCentered="1" verticalCentered="1"/>
  <pageMargins left="0" right="0" top="0" bottom="0" header="0" footer="0"/>
  <pageSetup paperSize="9" scale="3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95FAE-0B88-4936-BFD0-06ECE5A52A9D}">
  <sheetPr codeName="Planilha8">
    <tabColor theme="3" tint="0.39997558519241921"/>
  </sheetPr>
  <dimension ref="A1:AS49"/>
  <sheetViews>
    <sheetView view="pageBreakPreview" zoomScale="85" zoomScaleNormal="100" zoomScaleSheetLayoutView="85" workbookViewId="0">
      <selection activeCell="I23" sqref="I23"/>
    </sheetView>
  </sheetViews>
  <sheetFormatPr defaultRowHeight="15" x14ac:dyDescent="0.25"/>
  <cols>
    <col min="3" max="3" width="15" bestFit="1" customWidth="1"/>
    <col min="4" max="4" width="10.5703125" customWidth="1"/>
    <col min="13" max="13" width="10.28515625" customWidth="1"/>
    <col min="14" max="14" width="19.5703125" customWidth="1"/>
    <col min="15" max="15" width="11.42578125" bestFit="1" customWidth="1"/>
    <col min="16" max="16" width="15" customWidth="1"/>
    <col min="17" max="17" width="16.7109375" bestFit="1" customWidth="1"/>
    <col min="18" max="18" width="31.7109375" customWidth="1"/>
    <col min="19" max="19" width="10.140625" bestFit="1" customWidth="1"/>
    <col min="20" max="20" width="12.140625" bestFit="1" customWidth="1"/>
    <col min="21" max="21" width="15.42578125" style="302" bestFit="1" customWidth="1"/>
    <col min="22" max="23" width="8.42578125" style="302" bestFit="1" customWidth="1"/>
    <col min="24" max="32" width="8.42578125" bestFit="1" customWidth="1"/>
    <col min="33" max="33" width="7.28515625" hidden="1" customWidth="1"/>
    <col min="34" max="44" width="15.42578125" bestFit="1" customWidth="1"/>
    <col min="45" max="45" width="10.140625" bestFit="1" customWidth="1"/>
  </cols>
  <sheetData>
    <row r="1" spans="1:45" ht="15" customHeight="1" x14ac:dyDescent="0.25">
      <c r="A1" s="483" t="s">
        <v>187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1"/>
      <c r="P1" s="1"/>
      <c r="Q1" s="1"/>
      <c r="R1" s="1"/>
      <c r="S1" s="1"/>
    </row>
    <row r="2" spans="1:45" ht="15" customHeight="1" x14ac:dyDescent="0.25">
      <c r="A2" s="483"/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1"/>
      <c r="P2" s="339" t="s">
        <v>188</v>
      </c>
      <c r="Q2" s="340" cm="1">
        <f t="array" ref="Q2">IFERROR(_xlfn.XLOOKUP(TRUE,Faturamento!Z14:ZZ14&lt;&gt;"",Faturamento!Z14:ZZ14,,0,-1),"Pendente")</f>
        <v>602159.09708099533</v>
      </c>
      <c r="R2" s="345" t="s">
        <v>404</v>
      </c>
      <c r="U2" s="375" cm="1">
        <f t="array" ref="U2">IFERROR(_xlfn.XLOOKUP(TRUE,Faturamento!Z13:ZZ13&lt;&gt;"",Faturamento!Z13:ZZ13,,0,-1),"Pendente")</f>
        <v>75274.745999999999</v>
      </c>
    </row>
    <row r="3" spans="1:45" x14ac:dyDescent="0.25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"/>
      <c r="P3" s="339" t="s">
        <v>191</v>
      </c>
      <c r="Q3" s="340">
        <f>SUM(Q7:Q11)</f>
        <v>434643.71490000002</v>
      </c>
      <c r="R3" s="346" t="s">
        <v>192</v>
      </c>
    </row>
    <row r="4" spans="1:45" x14ac:dyDescent="0.25">
      <c r="A4" s="121"/>
      <c r="B4" s="121"/>
      <c r="C4" s="122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"/>
      <c r="P4" s="339" t="s">
        <v>189</v>
      </c>
      <c r="Q4" s="340">
        <f>Q2*0.1943</f>
        <v>116999.51256283739</v>
      </c>
      <c r="R4" s="346" t="s">
        <v>192</v>
      </c>
    </row>
    <row r="5" spans="1:45" x14ac:dyDescent="0.25">
      <c r="A5" s="87"/>
      <c r="B5" s="87"/>
      <c r="C5" s="120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P5" s="339" t="s">
        <v>190</v>
      </c>
      <c r="Q5" s="340">
        <f>Q2-Q3-Q4</f>
        <v>50515.869618157914</v>
      </c>
      <c r="R5" s="346" t="s">
        <v>192</v>
      </c>
    </row>
    <row r="6" spans="1:45" x14ac:dyDescent="0.25">
      <c r="A6" s="87"/>
      <c r="B6" s="87"/>
      <c r="C6" s="120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P6" s="12"/>
      <c r="Q6" s="341"/>
      <c r="R6" s="347"/>
    </row>
    <row r="7" spans="1:45" ht="45" x14ac:dyDescent="0.25">
      <c r="A7" s="87"/>
      <c r="B7" s="87"/>
      <c r="C7" s="120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310"/>
      <c r="P7" s="370" t="s">
        <v>580</v>
      </c>
      <c r="Q7" s="340">
        <f>U2*0.65</f>
        <v>48928.584900000002</v>
      </c>
      <c r="R7" s="349" t="s">
        <v>436</v>
      </c>
      <c r="T7" s="58"/>
    </row>
    <row r="8" spans="1:45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310"/>
      <c r="P8" s="339" t="s">
        <v>193</v>
      </c>
      <c r="Q8" s="342">
        <f>Helexia!L64</f>
        <v>60715.130000000012</v>
      </c>
      <c r="R8" s="346" t="s">
        <v>577</v>
      </c>
    </row>
    <row r="9" spans="1:45" ht="30.75" customHeight="1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310"/>
      <c r="P9" s="370" t="s">
        <v>578</v>
      </c>
      <c r="Q9" s="343">
        <v>65000</v>
      </c>
      <c r="R9" s="348" t="s">
        <v>579</v>
      </c>
    </row>
    <row r="10" spans="1:45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121"/>
      <c r="M10" s="87"/>
      <c r="N10" s="87"/>
      <c r="O10" s="311"/>
      <c r="P10" s="339" t="s">
        <v>194</v>
      </c>
      <c r="Q10" s="342">
        <v>200000</v>
      </c>
      <c r="R10" s="349" t="s">
        <v>406</v>
      </c>
    </row>
    <row r="11" spans="1:45" ht="26.25" customHeight="1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P11" s="339" t="s">
        <v>195</v>
      </c>
      <c r="Q11" s="344">
        <v>60000</v>
      </c>
      <c r="R11" s="350" t="s">
        <v>403</v>
      </c>
      <c r="AK11" s="167"/>
    </row>
    <row r="12" spans="1:45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AK12" s="167"/>
    </row>
    <row r="13" spans="1:45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U13" s="253"/>
      <c r="AK13" s="167"/>
    </row>
    <row r="14" spans="1:45" ht="18.75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320"/>
      <c r="P14" s="321"/>
      <c r="Q14" s="322"/>
      <c r="R14" s="323"/>
      <c r="S14" s="320"/>
      <c r="T14" s="320"/>
      <c r="U14" s="324"/>
      <c r="V14" s="325"/>
      <c r="W14" s="325"/>
      <c r="X14" s="325"/>
      <c r="Y14" s="325"/>
      <c r="Z14" s="325"/>
      <c r="AA14" s="325"/>
      <c r="AB14" s="325"/>
      <c r="AC14" s="325"/>
      <c r="AD14" s="325"/>
      <c r="AE14" s="325"/>
      <c r="AF14" s="325"/>
      <c r="AG14" s="326"/>
      <c r="AH14" s="320"/>
      <c r="AI14" s="301"/>
      <c r="AJ14" s="301"/>
      <c r="AK14" s="167"/>
      <c r="AL14" s="301"/>
      <c r="AM14" s="301"/>
      <c r="AN14" s="301"/>
      <c r="AO14" s="301"/>
      <c r="AP14" s="301"/>
      <c r="AQ14" s="301"/>
      <c r="AR14" s="301"/>
      <c r="AS14" s="301"/>
    </row>
    <row r="15" spans="1:45" ht="18" x14ac:dyDescent="0.3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320"/>
      <c r="P15" s="327"/>
      <c r="Q15" s="319"/>
      <c r="R15" s="319"/>
      <c r="S15" s="328"/>
      <c r="T15" s="320"/>
      <c r="U15" s="329"/>
      <c r="V15" s="330"/>
      <c r="W15" s="330"/>
      <c r="X15" s="330"/>
      <c r="Y15" s="330"/>
      <c r="Z15" s="330"/>
      <c r="AA15" s="330"/>
      <c r="AB15" s="330"/>
      <c r="AC15" s="330"/>
      <c r="AD15" s="330"/>
      <c r="AE15" s="330"/>
      <c r="AF15" s="330"/>
      <c r="AG15" s="330"/>
      <c r="AH15" s="320"/>
      <c r="AI15" s="300"/>
      <c r="AJ15" s="300"/>
      <c r="AL15" s="300"/>
      <c r="AM15" s="300"/>
      <c r="AN15" s="300"/>
      <c r="AO15" s="300"/>
      <c r="AP15" s="300"/>
      <c r="AQ15" s="300"/>
      <c r="AR15" s="300"/>
      <c r="AS15" s="300"/>
    </row>
    <row r="16" spans="1:45" ht="18" x14ac:dyDescent="0.3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320"/>
      <c r="P16" s="327"/>
      <c r="Q16" s="319"/>
      <c r="R16" s="319"/>
      <c r="S16" s="328"/>
      <c r="T16" s="320"/>
      <c r="U16" s="331"/>
      <c r="V16" s="330"/>
      <c r="W16" s="330"/>
      <c r="X16" s="330"/>
      <c r="Y16" s="330"/>
      <c r="Z16" s="330"/>
      <c r="AA16" s="330"/>
      <c r="AB16" s="330"/>
      <c r="AC16" s="330"/>
      <c r="AD16" s="330"/>
      <c r="AE16" s="330"/>
      <c r="AF16" s="330"/>
      <c r="AG16" s="330"/>
      <c r="AH16" s="320"/>
      <c r="AI16" s="167"/>
      <c r="AJ16" s="167"/>
      <c r="AL16" s="167"/>
      <c r="AM16" s="167"/>
      <c r="AN16" s="167"/>
      <c r="AO16" s="167"/>
      <c r="AP16" s="167"/>
      <c r="AQ16" s="167"/>
      <c r="AR16" s="167"/>
      <c r="AS16" s="167"/>
    </row>
    <row r="17" spans="1:45" ht="18" x14ac:dyDescent="0.35">
      <c r="A17" s="87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320"/>
      <c r="P17" s="327"/>
      <c r="Q17" s="319"/>
      <c r="S17" s="328"/>
      <c r="T17" s="320"/>
      <c r="U17" s="331"/>
      <c r="V17" s="330"/>
      <c r="W17" s="330"/>
      <c r="X17" s="330"/>
      <c r="Y17" s="330"/>
      <c r="Z17" s="330"/>
      <c r="AA17" s="330"/>
      <c r="AB17" s="330"/>
      <c r="AC17" s="330"/>
      <c r="AD17" s="330"/>
      <c r="AE17" s="330"/>
      <c r="AF17" s="330"/>
      <c r="AG17" s="330"/>
      <c r="AH17" s="320"/>
      <c r="AI17" s="167"/>
      <c r="AJ17" s="167"/>
      <c r="AL17" s="167"/>
      <c r="AM17" s="167"/>
      <c r="AN17" s="167"/>
      <c r="AO17" s="167"/>
      <c r="AP17" s="167"/>
      <c r="AQ17" s="167"/>
      <c r="AR17" s="167"/>
      <c r="AS17" s="167"/>
    </row>
    <row r="18" spans="1:45" ht="18" x14ac:dyDescent="0.3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320"/>
      <c r="P18" s="327"/>
      <c r="Q18" s="319"/>
      <c r="R18" s="319"/>
      <c r="S18" s="328"/>
      <c r="T18" s="320"/>
      <c r="U18" s="324"/>
      <c r="V18" s="332"/>
      <c r="W18" s="332"/>
      <c r="X18" s="332"/>
      <c r="Y18" s="332"/>
      <c r="Z18" s="332"/>
      <c r="AA18" s="332"/>
      <c r="AB18" s="332"/>
      <c r="AC18" s="332"/>
      <c r="AD18" s="332"/>
      <c r="AE18" s="332"/>
      <c r="AF18" s="332"/>
      <c r="AG18" s="333"/>
      <c r="AH18" s="320"/>
    </row>
    <row r="19" spans="1:45" ht="18" x14ac:dyDescent="0.35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320"/>
      <c r="P19" s="327"/>
      <c r="Q19" s="319"/>
      <c r="R19" s="319"/>
      <c r="S19" s="328"/>
      <c r="T19" s="320"/>
      <c r="U19" s="334"/>
      <c r="V19" s="335"/>
      <c r="W19" s="334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</row>
    <row r="20" spans="1:45" ht="18" x14ac:dyDescent="0.3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320"/>
      <c r="P20" s="327"/>
      <c r="Q20" s="319"/>
      <c r="R20" s="319"/>
      <c r="S20" s="328"/>
      <c r="T20" s="320"/>
      <c r="U20" s="481"/>
      <c r="V20" s="482"/>
      <c r="W20" s="482"/>
      <c r="X20" s="482"/>
      <c r="Y20" s="482"/>
      <c r="Z20" s="482"/>
      <c r="AA20" s="482"/>
      <c r="AB20" s="482"/>
      <c r="AC20" s="482"/>
      <c r="AD20" s="482"/>
      <c r="AE20" s="482"/>
      <c r="AF20" s="482"/>
      <c r="AG20" s="320"/>
      <c r="AH20" s="320"/>
    </row>
    <row r="21" spans="1:45" ht="18" x14ac:dyDescent="0.3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320"/>
      <c r="P21" s="327"/>
      <c r="Q21" s="319"/>
      <c r="R21" s="319"/>
      <c r="S21" s="328"/>
      <c r="T21" s="320"/>
      <c r="U21" s="482"/>
      <c r="V21" s="482"/>
      <c r="W21" s="482"/>
      <c r="X21" s="482"/>
      <c r="Y21" s="482"/>
      <c r="Z21" s="482"/>
      <c r="AA21" s="482"/>
      <c r="AB21" s="482"/>
      <c r="AC21" s="482"/>
      <c r="AD21" s="482"/>
      <c r="AE21" s="482"/>
      <c r="AF21" s="482"/>
      <c r="AG21" s="320"/>
      <c r="AH21" s="320"/>
    </row>
    <row r="22" spans="1:45" ht="18" x14ac:dyDescent="0.3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320"/>
      <c r="P22" s="327"/>
      <c r="Q22" s="319"/>
      <c r="R22" s="319"/>
      <c r="S22" s="328"/>
      <c r="T22" s="320"/>
      <c r="U22" s="482"/>
      <c r="V22" s="482"/>
      <c r="W22" s="482"/>
      <c r="X22" s="482"/>
      <c r="Y22" s="482"/>
      <c r="Z22" s="482"/>
      <c r="AA22" s="482"/>
      <c r="AB22" s="482"/>
      <c r="AC22" s="482"/>
      <c r="AD22" s="482"/>
      <c r="AE22" s="482"/>
      <c r="AF22" s="482"/>
      <c r="AG22" s="320"/>
      <c r="AH22" s="320"/>
    </row>
    <row r="23" spans="1:45" ht="18" x14ac:dyDescent="0.35">
      <c r="A23" s="87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320"/>
      <c r="P23" s="327"/>
      <c r="Q23" s="319"/>
      <c r="R23" s="319"/>
      <c r="S23" s="328"/>
      <c r="T23" s="320"/>
      <c r="U23" s="482"/>
      <c r="V23" s="482"/>
      <c r="W23" s="482"/>
      <c r="X23" s="482"/>
      <c r="Y23" s="482"/>
      <c r="Z23" s="482"/>
      <c r="AA23" s="482"/>
      <c r="AB23" s="482"/>
      <c r="AC23" s="482"/>
      <c r="AD23" s="482"/>
      <c r="AE23" s="482"/>
      <c r="AF23" s="482"/>
      <c r="AG23" s="320"/>
      <c r="AH23" s="320"/>
    </row>
    <row r="24" spans="1:45" ht="18" x14ac:dyDescent="0.3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320"/>
      <c r="P24" s="327"/>
      <c r="Q24" s="319"/>
      <c r="R24" s="319"/>
      <c r="S24" s="328"/>
      <c r="T24" s="320"/>
      <c r="U24" s="334"/>
      <c r="V24" s="334"/>
      <c r="W24" s="334"/>
      <c r="X24" s="320"/>
      <c r="Y24" s="320"/>
      <c r="Z24" s="320"/>
      <c r="AA24" s="320"/>
      <c r="AB24" s="320"/>
      <c r="AC24" s="320"/>
      <c r="AD24" s="320"/>
      <c r="AE24" s="320"/>
      <c r="AF24" s="320"/>
      <c r="AG24" s="320"/>
      <c r="AH24" s="320"/>
    </row>
    <row r="25" spans="1:45" ht="18" x14ac:dyDescent="0.3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320"/>
      <c r="P25" s="327"/>
      <c r="Q25" s="319"/>
      <c r="R25" s="319"/>
      <c r="S25" s="328"/>
      <c r="T25" s="320"/>
      <c r="U25" s="334"/>
      <c r="V25" s="334"/>
      <c r="W25" s="334"/>
      <c r="X25" s="320"/>
      <c r="Y25" s="320"/>
      <c r="Z25" s="320"/>
      <c r="AA25" s="320"/>
      <c r="AB25" s="320"/>
      <c r="AC25" s="320"/>
      <c r="AD25" s="320"/>
      <c r="AE25" s="320"/>
      <c r="AF25" s="320"/>
      <c r="AG25" s="320"/>
      <c r="AH25" s="320"/>
    </row>
    <row r="26" spans="1:45" ht="18" x14ac:dyDescent="0.3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320"/>
      <c r="P26" s="327"/>
      <c r="Q26" s="319"/>
      <c r="R26" s="319"/>
      <c r="S26" s="328"/>
      <c r="T26" s="320"/>
      <c r="U26" s="334"/>
      <c r="V26" s="334"/>
      <c r="W26" s="334"/>
      <c r="X26" s="320"/>
      <c r="Y26" s="320"/>
      <c r="Z26" s="320"/>
      <c r="AA26" s="320"/>
      <c r="AB26" s="320"/>
      <c r="AC26" s="320"/>
      <c r="AD26" s="320"/>
      <c r="AE26" s="320"/>
      <c r="AF26" s="320"/>
      <c r="AG26" s="320"/>
      <c r="AH26" s="320"/>
    </row>
    <row r="27" spans="1:45" ht="18" x14ac:dyDescent="0.3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320"/>
      <c r="P27" s="327"/>
      <c r="Q27" s="319"/>
      <c r="R27" s="319"/>
      <c r="S27" s="328"/>
      <c r="T27" s="320"/>
      <c r="U27" s="334"/>
      <c r="V27" s="334"/>
      <c r="W27" s="334"/>
      <c r="X27" s="320"/>
      <c r="Y27" s="320"/>
      <c r="Z27" s="320"/>
      <c r="AA27" s="320"/>
      <c r="AB27" s="320"/>
      <c r="AC27" s="320"/>
      <c r="AD27" s="320"/>
      <c r="AE27" s="320"/>
      <c r="AF27" s="320"/>
      <c r="AG27" s="320"/>
      <c r="AH27" s="320"/>
    </row>
    <row r="28" spans="1:45" ht="18" x14ac:dyDescent="0.3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320"/>
      <c r="P28" s="327"/>
      <c r="Q28" s="319"/>
      <c r="R28" s="319"/>
      <c r="S28" s="328"/>
      <c r="T28" s="320"/>
      <c r="U28" s="334"/>
      <c r="V28" s="334"/>
      <c r="W28" s="334"/>
      <c r="X28" s="320"/>
      <c r="Y28" s="320"/>
      <c r="Z28" s="320"/>
      <c r="AA28" s="320"/>
      <c r="AB28" s="320"/>
      <c r="AC28" s="320"/>
      <c r="AD28" s="320"/>
      <c r="AE28" s="320"/>
      <c r="AF28" s="320"/>
      <c r="AG28" s="320"/>
      <c r="AH28" s="320"/>
    </row>
    <row r="29" spans="1:45" ht="18" x14ac:dyDescent="0.3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320"/>
      <c r="P29" s="327"/>
      <c r="Q29" s="319"/>
      <c r="R29" s="319"/>
      <c r="S29" s="328"/>
      <c r="T29" s="320"/>
      <c r="U29" s="334"/>
      <c r="V29" s="334"/>
      <c r="W29" s="334"/>
      <c r="X29" s="320"/>
      <c r="Y29" s="320"/>
      <c r="Z29" s="320"/>
      <c r="AA29" s="320"/>
      <c r="AB29" s="320"/>
      <c r="AC29" s="320"/>
      <c r="AD29" s="320"/>
      <c r="AE29" s="320"/>
      <c r="AF29" s="320"/>
      <c r="AG29" s="320"/>
      <c r="AH29" s="320"/>
    </row>
    <row r="30" spans="1:45" ht="18" x14ac:dyDescent="0.3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320"/>
      <c r="P30" s="327"/>
      <c r="Q30" s="319"/>
      <c r="R30" s="319"/>
      <c r="S30" s="328"/>
      <c r="T30" s="320"/>
      <c r="U30" s="334"/>
      <c r="V30" s="334"/>
      <c r="W30" s="334"/>
      <c r="X30" s="320"/>
      <c r="Y30" s="320"/>
      <c r="Z30" s="320"/>
      <c r="AA30" s="320"/>
      <c r="AB30" s="320"/>
      <c r="AC30" s="320"/>
      <c r="AD30" s="320"/>
      <c r="AE30" s="320"/>
      <c r="AF30" s="320"/>
      <c r="AG30" s="320"/>
      <c r="AH30" s="320"/>
    </row>
    <row r="31" spans="1:45" ht="18" x14ac:dyDescent="0.35">
      <c r="A31" s="87"/>
      <c r="B31" s="304"/>
      <c r="C31" s="305"/>
      <c r="D31" s="305"/>
      <c r="E31" s="305"/>
      <c r="F31" s="87"/>
      <c r="G31" s="87"/>
      <c r="H31" s="87"/>
      <c r="I31" s="87"/>
      <c r="J31" s="87"/>
      <c r="K31" s="87"/>
      <c r="L31" s="87"/>
      <c r="M31" s="87"/>
      <c r="N31" s="87"/>
      <c r="O31" s="320"/>
      <c r="P31" s="327"/>
      <c r="Q31" s="319"/>
      <c r="R31" s="319"/>
      <c r="S31" s="328"/>
      <c r="T31" s="320"/>
      <c r="U31" s="334"/>
      <c r="V31" s="334"/>
      <c r="W31" s="334"/>
      <c r="X31" s="320"/>
      <c r="Y31" s="320"/>
      <c r="Z31" s="320"/>
      <c r="AA31" s="320"/>
      <c r="AB31" s="320"/>
      <c r="AC31" s="320"/>
      <c r="AD31" s="320"/>
      <c r="AE31" s="320"/>
      <c r="AF31" s="320"/>
      <c r="AG31" s="320"/>
      <c r="AH31" s="320"/>
    </row>
    <row r="32" spans="1:45" ht="18" x14ac:dyDescent="0.35">
      <c r="A32" s="87"/>
      <c r="B32" s="303"/>
      <c r="C32" s="306"/>
      <c r="D32" s="303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320"/>
      <c r="P32" s="327"/>
      <c r="Q32" s="319"/>
      <c r="R32" s="319"/>
      <c r="S32" s="328"/>
      <c r="T32" s="320"/>
      <c r="U32" s="334"/>
      <c r="V32" s="334"/>
      <c r="W32" s="334"/>
      <c r="X32" s="320"/>
      <c r="Y32" s="320"/>
      <c r="Z32" s="320"/>
      <c r="AA32" s="320"/>
      <c r="AB32" s="320"/>
      <c r="AC32" s="320"/>
      <c r="AD32" s="320"/>
      <c r="AE32" s="320"/>
      <c r="AF32" s="320"/>
      <c r="AG32" s="320"/>
      <c r="AH32" s="320"/>
    </row>
    <row r="33" spans="1:37" ht="18" x14ac:dyDescent="0.35">
      <c r="A33" s="87"/>
      <c r="B33" s="303"/>
      <c r="C33" s="306"/>
      <c r="D33" s="303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320"/>
      <c r="P33" s="327"/>
      <c r="Q33" s="319"/>
      <c r="R33" s="319"/>
      <c r="S33" s="328"/>
      <c r="T33" s="320"/>
      <c r="U33" s="334"/>
      <c r="V33" s="334"/>
      <c r="W33" s="334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</row>
    <row r="34" spans="1:37" ht="18" x14ac:dyDescent="0.35">
      <c r="A34" s="87"/>
      <c r="B34" s="336"/>
      <c r="C34" s="336"/>
      <c r="D34" s="336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20"/>
      <c r="P34" s="327"/>
      <c r="Q34" s="319"/>
      <c r="R34" s="319"/>
      <c r="S34" s="328"/>
      <c r="T34" s="320"/>
      <c r="U34" s="334"/>
      <c r="V34" s="334"/>
      <c r="W34" s="334"/>
      <c r="X34" s="320"/>
      <c r="Y34" s="320"/>
      <c r="Z34" s="320"/>
      <c r="AA34" s="320"/>
      <c r="AB34" s="320"/>
      <c r="AC34" s="320"/>
      <c r="AD34" s="320"/>
      <c r="AE34" s="320"/>
      <c r="AF34" s="320"/>
      <c r="AG34" s="320"/>
      <c r="AH34" s="320"/>
    </row>
    <row r="35" spans="1:37" ht="18" x14ac:dyDescent="0.35">
      <c r="A35" s="87"/>
      <c r="B35" s="336"/>
      <c r="C35" s="336"/>
      <c r="D35" s="336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20"/>
      <c r="P35" s="327"/>
      <c r="Q35" s="319"/>
      <c r="R35" s="319"/>
      <c r="S35" s="328"/>
      <c r="T35" s="320"/>
      <c r="U35" s="334"/>
      <c r="V35" s="334"/>
      <c r="W35" s="334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</row>
    <row r="36" spans="1:37" ht="18" x14ac:dyDescent="0.35">
      <c r="A36" s="87"/>
      <c r="B36" s="336"/>
      <c r="C36" s="3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20"/>
      <c r="P36" s="327"/>
      <c r="Q36" s="319"/>
      <c r="R36" s="319"/>
      <c r="S36" s="328"/>
      <c r="T36" s="320"/>
      <c r="U36" s="334"/>
      <c r="V36" s="334"/>
      <c r="W36" s="334"/>
      <c r="X36" s="320"/>
      <c r="Y36" s="320"/>
      <c r="Z36" s="320"/>
      <c r="AA36" s="320"/>
      <c r="AB36" s="320"/>
      <c r="AC36" s="320"/>
      <c r="AD36" s="320"/>
      <c r="AE36" s="320"/>
      <c r="AF36" s="320"/>
      <c r="AG36" s="320"/>
      <c r="AH36" s="320"/>
    </row>
    <row r="37" spans="1:37" ht="18" x14ac:dyDescent="0.35">
      <c r="A37" s="87"/>
      <c r="B37" s="336"/>
      <c r="C37" s="338"/>
      <c r="D37" s="338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20"/>
      <c r="P37" s="327"/>
      <c r="Q37" s="319"/>
      <c r="R37" s="319"/>
      <c r="S37" s="328"/>
      <c r="T37" s="320"/>
      <c r="U37" s="334"/>
      <c r="V37" s="334"/>
      <c r="W37" s="334"/>
      <c r="X37" s="320"/>
      <c r="Y37" s="320"/>
      <c r="Z37" s="320"/>
      <c r="AA37" s="320"/>
      <c r="AB37" s="320"/>
      <c r="AC37" s="320"/>
      <c r="AD37" s="320"/>
      <c r="AE37" s="320"/>
      <c r="AF37" s="320"/>
      <c r="AG37" s="320"/>
      <c r="AH37" s="320"/>
    </row>
    <row r="38" spans="1:37" ht="18" x14ac:dyDescent="0.35">
      <c r="A38" s="87"/>
      <c r="B38" s="337"/>
      <c r="C38" s="337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20"/>
      <c r="P38" s="327"/>
      <c r="Q38" s="319"/>
      <c r="R38" s="319"/>
      <c r="S38" s="328"/>
      <c r="T38" s="320"/>
      <c r="U38" s="334"/>
      <c r="V38" s="334"/>
      <c r="W38" s="334"/>
      <c r="X38" s="320"/>
      <c r="Y38" s="320"/>
      <c r="Z38" s="320"/>
      <c r="AA38" s="320"/>
      <c r="AB38" s="320"/>
      <c r="AC38" s="320"/>
      <c r="AD38" s="320"/>
      <c r="AE38" s="320"/>
      <c r="AF38" s="320"/>
      <c r="AG38" s="320"/>
      <c r="AH38" s="320"/>
    </row>
    <row r="39" spans="1:37" ht="18" x14ac:dyDescent="0.35">
      <c r="A39" s="87"/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20"/>
      <c r="P39" s="327"/>
      <c r="Q39" s="319"/>
      <c r="R39" s="319"/>
      <c r="S39" s="328"/>
      <c r="T39" s="320"/>
      <c r="U39" s="334"/>
      <c r="V39" s="334"/>
      <c r="W39" s="334"/>
      <c r="X39" s="320"/>
      <c r="Y39" s="320"/>
      <c r="Z39" s="320"/>
      <c r="AA39" s="320"/>
      <c r="AB39" s="320"/>
      <c r="AC39" s="320"/>
      <c r="AD39" s="320"/>
      <c r="AE39" s="320"/>
      <c r="AF39" s="320"/>
      <c r="AG39" s="320"/>
      <c r="AH39" s="320"/>
    </row>
    <row r="40" spans="1:37" ht="18" x14ac:dyDescent="0.35">
      <c r="A40" s="87"/>
      <c r="B40" s="337"/>
      <c r="C40" s="337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20"/>
      <c r="P40" s="327"/>
      <c r="Q40" s="319"/>
      <c r="R40" s="319"/>
      <c r="S40" s="328"/>
      <c r="T40" s="320"/>
      <c r="U40" s="334"/>
      <c r="V40" s="334"/>
      <c r="W40" s="334"/>
      <c r="X40" s="320"/>
      <c r="Y40" s="320"/>
      <c r="Z40" s="320"/>
      <c r="AA40" s="320"/>
      <c r="AB40" s="320"/>
      <c r="AC40" s="320"/>
      <c r="AD40" s="320"/>
      <c r="AE40" s="320"/>
      <c r="AF40" s="320"/>
      <c r="AG40" s="320"/>
      <c r="AH40" s="320"/>
      <c r="AK40" s="167" t="s">
        <v>446</v>
      </c>
    </row>
    <row r="41" spans="1:37" ht="18" x14ac:dyDescent="0.35">
      <c r="B41" s="337"/>
      <c r="C41" s="337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20"/>
      <c r="P41" s="327"/>
      <c r="Q41" s="319"/>
      <c r="R41" s="319"/>
      <c r="S41" s="328"/>
      <c r="T41" s="320"/>
      <c r="U41" s="334"/>
      <c r="V41" s="334"/>
      <c r="W41" s="334"/>
      <c r="X41" s="320"/>
      <c r="Y41" s="320"/>
      <c r="Z41" s="320"/>
      <c r="AA41" s="320"/>
      <c r="AB41" s="320"/>
      <c r="AC41" s="320"/>
      <c r="AD41" s="320"/>
      <c r="AE41" s="320"/>
      <c r="AF41" s="320"/>
      <c r="AG41" s="320"/>
      <c r="AH41" s="320"/>
      <c r="AK41" s="167" t="s">
        <v>446</v>
      </c>
    </row>
    <row r="42" spans="1:37" ht="18" x14ac:dyDescent="0.35">
      <c r="B42" s="337"/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20"/>
      <c r="P42" s="327"/>
      <c r="Q42" s="319"/>
      <c r="R42" s="319"/>
      <c r="S42" s="328"/>
      <c r="T42" s="320"/>
      <c r="U42" s="334"/>
      <c r="V42" s="334"/>
      <c r="W42" s="334"/>
      <c r="X42" s="320"/>
      <c r="Y42" s="320"/>
      <c r="Z42" s="320"/>
      <c r="AA42" s="320"/>
      <c r="AB42" s="320"/>
      <c r="AC42" s="320"/>
      <c r="AD42" s="320"/>
      <c r="AE42" s="320"/>
      <c r="AF42" s="320"/>
      <c r="AG42" s="320"/>
      <c r="AH42" s="320"/>
      <c r="AK42" s="167" t="s">
        <v>446</v>
      </c>
    </row>
    <row r="43" spans="1:37" ht="18" x14ac:dyDescent="0.35">
      <c r="B43" s="337"/>
      <c r="C43" s="337"/>
      <c r="D43" s="337"/>
      <c r="E43" s="337"/>
      <c r="F43" s="337"/>
      <c r="G43" s="337"/>
      <c r="H43" s="337"/>
      <c r="I43" s="337"/>
      <c r="J43" s="337"/>
      <c r="K43" s="337"/>
      <c r="L43" s="337"/>
      <c r="M43" s="337"/>
      <c r="N43" s="337"/>
      <c r="O43" s="320"/>
      <c r="P43" s="327"/>
      <c r="Q43" s="319"/>
      <c r="R43" s="319"/>
      <c r="S43" s="328"/>
      <c r="T43" s="320"/>
      <c r="U43" s="334"/>
      <c r="V43" s="334"/>
      <c r="W43" s="334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K43" s="167" t="s">
        <v>446</v>
      </c>
    </row>
    <row r="44" spans="1:37" ht="18" x14ac:dyDescent="0.35">
      <c r="B44" s="337"/>
      <c r="C44" s="337"/>
      <c r="D44" s="337"/>
      <c r="E44" s="337"/>
      <c r="F44" s="337"/>
      <c r="G44" s="337"/>
      <c r="H44" s="337"/>
      <c r="I44" s="337"/>
      <c r="J44" s="337"/>
      <c r="K44" s="337"/>
      <c r="L44" s="337"/>
      <c r="M44" s="337"/>
      <c r="N44" s="337"/>
      <c r="O44" s="320"/>
      <c r="P44" s="327"/>
      <c r="Q44" s="319"/>
      <c r="R44" s="319"/>
      <c r="S44" s="328"/>
      <c r="T44" s="320"/>
      <c r="U44" s="334"/>
      <c r="V44" s="334"/>
      <c r="W44" s="334"/>
      <c r="X44" s="320"/>
      <c r="Y44" s="320"/>
      <c r="Z44" s="320"/>
      <c r="AA44" s="320"/>
      <c r="AB44" s="320"/>
      <c r="AC44" s="320"/>
      <c r="AD44" s="320"/>
      <c r="AE44" s="320"/>
      <c r="AF44" s="320"/>
      <c r="AG44" s="320"/>
      <c r="AH44" s="320"/>
      <c r="AK44" s="167" t="s">
        <v>446</v>
      </c>
    </row>
    <row r="45" spans="1:37" ht="18" x14ac:dyDescent="0.35">
      <c r="B45" s="337"/>
      <c r="C45" s="337"/>
      <c r="D45" s="337"/>
      <c r="E45" s="337"/>
      <c r="F45" s="337"/>
      <c r="G45" s="337"/>
      <c r="H45" s="337"/>
      <c r="I45" s="337"/>
      <c r="J45" s="337"/>
      <c r="K45" s="337"/>
      <c r="L45" s="337"/>
      <c r="M45" s="337"/>
      <c r="N45" s="337"/>
      <c r="O45" s="320"/>
      <c r="P45" s="327"/>
      <c r="Q45" s="319"/>
      <c r="R45" s="319"/>
      <c r="S45" s="328"/>
      <c r="T45" s="320"/>
      <c r="U45" s="334"/>
      <c r="V45" s="334"/>
      <c r="W45" s="334"/>
      <c r="X45" s="320"/>
      <c r="Y45" s="320"/>
      <c r="Z45" s="320"/>
      <c r="AA45" s="320"/>
      <c r="AB45" s="320"/>
      <c r="AC45" s="320"/>
      <c r="AD45" s="320"/>
      <c r="AE45" s="320"/>
      <c r="AF45" s="320"/>
      <c r="AG45" s="320"/>
      <c r="AH45" s="320"/>
      <c r="AK45" s="167" t="s">
        <v>446</v>
      </c>
    </row>
    <row r="46" spans="1:37" ht="18" x14ac:dyDescent="0.35">
      <c r="B46" s="337"/>
      <c r="C46" s="337"/>
      <c r="D46" s="337"/>
      <c r="E46" s="337"/>
      <c r="F46" s="337"/>
      <c r="G46" s="337"/>
      <c r="H46" s="337"/>
      <c r="I46" s="337"/>
      <c r="J46" s="337"/>
      <c r="K46" s="337"/>
      <c r="L46" s="337"/>
      <c r="M46" s="337"/>
      <c r="N46" s="337"/>
      <c r="O46" s="320"/>
      <c r="P46" s="327"/>
      <c r="Q46" s="319"/>
      <c r="R46" s="319"/>
      <c r="S46" s="328"/>
      <c r="T46" s="320"/>
      <c r="U46" s="334"/>
      <c r="V46" s="334"/>
      <c r="W46" s="334"/>
      <c r="X46" s="320"/>
      <c r="Y46" s="320"/>
      <c r="Z46" s="320"/>
      <c r="AA46" s="320"/>
      <c r="AB46" s="320"/>
      <c r="AC46" s="320"/>
      <c r="AD46" s="320"/>
      <c r="AE46" s="320"/>
      <c r="AF46" s="320"/>
      <c r="AG46" s="320"/>
      <c r="AH46" s="320"/>
      <c r="AK46" s="167" t="s">
        <v>446</v>
      </c>
    </row>
    <row r="47" spans="1:37" ht="18" x14ac:dyDescent="0.35">
      <c r="B47" s="337"/>
      <c r="C47" s="337"/>
      <c r="D47" s="337"/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20"/>
      <c r="P47" s="327"/>
      <c r="Q47" s="319"/>
      <c r="R47" s="319"/>
      <c r="S47" s="328"/>
      <c r="T47" s="320"/>
      <c r="U47" s="334"/>
      <c r="V47" s="334"/>
      <c r="W47" s="334"/>
      <c r="X47" s="320"/>
      <c r="Y47" s="320"/>
      <c r="Z47" s="320"/>
      <c r="AA47" s="320"/>
      <c r="AB47" s="320"/>
      <c r="AC47" s="320"/>
      <c r="AD47" s="320"/>
      <c r="AE47" s="320"/>
      <c r="AF47" s="320"/>
      <c r="AG47" s="320"/>
      <c r="AH47" s="320"/>
      <c r="AK47" s="167" t="s">
        <v>446</v>
      </c>
    </row>
    <row r="48" spans="1:37" ht="18" x14ac:dyDescent="0.35">
      <c r="B48" s="337"/>
      <c r="C48" s="337"/>
      <c r="D48" s="337"/>
      <c r="E48" s="337"/>
      <c r="F48" s="337"/>
      <c r="G48" s="337"/>
      <c r="H48" s="337"/>
      <c r="I48" s="337"/>
      <c r="J48" s="337"/>
      <c r="K48" s="337"/>
      <c r="L48" s="337"/>
      <c r="M48" s="337"/>
      <c r="N48" s="337"/>
      <c r="O48" s="320"/>
      <c r="P48" s="327"/>
      <c r="Q48" s="319"/>
      <c r="R48" s="319"/>
      <c r="S48" s="328"/>
      <c r="T48" s="320"/>
      <c r="U48" s="334"/>
      <c r="V48" s="334"/>
      <c r="W48" s="334"/>
      <c r="X48" s="320"/>
      <c r="Y48" s="320"/>
      <c r="Z48" s="320"/>
      <c r="AA48" s="320"/>
      <c r="AB48" s="320"/>
      <c r="AC48" s="320"/>
      <c r="AD48" s="320"/>
      <c r="AE48" s="320"/>
      <c r="AF48" s="320"/>
      <c r="AG48" s="320"/>
      <c r="AH48" s="320"/>
      <c r="AK48" s="167" t="s">
        <v>446</v>
      </c>
    </row>
    <row r="49" spans="2:14" x14ac:dyDescent="0.25">
      <c r="B49" s="337"/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</row>
  </sheetData>
  <mergeCells count="2">
    <mergeCell ref="U20:AF23"/>
    <mergeCell ref="A1:N2"/>
  </mergeCells>
  <conditionalFormatting sqref="Q15:Q48">
    <cfRule type="expression" dxfId="97" priority="6">
      <formula>AND(S$7="Dom",Q15&gt;0)</formula>
    </cfRule>
    <cfRule type="expression" dxfId="96" priority="7">
      <formula>AND(S$7="Sáb",Q15&gt;0)</formula>
    </cfRule>
    <cfRule type="expression" dxfId="95" priority="8">
      <formula>AND(S$7="Dom",Q15=0)</formula>
    </cfRule>
    <cfRule type="expression" dxfId="94" priority="9">
      <formula>AND(S$7="Sáb",Q15=0)</formula>
    </cfRule>
  </conditionalFormatting>
  <conditionalFormatting sqref="R15:R16 R18:R48">
    <cfRule type="expression" dxfId="93" priority="5">
      <formula>AND(T$9="Sáb",R15=0)</formula>
    </cfRule>
  </conditionalFormatting>
  <conditionalFormatting sqref="R15:R16 R18:R48">
    <cfRule type="expression" dxfId="92" priority="4">
      <formula>AND(T$9="Dom",R15=0)</formula>
    </cfRule>
  </conditionalFormatting>
  <conditionalFormatting sqref="R15:R16 R18:R48">
    <cfRule type="expression" dxfId="91" priority="3">
      <formula>AND(T$9="Sáb",R15&gt;0)</formula>
    </cfRule>
  </conditionalFormatting>
  <conditionalFormatting sqref="R15:R16 R18:R48">
    <cfRule type="expression" dxfId="90" priority="2">
      <formula>AND(T$9="Dom",R15&gt;0)</formula>
    </cfRule>
  </conditionalFormatting>
  <conditionalFormatting sqref="S15:S48">
    <cfRule type="containsText" dxfId="89" priority="1" operator="containsText" text="OK">
      <formula>NOT(ISERROR(SEARCH("OK",S15)))</formula>
    </cfRule>
  </conditionalFormatting>
  <printOptions horizontalCentered="1" verticalCentered="1"/>
  <pageMargins left="0" right="0" top="0" bottom="0" header="0" footer="0"/>
  <pageSetup paperSize="9" fitToWidth="0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50C1-BE66-4600-A6C6-A2676685F83D}">
  <sheetPr codeName="Planilha12">
    <tabColor theme="3" tint="0.39997558519241921"/>
    <pageSetUpPr fitToPage="1"/>
  </sheetPr>
  <dimension ref="A1:L45"/>
  <sheetViews>
    <sheetView view="pageBreakPreview" topLeftCell="A7" zoomScale="85" zoomScaleNormal="100" zoomScaleSheetLayoutView="85" workbookViewId="0">
      <selection activeCell="E11" sqref="E11:H14"/>
    </sheetView>
  </sheetViews>
  <sheetFormatPr defaultRowHeight="15" x14ac:dyDescent="0.25"/>
  <cols>
    <col min="1" max="1" width="8" customWidth="1"/>
    <col min="2" max="2" width="40.7109375" customWidth="1"/>
    <col min="3" max="3" width="47.140625" customWidth="1"/>
    <col min="6" max="6" width="40.7109375" customWidth="1"/>
    <col min="7" max="7" width="47.140625" customWidth="1"/>
  </cols>
  <sheetData>
    <row r="1" spans="1:12" x14ac:dyDescent="0.25">
      <c r="A1" s="158"/>
      <c r="B1" s="159"/>
      <c r="C1" s="159"/>
      <c r="D1" s="160"/>
      <c r="E1" s="158"/>
      <c r="F1" s="159"/>
      <c r="G1" s="159"/>
      <c r="H1" s="160"/>
    </row>
    <row r="2" spans="1:12" ht="49.5" customHeight="1" x14ac:dyDescent="0.25">
      <c r="A2" s="161"/>
      <c r="B2" s="506" t="s">
        <v>249</v>
      </c>
      <c r="C2" s="506"/>
      <c r="D2" s="162"/>
      <c r="E2" s="161"/>
      <c r="F2" s="506" t="s">
        <v>250</v>
      </c>
      <c r="G2" s="506"/>
      <c r="H2" s="162"/>
    </row>
    <row r="3" spans="1:12" x14ac:dyDescent="0.25">
      <c r="A3" s="161"/>
      <c r="B3" s="123"/>
      <c r="C3" s="123"/>
      <c r="D3" s="162"/>
      <c r="E3" s="161"/>
      <c r="F3" s="123"/>
      <c r="G3" s="123"/>
      <c r="H3" s="162"/>
      <c r="L3" s="87"/>
    </row>
    <row r="4" spans="1:12" x14ac:dyDescent="0.25">
      <c r="A4" s="161"/>
      <c r="B4" s="123"/>
      <c r="C4" s="123"/>
      <c r="D4" s="162"/>
      <c r="E4" s="161"/>
      <c r="F4" s="123"/>
      <c r="G4" s="123"/>
      <c r="H4" s="162"/>
      <c r="L4" s="87"/>
    </row>
    <row r="5" spans="1:12" x14ac:dyDescent="0.25">
      <c r="A5" s="161"/>
      <c r="B5" s="123"/>
      <c r="C5" s="123"/>
      <c r="D5" s="162"/>
      <c r="E5" s="161"/>
      <c r="F5" s="123"/>
      <c r="G5" s="123"/>
      <c r="H5" s="162"/>
      <c r="L5" s="87"/>
    </row>
    <row r="6" spans="1:12" ht="141.75" customHeight="1" x14ac:dyDescent="0.25">
      <c r="A6" s="503"/>
      <c r="B6" s="163"/>
      <c r="C6" s="164"/>
      <c r="D6" s="162"/>
      <c r="E6" s="503"/>
      <c r="F6" s="163"/>
      <c r="G6" s="164"/>
      <c r="H6" s="162"/>
      <c r="L6" s="87"/>
    </row>
    <row r="7" spans="1:12" ht="138.75" customHeight="1" x14ac:dyDescent="0.25">
      <c r="A7" s="503"/>
      <c r="B7" s="165"/>
      <c r="C7" s="166"/>
      <c r="D7" s="162"/>
      <c r="E7" s="503"/>
      <c r="F7" s="165"/>
      <c r="G7" s="166"/>
      <c r="H7" s="162"/>
      <c r="L7" s="87"/>
    </row>
    <row r="8" spans="1:12" ht="30" customHeight="1" x14ac:dyDescent="0.25">
      <c r="A8" s="504"/>
      <c r="B8" s="505"/>
      <c r="C8" s="505"/>
      <c r="D8" s="162"/>
      <c r="E8" s="161"/>
      <c r="F8" s="167"/>
      <c r="G8" s="167"/>
      <c r="H8" s="162"/>
      <c r="L8" s="87"/>
    </row>
    <row r="9" spans="1:12" x14ac:dyDescent="0.25">
      <c r="A9" s="161"/>
      <c r="B9" s="123"/>
      <c r="C9" s="123"/>
      <c r="D9" s="162"/>
      <c r="E9" s="161"/>
      <c r="F9" s="123"/>
      <c r="G9" s="123"/>
      <c r="H9" s="162"/>
      <c r="L9" s="87"/>
    </row>
    <row r="10" spans="1:12" x14ac:dyDescent="0.25">
      <c r="A10" s="491" t="s">
        <v>251</v>
      </c>
      <c r="B10" s="492"/>
      <c r="C10" s="492"/>
      <c r="D10" s="493"/>
      <c r="E10" s="491" t="s">
        <v>251</v>
      </c>
      <c r="F10" s="492"/>
      <c r="G10" s="492"/>
      <c r="H10" s="493"/>
      <c r="L10" s="87"/>
    </row>
    <row r="11" spans="1:12" ht="15" customHeight="1" x14ac:dyDescent="0.25">
      <c r="A11" s="494" t="s">
        <v>254</v>
      </c>
      <c r="B11" s="495"/>
      <c r="C11" s="495"/>
      <c r="D11" s="496"/>
      <c r="E11" s="494" t="s">
        <v>257</v>
      </c>
      <c r="F11" s="495"/>
      <c r="G11" s="495"/>
      <c r="H11" s="496"/>
      <c r="L11" s="87"/>
    </row>
    <row r="12" spans="1:12" x14ac:dyDescent="0.25">
      <c r="A12" s="494"/>
      <c r="B12" s="495"/>
      <c r="C12" s="495"/>
      <c r="D12" s="496"/>
      <c r="E12" s="494"/>
      <c r="F12" s="495"/>
      <c r="G12" s="495"/>
      <c r="H12" s="496"/>
      <c r="L12" s="87"/>
    </row>
    <row r="13" spans="1:12" x14ac:dyDescent="0.25">
      <c r="A13" s="494"/>
      <c r="B13" s="495"/>
      <c r="C13" s="495"/>
      <c r="D13" s="496"/>
      <c r="E13" s="494"/>
      <c r="F13" s="495"/>
      <c r="G13" s="495"/>
      <c r="H13" s="496"/>
      <c r="L13" s="87"/>
    </row>
    <row r="14" spans="1:12" x14ac:dyDescent="0.25">
      <c r="A14" s="494"/>
      <c r="B14" s="495"/>
      <c r="C14" s="495"/>
      <c r="D14" s="496"/>
      <c r="E14" s="494"/>
      <c r="F14" s="495"/>
      <c r="G14" s="495"/>
      <c r="H14" s="496"/>
      <c r="L14" s="87"/>
    </row>
    <row r="15" spans="1:12" x14ac:dyDescent="0.25">
      <c r="A15" s="497" t="s">
        <v>252</v>
      </c>
      <c r="B15" s="498"/>
      <c r="C15" s="498"/>
      <c r="D15" s="499"/>
      <c r="E15" s="497" t="s">
        <v>252</v>
      </c>
      <c r="F15" s="498"/>
      <c r="G15" s="498"/>
      <c r="H15" s="499"/>
      <c r="L15" s="87"/>
    </row>
    <row r="16" spans="1:12" ht="18.75" customHeight="1" x14ac:dyDescent="0.25">
      <c r="A16" s="500" t="s">
        <v>255</v>
      </c>
      <c r="B16" s="501"/>
      <c r="C16" s="501"/>
      <c r="D16" s="502"/>
      <c r="E16" s="500" t="s">
        <v>258</v>
      </c>
      <c r="F16" s="501"/>
      <c r="G16" s="501"/>
      <c r="H16" s="502"/>
      <c r="L16" s="87"/>
    </row>
    <row r="17" spans="1:12" ht="18.75" customHeight="1" x14ac:dyDescent="0.25">
      <c r="A17" s="500"/>
      <c r="B17" s="501"/>
      <c r="C17" s="501"/>
      <c r="D17" s="502"/>
      <c r="E17" s="500"/>
      <c r="F17" s="501"/>
      <c r="G17" s="501"/>
      <c r="H17" s="502"/>
      <c r="L17" s="87"/>
    </row>
    <row r="18" spans="1:12" ht="18.75" customHeight="1" x14ac:dyDescent="0.25">
      <c r="A18" s="500"/>
      <c r="B18" s="501"/>
      <c r="C18" s="501"/>
      <c r="D18" s="502"/>
      <c r="E18" s="500"/>
      <c r="F18" s="501"/>
      <c r="G18" s="501"/>
      <c r="H18" s="502"/>
      <c r="L18" s="87"/>
    </row>
    <row r="19" spans="1:12" ht="18.75" customHeight="1" x14ac:dyDescent="0.25">
      <c r="A19" s="500"/>
      <c r="B19" s="501"/>
      <c r="C19" s="501"/>
      <c r="D19" s="502"/>
      <c r="E19" s="500"/>
      <c r="F19" s="501"/>
      <c r="G19" s="501"/>
      <c r="H19" s="502"/>
      <c r="L19" s="259"/>
    </row>
    <row r="20" spans="1:12" ht="18.75" customHeight="1" x14ac:dyDescent="0.25">
      <c r="A20" s="500"/>
      <c r="B20" s="501"/>
      <c r="C20" s="501"/>
      <c r="D20" s="502"/>
      <c r="E20" s="500"/>
      <c r="F20" s="501"/>
      <c r="G20" s="501"/>
      <c r="H20" s="502"/>
      <c r="L20" s="87"/>
    </row>
    <row r="21" spans="1:12" ht="18.75" customHeight="1" x14ac:dyDescent="0.25">
      <c r="A21" s="500"/>
      <c r="B21" s="501"/>
      <c r="C21" s="501"/>
      <c r="D21" s="502"/>
      <c r="E21" s="500"/>
      <c r="F21" s="501"/>
      <c r="G21" s="501"/>
      <c r="H21" s="502"/>
      <c r="L21" s="87"/>
    </row>
    <row r="22" spans="1:12" ht="18.75" customHeight="1" x14ac:dyDescent="0.25">
      <c r="A22" s="500"/>
      <c r="B22" s="501"/>
      <c r="C22" s="501"/>
      <c r="D22" s="502"/>
      <c r="E22" s="500"/>
      <c r="F22" s="501"/>
      <c r="G22" s="501"/>
      <c r="H22" s="502"/>
      <c r="L22" s="87"/>
    </row>
    <row r="23" spans="1:12" x14ac:dyDescent="0.25">
      <c r="A23" s="484" t="s">
        <v>253</v>
      </c>
      <c r="B23" s="485"/>
      <c r="C23" s="485"/>
      <c r="D23" s="486"/>
      <c r="E23" s="484" t="s">
        <v>253</v>
      </c>
      <c r="F23" s="485"/>
      <c r="G23" s="485"/>
      <c r="H23" s="486"/>
      <c r="L23" s="87"/>
    </row>
    <row r="24" spans="1:12" x14ac:dyDescent="0.25">
      <c r="A24" s="487" t="s">
        <v>256</v>
      </c>
      <c r="B24" s="488"/>
      <c r="C24" s="488"/>
      <c r="D24" s="489"/>
      <c r="E24" s="487"/>
      <c r="F24" s="488"/>
      <c r="G24" s="488"/>
      <c r="H24" s="489"/>
      <c r="L24" s="87"/>
    </row>
    <row r="25" spans="1:12" x14ac:dyDescent="0.25">
      <c r="A25" s="490"/>
      <c r="B25" s="488"/>
      <c r="C25" s="488"/>
      <c r="D25" s="489"/>
      <c r="E25" s="490"/>
      <c r="F25" s="488"/>
      <c r="G25" s="488"/>
      <c r="H25" s="489"/>
      <c r="L25" s="87"/>
    </row>
    <row r="26" spans="1:12" x14ac:dyDescent="0.25">
      <c r="A26" s="490"/>
      <c r="B26" s="488"/>
      <c r="C26" s="488"/>
      <c r="D26" s="489"/>
      <c r="E26" s="490"/>
      <c r="F26" s="488"/>
      <c r="G26" s="488"/>
      <c r="H26" s="489"/>
      <c r="L26" s="87"/>
    </row>
    <row r="27" spans="1:12" x14ac:dyDescent="0.25">
      <c r="A27" s="490"/>
      <c r="B27" s="488"/>
      <c r="C27" s="488"/>
      <c r="D27" s="489"/>
      <c r="E27" s="490"/>
      <c r="F27" s="488"/>
      <c r="G27" s="488"/>
      <c r="H27" s="489"/>
      <c r="L27" s="87"/>
    </row>
    <row r="28" spans="1:12" x14ac:dyDescent="0.25">
      <c r="A28" s="490"/>
      <c r="B28" s="488"/>
      <c r="C28" s="488"/>
      <c r="D28" s="489"/>
      <c r="E28" s="490"/>
      <c r="F28" s="488"/>
      <c r="G28" s="488"/>
      <c r="H28" s="489"/>
      <c r="L28" s="259"/>
    </row>
    <row r="29" spans="1:12" x14ac:dyDescent="0.25">
      <c r="A29" s="490"/>
      <c r="B29" s="488"/>
      <c r="C29" s="488"/>
      <c r="D29" s="489"/>
      <c r="E29" s="490"/>
      <c r="F29" s="488"/>
      <c r="G29" s="488"/>
      <c r="H29" s="489"/>
      <c r="L29" s="87"/>
    </row>
    <row r="30" spans="1:12" ht="15.75" thickBot="1" x14ac:dyDescent="0.3">
      <c r="A30" s="168"/>
      <c r="B30" s="169"/>
      <c r="C30" s="169"/>
      <c r="D30" s="170"/>
      <c r="E30" s="168"/>
      <c r="F30" s="169"/>
      <c r="G30" s="169"/>
      <c r="H30" s="170"/>
      <c r="L30" s="87"/>
    </row>
    <row r="31" spans="1:12" x14ac:dyDescent="0.25">
      <c r="L31" s="87"/>
    </row>
    <row r="32" spans="1:12" x14ac:dyDescent="0.25">
      <c r="L32" s="87"/>
    </row>
    <row r="33" spans="10:12" x14ac:dyDescent="0.25">
      <c r="L33" s="87"/>
    </row>
    <row r="34" spans="10:12" x14ac:dyDescent="0.25">
      <c r="L34" s="87"/>
    </row>
    <row r="35" spans="10:12" x14ac:dyDescent="0.25">
      <c r="L35" s="87"/>
    </row>
    <row r="36" spans="10:12" x14ac:dyDescent="0.25">
      <c r="L36" s="87"/>
    </row>
    <row r="37" spans="10:12" x14ac:dyDescent="0.25">
      <c r="L37" s="87"/>
    </row>
    <row r="38" spans="10:12" x14ac:dyDescent="0.25">
      <c r="L38" s="87"/>
    </row>
    <row r="39" spans="10:12" x14ac:dyDescent="0.25">
      <c r="L39" s="87"/>
    </row>
    <row r="40" spans="10:12" x14ac:dyDescent="0.25">
      <c r="L40" s="87"/>
    </row>
    <row r="41" spans="10:12" x14ac:dyDescent="0.25">
      <c r="L41" s="87"/>
    </row>
    <row r="42" spans="10:12" x14ac:dyDescent="0.25">
      <c r="L42" s="87"/>
    </row>
    <row r="43" spans="10:12" x14ac:dyDescent="0.25">
      <c r="L43" s="87"/>
    </row>
    <row r="44" spans="10:12" x14ac:dyDescent="0.25">
      <c r="L44" s="87"/>
    </row>
    <row r="45" spans="10:12" x14ac:dyDescent="0.25">
      <c r="J45" s="260"/>
      <c r="K45" s="259"/>
      <c r="L45" s="87"/>
    </row>
  </sheetData>
  <mergeCells count="17">
    <mergeCell ref="A6:A7"/>
    <mergeCell ref="A8:C8"/>
    <mergeCell ref="B2:C2"/>
    <mergeCell ref="F2:G2"/>
    <mergeCell ref="E6:E7"/>
    <mergeCell ref="A23:D23"/>
    <mergeCell ref="A24:D29"/>
    <mergeCell ref="E24:H29"/>
    <mergeCell ref="E10:H10"/>
    <mergeCell ref="E11:H14"/>
    <mergeCell ref="E15:H15"/>
    <mergeCell ref="E16:H22"/>
    <mergeCell ref="E23:H23"/>
    <mergeCell ref="A10:D10"/>
    <mergeCell ref="A11:D14"/>
    <mergeCell ref="A16:D22"/>
    <mergeCell ref="A15:D15"/>
  </mergeCells>
  <printOptions horizontalCentered="1" verticalCentered="1"/>
  <pageMargins left="0" right="0" top="0" bottom="0" header="0" footer="0"/>
  <pageSetup paperSize="9" scale="6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6C91C-E87A-47FF-91A0-B56EEEBD01D0}">
  <sheetPr codeName="Planilha2">
    <pageSetUpPr fitToPage="1"/>
  </sheetPr>
  <dimension ref="A1:AD108"/>
  <sheetViews>
    <sheetView tabSelected="1" zoomScale="115" zoomScaleNormal="115" workbookViewId="0">
      <pane ySplit="1" topLeftCell="A2" activePane="bottomLeft" state="frozen"/>
      <selection pane="bottomLeft" activeCell="F103" sqref="F103"/>
    </sheetView>
  </sheetViews>
  <sheetFormatPr defaultColWidth="0" defaultRowHeight="15" zeroHeight="1" x14ac:dyDescent="0.25"/>
  <cols>
    <col min="1" max="1" width="10.140625" customWidth="1"/>
    <col min="2" max="2" width="27.42578125" customWidth="1"/>
    <col min="3" max="3" width="21.7109375" customWidth="1"/>
    <col min="4" max="4" width="18.7109375" customWidth="1"/>
    <col min="5" max="5" width="15" style="12" bestFit="1" customWidth="1"/>
    <col min="6" max="6" width="25" style="12" bestFit="1" customWidth="1"/>
    <col min="7" max="7" width="15" style="12" bestFit="1" customWidth="1"/>
    <col min="8" max="8" width="26.140625" style="12" customWidth="1"/>
    <col min="9" max="9" width="9.5703125" style="12" customWidth="1"/>
    <col min="10" max="10" width="9.140625" customWidth="1"/>
    <col min="11" max="12" width="30.28515625" hidden="1" customWidth="1"/>
    <col min="13" max="14" width="22.42578125" hidden="1" customWidth="1"/>
    <col min="15" max="15" width="41.42578125" hidden="1" customWidth="1"/>
    <col min="16" max="16" width="35.7109375" hidden="1" customWidth="1"/>
    <col min="17" max="17" width="26.28515625" hidden="1" customWidth="1"/>
    <col min="18" max="18" width="18.5703125" hidden="1" customWidth="1"/>
    <col min="19" max="20" width="34.28515625" hidden="1" customWidth="1"/>
    <col min="21" max="22" width="22.42578125" hidden="1" customWidth="1"/>
    <col min="23" max="26" width="18.5703125" hidden="1" customWidth="1"/>
    <col min="27" max="30" width="0" hidden="1" customWidth="1"/>
    <col min="31" max="16384" width="9.140625" hidden="1"/>
  </cols>
  <sheetData>
    <row r="1" spans="2:9" ht="43.5" customHeight="1" x14ac:dyDescent="0.25">
      <c r="B1" s="9" t="s">
        <v>7</v>
      </c>
      <c r="C1" s="371" t="s">
        <v>8</v>
      </c>
      <c r="D1" s="371" t="s">
        <v>9</v>
      </c>
      <c r="E1" s="371" t="s">
        <v>10</v>
      </c>
      <c r="F1" s="371" t="s">
        <v>11</v>
      </c>
      <c r="G1" s="371" t="s">
        <v>12</v>
      </c>
      <c r="H1" s="509" t="s">
        <v>13</v>
      </c>
      <c r="I1" s="510"/>
    </row>
    <row r="2" spans="2:9" ht="26.25" x14ac:dyDescent="0.25">
      <c r="B2" s="10">
        <v>55</v>
      </c>
      <c r="C2" s="376">
        <f>COUNTA(C4:C90)</f>
        <v>77</v>
      </c>
      <c r="D2" s="377">
        <f>COUNTA(D67,D63,D60,D54,D41,D38,D31,D25,D12,D9,D4)</f>
        <v>11</v>
      </c>
      <c r="E2" s="378">
        <f>SUM(E4:E90)</f>
        <v>269.20166000000012</v>
      </c>
      <c r="F2" s="379">
        <f>SUMIFS(F4:F90, F4:F90, "&gt;0", F4:F90, "&lt;&gt;.")</f>
        <v>161.19444000000001</v>
      </c>
      <c r="G2" s="380">
        <f>SUM(G4:G90)</f>
        <v>108.00721999999998</v>
      </c>
      <c r="H2" s="511"/>
      <c r="I2" s="512"/>
    </row>
    <row r="3" spans="2:9" ht="17.25" x14ac:dyDescent="0.25">
      <c r="B3" s="11"/>
      <c r="C3" s="381"/>
      <c r="D3" s="381"/>
      <c r="E3" s="382">
        <f>COUNTA(E4:E90)</f>
        <v>77</v>
      </c>
      <c r="F3" s="382">
        <f>COUNTIFS(F4:F90, "&gt;0", F4:F90, "&lt;&gt;.")</f>
        <v>48</v>
      </c>
      <c r="G3" s="382">
        <f t="shared" ref="G3" si="0">COUNTA(G4:G90)</f>
        <v>29</v>
      </c>
      <c r="H3" s="513"/>
      <c r="I3" s="514"/>
    </row>
    <row r="4" spans="2:9" s="12" customFormat="1" x14ac:dyDescent="0.25">
      <c r="B4" s="13" t="s">
        <v>14</v>
      </c>
      <c r="C4" s="383" t="s">
        <v>581</v>
      </c>
      <c r="D4" s="384" t="s">
        <v>15</v>
      </c>
      <c r="E4" s="385">
        <v>2.6812800000000001</v>
      </c>
      <c r="F4" s="386"/>
      <c r="G4" s="387">
        <v>2.6812800000000001</v>
      </c>
      <c r="H4" s="388" t="s">
        <v>14</v>
      </c>
      <c r="I4" s="15">
        <f t="shared" ref="I4:I59" si="1">SUMIFS($F$4:$F$90,$B$4:$B$90,H4)</f>
        <v>0</v>
      </c>
    </row>
    <row r="5" spans="2:9" s="12" customFormat="1" x14ac:dyDescent="0.25">
      <c r="B5" s="13" t="s">
        <v>16</v>
      </c>
      <c r="C5" s="383" t="s">
        <v>582</v>
      </c>
      <c r="D5" s="384" t="s">
        <v>15</v>
      </c>
      <c r="E5" s="385">
        <v>1.9487999999999999</v>
      </c>
      <c r="F5" s="389">
        <v>1.9487999999999999</v>
      </c>
      <c r="G5" s="386"/>
      <c r="H5" s="388" t="s">
        <v>16</v>
      </c>
      <c r="I5" s="15">
        <f t="shared" si="1"/>
        <v>1.9487999999999999</v>
      </c>
    </row>
    <row r="6" spans="2:9" s="12" customFormat="1" x14ac:dyDescent="0.25">
      <c r="B6" s="13" t="s">
        <v>16</v>
      </c>
      <c r="C6" s="383" t="s">
        <v>583</v>
      </c>
      <c r="D6" s="384" t="s">
        <v>15</v>
      </c>
      <c r="E6" s="385">
        <v>6.9550000000000001</v>
      </c>
      <c r="F6" s="386"/>
      <c r="G6" s="387">
        <v>6.9550000000000001</v>
      </c>
      <c r="H6" s="388" t="s">
        <v>17</v>
      </c>
      <c r="I6" s="15">
        <f t="shared" si="1"/>
        <v>1.2992000000000001</v>
      </c>
    </row>
    <row r="7" spans="2:9" s="12" customFormat="1" x14ac:dyDescent="0.25">
      <c r="B7" s="13" t="s">
        <v>17</v>
      </c>
      <c r="C7" s="383" t="s">
        <v>584</v>
      </c>
      <c r="D7" s="384" t="s">
        <v>15</v>
      </c>
      <c r="E7" s="385">
        <v>1.2991999999999999</v>
      </c>
      <c r="F7" s="389">
        <v>1.2992000000000001</v>
      </c>
      <c r="G7" s="386"/>
      <c r="H7" s="390"/>
      <c r="I7" s="15">
        <f t="shared" si="1"/>
        <v>0</v>
      </c>
    </row>
    <row r="8" spans="2:9" s="12" customFormat="1" x14ac:dyDescent="0.25">
      <c r="B8" s="16"/>
      <c r="C8" s="390"/>
      <c r="D8" s="390"/>
      <c r="E8" s="391"/>
      <c r="F8" s="390" t="s">
        <v>18</v>
      </c>
      <c r="G8" s="390"/>
      <c r="H8" s="388" t="s">
        <v>19</v>
      </c>
      <c r="I8" s="15">
        <f t="shared" si="1"/>
        <v>0</v>
      </c>
    </row>
    <row r="9" spans="2:9" s="12" customFormat="1" x14ac:dyDescent="0.25">
      <c r="B9" s="13" t="s">
        <v>19</v>
      </c>
      <c r="C9" s="383" t="s">
        <v>585</v>
      </c>
      <c r="D9" s="384" t="s">
        <v>20</v>
      </c>
      <c r="E9" s="385">
        <v>6.4496000000000002</v>
      </c>
      <c r="F9" s="386"/>
      <c r="G9" s="387">
        <v>6.4496000000000002</v>
      </c>
      <c r="H9" s="388" t="s">
        <v>21</v>
      </c>
      <c r="I9" s="15">
        <f t="shared" si="1"/>
        <v>0</v>
      </c>
    </row>
    <row r="10" spans="2:9" s="12" customFormat="1" x14ac:dyDescent="0.25">
      <c r="B10" s="13" t="s">
        <v>21</v>
      </c>
      <c r="C10" s="383" t="s">
        <v>586</v>
      </c>
      <c r="D10" s="384" t="s">
        <v>20</v>
      </c>
      <c r="E10" s="385">
        <v>5.15</v>
      </c>
      <c r="F10" s="386"/>
      <c r="G10" s="387">
        <v>5.15</v>
      </c>
      <c r="H10" s="388" t="s">
        <v>22</v>
      </c>
      <c r="I10" s="15">
        <f t="shared" si="1"/>
        <v>6.55661</v>
      </c>
    </row>
    <row r="11" spans="2:9" s="12" customFormat="1" x14ac:dyDescent="0.25">
      <c r="B11" s="16"/>
      <c r="C11" s="390"/>
      <c r="D11" s="390"/>
      <c r="E11" s="391"/>
      <c r="F11" s="390" t="s">
        <v>18</v>
      </c>
      <c r="G11" s="390"/>
      <c r="H11" s="388" t="s">
        <v>23</v>
      </c>
      <c r="I11" s="15">
        <f t="shared" si="1"/>
        <v>3.3422499999999999</v>
      </c>
    </row>
    <row r="12" spans="2:9" s="12" customFormat="1" x14ac:dyDescent="0.25">
      <c r="B12" s="13" t="s">
        <v>22</v>
      </c>
      <c r="C12" s="383" t="s">
        <v>587</v>
      </c>
      <c r="D12" s="384" t="s">
        <v>24</v>
      </c>
      <c r="E12" s="385">
        <v>3.3666100000000001</v>
      </c>
      <c r="F12" s="389">
        <v>3.3666100000000001</v>
      </c>
      <c r="G12" s="386"/>
      <c r="H12" s="388" t="s">
        <v>25</v>
      </c>
      <c r="I12" s="15">
        <f t="shared" si="1"/>
        <v>0</v>
      </c>
    </row>
    <row r="13" spans="2:9" s="12" customFormat="1" x14ac:dyDescent="0.25">
      <c r="B13" s="13" t="s">
        <v>23</v>
      </c>
      <c r="C13" s="383" t="s">
        <v>588</v>
      </c>
      <c r="D13" s="384" t="s">
        <v>24</v>
      </c>
      <c r="E13" s="385">
        <v>3.3422499999999999</v>
      </c>
      <c r="F13" s="389">
        <v>3.3422499999999999</v>
      </c>
      <c r="G13" s="386"/>
      <c r="H13" s="388" t="s">
        <v>26</v>
      </c>
      <c r="I13" s="15">
        <f t="shared" si="1"/>
        <v>0</v>
      </c>
    </row>
    <row r="14" spans="2:9" s="12" customFormat="1" x14ac:dyDescent="0.25">
      <c r="B14" s="13" t="s">
        <v>25</v>
      </c>
      <c r="C14" s="383" t="s">
        <v>589</v>
      </c>
      <c r="D14" s="384" t="s">
        <v>24</v>
      </c>
      <c r="E14" s="385">
        <v>3.22</v>
      </c>
      <c r="F14" s="386"/>
      <c r="G14" s="387">
        <v>3.22</v>
      </c>
      <c r="H14" s="388" t="s">
        <v>27</v>
      </c>
      <c r="I14" s="15">
        <f t="shared" si="1"/>
        <v>0</v>
      </c>
    </row>
    <row r="15" spans="2:9" s="12" customFormat="1" x14ac:dyDescent="0.25">
      <c r="B15" s="13" t="s">
        <v>25</v>
      </c>
      <c r="C15" s="383" t="s">
        <v>590</v>
      </c>
      <c r="D15" s="384" t="s">
        <v>24</v>
      </c>
      <c r="E15" s="385">
        <v>3.22</v>
      </c>
      <c r="F15" s="386"/>
      <c r="G15" s="387">
        <v>3.22</v>
      </c>
      <c r="H15" s="388" t="s">
        <v>28</v>
      </c>
      <c r="I15" s="15">
        <f t="shared" si="1"/>
        <v>1.2204000000000002</v>
      </c>
    </row>
    <row r="16" spans="2:9" s="12" customFormat="1" x14ac:dyDescent="0.25">
      <c r="B16" s="13" t="s">
        <v>26</v>
      </c>
      <c r="C16" s="383" t="s">
        <v>591</v>
      </c>
      <c r="D16" s="384" t="s">
        <v>24</v>
      </c>
      <c r="E16" s="385">
        <v>3.19</v>
      </c>
      <c r="F16" s="386"/>
      <c r="G16" s="387">
        <v>3.19</v>
      </c>
      <c r="H16" s="388" t="s">
        <v>29</v>
      </c>
      <c r="I16" s="15">
        <f t="shared" si="1"/>
        <v>0</v>
      </c>
    </row>
    <row r="17" spans="2:9" s="12" customFormat="1" x14ac:dyDescent="0.25">
      <c r="B17" s="13" t="s">
        <v>27</v>
      </c>
      <c r="C17" s="383" t="s">
        <v>592</v>
      </c>
      <c r="D17" s="384" t="s">
        <v>24</v>
      </c>
      <c r="E17" s="385">
        <v>3.31968</v>
      </c>
      <c r="F17" s="386"/>
      <c r="G17" s="387">
        <v>3.31968</v>
      </c>
      <c r="H17" s="388" t="s">
        <v>30</v>
      </c>
      <c r="I17" s="15">
        <f t="shared" si="1"/>
        <v>0</v>
      </c>
    </row>
    <row r="18" spans="2:9" s="12" customFormat="1" ht="15" customHeight="1" x14ac:dyDescent="0.25">
      <c r="B18" s="13" t="s">
        <v>28</v>
      </c>
      <c r="C18" s="383" t="s">
        <v>593</v>
      </c>
      <c r="D18" s="384" t="s">
        <v>24</v>
      </c>
      <c r="E18" s="385">
        <v>1.2204000000000002</v>
      </c>
      <c r="F18" s="389">
        <v>1.2204000000000002</v>
      </c>
      <c r="G18" s="386"/>
      <c r="H18" s="388" t="s">
        <v>31</v>
      </c>
      <c r="I18" s="15">
        <f t="shared" si="1"/>
        <v>3.19</v>
      </c>
    </row>
    <row r="19" spans="2:9" s="12" customFormat="1" ht="15" customHeight="1" x14ac:dyDescent="0.25">
      <c r="B19" s="13" t="s">
        <v>29</v>
      </c>
      <c r="C19" s="383" t="s">
        <v>594</v>
      </c>
      <c r="D19" s="384" t="s">
        <v>24</v>
      </c>
      <c r="E19" s="385">
        <v>3.1320000000000001</v>
      </c>
      <c r="F19" s="386"/>
      <c r="G19" s="387">
        <v>3.1320000000000001</v>
      </c>
      <c r="H19" s="388" t="s">
        <v>32</v>
      </c>
      <c r="I19" s="15">
        <f t="shared" si="1"/>
        <v>0</v>
      </c>
    </row>
    <row r="20" spans="2:9" s="12" customFormat="1" ht="15" customHeight="1" x14ac:dyDescent="0.25">
      <c r="B20" s="13" t="s">
        <v>30</v>
      </c>
      <c r="C20" s="383" t="s">
        <v>595</v>
      </c>
      <c r="D20" s="384" t="s">
        <v>24</v>
      </c>
      <c r="E20" s="385">
        <v>3.19</v>
      </c>
      <c r="F20" s="386"/>
      <c r="G20" s="387">
        <v>3.19</v>
      </c>
      <c r="H20" s="388" t="s">
        <v>33</v>
      </c>
      <c r="I20" s="15">
        <f t="shared" si="1"/>
        <v>6.1020000000000003</v>
      </c>
    </row>
    <row r="21" spans="2:9" s="12" customFormat="1" ht="15" customHeight="1" x14ac:dyDescent="0.25">
      <c r="B21" s="13" t="s">
        <v>30</v>
      </c>
      <c r="C21" s="383" t="s">
        <v>596</v>
      </c>
      <c r="D21" s="384" t="s">
        <v>24</v>
      </c>
      <c r="E21" s="385">
        <v>3.31968</v>
      </c>
      <c r="F21" s="386"/>
      <c r="G21" s="387">
        <v>3.31968</v>
      </c>
      <c r="H21" s="388" t="s">
        <v>34</v>
      </c>
      <c r="I21" s="15">
        <f t="shared" si="1"/>
        <v>6.0979500000000009</v>
      </c>
    </row>
    <row r="22" spans="2:9" s="12" customFormat="1" ht="15" customHeight="1" x14ac:dyDescent="0.25">
      <c r="B22" s="13" t="s">
        <v>31</v>
      </c>
      <c r="C22" s="383" t="s">
        <v>597</v>
      </c>
      <c r="D22" s="384" t="s">
        <v>24</v>
      </c>
      <c r="E22" s="385">
        <v>3.19</v>
      </c>
      <c r="F22" s="389">
        <v>3.19</v>
      </c>
      <c r="G22" s="386"/>
      <c r="H22" s="388" t="s">
        <v>35</v>
      </c>
      <c r="I22" s="15">
        <f t="shared" si="1"/>
        <v>6.2160000000000002</v>
      </c>
    </row>
    <row r="23" spans="2:9" s="12" customFormat="1" ht="15" customHeight="1" x14ac:dyDescent="0.25">
      <c r="B23" s="13" t="s">
        <v>22</v>
      </c>
      <c r="C23" s="383" t="s">
        <v>598</v>
      </c>
      <c r="D23" s="384" t="s">
        <v>24</v>
      </c>
      <c r="E23" s="385">
        <v>3.19</v>
      </c>
      <c r="F23" s="389">
        <v>3.19</v>
      </c>
      <c r="G23" s="386"/>
      <c r="H23" s="388" t="s">
        <v>36</v>
      </c>
      <c r="I23" s="15">
        <f t="shared" si="1"/>
        <v>0</v>
      </c>
    </row>
    <row r="24" spans="2:9" s="12" customFormat="1" x14ac:dyDescent="0.25">
      <c r="B24" s="17"/>
      <c r="C24" s="394"/>
      <c r="D24" s="392"/>
      <c r="E24" s="393"/>
      <c r="F24" s="392" t="s">
        <v>18</v>
      </c>
      <c r="G24" s="392"/>
      <c r="H24" s="388" t="s">
        <v>37</v>
      </c>
      <c r="I24" s="15">
        <f t="shared" si="1"/>
        <v>18.510190000000001</v>
      </c>
    </row>
    <row r="25" spans="2:9" s="12" customFormat="1" ht="15" customHeight="1" x14ac:dyDescent="0.25">
      <c r="B25" s="13" t="s">
        <v>32</v>
      </c>
      <c r="C25" s="383" t="s">
        <v>599</v>
      </c>
      <c r="D25" s="384" t="s">
        <v>38</v>
      </c>
      <c r="E25" s="385">
        <v>6.16</v>
      </c>
      <c r="F25" s="386"/>
      <c r="G25" s="387">
        <v>6.16</v>
      </c>
      <c r="H25" s="388" t="s">
        <v>39</v>
      </c>
      <c r="I25" s="15">
        <f t="shared" si="1"/>
        <v>6.3</v>
      </c>
    </row>
    <row r="26" spans="2:9" s="12" customFormat="1" ht="15" customHeight="1" x14ac:dyDescent="0.25">
      <c r="B26" s="13" t="s">
        <v>33</v>
      </c>
      <c r="C26" s="383" t="s">
        <v>600</v>
      </c>
      <c r="D26" s="384" t="s">
        <v>38</v>
      </c>
      <c r="E26" s="385">
        <v>6.1020000000000003</v>
      </c>
      <c r="F26" s="389">
        <v>6.1020000000000003</v>
      </c>
      <c r="G26" s="386"/>
      <c r="H26" s="388" t="s">
        <v>40</v>
      </c>
      <c r="I26" s="15">
        <f t="shared" si="1"/>
        <v>3.08</v>
      </c>
    </row>
    <row r="27" spans="2:9" s="12" customFormat="1" ht="15" customHeight="1" x14ac:dyDescent="0.25">
      <c r="B27" s="13" t="s">
        <v>34</v>
      </c>
      <c r="C27" s="383" t="s">
        <v>601</v>
      </c>
      <c r="D27" s="384" t="s">
        <v>38</v>
      </c>
      <c r="E27" s="385">
        <v>6.0979500000000009</v>
      </c>
      <c r="F27" s="389">
        <v>6.0979500000000009</v>
      </c>
      <c r="G27" s="386"/>
      <c r="H27" s="388" t="s">
        <v>41</v>
      </c>
      <c r="I27" s="15">
        <f t="shared" si="1"/>
        <v>0</v>
      </c>
    </row>
    <row r="28" spans="2:9" s="12" customFormat="1" ht="15" customHeight="1" x14ac:dyDescent="0.25">
      <c r="B28" s="13" t="s">
        <v>35</v>
      </c>
      <c r="C28" s="383" t="s">
        <v>602</v>
      </c>
      <c r="D28" s="384" t="s">
        <v>38</v>
      </c>
      <c r="E28" s="385">
        <v>6.2160000000000002</v>
      </c>
      <c r="F28" s="389">
        <v>6.2160000000000002</v>
      </c>
      <c r="G28" s="386"/>
      <c r="H28" s="388" t="s">
        <v>42</v>
      </c>
      <c r="I28" s="15">
        <f t="shared" si="1"/>
        <v>0</v>
      </c>
    </row>
    <row r="29" spans="2:9" s="12" customFormat="1" ht="15" customHeight="1" x14ac:dyDescent="0.25">
      <c r="B29" s="13" t="s">
        <v>36</v>
      </c>
      <c r="C29" s="383" t="s">
        <v>603</v>
      </c>
      <c r="D29" s="384" t="s">
        <v>38</v>
      </c>
      <c r="E29" s="385">
        <v>6.2640000000000002</v>
      </c>
      <c r="F29" s="386"/>
      <c r="G29" s="387">
        <v>6.2640000000000002</v>
      </c>
      <c r="H29" s="388" t="s">
        <v>43</v>
      </c>
      <c r="I29" s="15">
        <f t="shared" si="1"/>
        <v>6.6539999999999999</v>
      </c>
    </row>
    <row r="30" spans="2:9" s="12" customFormat="1" x14ac:dyDescent="0.25">
      <c r="B30" s="17"/>
      <c r="C30" s="394"/>
      <c r="D30" s="392"/>
      <c r="E30" s="393"/>
      <c r="F30" s="392" t="s">
        <v>18</v>
      </c>
      <c r="G30" s="392"/>
      <c r="H30" s="388" t="s">
        <v>44</v>
      </c>
      <c r="I30" s="15">
        <f t="shared" si="1"/>
        <v>0</v>
      </c>
    </row>
    <row r="31" spans="2:9" s="12" customFormat="1" ht="15" customHeight="1" x14ac:dyDescent="0.25">
      <c r="B31" s="13" t="s">
        <v>37</v>
      </c>
      <c r="C31" s="383" t="s">
        <v>604</v>
      </c>
      <c r="D31" s="384" t="s">
        <v>45</v>
      </c>
      <c r="E31" s="385">
        <v>6.2060000000000004</v>
      </c>
      <c r="F31" s="389">
        <v>6.2060000000000004</v>
      </c>
      <c r="G31" s="386"/>
      <c r="H31" s="388" t="s">
        <v>46</v>
      </c>
      <c r="I31" s="15">
        <f t="shared" si="1"/>
        <v>6.6420000000000003</v>
      </c>
    </row>
    <row r="32" spans="2:9" s="12" customFormat="1" ht="15" customHeight="1" x14ac:dyDescent="0.25">
      <c r="B32" s="13" t="s">
        <v>37</v>
      </c>
      <c r="C32" s="383" t="s">
        <v>605</v>
      </c>
      <c r="D32" s="384" t="s">
        <v>45</v>
      </c>
      <c r="E32" s="385">
        <v>6.2190500000000002</v>
      </c>
      <c r="F32" s="389">
        <v>6.2190500000000002</v>
      </c>
      <c r="G32" s="386"/>
      <c r="H32" s="388" t="s">
        <v>47</v>
      </c>
      <c r="I32" s="15">
        <f t="shared" si="1"/>
        <v>0</v>
      </c>
    </row>
    <row r="33" spans="2:9" s="12" customFormat="1" x14ac:dyDescent="0.25">
      <c r="B33" s="13" t="s">
        <v>39</v>
      </c>
      <c r="C33" s="383" t="s">
        <v>606</v>
      </c>
      <c r="D33" s="384" t="s">
        <v>45</v>
      </c>
      <c r="E33" s="385">
        <v>6.3</v>
      </c>
      <c r="F33" s="389">
        <v>6.3</v>
      </c>
      <c r="G33" s="386"/>
      <c r="H33" s="388" t="s">
        <v>48</v>
      </c>
      <c r="I33" s="15">
        <f t="shared" si="1"/>
        <v>0</v>
      </c>
    </row>
    <row r="34" spans="2:9" s="12" customFormat="1" x14ac:dyDescent="0.25">
      <c r="B34" s="13" t="s">
        <v>40</v>
      </c>
      <c r="C34" s="383" t="s">
        <v>607</v>
      </c>
      <c r="D34" s="384" t="s">
        <v>45</v>
      </c>
      <c r="E34" s="385">
        <v>3.08</v>
      </c>
      <c r="F34" s="389">
        <v>3.08</v>
      </c>
      <c r="G34" s="386"/>
      <c r="H34" s="388" t="s">
        <v>49</v>
      </c>
      <c r="I34" s="15">
        <f t="shared" si="1"/>
        <v>6.1020000000000003</v>
      </c>
    </row>
    <row r="35" spans="2:9" s="12" customFormat="1" x14ac:dyDescent="0.25">
      <c r="B35" s="13" t="s">
        <v>37</v>
      </c>
      <c r="C35" s="383" t="s">
        <v>608</v>
      </c>
      <c r="D35" s="384" t="s">
        <v>45</v>
      </c>
      <c r="E35" s="385">
        <v>4.9059999999999997</v>
      </c>
      <c r="F35" s="389">
        <v>4.9059999999999997</v>
      </c>
      <c r="G35" s="386"/>
      <c r="H35" s="388" t="s">
        <v>50</v>
      </c>
      <c r="I35" s="15">
        <f t="shared" si="1"/>
        <v>6.64032</v>
      </c>
    </row>
    <row r="36" spans="2:9" s="12" customFormat="1" x14ac:dyDescent="0.25">
      <c r="B36" s="13" t="s">
        <v>37</v>
      </c>
      <c r="C36" s="383" t="s">
        <v>609</v>
      </c>
      <c r="D36" s="384" t="s">
        <v>45</v>
      </c>
      <c r="E36" s="385">
        <v>1.1791400000000001</v>
      </c>
      <c r="F36" s="389">
        <v>1.1791400000000001</v>
      </c>
      <c r="G36" s="386"/>
      <c r="H36" s="388" t="s">
        <v>51</v>
      </c>
      <c r="I36" s="15">
        <f t="shared" si="1"/>
        <v>6.1020000000000003</v>
      </c>
    </row>
    <row r="37" spans="2:9" s="12" customFormat="1" x14ac:dyDescent="0.25">
      <c r="B37" s="17"/>
      <c r="C37" s="394"/>
      <c r="D37" s="392"/>
      <c r="E37" s="393"/>
      <c r="F37" s="392" t="s">
        <v>18</v>
      </c>
      <c r="G37" s="392"/>
      <c r="H37" s="388" t="s">
        <v>52</v>
      </c>
      <c r="I37" s="15">
        <f t="shared" si="1"/>
        <v>6.1020000000000003</v>
      </c>
    </row>
    <row r="38" spans="2:9" s="12" customFormat="1" x14ac:dyDescent="0.25">
      <c r="B38" s="13" t="s">
        <v>41</v>
      </c>
      <c r="C38" s="383" t="s">
        <v>610</v>
      </c>
      <c r="D38" s="384" t="s">
        <v>53</v>
      </c>
      <c r="E38" s="385">
        <v>2.58</v>
      </c>
      <c r="F38" s="386"/>
      <c r="G38" s="387">
        <v>2.58</v>
      </c>
      <c r="H38" s="388" t="s">
        <v>54</v>
      </c>
      <c r="I38" s="15">
        <f t="shared" si="1"/>
        <v>0</v>
      </c>
    </row>
    <row r="39" spans="2:9" s="12" customFormat="1" x14ac:dyDescent="0.25">
      <c r="B39" s="13" t="s">
        <v>42</v>
      </c>
      <c r="C39" s="383" t="s">
        <v>611</v>
      </c>
      <c r="D39" s="384" t="s">
        <v>53</v>
      </c>
      <c r="E39" s="385">
        <v>1.9348800000000002</v>
      </c>
      <c r="F39" s="386"/>
      <c r="G39" s="387">
        <v>1.9348800000000002</v>
      </c>
      <c r="H39" s="388" t="s">
        <v>55</v>
      </c>
      <c r="I39" s="15">
        <f t="shared" si="1"/>
        <v>0</v>
      </c>
    </row>
    <row r="40" spans="2:9" s="12" customFormat="1" x14ac:dyDescent="0.25">
      <c r="B40" s="17"/>
      <c r="C40" s="394"/>
      <c r="D40" s="392"/>
      <c r="E40" s="393"/>
      <c r="F40" s="392" t="s">
        <v>18</v>
      </c>
      <c r="G40" s="392"/>
      <c r="H40" s="388" t="s">
        <v>56</v>
      </c>
      <c r="I40" s="15">
        <f t="shared" si="1"/>
        <v>2.4151199999999999</v>
      </c>
    </row>
    <row r="41" spans="2:9" x14ac:dyDescent="0.25">
      <c r="B41" s="13" t="s">
        <v>43</v>
      </c>
      <c r="C41" s="383" t="s">
        <v>612</v>
      </c>
      <c r="D41" s="384" t="s">
        <v>57</v>
      </c>
      <c r="E41" s="385">
        <v>6.6539999999999999</v>
      </c>
      <c r="F41" s="389">
        <v>6.6539999999999999</v>
      </c>
      <c r="G41" s="386"/>
      <c r="H41" s="388" t="s">
        <v>58</v>
      </c>
      <c r="I41" s="15">
        <f t="shared" si="1"/>
        <v>0</v>
      </c>
    </row>
    <row r="42" spans="2:9" x14ac:dyDescent="0.25">
      <c r="B42" s="13" t="s">
        <v>44</v>
      </c>
      <c r="C42" s="383" t="s">
        <v>613</v>
      </c>
      <c r="D42" s="384" t="s">
        <v>57</v>
      </c>
      <c r="E42" s="385">
        <v>3.08</v>
      </c>
      <c r="F42" s="386"/>
      <c r="G42" s="387">
        <v>3.08</v>
      </c>
      <c r="H42" s="388" t="s">
        <v>59</v>
      </c>
      <c r="I42" s="15">
        <f t="shared" si="1"/>
        <v>0</v>
      </c>
    </row>
    <row r="43" spans="2:9" x14ac:dyDescent="0.25">
      <c r="B43" s="13" t="s">
        <v>46</v>
      </c>
      <c r="C43" s="383" t="s">
        <v>614</v>
      </c>
      <c r="D43" s="384" t="s">
        <v>57</v>
      </c>
      <c r="E43" s="385">
        <v>6.6420000000000003</v>
      </c>
      <c r="F43" s="389">
        <v>6.6420000000000003</v>
      </c>
      <c r="G43" s="386"/>
      <c r="H43" s="388" t="s">
        <v>60</v>
      </c>
      <c r="I43" s="15">
        <f t="shared" si="1"/>
        <v>2.86056</v>
      </c>
    </row>
    <row r="44" spans="2:9" x14ac:dyDescent="0.25">
      <c r="B44" s="13" t="s">
        <v>47</v>
      </c>
      <c r="C44" s="383" t="s">
        <v>615</v>
      </c>
      <c r="D44" s="384" t="s">
        <v>57</v>
      </c>
      <c r="E44" s="385">
        <v>3.2031999999999998</v>
      </c>
      <c r="F44" s="386"/>
      <c r="G44" s="387">
        <v>3.2031999999999998</v>
      </c>
      <c r="H44" s="388" t="s">
        <v>61</v>
      </c>
      <c r="I44" s="15">
        <f t="shared" si="1"/>
        <v>0</v>
      </c>
    </row>
    <row r="45" spans="2:9" x14ac:dyDescent="0.25">
      <c r="B45" s="13" t="s">
        <v>48</v>
      </c>
      <c r="C45" s="383" t="s">
        <v>616</v>
      </c>
      <c r="D45" s="384" t="s">
        <v>57</v>
      </c>
      <c r="E45" s="385">
        <v>6.2160000000000002</v>
      </c>
      <c r="F45" s="386"/>
      <c r="G45" s="387">
        <v>6.2160000000000002</v>
      </c>
      <c r="H45" s="388" t="s">
        <v>62</v>
      </c>
      <c r="I45" s="15">
        <f t="shared" si="1"/>
        <v>0</v>
      </c>
    </row>
    <row r="46" spans="2:9" x14ac:dyDescent="0.25">
      <c r="B46" s="13" t="s">
        <v>49</v>
      </c>
      <c r="C46" s="383" t="s">
        <v>617</v>
      </c>
      <c r="D46" s="384" t="s">
        <v>57</v>
      </c>
      <c r="E46" s="385">
        <v>6.1020000000000003</v>
      </c>
      <c r="F46" s="389">
        <v>6.1020000000000003</v>
      </c>
      <c r="G46" s="386"/>
      <c r="H46" s="388" t="s">
        <v>63</v>
      </c>
      <c r="I46" s="15">
        <f t="shared" si="1"/>
        <v>6.7970200000000007</v>
      </c>
    </row>
    <row r="47" spans="2:9" x14ac:dyDescent="0.25">
      <c r="B47" s="13" t="s">
        <v>50</v>
      </c>
      <c r="C47" s="383" t="s">
        <v>618</v>
      </c>
      <c r="D47" s="384" t="s">
        <v>57</v>
      </c>
      <c r="E47" s="385">
        <v>5.2750000000000004</v>
      </c>
      <c r="F47" s="389">
        <v>5.2750000000000004</v>
      </c>
      <c r="G47" s="386"/>
      <c r="H47" s="388" t="s">
        <v>64</v>
      </c>
      <c r="I47" s="15">
        <f t="shared" si="1"/>
        <v>6.2540000000000004</v>
      </c>
    </row>
    <row r="48" spans="2:9" x14ac:dyDescent="0.25">
      <c r="B48" s="13" t="s">
        <v>50</v>
      </c>
      <c r="C48" s="383" t="s">
        <v>619</v>
      </c>
      <c r="D48" s="384" t="s">
        <v>57</v>
      </c>
      <c r="E48" s="385">
        <v>1.3653199999999999</v>
      </c>
      <c r="F48" s="389">
        <v>1.3653199999999999</v>
      </c>
      <c r="G48" s="386"/>
      <c r="H48" s="388" t="s">
        <v>65</v>
      </c>
      <c r="I48" s="15">
        <f t="shared" si="1"/>
        <v>1.232</v>
      </c>
    </row>
    <row r="49" spans="2:9" x14ac:dyDescent="0.25">
      <c r="B49" s="13" t="s">
        <v>51</v>
      </c>
      <c r="C49" s="383" t="s">
        <v>620</v>
      </c>
      <c r="D49" s="384" t="s">
        <v>57</v>
      </c>
      <c r="E49" s="385">
        <v>6.1020000000000003</v>
      </c>
      <c r="F49" s="389">
        <v>6.1020000000000003</v>
      </c>
      <c r="G49" s="386"/>
      <c r="H49" s="388" t="s">
        <v>66</v>
      </c>
      <c r="I49" s="15">
        <f t="shared" si="1"/>
        <v>6.1020000000000003</v>
      </c>
    </row>
    <row r="50" spans="2:9" x14ac:dyDescent="0.25">
      <c r="B50" s="13" t="s">
        <v>52</v>
      </c>
      <c r="C50" s="383" t="s">
        <v>621</v>
      </c>
      <c r="D50" s="384" t="s">
        <v>57</v>
      </c>
      <c r="E50" s="385">
        <v>6.1020000000000003</v>
      </c>
      <c r="F50" s="389">
        <v>6.1020000000000003</v>
      </c>
      <c r="G50" s="386"/>
      <c r="H50" s="388" t="s">
        <v>67</v>
      </c>
      <c r="I50" s="15">
        <f t="shared" si="1"/>
        <v>0</v>
      </c>
    </row>
    <row r="51" spans="2:9" x14ac:dyDescent="0.25">
      <c r="B51" s="13" t="s">
        <v>54</v>
      </c>
      <c r="C51" s="383" t="s">
        <v>622</v>
      </c>
      <c r="D51" s="384" t="s">
        <v>57</v>
      </c>
      <c r="E51" s="385">
        <v>2.7103999999999999</v>
      </c>
      <c r="F51" s="386"/>
      <c r="G51" s="387">
        <v>2.7103999999999999</v>
      </c>
      <c r="H51" s="388" t="s">
        <v>68</v>
      </c>
      <c r="I51" s="15">
        <f t="shared" si="1"/>
        <v>2.4407999999999999</v>
      </c>
    </row>
    <row r="52" spans="2:9" x14ac:dyDescent="0.25">
      <c r="B52" s="13" t="s">
        <v>55</v>
      </c>
      <c r="C52" s="383" t="s">
        <v>623</v>
      </c>
      <c r="D52" s="384" t="s">
        <v>57</v>
      </c>
      <c r="E52" s="385">
        <v>6.2160000000000002</v>
      </c>
      <c r="F52" s="386"/>
      <c r="G52" s="387">
        <v>6.2160000000000002</v>
      </c>
      <c r="H52" s="388" t="s">
        <v>69</v>
      </c>
      <c r="I52" s="15">
        <f t="shared" si="1"/>
        <v>6.7799999999999994</v>
      </c>
    </row>
    <row r="53" spans="2:9" s="12" customFormat="1" x14ac:dyDescent="0.25">
      <c r="B53" s="17"/>
      <c r="C53" s="394"/>
      <c r="D53" s="392"/>
      <c r="E53" s="393"/>
      <c r="F53" s="392" t="s">
        <v>18</v>
      </c>
      <c r="G53" s="392"/>
      <c r="H53" s="388" t="s">
        <v>70</v>
      </c>
      <c r="I53" s="15">
        <f t="shared" si="1"/>
        <v>9.8438599999999994</v>
      </c>
    </row>
    <row r="54" spans="2:9" x14ac:dyDescent="0.25">
      <c r="B54" s="13" t="s">
        <v>56</v>
      </c>
      <c r="C54" s="383" t="s">
        <v>624</v>
      </c>
      <c r="D54" s="384" t="s">
        <v>71</v>
      </c>
      <c r="E54" s="385">
        <v>0.56144000000000005</v>
      </c>
      <c r="F54" s="389">
        <v>0.56144000000000005</v>
      </c>
      <c r="G54" s="386"/>
      <c r="H54" s="388" t="s">
        <v>72</v>
      </c>
      <c r="I54" s="15">
        <f t="shared" si="1"/>
        <v>3.4164899999999996</v>
      </c>
    </row>
    <row r="55" spans="2:9" x14ac:dyDescent="0.25">
      <c r="B55" s="13" t="s">
        <v>56</v>
      </c>
      <c r="C55" s="383" t="s">
        <v>625</v>
      </c>
      <c r="D55" s="384" t="s">
        <v>71</v>
      </c>
      <c r="E55" s="385">
        <v>0.56376000000000004</v>
      </c>
      <c r="F55" s="389">
        <v>0.56376000000000004</v>
      </c>
      <c r="G55" s="386"/>
      <c r="H55" s="388" t="s">
        <v>73</v>
      </c>
      <c r="I55" s="15">
        <f t="shared" si="1"/>
        <v>5.2015500000000001</v>
      </c>
    </row>
    <row r="56" spans="2:9" x14ac:dyDescent="0.25">
      <c r="B56" s="13" t="s">
        <v>58</v>
      </c>
      <c r="C56" s="383" t="s">
        <v>626</v>
      </c>
      <c r="D56" s="384" t="s">
        <v>71</v>
      </c>
      <c r="E56" s="385">
        <v>1.2899200000000002</v>
      </c>
      <c r="F56" s="386"/>
      <c r="G56" s="387">
        <v>1.2899200000000002</v>
      </c>
      <c r="H56" s="388" t="s">
        <v>74</v>
      </c>
      <c r="I56" s="15">
        <f t="shared" si="1"/>
        <v>4.3441999999999998</v>
      </c>
    </row>
    <row r="57" spans="2:9" x14ac:dyDescent="0.25">
      <c r="B57" s="13" t="s">
        <v>56</v>
      </c>
      <c r="C57" s="383" t="s">
        <v>627</v>
      </c>
      <c r="D57" s="384" t="s">
        <v>71</v>
      </c>
      <c r="E57" s="385">
        <v>1.2899200000000002</v>
      </c>
      <c r="F57" s="389">
        <v>1.2899200000000002</v>
      </c>
      <c r="G57" s="386"/>
      <c r="H57" s="388" t="s">
        <v>75</v>
      </c>
      <c r="I57" s="15">
        <f t="shared" si="1"/>
        <v>1.4011199999999999</v>
      </c>
    </row>
    <row r="58" spans="2:9" x14ac:dyDescent="0.25">
      <c r="B58" s="13" t="s">
        <v>59</v>
      </c>
      <c r="C58" s="383" t="s">
        <v>628</v>
      </c>
      <c r="D58" s="384" t="s">
        <v>71</v>
      </c>
      <c r="E58" s="385">
        <v>1.2767999999999999</v>
      </c>
      <c r="F58" s="386"/>
      <c r="G58" s="387">
        <v>1.2767999999999999</v>
      </c>
      <c r="H58" s="388" t="s">
        <v>76</v>
      </c>
      <c r="I58" s="15">
        <f t="shared" si="1"/>
        <v>0</v>
      </c>
    </row>
    <row r="59" spans="2:9" s="12" customFormat="1" x14ac:dyDescent="0.25">
      <c r="B59" s="17"/>
      <c r="C59" s="394"/>
      <c r="D59" s="392"/>
      <c r="E59" s="393"/>
      <c r="F59" s="392" t="s">
        <v>18</v>
      </c>
      <c r="G59" s="392"/>
      <c r="H59" s="388" t="s">
        <v>77</v>
      </c>
      <c r="I59" s="15">
        <f t="shared" si="1"/>
        <v>0</v>
      </c>
    </row>
    <row r="60" spans="2:9" x14ac:dyDescent="0.25">
      <c r="B60" s="13" t="s">
        <v>60</v>
      </c>
      <c r="C60" s="383" t="s">
        <v>629</v>
      </c>
      <c r="D60" s="384" t="s">
        <v>78</v>
      </c>
      <c r="E60" s="385">
        <v>1.8675999999999999</v>
      </c>
      <c r="F60" s="389">
        <v>1.8675999999999999</v>
      </c>
      <c r="G60" s="386"/>
      <c r="H60" s="167"/>
      <c r="I60" s="18"/>
    </row>
    <row r="61" spans="2:9" x14ac:dyDescent="0.25">
      <c r="B61" s="13" t="s">
        <v>60</v>
      </c>
      <c r="C61" s="383" t="s">
        <v>630</v>
      </c>
      <c r="D61" s="384" t="s">
        <v>78</v>
      </c>
      <c r="E61" s="385">
        <v>0.99296000000000006</v>
      </c>
      <c r="F61" s="389">
        <v>0.99296000000000006</v>
      </c>
      <c r="G61" s="386"/>
      <c r="H61" s="167"/>
      <c r="I61" s="18"/>
    </row>
    <row r="62" spans="2:9" s="12" customFormat="1" x14ac:dyDescent="0.25">
      <c r="B62" s="17"/>
      <c r="C62" s="394"/>
      <c r="D62" s="392"/>
      <c r="E62" s="393"/>
      <c r="F62" s="392"/>
      <c r="G62" s="392"/>
      <c r="H62" s="167"/>
      <c r="I62" s="18"/>
    </row>
    <row r="63" spans="2:9" x14ac:dyDescent="0.25">
      <c r="B63" s="13" t="s">
        <v>61</v>
      </c>
      <c r="C63" s="383" t="s">
        <v>631</v>
      </c>
      <c r="D63" s="384" t="s">
        <v>79</v>
      </c>
      <c r="E63" s="385">
        <v>3.2031999999999998</v>
      </c>
      <c r="F63" s="386"/>
      <c r="G63" s="387">
        <v>3.2031999999999998</v>
      </c>
      <c r="H63" s="167"/>
      <c r="I63" s="18"/>
    </row>
    <row r="64" spans="2:9" x14ac:dyDescent="0.25">
      <c r="B64" s="13" t="s">
        <v>62</v>
      </c>
      <c r="C64" s="383" t="s">
        <v>632</v>
      </c>
      <c r="D64" s="384" t="s">
        <v>79</v>
      </c>
      <c r="E64" s="385">
        <v>6.77</v>
      </c>
      <c r="F64" s="386"/>
      <c r="G64" s="387">
        <v>6.77</v>
      </c>
      <c r="H64" s="167"/>
      <c r="I64" s="18"/>
    </row>
    <row r="65" spans="2:9" x14ac:dyDescent="0.25">
      <c r="B65" s="13" t="s">
        <v>63</v>
      </c>
      <c r="C65" s="383" t="s">
        <v>633</v>
      </c>
      <c r="D65" s="384" t="s">
        <v>79</v>
      </c>
      <c r="E65" s="385">
        <v>6.7970200000000007</v>
      </c>
      <c r="F65" s="389">
        <v>6.7970200000000007</v>
      </c>
      <c r="G65" s="386"/>
      <c r="H65" s="167"/>
      <c r="I65" s="18"/>
    </row>
    <row r="66" spans="2:9" s="12" customFormat="1" x14ac:dyDescent="0.25">
      <c r="B66" s="17"/>
      <c r="C66" s="394"/>
      <c r="D66" s="392"/>
      <c r="E66" s="393"/>
      <c r="F66" s="392" t="s">
        <v>18</v>
      </c>
      <c r="G66" s="392"/>
      <c r="H66" s="167"/>
      <c r="I66" s="18"/>
    </row>
    <row r="67" spans="2:9" x14ac:dyDescent="0.25">
      <c r="B67" s="13" t="s">
        <v>64</v>
      </c>
      <c r="C67" s="383" t="s">
        <v>634</v>
      </c>
      <c r="D67" s="384" t="s">
        <v>80</v>
      </c>
      <c r="E67" s="385">
        <v>3.052</v>
      </c>
      <c r="F67" s="389">
        <v>3.052</v>
      </c>
      <c r="G67" s="386"/>
      <c r="H67" s="167"/>
      <c r="I67" s="18"/>
    </row>
    <row r="68" spans="2:9" x14ac:dyDescent="0.25">
      <c r="B68" s="13" t="s">
        <v>64</v>
      </c>
      <c r="C68" s="383" t="s">
        <v>635</v>
      </c>
      <c r="D68" s="384" t="s">
        <v>80</v>
      </c>
      <c r="E68" s="385">
        <v>1.526</v>
      </c>
      <c r="F68" s="389">
        <v>1.526</v>
      </c>
      <c r="G68" s="386"/>
      <c r="H68" s="167"/>
      <c r="I68" s="18"/>
    </row>
    <row r="69" spans="2:9" x14ac:dyDescent="0.25">
      <c r="B69" s="13" t="s">
        <v>64</v>
      </c>
      <c r="C69" s="383" t="s">
        <v>636</v>
      </c>
      <c r="D69" s="384" t="s">
        <v>80</v>
      </c>
      <c r="E69" s="385">
        <v>1.6759999999999999</v>
      </c>
      <c r="F69" s="389">
        <v>1.6759999999999999</v>
      </c>
      <c r="G69" s="386"/>
      <c r="H69" s="167"/>
      <c r="I69" s="18"/>
    </row>
    <row r="70" spans="2:9" x14ac:dyDescent="0.25">
      <c r="B70" s="13" t="s">
        <v>65</v>
      </c>
      <c r="C70" s="383" t="s">
        <v>637</v>
      </c>
      <c r="D70" s="384" t="s">
        <v>80</v>
      </c>
      <c r="E70" s="385">
        <v>1.232</v>
      </c>
      <c r="F70" s="389">
        <v>1.232</v>
      </c>
      <c r="G70" s="386"/>
      <c r="H70" s="167"/>
      <c r="I70" s="18"/>
    </row>
    <row r="71" spans="2:9" x14ac:dyDescent="0.25">
      <c r="B71" s="13" t="s">
        <v>66</v>
      </c>
      <c r="C71" s="383" t="s">
        <v>638</v>
      </c>
      <c r="D71" s="384" t="s">
        <v>80</v>
      </c>
      <c r="E71" s="385">
        <v>6.1020000000000003</v>
      </c>
      <c r="F71" s="389">
        <v>6.1020000000000003</v>
      </c>
      <c r="G71" s="386"/>
      <c r="H71" s="167"/>
      <c r="I71" s="18"/>
    </row>
    <row r="72" spans="2:9" x14ac:dyDescent="0.25">
      <c r="B72" s="13" t="s">
        <v>67</v>
      </c>
      <c r="C72" s="383" t="s">
        <v>639</v>
      </c>
      <c r="D72" s="384" t="s">
        <v>80</v>
      </c>
      <c r="E72" s="385">
        <v>1.3040999999999998</v>
      </c>
      <c r="F72" s="386"/>
      <c r="G72" s="387">
        <v>1.3040999999999998</v>
      </c>
      <c r="H72" s="167"/>
      <c r="I72" s="18"/>
    </row>
    <row r="73" spans="2:9" x14ac:dyDescent="0.25">
      <c r="B73" s="13" t="s">
        <v>67</v>
      </c>
      <c r="C73" s="383" t="s">
        <v>640</v>
      </c>
      <c r="D73" s="384" t="s">
        <v>80</v>
      </c>
      <c r="E73" s="385">
        <v>3.9119999999999999</v>
      </c>
      <c r="F73" s="386"/>
      <c r="G73" s="387">
        <v>3.9119999999999999</v>
      </c>
      <c r="H73" s="167"/>
      <c r="I73" s="18"/>
    </row>
    <row r="74" spans="2:9" x14ac:dyDescent="0.25">
      <c r="B74" s="13" t="s">
        <v>68</v>
      </c>
      <c r="C74" s="383" t="s">
        <v>641</v>
      </c>
      <c r="D74" s="384" t="s">
        <v>80</v>
      </c>
      <c r="E74" s="385">
        <v>2.4407999999999999</v>
      </c>
      <c r="F74" s="389">
        <v>2.4407999999999999</v>
      </c>
      <c r="G74" s="386"/>
      <c r="H74" s="167"/>
      <c r="I74" s="18"/>
    </row>
    <row r="75" spans="2:9" x14ac:dyDescent="0.25">
      <c r="B75" s="13" t="s">
        <v>69</v>
      </c>
      <c r="C75" s="383" t="s">
        <v>642</v>
      </c>
      <c r="D75" s="384" t="s">
        <v>80</v>
      </c>
      <c r="E75" s="385">
        <v>3.4129999999999998</v>
      </c>
      <c r="F75" s="389">
        <v>3.4129999999999998</v>
      </c>
      <c r="G75" s="386"/>
      <c r="H75" s="167"/>
      <c r="I75" s="18"/>
    </row>
    <row r="76" spans="2:9" x14ac:dyDescent="0.25">
      <c r="B76" s="13" t="s">
        <v>69</v>
      </c>
      <c r="C76" s="383" t="s">
        <v>643</v>
      </c>
      <c r="D76" s="384" t="s">
        <v>80</v>
      </c>
      <c r="E76" s="385">
        <v>1.6759999999999999</v>
      </c>
      <c r="F76" s="389">
        <v>1.6759999999999999</v>
      </c>
      <c r="G76" s="386"/>
      <c r="H76" s="167"/>
      <c r="I76" s="18"/>
    </row>
    <row r="77" spans="2:9" x14ac:dyDescent="0.25">
      <c r="B77" s="13" t="s">
        <v>69</v>
      </c>
      <c r="C77" s="383" t="s">
        <v>644</v>
      </c>
      <c r="D77" s="384" t="s">
        <v>80</v>
      </c>
      <c r="E77" s="385">
        <v>1.6910000000000001</v>
      </c>
      <c r="F77" s="389">
        <v>1.6910000000000001</v>
      </c>
      <c r="G77" s="386"/>
      <c r="H77" s="167"/>
      <c r="I77" s="18"/>
    </row>
    <row r="78" spans="2:9" x14ac:dyDescent="0.25">
      <c r="B78" s="13" t="s">
        <v>70</v>
      </c>
      <c r="C78" s="383" t="s">
        <v>645</v>
      </c>
      <c r="D78" s="384" t="s">
        <v>80</v>
      </c>
      <c r="E78" s="385">
        <v>3.3941599999999998</v>
      </c>
      <c r="F78" s="389">
        <v>3.3941599999999998</v>
      </c>
      <c r="G78" s="386"/>
      <c r="H78" s="167"/>
      <c r="I78" s="18"/>
    </row>
    <row r="79" spans="2:9" x14ac:dyDescent="0.25">
      <c r="B79" s="13" t="s">
        <v>72</v>
      </c>
      <c r="C79" s="383" t="s">
        <v>646</v>
      </c>
      <c r="D79" s="384" t="s">
        <v>80</v>
      </c>
      <c r="E79" s="385">
        <v>3.4164899999999996</v>
      </c>
      <c r="F79" s="389">
        <v>3.4164899999999996</v>
      </c>
      <c r="G79" s="386"/>
      <c r="H79" s="167"/>
      <c r="I79" s="18"/>
    </row>
    <row r="80" spans="2:9" x14ac:dyDescent="0.25">
      <c r="B80" s="13" t="s">
        <v>73</v>
      </c>
      <c r="C80" s="383" t="s">
        <v>647</v>
      </c>
      <c r="D80" s="384" t="s">
        <v>80</v>
      </c>
      <c r="E80" s="385">
        <v>1.84545</v>
      </c>
      <c r="F80" s="389">
        <v>1.84545</v>
      </c>
      <c r="G80" s="386"/>
      <c r="H80" s="167"/>
      <c r="I80" s="18"/>
    </row>
    <row r="81" spans="2:9" x14ac:dyDescent="0.25">
      <c r="B81" s="13" t="s">
        <v>70</v>
      </c>
      <c r="C81" s="383" t="s">
        <v>648</v>
      </c>
      <c r="D81" s="384" t="s">
        <v>80</v>
      </c>
      <c r="E81" s="385">
        <v>1.8332999999999999</v>
      </c>
      <c r="F81" s="389">
        <v>1.8332999999999999</v>
      </c>
      <c r="G81" s="386"/>
      <c r="H81" s="167"/>
      <c r="I81" s="18"/>
    </row>
    <row r="82" spans="2:9" x14ac:dyDescent="0.25">
      <c r="B82" s="13" t="s">
        <v>70</v>
      </c>
      <c r="C82" s="383" t="s">
        <v>649</v>
      </c>
      <c r="D82" s="384" t="s">
        <v>80</v>
      </c>
      <c r="E82" s="385">
        <v>2.1755999999999998</v>
      </c>
      <c r="F82" s="389">
        <v>2.1755999999999998</v>
      </c>
      <c r="G82" s="386"/>
      <c r="H82" s="167"/>
      <c r="I82" s="18"/>
    </row>
    <row r="83" spans="2:9" x14ac:dyDescent="0.25">
      <c r="B83" s="13" t="s">
        <v>73</v>
      </c>
      <c r="C83" s="383" t="s">
        <v>650</v>
      </c>
      <c r="D83" s="384" t="s">
        <v>80</v>
      </c>
      <c r="E83" s="385">
        <v>3.3561000000000001</v>
      </c>
      <c r="F83" s="389">
        <v>3.3561000000000001</v>
      </c>
      <c r="G83" s="386"/>
      <c r="H83" s="167"/>
      <c r="I83" s="18"/>
    </row>
    <row r="84" spans="2:9" x14ac:dyDescent="0.25">
      <c r="B84" s="13" t="s">
        <v>70</v>
      </c>
      <c r="C84" s="383" t="s">
        <v>651</v>
      </c>
      <c r="D84" s="384" t="s">
        <v>80</v>
      </c>
      <c r="E84" s="385">
        <v>2.4408000000000003</v>
      </c>
      <c r="F84" s="389">
        <v>2.4408000000000003</v>
      </c>
      <c r="G84" s="386"/>
      <c r="H84" s="167"/>
      <c r="I84" s="18"/>
    </row>
    <row r="85" spans="2:9" x14ac:dyDescent="0.25">
      <c r="B85" s="13" t="s">
        <v>74</v>
      </c>
      <c r="C85" s="383" t="s">
        <v>652</v>
      </c>
      <c r="D85" s="384" t="s">
        <v>80</v>
      </c>
      <c r="E85" s="385">
        <v>3.7235999999999998</v>
      </c>
      <c r="F85" s="389">
        <v>3.7235999999999998</v>
      </c>
      <c r="G85" s="386"/>
      <c r="H85" s="167"/>
      <c r="I85" s="18"/>
    </row>
    <row r="86" spans="2:9" x14ac:dyDescent="0.25">
      <c r="B86" s="13" t="s">
        <v>74</v>
      </c>
      <c r="C86" s="383" t="s">
        <v>653</v>
      </c>
      <c r="D86" s="384" t="s">
        <v>80</v>
      </c>
      <c r="E86" s="385">
        <v>0.62060000000000004</v>
      </c>
      <c r="F86" s="389">
        <v>0.62060000000000004</v>
      </c>
      <c r="G86" s="386"/>
      <c r="H86" s="167"/>
      <c r="I86" s="18"/>
    </row>
    <row r="87" spans="2:9" x14ac:dyDescent="0.25">
      <c r="B87" s="13" t="s">
        <v>75</v>
      </c>
      <c r="C87" s="383" t="s">
        <v>654</v>
      </c>
      <c r="D87" s="384" t="s">
        <v>80</v>
      </c>
      <c r="E87" s="385">
        <v>1.4011199999999999</v>
      </c>
      <c r="F87" s="389">
        <v>1.4011199999999999</v>
      </c>
      <c r="G87" s="386"/>
      <c r="H87" s="167"/>
      <c r="I87" s="18"/>
    </row>
    <row r="88" spans="2:9" x14ac:dyDescent="0.25">
      <c r="B88" s="13" t="s">
        <v>75</v>
      </c>
      <c r="C88" s="383" t="s">
        <v>655</v>
      </c>
      <c r="D88" s="384" t="s">
        <v>80</v>
      </c>
      <c r="E88" s="385">
        <v>3.3501599999999998</v>
      </c>
      <c r="F88" s="386"/>
      <c r="G88" s="387">
        <v>3.3501599999999998</v>
      </c>
      <c r="H88" s="167"/>
      <c r="I88" s="18"/>
    </row>
    <row r="89" spans="2:9" x14ac:dyDescent="0.25">
      <c r="B89" s="13" t="s">
        <v>76</v>
      </c>
      <c r="C89" s="383" t="s">
        <v>656</v>
      </c>
      <c r="D89" s="384" t="s">
        <v>80</v>
      </c>
      <c r="E89" s="385">
        <v>3.0357600000000002</v>
      </c>
      <c r="F89" s="386"/>
      <c r="G89" s="387">
        <v>3.0357600000000002</v>
      </c>
      <c r="H89" s="167"/>
      <c r="I89" s="18"/>
    </row>
    <row r="90" spans="2:9" ht="15.75" thickBot="1" x14ac:dyDescent="0.3">
      <c r="B90" s="19" t="s">
        <v>77</v>
      </c>
      <c r="C90" s="20" t="s">
        <v>657</v>
      </c>
      <c r="D90" s="21" t="s">
        <v>80</v>
      </c>
      <c r="E90" s="22">
        <v>1.6735599999999999</v>
      </c>
      <c r="F90" s="23"/>
      <c r="G90" s="24">
        <v>1.6735599999999999</v>
      </c>
      <c r="H90" s="25"/>
      <c r="I90" s="26"/>
    </row>
    <row r="91" spans="2:9" x14ac:dyDescent="0.25"/>
    <row r="92" spans="2:9" x14ac:dyDescent="0.25"/>
    <row r="93" spans="2:9" x14ac:dyDescent="0.25"/>
    <row r="94" spans="2:9" ht="15" customHeight="1" x14ac:dyDescent="0.25">
      <c r="C94" s="27" t="s">
        <v>81</v>
      </c>
      <c r="D94" s="28" t="s">
        <v>82</v>
      </c>
      <c r="E94" s="27" t="s">
        <v>83</v>
      </c>
    </row>
    <row r="95" spans="2:9" ht="15" customHeight="1" x14ac:dyDescent="0.25">
      <c r="B95" s="515" t="s">
        <v>84</v>
      </c>
      <c r="C95" s="29">
        <f>E2</f>
        <v>269.20166000000012</v>
      </c>
      <c r="D95" s="30">
        <f>F2</f>
        <v>161.19444000000001</v>
      </c>
      <c r="E95" s="31">
        <f>G2</f>
        <v>108.00721999999998</v>
      </c>
    </row>
    <row r="96" spans="2:9" ht="15" customHeight="1" x14ac:dyDescent="0.25">
      <c r="B96" s="516"/>
      <c r="C96" s="32">
        <f>C95/C95</f>
        <v>1</v>
      </c>
      <c r="D96" s="33">
        <f>D95/C95</f>
        <v>0.59878694655894749</v>
      </c>
      <c r="E96" s="34">
        <f>E95/C95</f>
        <v>0.40121305344105207</v>
      </c>
    </row>
    <row r="97" spans="2:5" ht="15" customHeight="1" x14ac:dyDescent="0.25">
      <c r="B97" s="517" t="s">
        <v>85</v>
      </c>
      <c r="C97" s="35">
        <f>E3</f>
        <v>77</v>
      </c>
      <c r="D97" s="36">
        <f>F3</f>
        <v>48</v>
      </c>
      <c r="E97" s="31">
        <f>G3</f>
        <v>29</v>
      </c>
    </row>
    <row r="98" spans="2:5" ht="15.75" customHeight="1" x14ac:dyDescent="0.25">
      <c r="B98" s="517"/>
      <c r="C98" s="32">
        <f>C97/C97</f>
        <v>1</v>
      </c>
      <c r="D98" s="33">
        <f>D97/C97</f>
        <v>0.62337662337662336</v>
      </c>
      <c r="E98" s="34">
        <f>E97/C97</f>
        <v>0.37662337662337664</v>
      </c>
    </row>
    <row r="99" spans="2:5" ht="15.75" customHeight="1" x14ac:dyDescent="0.25">
      <c r="B99" s="517" t="s">
        <v>7</v>
      </c>
      <c r="C99" s="35">
        <f>B2</f>
        <v>55</v>
      </c>
      <c r="D99" s="36">
        <f>COUNTIFS(I4:I59,"&gt;0")</f>
        <v>31</v>
      </c>
      <c r="E99" s="37">
        <f>C99-D99</f>
        <v>24</v>
      </c>
    </row>
    <row r="100" spans="2:5" ht="15.75" customHeight="1" x14ac:dyDescent="0.25">
      <c r="B100" s="517"/>
      <c r="C100" s="32">
        <f>C99/C99</f>
        <v>1</v>
      </c>
      <c r="D100" s="33">
        <f>D99/C99</f>
        <v>0.5636363636363636</v>
      </c>
      <c r="E100" s="34">
        <f>E99/C99</f>
        <v>0.43636363636363634</v>
      </c>
    </row>
    <row r="101" spans="2:5" ht="15.75" customHeight="1" x14ac:dyDescent="0.25">
      <c r="B101" s="507" t="s">
        <v>86</v>
      </c>
      <c r="C101" s="35">
        <f>D2</f>
        <v>11</v>
      </c>
      <c r="D101" s="36">
        <f>8</f>
        <v>8</v>
      </c>
      <c r="E101" s="37">
        <f>C101-D101</f>
        <v>3</v>
      </c>
    </row>
    <row r="102" spans="2:5" ht="30" customHeight="1" x14ac:dyDescent="0.25">
      <c r="B102" s="508"/>
      <c r="C102" s="38" t="s">
        <v>87</v>
      </c>
      <c r="D102" s="39" t="s">
        <v>88</v>
      </c>
      <c r="E102" s="40" t="s">
        <v>89</v>
      </c>
    </row>
    <row r="103" spans="2:5" ht="21" customHeight="1" x14ac:dyDescent="0.25">
      <c r="B103" s="41" t="s">
        <v>90</v>
      </c>
      <c r="C103" s="35">
        <v>23</v>
      </c>
      <c r="D103" s="36">
        <f>Helexia!T68</f>
        <v>10</v>
      </c>
      <c r="E103" s="37">
        <f>C103-D103</f>
        <v>13</v>
      </c>
    </row>
    <row r="104" spans="2:5" ht="15.75" customHeight="1" x14ac:dyDescent="0.25">
      <c r="B104" s="42" t="s">
        <v>91</v>
      </c>
      <c r="C104" s="43">
        <f>C95/C103</f>
        <v>11.704420000000004</v>
      </c>
      <c r="D104" s="44">
        <f>D95/D103</f>
        <v>16.119444000000001</v>
      </c>
      <c r="E104" s="45" t="s">
        <v>92</v>
      </c>
    </row>
    <row r="105" spans="2:5" ht="21" customHeight="1" x14ac:dyDescent="0.25">
      <c r="B105" s="41" t="s">
        <v>93</v>
      </c>
      <c r="C105" s="35">
        <v>23</v>
      </c>
      <c r="D105" s="36">
        <f>Helexia!T69</f>
        <v>15</v>
      </c>
      <c r="E105" s="37">
        <f>C105-D105</f>
        <v>8</v>
      </c>
    </row>
    <row r="106" spans="2:5" ht="15" customHeight="1" x14ac:dyDescent="0.25">
      <c r="B106" s="42" t="s">
        <v>94</v>
      </c>
      <c r="C106" s="43">
        <f>C95/C105</f>
        <v>11.704420000000004</v>
      </c>
      <c r="D106" s="44">
        <f t="shared" ref="D106" si="2">D95/D105</f>
        <v>10.746296000000001</v>
      </c>
      <c r="E106" s="45" t="s">
        <v>92</v>
      </c>
    </row>
    <row r="107" spans="2:5" ht="15.75" customHeight="1" x14ac:dyDescent="0.25">
      <c r="B107" s="46"/>
      <c r="C107" s="46"/>
      <c r="D107" s="46"/>
    </row>
    <row r="108" spans="2:5" ht="15.75" customHeight="1" x14ac:dyDescent="0.25">
      <c r="B108" s="47"/>
      <c r="C108" s="47"/>
    </row>
  </sheetData>
  <mergeCells count="7">
    <mergeCell ref="B101:B102"/>
    <mergeCell ref="H1:I1"/>
    <mergeCell ref="H2:I2"/>
    <mergeCell ref="H3:I3"/>
    <mergeCell ref="B95:B96"/>
    <mergeCell ref="B97:B98"/>
    <mergeCell ref="B99:B100"/>
  </mergeCells>
  <phoneticPr fontId="89" type="noConversion"/>
  <conditionalFormatting sqref="F29:F79 F81 F83:F90 F4 F6 F8:F27">
    <cfRule type="containsBlanks" dxfId="88" priority="1">
      <formula>LEN(TRIM(F4))=0</formula>
    </cfRule>
  </conditionalFormatting>
  <pageMargins left="0.511811024" right="0.511811024" top="0.78740157499999996" bottom="0.78740157499999996" header="0.31496062000000002" footer="0.31496062000000002"/>
  <pageSetup paperSize="9" scale="44" orientation="portrait" r:id="rId1"/>
  <ignoredErrors>
    <ignoredError sqref="F2:F3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4CC7A-B61D-4F7C-9FBB-EA169BC25BF9}">
  <sheetPr codeName="Planilha13"/>
  <dimension ref="A1:BC82"/>
  <sheetViews>
    <sheetView topLeftCell="A2" workbookViewId="0">
      <pane ySplit="1" topLeftCell="A3" activePane="bottomLeft" state="frozen"/>
      <selection activeCell="A2" sqref="A2"/>
      <selection pane="bottomLeft" activeCell="B71" sqref="B71"/>
    </sheetView>
  </sheetViews>
  <sheetFormatPr defaultRowHeight="15" x14ac:dyDescent="0.25"/>
  <cols>
    <col min="1" max="1" width="12.42578125" style="247" bestFit="1" customWidth="1"/>
    <col min="2" max="2" width="39.5703125" style="223" bestFit="1" customWidth="1"/>
    <col min="3" max="3" width="12" style="204" bestFit="1" customWidth="1"/>
    <col min="4" max="4" width="12.5703125" style="226" customWidth="1"/>
    <col min="5" max="5" width="26.42578125" style="223" hidden="1" customWidth="1"/>
    <col min="6" max="6" width="11.5703125" style="223" hidden="1" customWidth="1"/>
    <col min="7" max="7" width="12.5703125" style="223" hidden="1" customWidth="1"/>
    <col min="8" max="8" width="29" style="204" hidden="1" customWidth="1"/>
    <col min="9" max="9" width="11.5703125" style="204" hidden="1" customWidth="1"/>
    <col min="10" max="10" width="13.28515625" style="239" hidden="1" customWidth="1"/>
    <col min="11" max="11" width="11.5703125" style="240" hidden="1" customWidth="1"/>
    <col min="12" max="12" width="14.42578125" style="243" customWidth="1"/>
    <col min="13" max="13" width="12.42578125" style="204" customWidth="1"/>
    <col min="14" max="14" width="10.7109375" style="204" customWidth="1"/>
    <col min="15" max="15" width="17.42578125" style="204" customWidth="1"/>
    <col min="16" max="16" width="14.85546875" style="204" customWidth="1"/>
    <col min="17" max="17" width="22.28515625" style="204" customWidth="1"/>
    <col min="18" max="18" width="14.140625" style="204" customWidth="1"/>
    <col min="19" max="19" width="13.5703125" style="204" customWidth="1"/>
    <col min="20" max="20" width="18.42578125" style="204" bestFit="1" customWidth="1"/>
    <col min="21" max="21" width="12.7109375" style="204" bestFit="1" customWidth="1"/>
    <col min="22" max="22" width="11.42578125" style="204" bestFit="1" customWidth="1"/>
    <col min="23" max="25" width="9.5703125" style="204" customWidth="1"/>
    <col min="26" max="26" width="13.28515625" style="204" bestFit="1" customWidth="1"/>
    <col min="27" max="28" width="9.5703125" style="204" customWidth="1"/>
    <col min="29" max="29" width="10.85546875" style="204" bestFit="1" customWidth="1"/>
    <col min="30" max="30" width="9.85546875" style="204" bestFit="1" customWidth="1"/>
    <col min="31" max="31" width="14.5703125" style="204" bestFit="1" customWidth="1"/>
    <col min="32" max="32" width="15.140625" style="204" customWidth="1"/>
    <col min="33" max="33" width="18.28515625" style="204" bestFit="1" customWidth="1"/>
    <col min="34" max="34" width="12.140625" style="204" bestFit="1" customWidth="1"/>
    <col min="35" max="35" width="7.140625" style="204" bestFit="1" customWidth="1"/>
    <col min="36" max="36" width="8.42578125" style="204" bestFit="1" customWidth="1"/>
    <col min="37" max="37" width="6.28515625" style="204" bestFit="1" customWidth="1"/>
    <col min="38" max="38" width="8.42578125" style="204" bestFit="1" customWidth="1"/>
    <col min="39" max="39" width="7.140625" style="204" bestFit="1" customWidth="1"/>
    <col min="40" max="40" width="7.42578125" style="204" bestFit="1" customWidth="1"/>
    <col min="41" max="41" width="6.28515625" style="204" bestFit="1" customWidth="1"/>
    <col min="42" max="42" width="8.42578125" style="204" bestFit="1" customWidth="1"/>
    <col min="43" max="43" width="8.28515625" style="204" bestFit="1" customWidth="1"/>
    <col min="44" max="44" width="8.42578125" style="204" bestFit="1" customWidth="1"/>
    <col min="45" max="45" width="7.28515625" style="204" bestFit="1" customWidth="1"/>
    <col min="46" max="46" width="9.42578125" style="204" bestFit="1" customWidth="1"/>
    <col min="47" max="47" width="8.28515625" style="204" bestFit="1" customWidth="1"/>
    <col min="48" max="48" width="9.42578125" style="204" bestFit="1" customWidth="1"/>
    <col min="49" max="49" width="7.28515625" style="204" bestFit="1" customWidth="1"/>
    <col min="50" max="50" width="9.42578125" style="204" bestFit="1" customWidth="1"/>
    <col min="51" max="51" width="16.7109375" style="204" bestFit="1" customWidth="1"/>
    <col min="52" max="52" width="14.7109375" style="204" bestFit="1" customWidth="1"/>
    <col min="53" max="53" width="14.7109375" style="204" customWidth="1"/>
    <col min="54" max="54" width="9.140625" style="204"/>
    <col min="55" max="55" width="8.7109375" customWidth="1"/>
  </cols>
  <sheetData>
    <row r="1" spans="1:55" ht="15" hidden="1" customHeight="1" x14ac:dyDescent="0.25">
      <c r="A1" s="244"/>
      <c r="B1" s="199"/>
      <c r="C1" s="200"/>
      <c r="D1" s="249"/>
      <c r="E1" s="199"/>
      <c r="F1" s="199"/>
      <c r="G1" s="199"/>
      <c r="H1" s="200"/>
      <c r="I1" s="200"/>
      <c r="J1" s="201"/>
      <c r="K1" s="202"/>
      <c r="L1" s="241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0"/>
      <c r="AV1" s="200"/>
      <c r="AW1" s="200"/>
      <c r="AX1" s="200"/>
      <c r="AY1" s="200"/>
      <c r="AZ1" s="200"/>
      <c r="BA1" s="200"/>
      <c r="BB1" s="203"/>
    </row>
    <row r="2" spans="1:55" ht="33.75" customHeight="1" x14ac:dyDescent="0.25">
      <c r="A2" s="254" t="s">
        <v>284</v>
      </c>
      <c r="B2" s="205" t="s">
        <v>395</v>
      </c>
      <c r="C2" s="206" t="s">
        <v>388</v>
      </c>
      <c r="D2" s="250" t="s">
        <v>283</v>
      </c>
      <c r="E2" s="207"/>
      <c r="F2" s="199"/>
      <c r="G2" s="208"/>
      <c r="H2" s="209"/>
      <c r="I2" s="209"/>
      <c r="J2" s="210"/>
      <c r="K2" s="211" t="s">
        <v>259</v>
      </c>
      <c r="L2" s="242" t="s">
        <v>260</v>
      </c>
      <c r="M2" s="212" t="s">
        <v>261</v>
      </c>
      <c r="N2" s="213" t="s">
        <v>262</v>
      </c>
      <c r="O2" s="213" t="s">
        <v>263</v>
      </c>
      <c r="P2" s="213" t="s">
        <v>264</v>
      </c>
      <c r="Q2" s="213" t="s">
        <v>265</v>
      </c>
      <c r="R2" s="214" t="s">
        <v>266</v>
      </c>
      <c r="S2" s="214" t="s">
        <v>267</v>
      </c>
      <c r="T2" s="215" t="s">
        <v>268</v>
      </c>
      <c r="U2" s="215" t="s">
        <v>387</v>
      </c>
      <c r="V2" s="212" t="s">
        <v>269</v>
      </c>
      <c r="W2" s="216" t="s">
        <v>270</v>
      </c>
      <c r="X2" s="216" t="s">
        <v>271</v>
      </c>
      <c r="Y2" s="216" t="s">
        <v>272</v>
      </c>
      <c r="Z2" s="216" t="s">
        <v>273</v>
      </c>
      <c r="AA2" s="213" t="s">
        <v>274</v>
      </c>
      <c r="AB2" s="213" t="s">
        <v>275</v>
      </c>
      <c r="AC2" s="216" t="s">
        <v>276</v>
      </c>
      <c r="AD2" s="216" t="s">
        <v>277</v>
      </c>
      <c r="AE2" s="216" t="s">
        <v>278</v>
      </c>
      <c r="AF2" s="217" t="s">
        <v>279</v>
      </c>
      <c r="AG2" s="218" t="s">
        <v>280</v>
      </c>
      <c r="AH2" s="218" t="s">
        <v>281</v>
      </c>
      <c r="AI2" s="520" t="s">
        <v>389</v>
      </c>
      <c r="AJ2" s="520"/>
      <c r="AK2" s="520"/>
      <c r="AL2" s="520"/>
      <c r="AM2" s="519" t="s">
        <v>390</v>
      </c>
      <c r="AN2" s="519"/>
      <c r="AO2" s="519"/>
      <c r="AP2" s="519"/>
      <c r="AQ2" s="521" t="s">
        <v>282</v>
      </c>
      <c r="AR2" s="521"/>
      <c r="AS2" s="521"/>
      <c r="AT2" s="521"/>
      <c r="AU2" s="518" t="s">
        <v>391</v>
      </c>
      <c r="AV2" s="518"/>
      <c r="AW2" s="519" t="s">
        <v>392</v>
      </c>
      <c r="AX2" s="519"/>
      <c r="AY2" s="198" t="s">
        <v>393</v>
      </c>
      <c r="AZ2" s="198" t="s">
        <v>394</v>
      </c>
      <c r="BA2" s="396" t="s">
        <v>658</v>
      </c>
      <c r="BB2" s="219"/>
    </row>
    <row r="3" spans="1:55" x14ac:dyDescent="0.25">
      <c r="A3" s="245">
        <f>IF(D3=0,"",IF(C3="CLT",AZ3,BA3))</f>
        <v>9572.7075514200187</v>
      </c>
      <c r="B3" s="220" t="str">
        <f>IF(Helexia!C3=0,"",Helexia!C3)</f>
        <v>Leandro Farias</v>
      </c>
      <c r="C3" s="221" t="str">
        <f>IF(Helexia!G3=0,"",Helexia!G3)</f>
        <v>CLT</v>
      </c>
      <c r="D3" s="226">
        <v>2080</v>
      </c>
      <c r="E3" s="222"/>
      <c r="G3" s="224"/>
      <c r="H3" s="225"/>
      <c r="I3" s="226"/>
      <c r="J3" s="227"/>
      <c r="K3" s="228">
        <f>D3</f>
        <v>2080</v>
      </c>
      <c r="L3" s="243">
        <f t="shared" ref="L3:L33" si="0">K3 * 0.3</f>
        <v>624</v>
      </c>
      <c r="M3" s="229">
        <f t="shared" ref="M3:M33" si="1">K3+L3</f>
        <v>2704</v>
      </c>
      <c r="N3" s="229">
        <f t="shared" ref="N3:N33" si="2">M3 * 35.3%</f>
        <v>954.51199999999994</v>
      </c>
      <c r="O3" s="229">
        <f t="shared" ref="O3:O33" si="3">M3 * 11.11%</f>
        <v>300.4144</v>
      </c>
      <c r="P3" s="226">
        <f t="shared" ref="P3:P33" si="4">M3 * 8.33%</f>
        <v>225.2432</v>
      </c>
      <c r="Q3" s="229">
        <f t="shared" ref="Q3:Q33" si="5">(O3+P3) * 35.3%</f>
        <v>185.55713279999998</v>
      </c>
      <c r="R3" s="229">
        <f t="shared" ref="R3:R33" si="6">M3/12</f>
        <v>225.33333333333334</v>
      </c>
      <c r="S3" s="229">
        <f t="shared" ref="S3:S33" si="7">((M3+O3+P3)*8%)*50%</f>
        <v>129.18630400000001</v>
      </c>
      <c r="T3" s="226">
        <v>700</v>
      </c>
      <c r="U3" s="226">
        <v>0</v>
      </c>
      <c r="V3" s="229">
        <f>SUM(N3:U3)</f>
        <v>2720.2463701333331</v>
      </c>
      <c r="W3" s="226">
        <f t="shared" ref="W3:W33" si="8">500/24</f>
        <v>20.833333333333332</v>
      </c>
      <c r="X3" s="226">
        <f t="shared" ref="X3:X67" si="9">500/24</f>
        <v>20.833333333333332</v>
      </c>
      <c r="Y3" s="226">
        <f t="shared" ref="Y3:Y33" si="10">450/24</f>
        <v>18.75</v>
      </c>
      <c r="Z3" s="226">
        <f t="shared" ref="Z3:Z33" si="11">((1500*2)/24)/35</f>
        <v>3.5714285714285716</v>
      </c>
      <c r="AA3" s="226">
        <f t="shared" ref="AA3:AA33" si="12">(89.9 + 49.9 + 89.9 + 89.9 + 89.9 + 129.9 + 89.9 + 89.9 + 49.9 + 89.9 + 129.9)/12</f>
        <v>82.408333333333317</v>
      </c>
      <c r="AB3" s="226">
        <f t="shared" ref="AB3:AB33" si="13">(308/12)+(500/12)+(65/12)+(150/12)+(4/12)+(28/12)</f>
        <v>87.916666666666657</v>
      </c>
      <c r="AC3" s="230">
        <f t="shared" ref="AC3:AC33" si="14">1800/12</f>
        <v>150</v>
      </c>
      <c r="AD3" s="226">
        <f t="shared" ref="AD3:AD33" si="15">800/12</f>
        <v>66.666666666666671</v>
      </c>
      <c r="AE3" s="226">
        <f t="shared" ref="AE3:AE33" si="16">180/12</f>
        <v>15</v>
      </c>
      <c r="AF3" s="226">
        <v>400</v>
      </c>
      <c r="AG3" s="229">
        <f t="shared" ref="AG3:AG33" si="17">SUM(W3:AF3)</f>
        <v>865.97976190476197</v>
      </c>
      <c r="AH3" s="229">
        <f t="shared" ref="AH3:AH33" si="18">M3+V3+AG3</f>
        <v>6290.2261320380949</v>
      </c>
      <c r="AI3" s="231">
        <v>0.04</v>
      </c>
      <c r="AJ3" s="232">
        <f t="shared" ref="AJ3:AJ33" si="19">AH3*AI3</f>
        <v>251.60904528152381</v>
      </c>
      <c r="AK3" s="233">
        <v>0.04</v>
      </c>
      <c r="AL3" s="234">
        <f t="shared" ref="AL3:AL34" si="20">AZ3*AK3</f>
        <v>382.90830205680078</v>
      </c>
      <c r="AM3" s="231">
        <v>0.01</v>
      </c>
      <c r="AN3" s="232">
        <f t="shared" ref="AN3:AN34" si="21">AH3*AM3</f>
        <v>62.902261320380951</v>
      </c>
      <c r="AO3" s="233">
        <v>0.01</v>
      </c>
      <c r="AP3" s="234">
        <f t="shared" ref="AP3:AP33" si="22">AZ3*AO3</f>
        <v>95.727075514200195</v>
      </c>
      <c r="AQ3" s="231">
        <v>0.1</v>
      </c>
      <c r="AR3" s="232">
        <f t="shared" ref="AR3:AR34" si="23">AH3*AQ3</f>
        <v>629.02261320380956</v>
      </c>
      <c r="AS3" s="233">
        <v>0.1</v>
      </c>
      <c r="AT3" s="234">
        <f t="shared" ref="AT3:AT33" si="24">AZ3*AS3</f>
        <v>957.27075514200192</v>
      </c>
      <c r="AU3" s="231">
        <v>0.15640000000000001</v>
      </c>
      <c r="AV3" s="232">
        <f t="shared" ref="AV3:AV33" si="25">AY3*AU3</f>
        <v>1418.3843238909433</v>
      </c>
      <c r="AW3" s="233">
        <v>0.19289999999999999</v>
      </c>
      <c r="AX3" s="234">
        <f t="shared" ref="AX3:AX33" si="26">AZ3*AW3</f>
        <v>1846.5752866689215</v>
      </c>
      <c r="AY3" s="235">
        <f t="shared" ref="AY3:AY34" si="27">(AH3)/(1-AI3-AM3-AQ3-AU3)</f>
        <v>9068.9534775635748</v>
      </c>
      <c r="AZ3" s="234">
        <f t="shared" ref="AZ3:AZ34" si="28">($AH3)/(1-AK3-AO3-AS3-AW3)</f>
        <v>9572.7075514200187</v>
      </c>
      <c r="BA3" s="395">
        <f>SUM($D3+$W3+$X3+$Y3+$Z3+$AA3+$AB3+$AC3+$AD3+$AE3)/(1-$AK3-$AO3-$AW3)</f>
        <v>3362.8051273342512</v>
      </c>
      <c r="BB3" s="203"/>
    </row>
    <row r="4" spans="1:55" x14ac:dyDescent="0.25">
      <c r="A4" s="245">
        <f t="shared" ref="A4:A63" si="29">IF(D4=0,"",IF(C4="CLT",AZ4,BA4))</f>
        <v>10333.626741802002</v>
      </c>
      <c r="B4" s="248" t="str">
        <f>IF(Helexia!C4=0,"",Helexia!C4)</f>
        <v>Mônica Teles</v>
      </c>
      <c r="C4" s="221" t="str">
        <f>IF(Helexia!G4=0,"",Helexia!G4)</f>
        <v>CLT</v>
      </c>
      <c r="D4" s="226">
        <v>2080</v>
      </c>
      <c r="E4" s="222"/>
      <c r="G4" s="224"/>
      <c r="H4" s="225"/>
      <c r="I4" s="226"/>
      <c r="J4" s="227"/>
      <c r="K4" s="228">
        <f t="shared" ref="K4:K65" si="30">D4</f>
        <v>2080</v>
      </c>
      <c r="L4" s="243">
        <f t="shared" si="0"/>
        <v>624</v>
      </c>
      <c r="M4" s="229">
        <f t="shared" si="1"/>
        <v>2704</v>
      </c>
      <c r="N4" s="229">
        <f t="shared" si="2"/>
        <v>954.51199999999994</v>
      </c>
      <c r="O4" s="229">
        <f t="shared" si="3"/>
        <v>300.4144</v>
      </c>
      <c r="P4" s="226">
        <f t="shared" si="4"/>
        <v>225.2432</v>
      </c>
      <c r="Q4" s="229">
        <f t="shared" si="5"/>
        <v>185.55713279999998</v>
      </c>
      <c r="R4" s="229">
        <f t="shared" si="6"/>
        <v>225.33333333333334</v>
      </c>
      <c r="S4" s="229">
        <f t="shared" si="7"/>
        <v>129.18630400000001</v>
      </c>
      <c r="T4" s="226">
        <v>700</v>
      </c>
      <c r="U4" s="226">
        <v>500</v>
      </c>
      <c r="V4" s="229">
        <f t="shared" ref="V4:V65" si="31">SUM(N4:U4)</f>
        <v>3220.2463701333331</v>
      </c>
      <c r="W4" s="226">
        <f t="shared" si="8"/>
        <v>20.833333333333332</v>
      </c>
      <c r="X4" s="226">
        <f t="shared" si="9"/>
        <v>20.833333333333332</v>
      </c>
      <c r="Y4" s="226">
        <f t="shared" si="10"/>
        <v>18.75</v>
      </c>
      <c r="Z4" s="226">
        <f t="shared" si="11"/>
        <v>3.5714285714285716</v>
      </c>
      <c r="AA4" s="226">
        <f t="shared" si="12"/>
        <v>82.408333333333317</v>
      </c>
      <c r="AB4" s="226">
        <f t="shared" si="13"/>
        <v>87.916666666666657</v>
      </c>
      <c r="AC4" s="230">
        <f t="shared" si="14"/>
        <v>150</v>
      </c>
      <c r="AD4" s="226">
        <f t="shared" si="15"/>
        <v>66.666666666666671</v>
      </c>
      <c r="AE4" s="226">
        <f t="shared" si="16"/>
        <v>15</v>
      </c>
      <c r="AF4" s="226">
        <v>400</v>
      </c>
      <c r="AG4" s="229">
        <f>SUM(W4:AF4)</f>
        <v>865.97976190476197</v>
      </c>
      <c r="AH4" s="229">
        <f t="shared" si="18"/>
        <v>6790.2261320380949</v>
      </c>
      <c r="AI4" s="231">
        <v>0.04</v>
      </c>
      <c r="AJ4" s="232">
        <f t="shared" si="19"/>
        <v>271.60904528152378</v>
      </c>
      <c r="AK4" s="233">
        <v>0.04</v>
      </c>
      <c r="AL4" s="234">
        <f t="shared" si="20"/>
        <v>413.34506967208006</v>
      </c>
      <c r="AM4" s="231">
        <v>0.01</v>
      </c>
      <c r="AN4" s="232">
        <f t="shared" si="21"/>
        <v>67.902261320380944</v>
      </c>
      <c r="AO4" s="233">
        <v>0.01</v>
      </c>
      <c r="AP4" s="234">
        <f t="shared" si="22"/>
        <v>103.33626741802001</v>
      </c>
      <c r="AQ4" s="231">
        <v>0.1</v>
      </c>
      <c r="AR4" s="232">
        <f t="shared" si="23"/>
        <v>679.02261320380956</v>
      </c>
      <c r="AS4" s="233">
        <v>0.1</v>
      </c>
      <c r="AT4" s="234">
        <f t="shared" si="24"/>
        <v>1033.3626741802002</v>
      </c>
      <c r="AU4" s="231">
        <v>0.15640000000000001</v>
      </c>
      <c r="AV4" s="232">
        <f t="shared" si="25"/>
        <v>1531.1294219301587</v>
      </c>
      <c r="AW4" s="233">
        <v>0.19289999999999999</v>
      </c>
      <c r="AX4" s="234">
        <f t="shared" si="26"/>
        <v>1993.356598493606</v>
      </c>
      <c r="AY4" s="235">
        <f t="shared" si="27"/>
        <v>9789.8300634920633</v>
      </c>
      <c r="AZ4" s="234">
        <f t="shared" si="28"/>
        <v>10333.626741802002</v>
      </c>
      <c r="BA4" s="395">
        <f t="shared" ref="BA4:BA67" si="32">SUM($D4+$W4+$X4+$Y4+$Z4+$AA4+$AB4+$AC4+$AD4+$AE4)/(1-$AK4-$AO4-$AW4)</f>
        <v>3362.8051273342512</v>
      </c>
      <c r="BB4" s="236"/>
      <c r="BC4" s="197"/>
    </row>
    <row r="5" spans="1:55" x14ac:dyDescent="0.25">
      <c r="A5" s="245">
        <f t="shared" si="29"/>
        <v>12490.488575678122</v>
      </c>
      <c r="B5" s="220" t="str">
        <f>IF(Helexia!C5=0,"",Helexia!C5)</f>
        <v>Rogério Bastos</v>
      </c>
      <c r="C5" s="221" t="str">
        <f>IF(Helexia!G5=0,"",Helexia!G5)</f>
        <v>CLT</v>
      </c>
      <c r="D5" s="226">
        <v>2704</v>
      </c>
      <c r="E5" s="222"/>
      <c r="G5" s="224"/>
      <c r="H5" s="225"/>
      <c r="I5" s="226"/>
      <c r="J5" s="237"/>
      <c r="K5" s="228">
        <f t="shared" si="30"/>
        <v>2704</v>
      </c>
      <c r="L5" s="243">
        <f t="shared" si="0"/>
        <v>811.19999999999993</v>
      </c>
      <c r="M5" s="229">
        <f t="shared" si="1"/>
        <v>3515.2</v>
      </c>
      <c r="N5" s="229">
        <f t="shared" si="2"/>
        <v>1240.8655999999999</v>
      </c>
      <c r="O5" s="229">
        <f t="shared" si="3"/>
        <v>390.53871999999996</v>
      </c>
      <c r="P5" s="226">
        <f t="shared" si="4"/>
        <v>292.81615999999997</v>
      </c>
      <c r="Q5" s="229">
        <f t="shared" si="5"/>
        <v>241.22427263999995</v>
      </c>
      <c r="R5" s="229">
        <f t="shared" si="6"/>
        <v>292.93333333333334</v>
      </c>
      <c r="S5" s="229">
        <f t="shared" si="7"/>
        <v>167.94219519999999</v>
      </c>
      <c r="T5" s="226">
        <v>1200</v>
      </c>
      <c r="U5" s="226">
        <v>0</v>
      </c>
      <c r="V5" s="229">
        <f t="shared" si="31"/>
        <v>3826.3202811733331</v>
      </c>
      <c r="W5" s="226">
        <f t="shared" si="8"/>
        <v>20.833333333333332</v>
      </c>
      <c r="X5" s="226">
        <f t="shared" si="9"/>
        <v>20.833333333333332</v>
      </c>
      <c r="Y5" s="226">
        <f t="shared" si="10"/>
        <v>18.75</v>
      </c>
      <c r="Z5" s="226">
        <f t="shared" si="11"/>
        <v>3.5714285714285716</v>
      </c>
      <c r="AA5" s="226">
        <f t="shared" si="12"/>
        <v>82.408333333333317</v>
      </c>
      <c r="AB5" s="226">
        <f t="shared" si="13"/>
        <v>87.916666666666657</v>
      </c>
      <c r="AC5" s="230">
        <f t="shared" si="14"/>
        <v>150</v>
      </c>
      <c r="AD5" s="226">
        <f t="shared" si="15"/>
        <v>66.666666666666671</v>
      </c>
      <c r="AE5" s="226">
        <f t="shared" si="16"/>
        <v>15</v>
      </c>
      <c r="AF5" s="226">
        <v>400</v>
      </c>
      <c r="AG5" s="229">
        <f t="shared" si="17"/>
        <v>865.97976190476197</v>
      </c>
      <c r="AH5" s="229">
        <f t="shared" si="18"/>
        <v>8207.5000430780947</v>
      </c>
      <c r="AI5" s="231">
        <v>0.04</v>
      </c>
      <c r="AJ5" s="232">
        <f t="shared" si="19"/>
        <v>328.30000172312378</v>
      </c>
      <c r="AK5" s="233">
        <v>0.04</v>
      </c>
      <c r="AL5" s="234">
        <f t="shared" si="20"/>
        <v>499.61954302712491</v>
      </c>
      <c r="AM5" s="231">
        <v>0.01</v>
      </c>
      <c r="AN5" s="232">
        <f t="shared" si="21"/>
        <v>82.075000430780946</v>
      </c>
      <c r="AO5" s="233">
        <v>0.01</v>
      </c>
      <c r="AP5" s="234">
        <f t="shared" si="22"/>
        <v>124.90488575678123</v>
      </c>
      <c r="AQ5" s="231">
        <v>0.1</v>
      </c>
      <c r="AR5" s="232">
        <f t="shared" si="23"/>
        <v>820.75000430780949</v>
      </c>
      <c r="AS5" s="233">
        <v>0.1</v>
      </c>
      <c r="AT5" s="234">
        <f t="shared" si="24"/>
        <v>1249.0488575678123</v>
      </c>
      <c r="AU5" s="231">
        <v>0.15640000000000001</v>
      </c>
      <c r="AV5" s="232">
        <f t="shared" si="25"/>
        <v>1850.7107940274138</v>
      </c>
      <c r="AW5" s="233">
        <v>0.19289999999999999</v>
      </c>
      <c r="AX5" s="234">
        <f t="shared" si="26"/>
        <v>2409.4152462483098</v>
      </c>
      <c r="AY5" s="235">
        <f t="shared" si="27"/>
        <v>11833.189220124128</v>
      </c>
      <c r="AZ5" s="234">
        <f t="shared" si="28"/>
        <v>12490.488575678122</v>
      </c>
      <c r="BA5" s="395">
        <f t="shared" si="32"/>
        <v>4187.0027234245963</v>
      </c>
      <c r="BB5" s="236"/>
      <c r="BC5" s="197"/>
    </row>
    <row r="6" spans="1:55" x14ac:dyDescent="0.25">
      <c r="A6" s="245">
        <f t="shared" si="29"/>
        <v>12490.488575678122</v>
      </c>
      <c r="B6" s="248" t="str">
        <f>IF(Helexia!C6=0,"",Helexia!C6)</f>
        <v>Elaine Pimentel</v>
      </c>
      <c r="C6" s="221" t="str">
        <f>IF(Helexia!G6=0,"",Helexia!G6)</f>
        <v>CLT</v>
      </c>
      <c r="D6" s="226">
        <v>2704</v>
      </c>
      <c r="E6" s="222"/>
      <c r="G6" s="224"/>
      <c r="H6" s="225"/>
      <c r="I6" s="226"/>
      <c r="J6" s="227"/>
      <c r="K6" s="228">
        <f t="shared" si="30"/>
        <v>2704</v>
      </c>
      <c r="L6" s="243">
        <f t="shared" si="0"/>
        <v>811.19999999999993</v>
      </c>
      <c r="M6" s="229">
        <f t="shared" si="1"/>
        <v>3515.2</v>
      </c>
      <c r="N6" s="229">
        <f t="shared" si="2"/>
        <v>1240.8655999999999</v>
      </c>
      <c r="O6" s="229">
        <f t="shared" si="3"/>
        <v>390.53871999999996</v>
      </c>
      <c r="P6" s="226">
        <f t="shared" si="4"/>
        <v>292.81615999999997</v>
      </c>
      <c r="Q6" s="229">
        <f t="shared" si="5"/>
        <v>241.22427263999995</v>
      </c>
      <c r="R6" s="229">
        <f t="shared" si="6"/>
        <v>292.93333333333334</v>
      </c>
      <c r="S6" s="229">
        <f t="shared" si="7"/>
        <v>167.94219519999999</v>
      </c>
      <c r="T6" s="226">
        <v>1200</v>
      </c>
      <c r="U6" s="226">
        <v>0</v>
      </c>
      <c r="V6" s="229">
        <f t="shared" si="31"/>
        <v>3826.3202811733331</v>
      </c>
      <c r="W6" s="226">
        <f t="shared" si="8"/>
        <v>20.833333333333332</v>
      </c>
      <c r="X6" s="226">
        <f t="shared" si="9"/>
        <v>20.833333333333332</v>
      </c>
      <c r="Y6" s="226">
        <f t="shared" si="10"/>
        <v>18.75</v>
      </c>
      <c r="Z6" s="226">
        <f t="shared" si="11"/>
        <v>3.5714285714285716</v>
      </c>
      <c r="AA6" s="226">
        <f t="shared" si="12"/>
        <v>82.408333333333317</v>
      </c>
      <c r="AB6" s="226">
        <f t="shared" si="13"/>
        <v>87.916666666666657</v>
      </c>
      <c r="AC6" s="230">
        <f t="shared" si="14"/>
        <v>150</v>
      </c>
      <c r="AD6" s="226">
        <f t="shared" si="15"/>
        <v>66.666666666666671</v>
      </c>
      <c r="AE6" s="226">
        <f t="shared" si="16"/>
        <v>15</v>
      </c>
      <c r="AF6" s="226">
        <v>400</v>
      </c>
      <c r="AG6" s="229">
        <f t="shared" si="17"/>
        <v>865.97976190476197</v>
      </c>
      <c r="AH6" s="229">
        <f t="shared" si="18"/>
        <v>8207.5000430780947</v>
      </c>
      <c r="AI6" s="231">
        <v>0.04</v>
      </c>
      <c r="AJ6" s="232">
        <f t="shared" si="19"/>
        <v>328.30000172312378</v>
      </c>
      <c r="AK6" s="233">
        <v>0.04</v>
      </c>
      <c r="AL6" s="234">
        <f t="shared" si="20"/>
        <v>499.61954302712491</v>
      </c>
      <c r="AM6" s="231">
        <v>0.01</v>
      </c>
      <c r="AN6" s="232">
        <f t="shared" si="21"/>
        <v>82.075000430780946</v>
      </c>
      <c r="AO6" s="233">
        <v>0.01</v>
      </c>
      <c r="AP6" s="234">
        <f t="shared" si="22"/>
        <v>124.90488575678123</v>
      </c>
      <c r="AQ6" s="231">
        <v>0.1</v>
      </c>
      <c r="AR6" s="232">
        <f t="shared" si="23"/>
        <v>820.75000430780949</v>
      </c>
      <c r="AS6" s="233">
        <v>0.1</v>
      </c>
      <c r="AT6" s="234">
        <f t="shared" si="24"/>
        <v>1249.0488575678123</v>
      </c>
      <c r="AU6" s="231">
        <v>0.15640000000000001</v>
      </c>
      <c r="AV6" s="232">
        <f t="shared" si="25"/>
        <v>1850.7107940274138</v>
      </c>
      <c r="AW6" s="233">
        <v>0.19289999999999999</v>
      </c>
      <c r="AX6" s="234">
        <f t="shared" si="26"/>
        <v>2409.4152462483098</v>
      </c>
      <c r="AY6" s="235">
        <f t="shared" si="27"/>
        <v>11833.189220124128</v>
      </c>
      <c r="AZ6" s="234">
        <f t="shared" si="28"/>
        <v>12490.488575678122</v>
      </c>
      <c r="BA6" s="395">
        <f t="shared" si="32"/>
        <v>4187.0027234245963</v>
      </c>
      <c r="BB6" s="236"/>
      <c r="BC6" s="197"/>
    </row>
    <row r="7" spans="1:55" x14ac:dyDescent="0.25">
      <c r="A7" s="245">
        <f t="shared" si="29"/>
        <v>8187.5285026298807</v>
      </c>
      <c r="B7" s="220" t="str">
        <f>IF(Helexia!C7=0,"",Helexia!C7)</f>
        <v>Fábio Cunha</v>
      </c>
      <c r="C7" s="221" t="str">
        <f>IF(Helexia!G7=0,"",Helexia!G7)</f>
        <v>CLT</v>
      </c>
      <c r="D7" s="226">
        <v>1804</v>
      </c>
      <c r="E7" s="222"/>
      <c r="G7" s="224"/>
      <c r="H7" s="225"/>
      <c r="I7" s="226"/>
      <c r="J7" s="227"/>
      <c r="K7" s="228">
        <f t="shared" si="30"/>
        <v>1804</v>
      </c>
      <c r="L7" s="243">
        <f t="shared" si="0"/>
        <v>541.19999999999993</v>
      </c>
      <c r="M7" s="229">
        <f t="shared" si="1"/>
        <v>2345.1999999999998</v>
      </c>
      <c r="N7" s="229">
        <f t="shared" si="2"/>
        <v>827.85559999999987</v>
      </c>
      <c r="O7" s="229">
        <f t="shared" si="3"/>
        <v>260.55171999999993</v>
      </c>
      <c r="P7" s="226">
        <f t="shared" si="4"/>
        <v>195.35515999999998</v>
      </c>
      <c r="Q7" s="229">
        <f t="shared" si="5"/>
        <v>160.93512863999996</v>
      </c>
      <c r="R7" s="229">
        <f t="shared" si="6"/>
        <v>195.43333333333331</v>
      </c>
      <c r="S7" s="229">
        <f t="shared" si="7"/>
        <v>112.0442752</v>
      </c>
      <c r="T7" s="226">
        <v>416.67</v>
      </c>
      <c r="U7" s="226">
        <v>0</v>
      </c>
      <c r="V7" s="229">
        <f t="shared" si="31"/>
        <v>2168.8452171733329</v>
      </c>
      <c r="W7" s="226">
        <f t="shared" si="8"/>
        <v>20.833333333333332</v>
      </c>
      <c r="X7" s="226">
        <f t="shared" si="9"/>
        <v>20.833333333333332</v>
      </c>
      <c r="Y7" s="226">
        <f t="shared" si="10"/>
        <v>18.75</v>
      </c>
      <c r="Z7" s="226">
        <f t="shared" si="11"/>
        <v>3.5714285714285716</v>
      </c>
      <c r="AA7" s="226">
        <f t="shared" si="12"/>
        <v>82.408333333333317</v>
      </c>
      <c r="AB7" s="226">
        <f t="shared" si="13"/>
        <v>87.916666666666657</v>
      </c>
      <c r="AC7" s="230">
        <f t="shared" si="14"/>
        <v>150</v>
      </c>
      <c r="AD7" s="226">
        <f t="shared" si="15"/>
        <v>66.666666666666671</v>
      </c>
      <c r="AE7" s="226">
        <f t="shared" si="16"/>
        <v>15</v>
      </c>
      <c r="AF7" s="226">
        <v>400</v>
      </c>
      <c r="AG7" s="229">
        <f t="shared" si="17"/>
        <v>865.97976190476197</v>
      </c>
      <c r="AH7" s="229">
        <f t="shared" si="18"/>
        <v>5380.0249790780945</v>
      </c>
      <c r="AI7" s="231">
        <v>0.04</v>
      </c>
      <c r="AJ7" s="232">
        <f t="shared" si="19"/>
        <v>215.20099916312378</v>
      </c>
      <c r="AK7" s="233">
        <v>0.04</v>
      </c>
      <c r="AL7" s="234">
        <f t="shared" si="20"/>
        <v>327.50114010519525</v>
      </c>
      <c r="AM7" s="231">
        <v>0.01</v>
      </c>
      <c r="AN7" s="232">
        <f t="shared" si="21"/>
        <v>53.800249790780946</v>
      </c>
      <c r="AO7" s="233">
        <v>0.01</v>
      </c>
      <c r="AP7" s="234">
        <f t="shared" si="22"/>
        <v>81.875285026298812</v>
      </c>
      <c r="AQ7" s="231">
        <v>0.1</v>
      </c>
      <c r="AR7" s="232">
        <f t="shared" si="23"/>
        <v>538.00249790780947</v>
      </c>
      <c r="AS7" s="233">
        <v>0.1</v>
      </c>
      <c r="AT7" s="234">
        <f t="shared" si="24"/>
        <v>818.75285026298809</v>
      </c>
      <c r="AU7" s="231">
        <v>0.15640000000000001</v>
      </c>
      <c r="AV7" s="232">
        <f t="shared" si="25"/>
        <v>1213.1428874391784</v>
      </c>
      <c r="AW7" s="233">
        <v>0.19289999999999999</v>
      </c>
      <c r="AX7" s="234">
        <f t="shared" si="26"/>
        <v>1579.3742481573038</v>
      </c>
      <c r="AY7" s="235">
        <f t="shared" si="27"/>
        <v>7756.668078255615</v>
      </c>
      <c r="AZ7" s="234">
        <f t="shared" si="28"/>
        <v>8187.5285026298807</v>
      </c>
      <c r="BA7" s="395">
        <f t="shared" si="32"/>
        <v>2998.2561906019837</v>
      </c>
    </row>
    <row r="8" spans="1:55" x14ac:dyDescent="0.25">
      <c r="A8" s="245">
        <f t="shared" si="29"/>
        <v>9572.7075514200187</v>
      </c>
      <c r="B8" s="248" t="str">
        <f>IF(Helexia!C8=0,"",Helexia!C8)</f>
        <v>Patrícia Andrade Lopes</v>
      </c>
      <c r="C8" s="221" t="str">
        <f>IF(Helexia!G8=0,"",Helexia!G8)</f>
        <v>CLT</v>
      </c>
      <c r="D8" s="226">
        <v>2080</v>
      </c>
      <c r="E8" s="222"/>
      <c r="G8" s="224"/>
      <c r="H8" s="225"/>
      <c r="I8" s="226"/>
      <c r="J8" s="227"/>
      <c r="K8" s="228">
        <f t="shared" si="30"/>
        <v>2080</v>
      </c>
      <c r="L8" s="243">
        <f t="shared" si="0"/>
        <v>624</v>
      </c>
      <c r="M8" s="229">
        <f t="shared" si="1"/>
        <v>2704</v>
      </c>
      <c r="N8" s="229">
        <f t="shared" si="2"/>
        <v>954.51199999999994</v>
      </c>
      <c r="O8" s="229">
        <f t="shared" si="3"/>
        <v>300.4144</v>
      </c>
      <c r="P8" s="226">
        <f t="shared" si="4"/>
        <v>225.2432</v>
      </c>
      <c r="Q8" s="229">
        <f t="shared" si="5"/>
        <v>185.55713279999998</v>
      </c>
      <c r="R8" s="229">
        <f t="shared" si="6"/>
        <v>225.33333333333334</v>
      </c>
      <c r="S8" s="229">
        <f t="shared" si="7"/>
        <v>129.18630400000001</v>
      </c>
      <c r="T8" s="226">
        <v>700</v>
      </c>
      <c r="U8" s="226">
        <v>0</v>
      </c>
      <c r="V8" s="229">
        <f t="shared" si="31"/>
        <v>2720.2463701333331</v>
      </c>
      <c r="W8" s="226">
        <f t="shared" si="8"/>
        <v>20.833333333333332</v>
      </c>
      <c r="X8" s="226">
        <f t="shared" si="9"/>
        <v>20.833333333333332</v>
      </c>
      <c r="Y8" s="226">
        <f t="shared" si="10"/>
        <v>18.75</v>
      </c>
      <c r="Z8" s="226">
        <f t="shared" si="11"/>
        <v>3.5714285714285716</v>
      </c>
      <c r="AA8" s="226">
        <f t="shared" si="12"/>
        <v>82.408333333333317</v>
      </c>
      <c r="AB8" s="226">
        <f t="shared" si="13"/>
        <v>87.916666666666657</v>
      </c>
      <c r="AC8" s="230">
        <f t="shared" si="14"/>
        <v>150</v>
      </c>
      <c r="AD8" s="226">
        <f t="shared" si="15"/>
        <v>66.666666666666671</v>
      </c>
      <c r="AE8" s="226">
        <f t="shared" si="16"/>
        <v>15</v>
      </c>
      <c r="AF8" s="226">
        <v>400</v>
      </c>
      <c r="AG8" s="229">
        <f t="shared" si="17"/>
        <v>865.97976190476197</v>
      </c>
      <c r="AH8" s="229">
        <f t="shared" si="18"/>
        <v>6290.2261320380949</v>
      </c>
      <c r="AI8" s="231">
        <v>0.04</v>
      </c>
      <c r="AJ8" s="232">
        <f t="shared" si="19"/>
        <v>251.60904528152381</v>
      </c>
      <c r="AK8" s="233">
        <v>0.04</v>
      </c>
      <c r="AL8" s="234">
        <f t="shared" si="20"/>
        <v>382.90830205680078</v>
      </c>
      <c r="AM8" s="231">
        <v>0.01</v>
      </c>
      <c r="AN8" s="232">
        <f t="shared" si="21"/>
        <v>62.902261320380951</v>
      </c>
      <c r="AO8" s="233">
        <v>0.01</v>
      </c>
      <c r="AP8" s="234">
        <f t="shared" si="22"/>
        <v>95.727075514200195</v>
      </c>
      <c r="AQ8" s="231">
        <v>0.1</v>
      </c>
      <c r="AR8" s="232">
        <f t="shared" si="23"/>
        <v>629.02261320380956</v>
      </c>
      <c r="AS8" s="233">
        <v>0.1</v>
      </c>
      <c r="AT8" s="234">
        <f t="shared" si="24"/>
        <v>957.27075514200192</v>
      </c>
      <c r="AU8" s="231">
        <v>0.15640000000000001</v>
      </c>
      <c r="AV8" s="232">
        <f t="shared" si="25"/>
        <v>1418.3843238909433</v>
      </c>
      <c r="AW8" s="233">
        <v>0.19289999999999999</v>
      </c>
      <c r="AX8" s="234">
        <f t="shared" si="26"/>
        <v>1846.5752866689215</v>
      </c>
      <c r="AY8" s="235">
        <f t="shared" si="27"/>
        <v>9068.9534775635748</v>
      </c>
      <c r="AZ8" s="234">
        <f t="shared" si="28"/>
        <v>9572.7075514200187</v>
      </c>
      <c r="BA8" s="395">
        <f t="shared" si="32"/>
        <v>3362.8051273342512</v>
      </c>
    </row>
    <row r="9" spans="1:55" x14ac:dyDescent="0.25">
      <c r="A9" s="245">
        <f t="shared" si="29"/>
        <v>9572.7075514200187</v>
      </c>
      <c r="B9" s="220" t="str">
        <f>IF(Helexia!C9=0,"",Helexia!C9)</f>
        <v>Vinícius Moraes Rangel</v>
      </c>
      <c r="C9" s="221" t="str">
        <f>IF(Helexia!G9=0,"",Helexia!G9)</f>
        <v>CLT</v>
      </c>
      <c r="D9" s="226">
        <v>2080</v>
      </c>
      <c r="E9" s="222"/>
      <c r="G9" s="224"/>
      <c r="H9" s="225"/>
      <c r="I9" s="226"/>
      <c r="J9" s="238"/>
      <c r="K9" s="228">
        <f t="shared" si="30"/>
        <v>2080</v>
      </c>
      <c r="L9" s="243">
        <f t="shared" si="0"/>
        <v>624</v>
      </c>
      <c r="M9" s="229">
        <f t="shared" si="1"/>
        <v>2704</v>
      </c>
      <c r="N9" s="229">
        <f t="shared" si="2"/>
        <v>954.51199999999994</v>
      </c>
      <c r="O9" s="229">
        <f t="shared" si="3"/>
        <v>300.4144</v>
      </c>
      <c r="P9" s="226">
        <f t="shared" si="4"/>
        <v>225.2432</v>
      </c>
      <c r="Q9" s="229">
        <f t="shared" si="5"/>
        <v>185.55713279999998</v>
      </c>
      <c r="R9" s="229">
        <f t="shared" si="6"/>
        <v>225.33333333333334</v>
      </c>
      <c r="S9" s="229">
        <f t="shared" si="7"/>
        <v>129.18630400000001</v>
      </c>
      <c r="T9" s="226">
        <v>700</v>
      </c>
      <c r="U9" s="226">
        <v>0</v>
      </c>
      <c r="V9" s="229">
        <f t="shared" si="31"/>
        <v>2720.2463701333331</v>
      </c>
      <c r="W9" s="226">
        <f t="shared" si="8"/>
        <v>20.833333333333332</v>
      </c>
      <c r="X9" s="226">
        <f t="shared" si="9"/>
        <v>20.833333333333332</v>
      </c>
      <c r="Y9" s="226">
        <f t="shared" si="10"/>
        <v>18.75</v>
      </c>
      <c r="Z9" s="226">
        <f t="shared" si="11"/>
        <v>3.5714285714285716</v>
      </c>
      <c r="AA9" s="226">
        <f t="shared" si="12"/>
        <v>82.408333333333317</v>
      </c>
      <c r="AB9" s="226">
        <f t="shared" si="13"/>
        <v>87.916666666666657</v>
      </c>
      <c r="AC9" s="230">
        <f t="shared" si="14"/>
        <v>150</v>
      </c>
      <c r="AD9" s="226">
        <f t="shared" si="15"/>
        <v>66.666666666666671</v>
      </c>
      <c r="AE9" s="226">
        <f t="shared" si="16"/>
        <v>15</v>
      </c>
      <c r="AF9" s="226">
        <v>400</v>
      </c>
      <c r="AG9" s="229">
        <f t="shared" si="17"/>
        <v>865.97976190476197</v>
      </c>
      <c r="AH9" s="229">
        <f t="shared" si="18"/>
        <v>6290.2261320380949</v>
      </c>
      <c r="AI9" s="231">
        <v>0.04</v>
      </c>
      <c r="AJ9" s="232">
        <f t="shared" si="19"/>
        <v>251.60904528152381</v>
      </c>
      <c r="AK9" s="233">
        <v>0.04</v>
      </c>
      <c r="AL9" s="234">
        <f t="shared" si="20"/>
        <v>382.90830205680078</v>
      </c>
      <c r="AM9" s="231">
        <v>0.01</v>
      </c>
      <c r="AN9" s="232">
        <f t="shared" si="21"/>
        <v>62.902261320380951</v>
      </c>
      <c r="AO9" s="233">
        <v>0.01</v>
      </c>
      <c r="AP9" s="234">
        <f t="shared" si="22"/>
        <v>95.727075514200195</v>
      </c>
      <c r="AQ9" s="231">
        <v>0.1</v>
      </c>
      <c r="AR9" s="232">
        <f t="shared" si="23"/>
        <v>629.02261320380956</v>
      </c>
      <c r="AS9" s="233">
        <v>0.1</v>
      </c>
      <c r="AT9" s="234">
        <f t="shared" si="24"/>
        <v>957.27075514200192</v>
      </c>
      <c r="AU9" s="231">
        <v>0.15640000000000001</v>
      </c>
      <c r="AV9" s="232">
        <f t="shared" si="25"/>
        <v>1418.3843238909433</v>
      </c>
      <c r="AW9" s="233">
        <v>0.19289999999999999</v>
      </c>
      <c r="AX9" s="234">
        <f t="shared" si="26"/>
        <v>1846.5752866689215</v>
      </c>
      <c r="AY9" s="235">
        <f t="shared" si="27"/>
        <v>9068.9534775635748</v>
      </c>
      <c r="AZ9" s="234">
        <f t="shared" si="28"/>
        <v>9572.7075514200187</v>
      </c>
      <c r="BA9" s="395">
        <f t="shared" si="32"/>
        <v>3362.8051273342512</v>
      </c>
    </row>
    <row r="10" spans="1:55" x14ac:dyDescent="0.25">
      <c r="A10" s="245">
        <f t="shared" si="29"/>
        <v>9572.7075514200187</v>
      </c>
      <c r="B10" s="248" t="str">
        <f>IF(Helexia!C10=0,"",Helexia!C10)</f>
        <v>Cláudia Peixoto Nobre</v>
      </c>
      <c r="C10" s="221" t="str">
        <f>IF(Helexia!G10=0,"",Helexia!G10)</f>
        <v>CLT</v>
      </c>
      <c r="D10" s="226">
        <v>2080</v>
      </c>
      <c r="E10" s="222"/>
      <c r="G10" s="224"/>
      <c r="H10" s="225"/>
      <c r="I10" s="226"/>
      <c r="J10" s="227"/>
      <c r="K10" s="228">
        <f t="shared" si="30"/>
        <v>2080</v>
      </c>
      <c r="L10" s="243">
        <f t="shared" si="0"/>
        <v>624</v>
      </c>
      <c r="M10" s="229">
        <f t="shared" si="1"/>
        <v>2704</v>
      </c>
      <c r="N10" s="229">
        <f t="shared" si="2"/>
        <v>954.51199999999994</v>
      </c>
      <c r="O10" s="229">
        <f t="shared" si="3"/>
        <v>300.4144</v>
      </c>
      <c r="P10" s="226">
        <f t="shared" si="4"/>
        <v>225.2432</v>
      </c>
      <c r="Q10" s="229">
        <f t="shared" si="5"/>
        <v>185.55713279999998</v>
      </c>
      <c r="R10" s="229">
        <f t="shared" si="6"/>
        <v>225.33333333333334</v>
      </c>
      <c r="S10" s="229">
        <f t="shared" si="7"/>
        <v>129.18630400000001</v>
      </c>
      <c r="T10" s="226">
        <v>700</v>
      </c>
      <c r="U10" s="226">
        <v>0</v>
      </c>
      <c r="V10" s="229">
        <f t="shared" si="31"/>
        <v>2720.2463701333331</v>
      </c>
      <c r="W10" s="226">
        <f t="shared" si="8"/>
        <v>20.833333333333332</v>
      </c>
      <c r="X10" s="226">
        <f t="shared" si="9"/>
        <v>20.833333333333332</v>
      </c>
      <c r="Y10" s="226">
        <f t="shared" si="10"/>
        <v>18.75</v>
      </c>
      <c r="Z10" s="226">
        <f t="shared" si="11"/>
        <v>3.5714285714285716</v>
      </c>
      <c r="AA10" s="226">
        <f t="shared" si="12"/>
        <v>82.408333333333317</v>
      </c>
      <c r="AB10" s="226">
        <f t="shared" si="13"/>
        <v>87.916666666666657</v>
      </c>
      <c r="AC10" s="230">
        <f t="shared" si="14"/>
        <v>150</v>
      </c>
      <c r="AD10" s="226">
        <f t="shared" si="15"/>
        <v>66.666666666666671</v>
      </c>
      <c r="AE10" s="226">
        <f t="shared" si="16"/>
        <v>15</v>
      </c>
      <c r="AF10" s="226">
        <v>400</v>
      </c>
      <c r="AG10" s="229">
        <f t="shared" si="17"/>
        <v>865.97976190476197</v>
      </c>
      <c r="AH10" s="229">
        <f t="shared" si="18"/>
        <v>6290.2261320380949</v>
      </c>
      <c r="AI10" s="231">
        <v>0.04</v>
      </c>
      <c r="AJ10" s="232">
        <f t="shared" si="19"/>
        <v>251.60904528152381</v>
      </c>
      <c r="AK10" s="233">
        <v>0.04</v>
      </c>
      <c r="AL10" s="234">
        <f t="shared" si="20"/>
        <v>382.90830205680078</v>
      </c>
      <c r="AM10" s="231">
        <v>0.01</v>
      </c>
      <c r="AN10" s="232">
        <f t="shared" si="21"/>
        <v>62.902261320380951</v>
      </c>
      <c r="AO10" s="233">
        <v>0.01</v>
      </c>
      <c r="AP10" s="234">
        <f t="shared" si="22"/>
        <v>95.727075514200195</v>
      </c>
      <c r="AQ10" s="231">
        <v>0.1</v>
      </c>
      <c r="AR10" s="232">
        <f t="shared" si="23"/>
        <v>629.02261320380956</v>
      </c>
      <c r="AS10" s="233">
        <v>0.1</v>
      </c>
      <c r="AT10" s="234">
        <f t="shared" si="24"/>
        <v>957.27075514200192</v>
      </c>
      <c r="AU10" s="231">
        <v>0.15640000000000001</v>
      </c>
      <c r="AV10" s="232">
        <f t="shared" si="25"/>
        <v>1418.3843238909433</v>
      </c>
      <c r="AW10" s="233">
        <v>0.19289999999999999</v>
      </c>
      <c r="AX10" s="234">
        <f t="shared" si="26"/>
        <v>1846.5752866689215</v>
      </c>
      <c r="AY10" s="235">
        <f t="shared" si="27"/>
        <v>9068.9534775635748</v>
      </c>
      <c r="AZ10" s="234">
        <f t="shared" si="28"/>
        <v>9572.7075514200187</v>
      </c>
      <c r="BA10" s="395">
        <f t="shared" si="32"/>
        <v>3362.8051273342512</v>
      </c>
    </row>
    <row r="11" spans="1:55" x14ac:dyDescent="0.25">
      <c r="A11" s="245">
        <f t="shared" si="29"/>
        <v>7132.0222440593952</v>
      </c>
      <c r="B11" s="220" t="str">
        <f>IF(Helexia!C11=0,"",Helexia!C11)</f>
        <v>Renato Guedes Paiva</v>
      </c>
      <c r="C11" s="221" t="str">
        <f>IF(Helexia!G11=0,"",Helexia!G11)</f>
        <v>CLT</v>
      </c>
      <c r="D11" s="226">
        <v>1550</v>
      </c>
      <c r="E11" s="222"/>
      <c r="G11" s="224"/>
      <c r="H11" s="225"/>
      <c r="I11" s="226"/>
      <c r="J11" s="227"/>
      <c r="K11" s="228">
        <f t="shared" si="30"/>
        <v>1550</v>
      </c>
      <c r="L11" s="243">
        <f t="shared" si="0"/>
        <v>465</v>
      </c>
      <c r="M11" s="229">
        <f t="shared" si="1"/>
        <v>2015</v>
      </c>
      <c r="N11" s="229">
        <f t="shared" si="2"/>
        <v>711.29499999999996</v>
      </c>
      <c r="O11" s="229">
        <f t="shared" si="3"/>
        <v>223.86649999999997</v>
      </c>
      <c r="P11" s="226">
        <f t="shared" si="4"/>
        <v>167.84950000000001</v>
      </c>
      <c r="Q11" s="229">
        <f t="shared" si="5"/>
        <v>138.27574799999999</v>
      </c>
      <c r="R11" s="229">
        <f t="shared" si="6"/>
        <v>167.91666666666666</v>
      </c>
      <c r="S11" s="229">
        <f t="shared" si="7"/>
        <v>96.268640000000005</v>
      </c>
      <c r="T11" s="226">
        <v>300</v>
      </c>
      <c r="U11" s="226">
        <v>0</v>
      </c>
      <c r="V11" s="229">
        <f t="shared" si="31"/>
        <v>1805.4720546666667</v>
      </c>
      <c r="W11" s="226">
        <f t="shared" si="8"/>
        <v>20.833333333333332</v>
      </c>
      <c r="X11" s="226">
        <f t="shared" si="9"/>
        <v>20.833333333333332</v>
      </c>
      <c r="Y11" s="226">
        <f t="shared" si="10"/>
        <v>18.75</v>
      </c>
      <c r="Z11" s="226">
        <f t="shared" si="11"/>
        <v>3.5714285714285716</v>
      </c>
      <c r="AA11" s="226">
        <f t="shared" si="12"/>
        <v>82.408333333333317</v>
      </c>
      <c r="AB11" s="226">
        <f t="shared" si="13"/>
        <v>87.916666666666657</v>
      </c>
      <c r="AC11" s="230">
        <f t="shared" si="14"/>
        <v>150</v>
      </c>
      <c r="AD11" s="226">
        <f t="shared" si="15"/>
        <v>66.666666666666671</v>
      </c>
      <c r="AE11" s="226">
        <f t="shared" si="16"/>
        <v>15</v>
      </c>
      <c r="AF11" s="226">
        <v>400</v>
      </c>
      <c r="AG11" s="229">
        <f t="shared" si="17"/>
        <v>865.97976190476197</v>
      </c>
      <c r="AH11" s="229">
        <f t="shared" si="18"/>
        <v>4686.4518165714289</v>
      </c>
      <c r="AI11" s="231">
        <v>0.04</v>
      </c>
      <c r="AJ11" s="232">
        <f t="shared" si="19"/>
        <v>187.45807266285715</v>
      </c>
      <c r="AK11" s="233">
        <v>0.04</v>
      </c>
      <c r="AL11" s="234">
        <f t="shared" si="20"/>
        <v>285.28088976237581</v>
      </c>
      <c r="AM11" s="231">
        <v>0.01</v>
      </c>
      <c r="AN11" s="232">
        <f t="shared" si="21"/>
        <v>46.864518165714287</v>
      </c>
      <c r="AO11" s="233">
        <v>0.01</v>
      </c>
      <c r="AP11" s="234">
        <f t="shared" si="22"/>
        <v>71.320222440593952</v>
      </c>
      <c r="AQ11" s="231">
        <v>0.1</v>
      </c>
      <c r="AR11" s="232">
        <f t="shared" si="23"/>
        <v>468.64518165714293</v>
      </c>
      <c r="AS11" s="233">
        <v>0.1</v>
      </c>
      <c r="AT11" s="234">
        <f t="shared" si="24"/>
        <v>713.20222440593955</v>
      </c>
      <c r="AU11" s="231">
        <v>0.15640000000000001</v>
      </c>
      <c r="AV11" s="232">
        <f t="shared" si="25"/>
        <v>1056.7489390308126</v>
      </c>
      <c r="AW11" s="233">
        <v>0.19289999999999999</v>
      </c>
      <c r="AX11" s="234">
        <f t="shared" si="26"/>
        <v>1375.7670908790572</v>
      </c>
      <c r="AY11" s="235">
        <f t="shared" si="27"/>
        <v>6756.7067712967546</v>
      </c>
      <c r="AZ11" s="234">
        <f t="shared" si="28"/>
        <v>7132.0222440593952</v>
      </c>
      <c r="BA11" s="395">
        <f t="shared" si="32"/>
        <v>2662.7655024498245</v>
      </c>
    </row>
    <row r="12" spans="1:55" x14ac:dyDescent="0.25">
      <c r="A12" s="245">
        <f t="shared" si="29"/>
        <v>7132.0222440593952</v>
      </c>
      <c r="B12" s="248" t="str">
        <f>IF(Helexia!C12=0,"",Helexia!C12)</f>
        <v>Silvia Matos Barreto</v>
      </c>
      <c r="C12" s="221" t="str">
        <f>IF(Helexia!G12=0,"",Helexia!G12)</f>
        <v>CLT</v>
      </c>
      <c r="D12" s="226">
        <v>1550</v>
      </c>
      <c r="E12" s="222"/>
      <c r="G12" s="224"/>
      <c r="H12" s="225"/>
      <c r="I12" s="226"/>
      <c r="J12" s="227"/>
      <c r="K12" s="228">
        <f t="shared" si="30"/>
        <v>1550</v>
      </c>
      <c r="L12" s="243">
        <f t="shared" si="0"/>
        <v>465</v>
      </c>
      <c r="M12" s="229">
        <f t="shared" si="1"/>
        <v>2015</v>
      </c>
      <c r="N12" s="229">
        <f t="shared" si="2"/>
        <v>711.29499999999996</v>
      </c>
      <c r="O12" s="229">
        <f t="shared" si="3"/>
        <v>223.86649999999997</v>
      </c>
      <c r="P12" s="226">
        <f t="shared" si="4"/>
        <v>167.84950000000001</v>
      </c>
      <c r="Q12" s="229">
        <f t="shared" si="5"/>
        <v>138.27574799999999</v>
      </c>
      <c r="R12" s="229">
        <f t="shared" si="6"/>
        <v>167.91666666666666</v>
      </c>
      <c r="S12" s="229">
        <f t="shared" si="7"/>
        <v>96.268640000000005</v>
      </c>
      <c r="T12" s="226">
        <v>300</v>
      </c>
      <c r="U12" s="226">
        <v>0</v>
      </c>
      <c r="V12" s="229">
        <f t="shared" si="31"/>
        <v>1805.4720546666667</v>
      </c>
      <c r="W12" s="226">
        <f t="shared" si="8"/>
        <v>20.833333333333332</v>
      </c>
      <c r="X12" s="226">
        <f t="shared" si="9"/>
        <v>20.833333333333332</v>
      </c>
      <c r="Y12" s="226">
        <f t="shared" si="10"/>
        <v>18.75</v>
      </c>
      <c r="Z12" s="226">
        <f t="shared" si="11"/>
        <v>3.5714285714285716</v>
      </c>
      <c r="AA12" s="226">
        <f t="shared" si="12"/>
        <v>82.408333333333317</v>
      </c>
      <c r="AB12" s="226">
        <f t="shared" si="13"/>
        <v>87.916666666666657</v>
      </c>
      <c r="AC12" s="230">
        <f t="shared" si="14"/>
        <v>150</v>
      </c>
      <c r="AD12" s="226">
        <f t="shared" si="15"/>
        <v>66.666666666666671</v>
      </c>
      <c r="AE12" s="226">
        <f t="shared" si="16"/>
        <v>15</v>
      </c>
      <c r="AF12" s="226">
        <v>400</v>
      </c>
      <c r="AG12" s="229">
        <f t="shared" si="17"/>
        <v>865.97976190476197</v>
      </c>
      <c r="AH12" s="229">
        <f t="shared" si="18"/>
        <v>4686.4518165714289</v>
      </c>
      <c r="AI12" s="231">
        <v>0.04</v>
      </c>
      <c r="AJ12" s="232">
        <f t="shared" si="19"/>
        <v>187.45807266285715</v>
      </c>
      <c r="AK12" s="233">
        <v>0.04</v>
      </c>
      <c r="AL12" s="234">
        <f t="shared" si="20"/>
        <v>285.28088976237581</v>
      </c>
      <c r="AM12" s="231">
        <v>0.01</v>
      </c>
      <c r="AN12" s="232">
        <f t="shared" si="21"/>
        <v>46.864518165714287</v>
      </c>
      <c r="AO12" s="233">
        <v>0.01</v>
      </c>
      <c r="AP12" s="234">
        <f t="shared" si="22"/>
        <v>71.320222440593952</v>
      </c>
      <c r="AQ12" s="231">
        <v>0.1</v>
      </c>
      <c r="AR12" s="232">
        <f t="shared" si="23"/>
        <v>468.64518165714293</v>
      </c>
      <c r="AS12" s="233">
        <v>0.1</v>
      </c>
      <c r="AT12" s="234">
        <f t="shared" si="24"/>
        <v>713.20222440593955</v>
      </c>
      <c r="AU12" s="231">
        <v>0.15640000000000001</v>
      </c>
      <c r="AV12" s="232">
        <f t="shared" si="25"/>
        <v>1056.7489390308126</v>
      </c>
      <c r="AW12" s="233">
        <v>0.19289999999999999</v>
      </c>
      <c r="AX12" s="234">
        <f t="shared" si="26"/>
        <v>1375.7670908790572</v>
      </c>
      <c r="AY12" s="235">
        <f t="shared" si="27"/>
        <v>6756.7067712967546</v>
      </c>
      <c r="AZ12" s="234">
        <f t="shared" si="28"/>
        <v>7132.0222440593952</v>
      </c>
      <c r="BA12" s="395">
        <f t="shared" si="32"/>
        <v>2662.7655024498245</v>
      </c>
    </row>
    <row r="13" spans="1:55" x14ac:dyDescent="0.25">
      <c r="A13" s="245">
        <f t="shared" si="29"/>
        <v>9572.7075514200187</v>
      </c>
      <c r="B13" s="220" t="str">
        <f>IF(Helexia!C13=0,"",Helexia!C13)</f>
        <v>Daniel Afonso Queiroz Lima</v>
      </c>
      <c r="C13" s="221" t="str">
        <f>IF(Helexia!G13=0,"",Helexia!G13)</f>
        <v>CLT</v>
      </c>
      <c r="D13" s="226">
        <v>2080</v>
      </c>
      <c r="E13" s="222"/>
      <c r="G13" s="224"/>
      <c r="H13" s="225"/>
      <c r="I13" s="226"/>
      <c r="J13" s="227"/>
      <c r="K13" s="228">
        <f t="shared" si="30"/>
        <v>2080</v>
      </c>
      <c r="L13" s="243">
        <f t="shared" si="0"/>
        <v>624</v>
      </c>
      <c r="M13" s="229">
        <f t="shared" si="1"/>
        <v>2704</v>
      </c>
      <c r="N13" s="229">
        <f t="shared" si="2"/>
        <v>954.51199999999994</v>
      </c>
      <c r="O13" s="229">
        <f t="shared" si="3"/>
        <v>300.4144</v>
      </c>
      <c r="P13" s="226">
        <f t="shared" si="4"/>
        <v>225.2432</v>
      </c>
      <c r="Q13" s="229">
        <f t="shared" si="5"/>
        <v>185.55713279999998</v>
      </c>
      <c r="R13" s="229">
        <f t="shared" si="6"/>
        <v>225.33333333333334</v>
      </c>
      <c r="S13" s="229">
        <f t="shared" si="7"/>
        <v>129.18630400000001</v>
      </c>
      <c r="T13" s="226">
        <v>700</v>
      </c>
      <c r="U13" s="226">
        <v>0</v>
      </c>
      <c r="V13" s="229">
        <f t="shared" si="31"/>
        <v>2720.2463701333331</v>
      </c>
      <c r="W13" s="226">
        <f t="shared" si="8"/>
        <v>20.833333333333332</v>
      </c>
      <c r="X13" s="226">
        <f t="shared" si="9"/>
        <v>20.833333333333332</v>
      </c>
      <c r="Y13" s="226">
        <f t="shared" si="10"/>
        <v>18.75</v>
      </c>
      <c r="Z13" s="226">
        <f t="shared" si="11"/>
        <v>3.5714285714285716</v>
      </c>
      <c r="AA13" s="226">
        <f t="shared" si="12"/>
        <v>82.408333333333317</v>
      </c>
      <c r="AB13" s="226">
        <f t="shared" si="13"/>
        <v>87.916666666666657</v>
      </c>
      <c r="AC13" s="230">
        <f t="shared" si="14"/>
        <v>150</v>
      </c>
      <c r="AD13" s="226">
        <f t="shared" si="15"/>
        <v>66.666666666666671</v>
      </c>
      <c r="AE13" s="226">
        <f t="shared" si="16"/>
        <v>15</v>
      </c>
      <c r="AF13" s="226">
        <v>400</v>
      </c>
      <c r="AG13" s="229">
        <f t="shared" si="17"/>
        <v>865.97976190476197</v>
      </c>
      <c r="AH13" s="229">
        <f t="shared" si="18"/>
        <v>6290.2261320380949</v>
      </c>
      <c r="AI13" s="231">
        <v>0.04</v>
      </c>
      <c r="AJ13" s="232">
        <f t="shared" si="19"/>
        <v>251.60904528152381</v>
      </c>
      <c r="AK13" s="233">
        <v>0.04</v>
      </c>
      <c r="AL13" s="234">
        <f t="shared" si="20"/>
        <v>382.90830205680078</v>
      </c>
      <c r="AM13" s="231">
        <v>0.01</v>
      </c>
      <c r="AN13" s="232">
        <f t="shared" si="21"/>
        <v>62.902261320380951</v>
      </c>
      <c r="AO13" s="233">
        <v>0.01</v>
      </c>
      <c r="AP13" s="234">
        <f t="shared" si="22"/>
        <v>95.727075514200195</v>
      </c>
      <c r="AQ13" s="231">
        <v>0.1</v>
      </c>
      <c r="AR13" s="232">
        <f t="shared" si="23"/>
        <v>629.02261320380956</v>
      </c>
      <c r="AS13" s="233">
        <v>0.1</v>
      </c>
      <c r="AT13" s="234">
        <f t="shared" si="24"/>
        <v>957.27075514200192</v>
      </c>
      <c r="AU13" s="231">
        <v>0.15640000000000001</v>
      </c>
      <c r="AV13" s="232">
        <f t="shared" si="25"/>
        <v>1418.3843238909433</v>
      </c>
      <c r="AW13" s="233">
        <v>0.19289999999999999</v>
      </c>
      <c r="AX13" s="234">
        <f t="shared" si="26"/>
        <v>1846.5752866689215</v>
      </c>
      <c r="AY13" s="235">
        <f t="shared" si="27"/>
        <v>9068.9534775635748</v>
      </c>
      <c r="AZ13" s="234">
        <f t="shared" si="28"/>
        <v>9572.7075514200187</v>
      </c>
      <c r="BA13" s="395">
        <f t="shared" si="32"/>
        <v>3362.8051273342512</v>
      </c>
    </row>
    <row r="14" spans="1:55" x14ac:dyDescent="0.25">
      <c r="A14" s="245">
        <f t="shared" si="29"/>
        <v>9572.7075514200187</v>
      </c>
      <c r="B14" s="248" t="str">
        <f>IF(Helexia!C14=0,"",Helexia!C14)</f>
        <v>Juliane Costa Figueiredo</v>
      </c>
      <c r="C14" s="221" t="str">
        <f>IF(Helexia!G14=0,"",Helexia!G14)</f>
        <v>CLT</v>
      </c>
      <c r="D14" s="226">
        <v>2080</v>
      </c>
      <c r="E14" s="222"/>
      <c r="G14" s="224"/>
      <c r="H14" s="225"/>
      <c r="I14" s="226"/>
      <c r="J14" s="227"/>
      <c r="K14" s="228">
        <f t="shared" si="30"/>
        <v>2080</v>
      </c>
      <c r="L14" s="243">
        <f t="shared" si="0"/>
        <v>624</v>
      </c>
      <c r="M14" s="229">
        <f t="shared" si="1"/>
        <v>2704</v>
      </c>
      <c r="N14" s="229">
        <f t="shared" si="2"/>
        <v>954.51199999999994</v>
      </c>
      <c r="O14" s="229">
        <f t="shared" si="3"/>
        <v>300.4144</v>
      </c>
      <c r="P14" s="226">
        <f t="shared" si="4"/>
        <v>225.2432</v>
      </c>
      <c r="Q14" s="229">
        <f t="shared" si="5"/>
        <v>185.55713279999998</v>
      </c>
      <c r="R14" s="229">
        <f t="shared" si="6"/>
        <v>225.33333333333334</v>
      </c>
      <c r="S14" s="229">
        <f t="shared" si="7"/>
        <v>129.18630400000001</v>
      </c>
      <c r="T14" s="226">
        <v>700</v>
      </c>
      <c r="U14" s="226">
        <v>0</v>
      </c>
      <c r="V14" s="229">
        <f t="shared" si="31"/>
        <v>2720.2463701333331</v>
      </c>
      <c r="W14" s="226">
        <f t="shared" si="8"/>
        <v>20.833333333333332</v>
      </c>
      <c r="X14" s="226">
        <f t="shared" si="9"/>
        <v>20.833333333333332</v>
      </c>
      <c r="Y14" s="226">
        <f t="shared" si="10"/>
        <v>18.75</v>
      </c>
      <c r="Z14" s="226">
        <f t="shared" si="11"/>
        <v>3.5714285714285716</v>
      </c>
      <c r="AA14" s="226">
        <f t="shared" si="12"/>
        <v>82.408333333333317</v>
      </c>
      <c r="AB14" s="226">
        <f t="shared" si="13"/>
        <v>87.916666666666657</v>
      </c>
      <c r="AC14" s="230">
        <f t="shared" si="14"/>
        <v>150</v>
      </c>
      <c r="AD14" s="226">
        <f t="shared" si="15"/>
        <v>66.666666666666671</v>
      </c>
      <c r="AE14" s="226">
        <f t="shared" si="16"/>
        <v>15</v>
      </c>
      <c r="AF14" s="226">
        <v>400</v>
      </c>
      <c r="AG14" s="229">
        <f t="shared" si="17"/>
        <v>865.97976190476197</v>
      </c>
      <c r="AH14" s="229">
        <f t="shared" si="18"/>
        <v>6290.2261320380949</v>
      </c>
      <c r="AI14" s="231">
        <v>0.04</v>
      </c>
      <c r="AJ14" s="232">
        <f t="shared" si="19"/>
        <v>251.60904528152381</v>
      </c>
      <c r="AK14" s="233">
        <v>0.04</v>
      </c>
      <c r="AL14" s="234">
        <f t="shared" si="20"/>
        <v>382.90830205680078</v>
      </c>
      <c r="AM14" s="231">
        <v>0.01</v>
      </c>
      <c r="AN14" s="232">
        <f t="shared" si="21"/>
        <v>62.902261320380951</v>
      </c>
      <c r="AO14" s="233">
        <v>0.01</v>
      </c>
      <c r="AP14" s="234">
        <f t="shared" si="22"/>
        <v>95.727075514200195</v>
      </c>
      <c r="AQ14" s="231">
        <v>0.1</v>
      </c>
      <c r="AR14" s="232">
        <f t="shared" si="23"/>
        <v>629.02261320380956</v>
      </c>
      <c r="AS14" s="233">
        <v>0.1</v>
      </c>
      <c r="AT14" s="234">
        <f t="shared" si="24"/>
        <v>957.27075514200192</v>
      </c>
      <c r="AU14" s="231">
        <v>0.15640000000000001</v>
      </c>
      <c r="AV14" s="232">
        <f t="shared" si="25"/>
        <v>1418.3843238909433</v>
      </c>
      <c r="AW14" s="233">
        <v>0.19289999999999999</v>
      </c>
      <c r="AX14" s="234">
        <f t="shared" si="26"/>
        <v>1846.5752866689215</v>
      </c>
      <c r="AY14" s="235">
        <f t="shared" si="27"/>
        <v>9068.9534775635748</v>
      </c>
      <c r="AZ14" s="234">
        <f t="shared" si="28"/>
        <v>9572.7075514200187</v>
      </c>
      <c r="BA14" s="395">
        <f t="shared" si="32"/>
        <v>3362.8051273342512</v>
      </c>
    </row>
    <row r="15" spans="1:55" x14ac:dyDescent="0.25">
      <c r="A15" s="245">
        <f t="shared" si="29"/>
        <v>12490.488575678122</v>
      </c>
      <c r="B15" s="220" t="str">
        <f>IF(Helexia!C15=0,"",Helexia!C15)</f>
        <v>Mauro Silveira Prado</v>
      </c>
      <c r="C15" s="221" t="str">
        <f>IF(Helexia!G15=0,"",Helexia!G15)</f>
        <v>CLT</v>
      </c>
      <c r="D15" s="226">
        <v>2704</v>
      </c>
      <c r="E15" s="222"/>
      <c r="G15" s="224"/>
      <c r="H15" s="225"/>
      <c r="I15" s="226"/>
      <c r="J15" s="227"/>
      <c r="K15" s="228">
        <f t="shared" si="30"/>
        <v>2704</v>
      </c>
      <c r="L15" s="243">
        <f t="shared" si="0"/>
        <v>811.19999999999993</v>
      </c>
      <c r="M15" s="229">
        <f t="shared" si="1"/>
        <v>3515.2</v>
      </c>
      <c r="N15" s="229">
        <f t="shared" si="2"/>
        <v>1240.8655999999999</v>
      </c>
      <c r="O15" s="229">
        <f t="shared" si="3"/>
        <v>390.53871999999996</v>
      </c>
      <c r="P15" s="226">
        <f t="shared" si="4"/>
        <v>292.81615999999997</v>
      </c>
      <c r="Q15" s="229">
        <f t="shared" si="5"/>
        <v>241.22427263999995</v>
      </c>
      <c r="R15" s="229">
        <f t="shared" si="6"/>
        <v>292.93333333333334</v>
      </c>
      <c r="S15" s="229">
        <f t="shared" si="7"/>
        <v>167.94219519999999</v>
      </c>
      <c r="T15" s="226">
        <v>1200</v>
      </c>
      <c r="U15" s="226">
        <v>0</v>
      </c>
      <c r="V15" s="229">
        <f t="shared" si="31"/>
        <v>3826.3202811733331</v>
      </c>
      <c r="W15" s="226">
        <f t="shared" si="8"/>
        <v>20.833333333333332</v>
      </c>
      <c r="X15" s="226">
        <f t="shared" si="9"/>
        <v>20.833333333333332</v>
      </c>
      <c r="Y15" s="226">
        <f t="shared" si="10"/>
        <v>18.75</v>
      </c>
      <c r="Z15" s="226">
        <f t="shared" si="11"/>
        <v>3.5714285714285716</v>
      </c>
      <c r="AA15" s="226">
        <f t="shared" si="12"/>
        <v>82.408333333333317</v>
      </c>
      <c r="AB15" s="226">
        <f t="shared" si="13"/>
        <v>87.916666666666657</v>
      </c>
      <c r="AC15" s="230">
        <f t="shared" si="14"/>
        <v>150</v>
      </c>
      <c r="AD15" s="226">
        <f t="shared" si="15"/>
        <v>66.666666666666671</v>
      </c>
      <c r="AE15" s="226">
        <f t="shared" si="16"/>
        <v>15</v>
      </c>
      <c r="AF15" s="226">
        <v>400</v>
      </c>
      <c r="AG15" s="229">
        <f t="shared" si="17"/>
        <v>865.97976190476197</v>
      </c>
      <c r="AH15" s="229">
        <f t="shared" si="18"/>
        <v>8207.5000430780947</v>
      </c>
      <c r="AI15" s="231">
        <v>0.04</v>
      </c>
      <c r="AJ15" s="232">
        <f t="shared" si="19"/>
        <v>328.30000172312378</v>
      </c>
      <c r="AK15" s="233">
        <v>0.04</v>
      </c>
      <c r="AL15" s="234">
        <f t="shared" si="20"/>
        <v>499.61954302712491</v>
      </c>
      <c r="AM15" s="231">
        <v>0.01</v>
      </c>
      <c r="AN15" s="232">
        <f t="shared" si="21"/>
        <v>82.075000430780946</v>
      </c>
      <c r="AO15" s="233">
        <v>0.01</v>
      </c>
      <c r="AP15" s="234">
        <f t="shared" si="22"/>
        <v>124.90488575678123</v>
      </c>
      <c r="AQ15" s="231">
        <v>0.1</v>
      </c>
      <c r="AR15" s="232">
        <f t="shared" si="23"/>
        <v>820.75000430780949</v>
      </c>
      <c r="AS15" s="233">
        <v>0.1</v>
      </c>
      <c r="AT15" s="234">
        <f t="shared" si="24"/>
        <v>1249.0488575678123</v>
      </c>
      <c r="AU15" s="231">
        <v>0.15640000000000001</v>
      </c>
      <c r="AV15" s="232">
        <f t="shared" si="25"/>
        <v>1850.7107940274138</v>
      </c>
      <c r="AW15" s="233">
        <v>0.19289999999999999</v>
      </c>
      <c r="AX15" s="234">
        <f t="shared" si="26"/>
        <v>2409.4152462483098</v>
      </c>
      <c r="AY15" s="235">
        <f t="shared" si="27"/>
        <v>11833.189220124128</v>
      </c>
      <c r="AZ15" s="234">
        <f t="shared" si="28"/>
        <v>12490.488575678122</v>
      </c>
      <c r="BA15" s="395">
        <f t="shared" si="32"/>
        <v>4187.0027234245963</v>
      </c>
    </row>
    <row r="16" spans="1:55" x14ac:dyDescent="0.25">
      <c r="A16" s="245">
        <f t="shared" si="29"/>
        <v>9987.4886733192743</v>
      </c>
      <c r="B16" s="248" t="str">
        <f>IF(Helexia!C16=0,"",Helexia!C16)</f>
        <v>Tatiana Borges Nascimento</v>
      </c>
      <c r="C16" s="221" t="str">
        <f>IF(Helexia!G16=0,"",Helexia!G16)</f>
        <v>CLT</v>
      </c>
      <c r="D16" s="226">
        <v>2200</v>
      </c>
      <c r="E16" s="222"/>
      <c r="G16" s="224"/>
      <c r="H16" s="225"/>
      <c r="I16" s="226"/>
      <c r="J16" s="227"/>
      <c r="K16" s="228">
        <f t="shared" si="30"/>
        <v>2200</v>
      </c>
      <c r="L16" s="243">
        <f t="shared" si="0"/>
        <v>660</v>
      </c>
      <c r="M16" s="229">
        <f t="shared" si="1"/>
        <v>2860</v>
      </c>
      <c r="N16" s="229">
        <f t="shared" si="2"/>
        <v>1009.5799999999999</v>
      </c>
      <c r="O16" s="229">
        <f t="shared" si="3"/>
        <v>317.74599999999998</v>
      </c>
      <c r="P16" s="226">
        <f t="shared" si="4"/>
        <v>238.238</v>
      </c>
      <c r="Q16" s="229">
        <f t="shared" si="5"/>
        <v>196.26235199999996</v>
      </c>
      <c r="R16" s="229">
        <f t="shared" si="6"/>
        <v>238.33333333333334</v>
      </c>
      <c r="S16" s="229">
        <f t="shared" si="7"/>
        <v>136.63936000000001</v>
      </c>
      <c r="T16" s="226">
        <v>700</v>
      </c>
      <c r="U16" s="226">
        <v>0</v>
      </c>
      <c r="V16" s="229">
        <f t="shared" si="31"/>
        <v>2836.7990453333332</v>
      </c>
      <c r="W16" s="226">
        <f t="shared" si="8"/>
        <v>20.833333333333332</v>
      </c>
      <c r="X16" s="226">
        <f t="shared" si="9"/>
        <v>20.833333333333332</v>
      </c>
      <c r="Y16" s="226">
        <f t="shared" si="10"/>
        <v>18.75</v>
      </c>
      <c r="Z16" s="226">
        <f t="shared" si="11"/>
        <v>3.5714285714285716</v>
      </c>
      <c r="AA16" s="226">
        <f t="shared" si="12"/>
        <v>82.408333333333317</v>
      </c>
      <c r="AB16" s="226">
        <f t="shared" si="13"/>
        <v>87.916666666666657</v>
      </c>
      <c r="AC16" s="230">
        <f t="shared" si="14"/>
        <v>150</v>
      </c>
      <c r="AD16" s="226">
        <f t="shared" si="15"/>
        <v>66.666666666666671</v>
      </c>
      <c r="AE16" s="226">
        <f t="shared" si="16"/>
        <v>15</v>
      </c>
      <c r="AF16" s="226">
        <v>400</v>
      </c>
      <c r="AG16" s="229">
        <f t="shared" si="17"/>
        <v>865.97976190476197</v>
      </c>
      <c r="AH16" s="229">
        <f t="shared" si="18"/>
        <v>6562.7788072380954</v>
      </c>
      <c r="AI16" s="231">
        <v>0.04</v>
      </c>
      <c r="AJ16" s="232">
        <f t="shared" si="19"/>
        <v>262.51115228952381</v>
      </c>
      <c r="AK16" s="233">
        <v>0.04</v>
      </c>
      <c r="AL16" s="234">
        <f t="shared" si="20"/>
        <v>399.49954693277095</v>
      </c>
      <c r="AM16" s="231">
        <v>0.01</v>
      </c>
      <c r="AN16" s="232">
        <f t="shared" si="21"/>
        <v>65.627788072380952</v>
      </c>
      <c r="AO16" s="233">
        <v>0.01</v>
      </c>
      <c r="AP16" s="234">
        <f t="shared" si="22"/>
        <v>99.874886733192739</v>
      </c>
      <c r="AQ16" s="231">
        <v>0.1</v>
      </c>
      <c r="AR16" s="232">
        <f t="shared" si="23"/>
        <v>656.27788072380963</v>
      </c>
      <c r="AS16" s="233">
        <v>0.1</v>
      </c>
      <c r="AT16" s="234">
        <f t="shared" si="24"/>
        <v>998.7488673319275</v>
      </c>
      <c r="AU16" s="231">
        <v>0.15640000000000001</v>
      </c>
      <c r="AV16" s="232">
        <f t="shared" si="25"/>
        <v>1479.8422800634921</v>
      </c>
      <c r="AW16" s="233">
        <v>0.19289999999999999</v>
      </c>
      <c r="AX16" s="234">
        <f t="shared" si="26"/>
        <v>1926.586565083288</v>
      </c>
      <c r="AY16" s="235">
        <f t="shared" si="27"/>
        <v>9461.9071615312787</v>
      </c>
      <c r="AZ16" s="234">
        <f t="shared" si="28"/>
        <v>9987.4886733192743</v>
      </c>
      <c r="BA16" s="395">
        <f t="shared" si="32"/>
        <v>3521.3046650439333</v>
      </c>
    </row>
    <row r="17" spans="1:53" x14ac:dyDescent="0.25">
      <c r="A17" s="245">
        <f t="shared" si="29"/>
        <v>7436.3899202121884</v>
      </c>
      <c r="B17" s="220" t="str">
        <f>IF(Helexia!C17=0,"",Helexia!C17)</f>
        <v>Alex Rocha Pacheco</v>
      </c>
      <c r="C17" s="221" t="str">
        <f>IF(Helexia!G17=0,"",Helexia!G17)</f>
        <v>CLT</v>
      </c>
      <c r="D17" s="226">
        <v>1550</v>
      </c>
      <c r="E17" s="222"/>
      <c r="G17" s="224"/>
      <c r="I17" s="226"/>
      <c r="J17" s="227"/>
      <c r="K17" s="228">
        <f t="shared" si="30"/>
        <v>1550</v>
      </c>
      <c r="L17" s="243">
        <f t="shared" si="0"/>
        <v>465</v>
      </c>
      <c r="M17" s="229">
        <f t="shared" si="1"/>
        <v>2015</v>
      </c>
      <c r="N17" s="229">
        <f t="shared" si="2"/>
        <v>711.29499999999996</v>
      </c>
      <c r="O17" s="229">
        <f t="shared" si="3"/>
        <v>223.86649999999997</v>
      </c>
      <c r="P17" s="226">
        <f t="shared" si="4"/>
        <v>167.84950000000001</v>
      </c>
      <c r="Q17" s="229">
        <f t="shared" si="5"/>
        <v>138.27574799999999</v>
      </c>
      <c r="R17" s="229">
        <f t="shared" si="6"/>
        <v>167.91666666666666</v>
      </c>
      <c r="S17" s="229">
        <f t="shared" si="7"/>
        <v>96.268640000000005</v>
      </c>
      <c r="T17" s="226">
        <v>500</v>
      </c>
      <c r="U17" s="226">
        <v>0</v>
      </c>
      <c r="V17" s="229">
        <f t="shared" si="31"/>
        <v>2005.4720546666667</v>
      </c>
      <c r="W17" s="226">
        <f t="shared" si="8"/>
        <v>20.833333333333332</v>
      </c>
      <c r="X17" s="226">
        <f t="shared" si="9"/>
        <v>20.833333333333332</v>
      </c>
      <c r="Y17" s="226">
        <f t="shared" si="10"/>
        <v>18.75</v>
      </c>
      <c r="Z17" s="226">
        <f t="shared" si="11"/>
        <v>3.5714285714285716</v>
      </c>
      <c r="AA17" s="226">
        <f t="shared" si="12"/>
        <v>82.408333333333317</v>
      </c>
      <c r="AB17" s="226">
        <f t="shared" si="13"/>
        <v>87.916666666666657</v>
      </c>
      <c r="AC17" s="230">
        <f t="shared" si="14"/>
        <v>150</v>
      </c>
      <c r="AD17" s="226">
        <f t="shared" si="15"/>
        <v>66.666666666666671</v>
      </c>
      <c r="AE17" s="226">
        <f t="shared" si="16"/>
        <v>15</v>
      </c>
      <c r="AF17" s="226">
        <v>400</v>
      </c>
      <c r="AG17" s="229">
        <f t="shared" si="17"/>
        <v>865.97976190476197</v>
      </c>
      <c r="AH17" s="229">
        <f t="shared" si="18"/>
        <v>4886.4518165714289</v>
      </c>
      <c r="AI17" s="231">
        <v>0.04</v>
      </c>
      <c r="AJ17" s="232">
        <f t="shared" si="19"/>
        <v>195.45807266285715</v>
      </c>
      <c r="AK17" s="233">
        <v>0.04</v>
      </c>
      <c r="AL17" s="234">
        <f t="shared" si="20"/>
        <v>297.45559680848754</v>
      </c>
      <c r="AM17" s="231">
        <v>0.01</v>
      </c>
      <c r="AN17" s="232">
        <f t="shared" si="21"/>
        <v>48.864518165714287</v>
      </c>
      <c r="AO17" s="233">
        <v>0.01</v>
      </c>
      <c r="AP17" s="234">
        <f t="shared" si="22"/>
        <v>74.363899202121885</v>
      </c>
      <c r="AQ17" s="231">
        <v>0.1</v>
      </c>
      <c r="AR17" s="232">
        <f t="shared" si="23"/>
        <v>488.64518165714293</v>
      </c>
      <c r="AS17" s="233">
        <v>0.1</v>
      </c>
      <c r="AT17" s="234">
        <f t="shared" si="24"/>
        <v>743.63899202121888</v>
      </c>
      <c r="AU17" s="231">
        <v>0.15640000000000001</v>
      </c>
      <c r="AV17" s="232">
        <f t="shared" si="25"/>
        <v>1101.8469782464988</v>
      </c>
      <c r="AW17" s="233">
        <v>0.19289999999999999</v>
      </c>
      <c r="AX17" s="234">
        <f t="shared" si="26"/>
        <v>1434.479615608931</v>
      </c>
      <c r="AY17" s="235">
        <f t="shared" si="27"/>
        <v>7045.0574056681498</v>
      </c>
      <c r="AZ17" s="234">
        <f t="shared" si="28"/>
        <v>7436.3899202121884</v>
      </c>
      <c r="BA17" s="395">
        <f t="shared" si="32"/>
        <v>2662.7655024498245</v>
      </c>
    </row>
    <row r="18" spans="1:53" x14ac:dyDescent="0.25">
      <c r="A18" s="245">
        <f t="shared" si="29"/>
        <v>8203.5401422991363</v>
      </c>
      <c r="B18" s="248" t="str">
        <f>IF(Helexia!C18=0,"",Helexia!C18)</f>
        <v>Eduardo Tavares Montenegro</v>
      </c>
      <c r="C18" s="221" t="str">
        <f>IF(Helexia!G18=0,"",Helexia!G18)</f>
        <v>CLT</v>
      </c>
      <c r="D18" s="226">
        <v>1860</v>
      </c>
      <c r="E18" s="222"/>
      <c r="G18" s="224"/>
      <c r="I18" s="226"/>
      <c r="J18" s="227"/>
      <c r="K18" s="228">
        <f t="shared" si="30"/>
        <v>1860</v>
      </c>
      <c r="L18" s="243">
        <f t="shared" si="0"/>
        <v>558</v>
      </c>
      <c r="M18" s="229">
        <f t="shared" si="1"/>
        <v>2418</v>
      </c>
      <c r="N18" s="229">
        <f t="shared" si="2"/>
        <v>853.55399999999997</v>
      </c>
      <c r="O18" s="229">
        <f t="shared" si="3"/>
        <v>268.63979999999998</v>
      </c>
      <c r="P18" s="226">
        <f t="shared" si="4"/>
        <v>201.4194</v>
      </c>
      <c r="Q18" s="229">
        <f t="shared" si="5"/>
        <v>165.93089759999998</v>
      </c>
      <c r="R18" s="229">
        <f t="shared" si="6"/>
        <v>201.5</v>
      </c>
      <c r="S18" s="229">
        <f t="shared" si="7"/>
        <v>115.52236799999999</v>
      </c>
      <c r="T18" s="226">
        <v>300</v>
      </c>
      <c r="U18" s="226">
        <v>0</v>
      </c>
      <c r="V18" s="229">
        <f t="shared" si="31"/>
        <v>2106.5664655999999</v>
      </c>
      <c r="W18" s="226">
        <f t="shared" si="8"/>
        <v>20.833333333333332</v>
      </c>
      <c r="X18" s="226">
        <f t="shared" si="9"/>
        <v>20.833333333333332</v>
      </c>
      <c r="Y18" s="226">
        <f t="shared" si="10"/>
        <v>18.75</v>
      </c>
      <c r="Z18" s="226">
        <f t="shared" si="11"/>
        <v>3.5714285714285716</v>
      </c>
      <c r="AA18" s="226">
        <f t="shared" si="12"/>
        <v>82.408333333333317</v>
      </c>
      <c r="AB18" s="226">
        <f t="shared" si="13"/>
        <v>87.916666666666657</v>
      </c>
      <c r="AC18" s="230">
        <f t="shared" si="14"/>
        <v>150</v>
      </c>
      <c r="AD18" s="226">
        <f t="shared" si="15"/>
        <v>66.666666666666671</v>
      </c>
      <c r="AE18" s="226">
        <f t="shared" si="16"/>
        <v>15</v>
      </c>
      <c r="AF18" s="226">
        <v>400</v>
      </c>
      <c r="AG18" s="229">
        <f t="shared" si="17"/>
        <v>865.97976190476197</v>
      </c>
      <c r="AH18" s="229">
        <f t="shared" si="18"/>
        <v>5390.5462275047621</v>
      </c>
      <c r="AI18" s="231">
        <v>0.04</v>
      </c>
      <c r="AJ18" s="232">
        <f t="shared" si="19"/>
        <v>215.6218491001905</v>
      </c>
      <c r="AK18" s="233">
        <v>0.04</v>
      </c>
      <c r="AL18" s="234">
        <f t="shared" si="20"/>
        <v>328.14160569196548</v>
      </c>
      <c r="AM18" s="231">
        <v>0.01</v>
      </c>
      <c r="AN18" s="232">
        <f t="shared" si="21"/>
        <v>53.905462275047626</v>
      </c>
      <c r="AO18" s="233">
        <v>0.01</v>
      </c>
      <c r="AP18" s="234">
        <f t="shared" si="22"/>
        <v>82.03540142299137</v>
      </c>
      <c r="AQ18" s="231">
        <v>0.1</v>
      </c>
      <c r="AR18" s="232">
        <f t="shared" si="23"/>
        <v>539.05462275047626</v>
      </c>
      <c r="AS18" s="233">
        <v>0.1</v>
      </c>
      <c r="AT18" s="234">
        <f t="shared" si="24"/>
        <v>820.35401422991367</v>
      </c>
      <c r="AU18" s="231">
        <v>0.15640000000000001</v>
      </c>
      <c r="AV18" s="232">
        <f t="shared" si="25"/>
        <v>1215.5153258098976</v>
      </c>
      <c r="AW18" s="233">
        <v>0.19289999999999999</v>
      </c>
      <c r="AX18" s="234">
        <f t="shared" si="26"/>
        <v>1582.4628934495033</v>
      </c>
      <c r="AY18" s="235">
        <f t="shared" si="27"/>
        <v>7771.8371215466586</v>
      </c>
      <c r="AZ18" s="234">
        <f t="shared" si="28"/>
        <v>8203.5401422991363</v>
      </c>
      <c r="BA18" s="395">
        <f t="shared" si="32"/>
        <v>3072.2226415331684</v>
      </c>
    </row>
    <row r="19" spans="1:53" x14ac:dyDescent="0.25">
      <c r="A19" s="245">
        <f t="shared" si="29"/>
        <v>9572.7075514200187</v>
      </c>
      <c r="B19" s="220" t="str">
        <f>IF(Helexia!C19=0,"",Helexia!C19)</f>
        <v>Bianca Lacerda Fontes</v>
      </c>
      <c r="C19" s="221" t="str">
        <f>IF(Helexia!G19=0,"",Helexia!G19)</f>
        <v>CLT</v>
      </c>
      <c r="D19" s="226">
        <v>2080</v>
      </c>
      <c r="E19" s="222"/>
      <c r="G19" s="224"/>
      <c r="I19" s="226"/>
      <c r="J19" s="227"/>
      <c r="K19" s="228">
        <f t="shared" si="30"/>
        <v>2080</v>
      </c>
      <c r="L19" s="243">
        <f t="shared" si="0"/>
        <v>624</v>
      </c>
      <c r="M19" s="229">
        <f t="shared" si="1"/>
        <v>2704</v>
      </c>
      <c r="N19" s="229">
        <f t="shared" si="2"/>
        <v>954.51199999999994</v>
      </c>
      <c r="O19" s="229">
        <f t="shared" si="3"/>
        <v>300.4144</v>
      </c>
      <c r="P19" s="226">
        <f t="shared" si="4"/>
        <v>225.2432</v>
      </c>
      <c r="Q19" s="229">
        <f t="shared" si="5"/>
        <v>185.55713279999998</v>
      </c>
      <c r="R19" s="229">
        <f t="shared" si="6"/>
        <v>225.33333333333334</v>
      </c>
      <c r="S19" s="229">
        <f t="shared" si="7"/>
        <v>129.18630400000001</v>
      </c>
      <c r="T19" s="226">
        <v>700</v>
      </c>
      <c r="U19" s="226">
        <v>0</v>
      </c>
      <c r="V19" s="229">
        <f t="shared" si="31"/>
        <v>2720.2463701333331</v>
      </c>
      <c r="W19" s="226">
        <f t="shared" si="8"/>
        <v>20.833333333333332</v>
      </c>
      <c r="X19" s="226">
        <f t="shared" si="9"/>
        <v>20.833333333333332</v>
      </c>
      <c r="Y19" s="226">
        <f t="shared" si="10"/>
        <v>18.75</v>
      </c>
      <c r="Z19" s="226">
        <f t="shared" si="11"/>
        <v>3.5714285714285716</v>
      </c>
      <c r="AA19" s="226">
        <f t="shared" si="12"/>
        <v>82.408333333333317</v>
      </c>
      <c r="AB19" s="226">
        <f t="shared" si="13"/>
        <v>87.916666666666657</v>
      </c>
      <c r="AC19" s="230">
        <f t="shared" si="14"/>
        <v>150</v>
      </c>
      <c r="AD19" s="226">
        <f t="shared" si="15"/>
        <v>66.666666666666671</v>
      </c>
      <c r="AE19" s="226">
        <f t="shared" si="16"/>
        <v>15</v>
      </c>
      <c r="AF19" s="226">
        <v>400</v>
      </c>
      <c r="AG19" s="229">
        <f t="shared" si="17"/>
        <v>865.97976190476197</v>
      </c>
      <c r="AH19" s="229">
        <f t="shared" si="18"/>
        <v>6290.2261320380949</v>
      </c>
      <c r="AI19" s="231">
        <v>0.04</v>
      </c>
      <c r="AJ19" s="232">
        <f t="shared" si="19"/>
        <v>251.60904528152381</v>
      </c>
      <c r="AK19" s="233">
        <v>0.04</v>
      </c>
      <c r="AL19" s="234">
        <f t="shared" si="20"/>
        <v>382.90830205680078</v>
      </c>
      <c r="AM19" s="231">
        <v>0.01</v>
      </c>
      <c r="AN19" s="232">
        <f t="shared" si="21"/>
        <v>62.902261320380951</v>
      </c>
      <c r="AO19" s="233">
        <v>0.01</v>
      </c>
      <c r="AP19" s="234">
        <f t="shared" si="22"/>
        <v>95.727075514200195</v>
      </c>
      <c r="AQ19" s="231">
        <v>0.1</v>
      </c>
      <c r="AR19" s="232">
        <f t="shared" si="23"/>
        <v>629.02261320380956</v>
      </c>
      <c r="AS19" s="233">
        <v>0.1</v>
      </c>
      <c r="AT19" s="234">
        <f t="shared" si="24"/>
        <v>957.27075514200192</v>
      </c>
      <c r="AU19" s="231">
        <v>0.15640000000000001</v>
      </c>
      <c r="AV19" s="232">
        <f t="shared" si="25"/>
        <v>1418.3843238909433</v>
      </c>
      <c r="AW19" s="233">
        <v>0.19289999999999999</v>
      </c>
      <c r="AX19" s="234">
        <f t="shared" si="26"/>
        <v>1846.5752866689215</v>
      </c>
      <c r="AY19" s="235">
        <f t="shared" si="27"/>
        <v>9068.9534775635748</v>
      </c>
      <c r="AZ19" s="234">
        <f t="shared" si="28"/>
        <v>9572.7075514200187</v>
      </c>
      <c r="BA19" s="395">
        <f t="shared" si="32"/>
        <v>3362.8051273342512</v>
      </c>
    </row>
    <row r="20" spans="1:53" x14ac:dyDescent="0.25">
      <c r="A20" s="245">
        <f t="shared" si="29"/>
        <v>12490.488575678122</v>
      </c>
      <c r="B20" s="248" t="str">
        <f>IF(Helexia!C20=0,"",Helexia!C20)</f>
        <v>Samuel Torres Maciel</v>
      </c>
      <c r="C20" s="221" t="str">
        <f>IF(Helexia!G20=0,"",Helexia!G20)</f>
        <v>CLT</v>
      </c>
      <c r="D20" s="226">
        <v>2704</v>
      </c>
      <c r="E20" s="222"/>
      <c r="G20" s="224"/>
      <c r="I20" s="226"/>
      <c r="J20" s="227"/>
      <c r="K20" s="228">
        <f t="shared" si="30"/>
        <v>2704</v>
      </c>
      <c r="L20" s="243">
        <f t="shared" si="0"/>
        <v>811.19999999999993</v>
      </c>
      <c r="M20" s="229">
        <f t="shared" si="1"/>
        <v>3515.2</v>
      </c>
      <c r="N20" s="229">
        <f t="shared" si="2"/>
        <v>1240.8655999999999</v>
      </c>
      <c r="O20" s="229">
        <f t="shared" si="3"/>
        <v>390.53871999999996</v>
      </c>
      <c r="P20" s="226">
        <f t="shared" si="4"/>
        <v>292.81615999999997</v>
      </c>
      <c r="Q20" s="229">
        <f t="shared" si="5"/>
        <v>241.22427263999995</v>
      </c>
      <c r="R20" s="229">
        <f t="shared" si="6"/>
        <v>292.93333333333334</v>
      </c>
      <c r="S20" s="229">
        <f t="shared" si="7"/>
        <v>167.94219519999999</v>
      </c>
      <c r="T20" s="226">
        <v>1200</v>
      </c>
      <c r="U20" s="226">
        <v>0</v>
      </c>
      <c r="V20" s="229">
        <f t="shared" si="31"/>
        <v>3826.3202811733331</v>
      </c>
      <c r="W20" s="226">
        <f t="shared" si="8"/>
        <v>20.833333333333332</v>
      </c>
      <c r="X20" s="226">
        <f t="shared" si="9"/>
        <v>20.833333333333332</v>
      </c>
      <c r="Y20" s="226">
        <f t="shared" si="10"/>
        <v>18.75</v>
      </c>
      <c r="Z20" s="226">
        <f t="shared" si="11"/>
        <v>3.5714285714285716</v>
      </c>
      <c r="AA20" s="226">
        <f t="shared" si="12"/>
        <v>82.408333333333317</v>
      </c>
      <c r="AB20" s="226">
        <f t="shared" si="13"/>
        <v>87.916666666666657</v>
      </c>
      <c r="AC20" s="230">
        <f t="shared" si="14"/>
        <v>150</v>
      </c>
      <c r="AD20" s="226">
        <f t="shared" si="15"/>
        <v>66.666666666666671</v>
      </c>
      <c r="AE20" s="226">
        <f t="shared" si="16"/>
        <v>15</v>
      </c>
      <c r="AF20" s="226">
        <v>400</v>
      </c>
      <c r="AG20" s="229">
        <f t="shared" si="17"/>
        <v>865.97976190476197</v>
      </c>
      <c r="AH20" s="229">
        <f t="shared" si="18"/>
        <v>8207.5000430780947</v>
      </c>
      <c r="AI20" s="231">
        <v>0.04</v>
      </c>
      <c r="AJ20" s="232">
        <f t="shared" si="19"/>
        <v>328.30000172312378</v>
      </c>
      <c r="AK20" s="233">
        <v>0.04</v>
      </c>
      <c r="AL20" s="234">
        <f t="shared" si="20"/>
        <v>499.61954302712491</v>
      </c>
      <c r="AM20" s="231">
        <v>0.01</v>
      </c>
      <c r="AN20" s="232">
        <f t="shared" si="21"/>
        <v>82.075000430780946</v>
      </c>
      <c r="AO20" s="233">
        <v>0.01</v>
      </c>
      <c r="AP20" s="234">
        <f t="shared" si="22"/>
        <v>124.90488575678123</v>
      </c>
      <c r="AQ20" s="231">
        <v>0.1</v>
      </c>
      <c r="AR20" s="232">
        <f t="shared" si="23"/>
        <v>820.75000430780949</v>
      </c>
      <c r="AS20" s="233">
        <v>0.1</v>
      </c>
      <c r="AT20" s="234">
        <f t="shared" si="24"/>
        <v>1249.0488575678123</v>
      </c>
      <c r="AU20" s="231">
        <v>0.15640000000000001</v>
      </c>
      <c r="AV20" s="232">
        <f t="shared" si="25"/>
        <v>1850.7107940274138</v>
      </c>
      <c r="AW20" s="233">
        <v>0.19289999999999999</v>
      </c>
      <c r="AX20" s="234">
        <f t="shared" si="26"/>
        <v>2409.4152462483098</v>
      </c>
      <c r="AY20" s="235">
        <f t="shared" si="27"/>
        <v>11833.189220124128</v>
      </c>
      <c r="AZ20" s="234">
        <f t="shared" si="28"/>
        <v>12490.488575678122</v>
      </c>
      <c r="BA20" s="395">
        <f t="shared" si="32"/>
        <v>4187.0027234245963</v>
      </c>
    </row>
    <row r="21" spans="1:53" x14ac:dyDescent="0.25">
      <c r="A21" s="245">
        <f t="shared" si="29"/>
        <v>8203.5401422991363</v>
      </c>
      <c r="B21" s="220" t="str">
        <f>IF(Helexia!C21=0,"",Helexia!C21)</f>
        <v>Priscila Azevedo Goulart</v>
      </c>
      <c r="C21" s="221" t="str">
        <f>IF(Helexia!G21=0,"",Helexia!G21)</f>
        <v>CLT</v>
      </c>
      <c r="D21" s="226">
        <v>1860</v>
      </c>
      <c r="E21" s="222"/>
      <c r="G21" s="224"/>
      <c r="I21" s="226"/>
      <c r="J21" s="227"/>
      <c r="K21" s="228">
        <f t="shared" si="30"/>
        <v>1860</v>
      </c>
      <c r="L21" s="243">
        <f t="shared" si="0"/>
        <v>558</v>
      </c>
      <c r="M21" s="229">
        <f t="shared" si="1"/>
        <v>2418</v>
      </c>
      <c r="N21" s="229">
        <f t="shared" si="2"/>
        <v>853.55399999999997</v>
      </c>
      <c r="O21" s="229">
        <f t="shared" si="3"/>
        <v>268.63979999999998</v>
      </c>
      <c r="P21" s="226">
        <f t="shared" si="4"/>
        <v>201.4194</v>
      </c>
      <c r="Q21" s="229">
        <f t="shared" si="5"/>
        <v>165.93089759999998</v>
      </c>
      <c r="R21" s="229">
        <f t="shared" si="6"/>
        <v>201.5</v>
      </c>
      <c r="S21" s="229">
        <f t="shared" si="7"/>
        <v>115.52236799999999</v>
      </c>
      <c r="T21" s="226">
        <v>300</v>
      </c>
      <c r="U21" s="226">
        <v>0</v>
      </c>
      <c r="V21" s="229">
        <f t="shared" si="31"/>
        <v>2106.5664655999999</v>
      </c>
      <c r="W21" s="226">
        <f t="shared" si="8"/>
        <v>20.833333333333332</v>
      </c>
      <c r="X21" s="226">
        <f t="shared" si="9"/>
        <v>20.833333333333332</v>
      </c>
      <c r="Y21" s="226">
        <f t="shared" si="10"/>
        <v>18.75</v>
      </c>
      <c r="Z21" s="226">
        <f t="shared" si="11"/>
        <v>3.5714285714285716</v>
      </c>
      <c r="AA21" s="226">
        <f t="shared" si="12"/>
        <v>82.408333333333317</v>
      </c>
      <c r="AB21" s="226">
        <f t="shared" si="13"/>
        <v>87.916666666666657</v>
      </c>
      <c r="AC21" s="230">
        <f t="shared" si="14"/>
        <v>150</v>
      </c>
      <c r="AD21" s="226">
        <f t="shared" si="15"/>
        <v>66.666666666666671</v>
      </c>
      <c r="AE21" s="226">
        <f t="shared" si="16"/>
        <v>15</v>
      </c>
      <c r="AF21" s="226">
        <v>400</v>
      </c>
      <c r="AG21" s="229">
        <f t="shared" si="17"/>
        <v>865.97976190476197</v>
      </c>
      <c r="AH21" s="229">
        <f t="shared" si="18"/>
        <v>5390.5462275047621</v>
      </c>
      <c r="AI21" s="231">
        <v>0.04</v>
      </c>
      <c r="AJ21" s="232">
        <f t="shared" si="19"/>
        <v>215.6218491001905</v>
      </c>
      <c r="AK21" s="233">
        <v>0.04</v>
      </c>
      <c r="AL21" s="234">
        <f t="shared" si="20"/>
        <v>328.14160569196548</v>
      </c>
      <c r="AM21" s="231">
        <v>0.01</v>
      </c>
      <c r="AN21" s="232">
        <f t="shared" si="21"/>
        <v>53.905462275047626</v>
      </c>
      <c r="AO21" s="233">
        <v>0.01</v>
      </c>
      <c r="AP21" s="234">
        <f t="shared" si="22"/>
        <v>82.03540142299137</v>
      </c>
      <c r="AQ21" s="231">
        <v>0.1</v>
      </c>
      <c r="AR21" s="232">
        <f t="shared" si="23"/>
        <v>539.05462275047626</v>
      </c>
      <c r="AS21" s="233">
        <v>0.1</v>
      </c>
      <c r="AT21" s="234">
        <f t="shared" si="24"/>
        <v>820.35401422991367</v>
      </c>
      <c r="AU21" s="231">
        <v>0.15640000000000001</v>
      </c>
      <c r="AV21" s="232">
        <f t="shared" si="25"/>
        <v>1215.5153258098976</v>
      </c>
      <c r="AW21" s="233">
        <v>0.19289999999999999</v>
      </c>
      <c r="AX21" s="234">
        <f t="shared" si="26"/>
        <v>1582.4628934495033</v>
      </c>
      <c r="AY21" s="235">
        <f t="shared" si="27"/>
        <v>7771.8371215466586</v>
      </c>
      <c r="AZ21" s="234">
        <f t="shared" si="28"/>
        <v>8203.5401422991363</v>
      </c>
      <c r="BA21" s="395">
        <f t="shared" si="32"/>
        <v>3072.2226415331684</v>
      </c>
    </row>
    <row r="22" spans="1:53" x14ac:dyDescent="0.25">
      <c r="A22" s="245">
        <f t="shared" si="29"/>
        <v>8618.7109710517343</v>
      </c>
      <c r="B22" s="248" t="str">
        <f>IF(Helexia!C22=0,"",Helexia!C22)</f>
        <v>Henrique Vidal Soares</v>
      </c>
      <c r="C22" s="221" t="str">
        <f>IF(Helexia!G22=0,"",Helexia!G22)</f>
        <v>CLT</v>
      </c>
      <c r="D22" s="226">
        <v>1804</v>
      </c>
      <c r="E22" s="222"/>
      <c r="I22" s="226"/>
      <c r="J22" s="227"/>
      <c r="K22" s="228">
        <f t="shared" si="30"/>
        <v>1804</v>
      </c>
      <c r="L22" s="243">
        <f t="shared" si="0"/>
        <v>541.19999999999993</v>
      </c>
      <c r="M22" s="229">
        <f t="shared" si="1"/>
        <v>2345.1999999999998</v>
      </c>
      <c r="N22" s="229">
        <f t="shared" si="2"/>
        <v>827.85559999999987</v>
      </c>
      <c r="O22" s="229">
        <f t="shared" si="3"/>
        <v>260.55171999999993</v>
      </c>
      <c r="P22" s="226">
        <f t="shared" si="4"/>
        <v>195.35515999999998</v>
      </c>
      <c r="Q22" s="229">
        <f t="shared" si="5"/>
        <v>160.93512863999996</v>
      </c>
      <c r="R22" s="229">
        <f t="shared" si="6"/>
        <v>195.43333333333331</v>
      </c>
      <c r="S22" s="229">
        <f t="shared" si="7"/>
        <v>112.0442752</v>
      </c>
      <c r="T22" s="226">
        <v>700</v>
      </c>
      <c r="U22" s="226">
        <v>0</v>
      </c>
      <c r="V22" s="229">
        <f t="shared" si="31"/>
        <v>2452.1752171733333</v>
      </c>
      <c r="W22" s="226">
        <f t="shared" si="8"/>
        <v>20.833333333333332</v>
      </c>
      <c r="X22" s="226">
        <f t="shared" si="9"/>
        <v>20.833333333333332</v>
      </c>
      <c r="Y22" s="226">
        <f t="shared" si="10"/>
        <v>18.75</v>
      </c>
      <c r="Z22" s="226">
        <f t="shared" si="11"/>
        <v>3.5714285714285716</v>
      </c>
      <c r="AA22" s="226">
        <f t="shared" si="12"/>
        <v>82.408333333333317</v>
      </c>
      <c r="AB22" s="226">
        <f t="shared" si="13"/>
        <v>87.916666666666657</v>
      </c>
      <c r="AC22" s="230">
        <f t="shared" si="14"/>
        <v>150</v>
      </c>
      <c r="AD22" s="226">
        <f t="shared" si="15"/>
        <v>66.666666666666671</v>
      </c>
      <c r="AE22" s="226">
        <f t="shared" si="16"/>
        <v>15</v>
      </c>
      <c r="AF22" s="226">
        <v>400</v>
      </c>
      <c r="AG22" s="229">
        <f t="shared" si="17"/>
        <v>865.97976190476197</v>
      </c>
      <c r="AH22" s="229">
        <f t="shared" si="18"/>
        <v>5663.3549790780953</v>
      </c>
      <c r="AI22" s="231">
        <v>0.04</v>
      </c>
      <c r="AJ22" s="232">
        <f t="shared" si="19"/>
        <v>226.53419916312382</v>
      </c>
      <c r="AK22" s="233">
        <v>0.04</v>
      </c>
      <c r="AL22" s="234">
        <f t="shared" si="20"/>
        <v>344.74843884206939</v>
      </c>
      <c r="AM22" s="231">
        <v>0.01</v>
      </c>
      <c r="AN22" s="232">
        <f t="shared" si="21"/>
        <v>56.633549790780954</v>
      </c>
      <c r="AO22" s="233">
        <v>0.01</v>
      </c>
      <c r="AP22" s="234">
        <f t="shared" si="22"/>
        <v>86.187109710517348</v>
      </c>
      <c r="AQ22" s="231">
        <v>0.1</v>
      </c>
      <c r="AR22" s="232">
        <f t="shared" si="23"/>
        <v>566.33549790780955</v>
      </c>
      <c r="AS22" s="233">
        <v>0.1</v>
      </c>
      <c r="AT22" s="234">
        <f t="shared" si="24"/>
        <v>861.87109710517348</v>
      </c>
      <c r="AU22" s="231">
        <v>0.15640000000000001</v>
      </c>
      <c r="AV22" s="232">
        <f t="shared" si="25"/>
        <v>1277.0310246940803</v>
      </c>
      <c r="AW22" s="233">
        <v>0.19289999999999999</v>
      </c>
      <c r="AX22" s="234">
        <f t="shared" si="26"/>
        <v>1662.5493463158793</v>
      </c>
      <c r="AY22" s="235">
        <f t="shared" si="27"/>
        <v>8165.1600044378538</v>
      </c>
      <c r="AZ22" s="234">
        <f t="shared" si="28"/>
        <v>8618.7109710517343</v>
      </c>
      <c r="BA22" s="395">
        <f t="shared" si="32"/>
        <v>2998.2561906019837</v>
      </c>
    </row>
    <row r="23" spans="1:53" x14ac:dyDescent="0.25">
      <c r="A23" s="245">
        <f t="shared" si="29"/>
        <v>7021.4139448862607</v>
      </c>
      <c r="B23" s="220" t="str">
        <f>IF(Helexia!C23=0,"",Helexia!C23)</f>
        <v>André Luiz Falcão Duarte</v>
      </c>
      <c r="C23" s="221" t="str">
        <f>IF(Helexia!G23=0,"",Helexia!G23)</f>
        <v>CLT</v>
      </c>
      <c r="D23" s="226">
        <v>1518</v>
      </c>
      <c r="E23" s="222"/>
      <c r="I23" s="226"/>
      <c r="J23" s="227"/>
      <c r="K23" s="228">
        <f t="shared" si="30"/>
        <v>1518</v>
      </c>
      <c r="L23" s="243">
        <f t="shared" si="0"/>
        <v>455.4</v>
      </c>
      <c r="M23" s="229">
        <f t="shared" si="1"/>
        <v>1973.4</v>
      </c>
      <c r="N23" s="229">
        <f t="shared" si="2"/>
        <v>696.61019999999996</v>
      </c>
      <c r="O23" s="229">
        <f t="shared" si="3"/>
        <v>219.24473999999998</v>
      </c>
      <c r="P23" s="226">
        <f t="shared" si="4"/>
        <v>164.38422</v>
      </c>
      <c r="Q23" s="229">
        <f t="shared" si="5"/>
        <v>135.42102287999998</v>
      </c>
      <c r="R23" s="229">
        <f t="shared" si="6"/>
        <v>164.45000000000002</v>
      </c>
      <c r="S23" s="229">
        <f t="shared" si="7"/>
        <v>94.28115840000001</v>
      </c>
      <c r="T23" s="226">
        <v>300</v>
      </c>
      <c r="U23" s="226">
        <v>0</v>
      </c>
      <c r="V23" s="229">
        <f t="shared" si="31"/>
        <v>1774.39134128</v>
      </c>
      <c r="W23" s="226">
        <f t="shared" si="8"/>
        <v>20.833333333333332</v>
      </c>
      <c r="X23" s="226">
        <f t="shared" si="9"/>
        <v>20.833333333333332</v>
      </c>
      <c r="Y23" s="226">
        <f t="shared" si="10"/>
        <v>18.75</v>
      </c>
      <c r="Z23" s="226">
        <f t="shared" si="11"/>
        <v>3.5714285714285716</v>
      </c>
      <c r="AA23" s="226">
        <f t="shared" si="12"/>
        <v>82.408333333333317</v>
      </c>
      <c r="AB23" s="226">
        <f t="shared" si="13"/>
        <v>87.916666666666657</v>
      </c>
      <c r="AC23" s="230">
        <f t="shared" si="14"/>
        <v>150</v>
      </c>
      <c r="AD23" s="226">
        <f t="shared" si="15"/>
        <v>66.666666666666671</v>
      </c>
      <c r="AE23" s="226">
        <f t="shared" si="16"/>
        <v>15</v>
      </c>
      <c r="AF23" s="226">
        <v>400</v>
      </c>
      <c r="AG23" s="229">
        <f t="shared" si="17"/>
        <v>865.97976190476197</v>
      </c>
      <c r="AH23" s="229">
        <f t="shared" si="18"/>
        <v>4613.7711031847621</v>
      </c>
      <c r="AI23" s="231">
        <v>0.04</v>
      </c>
      <c r="AJ23" s="232">
        <f t="shared" si="19"/>
        <v>184.55084412739049</v>
      </c>
      <c r="AK23" s="233">
        <v>0.04</v>
      </c>
      <c r="AL23" s="234">
        <f t="shared" si="20"/>
        <v>280.85655779545044</v>
      </c>
      <c r="AM23" s="231">
        <v>0.01</v>
      </c>
      <c r="AN23" s="232">
        <f t="shared" si="21"/>
        <v>46.137711031847623</v>
      </c>
      <c r="AO23" s="233">
        <v>0.01</v>
      </c>
      <c r="AP23" s="234">
        <f t="shared" si="22"/>
        <v>70.21413944886261</v>
      </c>
      <c r="AQ23" s="231">
        <v>0.1</v>
      </c>
      <c r="AR23" s="232">
        <f t="shared" si="23"/>
        <v>461.37711031847624</v>
      </c>
      <c r="AS23" s="233">
        <v>0.1</v>
      </c>
      <c r="AT23" s="234">
        <f t="shared" si="24"/>
        <v>702.14139448862613</v>
      </c>
      <c r="AU23" s="231">
        <v>0.15640000000000001</v>
      </c>
      <c r="AV23" s="232">
        <f t="shared" si="25"/>
        <v>1040.3601507181327</v>
      </c>
      <c r="AW23" s="233">
        <v>0.19289999999999999</v>
      </c>
      <c r="AX23" s="234">
        <f t="shared" si="26"/>
        <v>1354.4307499685597</v>
      </c>
      <c r="AY23" s="235">
        <f t="shared" si="27"/>
        <v>6651.9191222386999</v>
      </c>
      <c r="AZ23" s="234">
        <f t="shared" si="28"/>
        <v>7021.4139448862607</v>
      </c>
      <c r="BA23" s="395">
        <f t="shared" si="32"/>
        <v>2620.498959060576</v>
      </c>
    </row>
    <row r="24" spans="1:53" x14ac:dyDescent="0.25">
      <c r="A24" s="245">
        <f t="shared" si="29"/>
        <v>11287.525895456949</v>
      </c>
      <c r="B24" s="248" t="str">
        <f>IF(Helexia!C24=0,"",Helexia!C24)</f>
        <v>Camila Noronha Brito</v>
      </c>
      <c r="C24" s="221" t="str">
        <f>IF(Helexia!G24=0,"",Helexia!G24)</f>
        <v>CLT</v>
      </c>
      <c r="D24" s="226">
        <v>2400</v>
      </c>
      <c r="E24" s="222"/>
      <c r="K24" s="228">
        <f t="shared" si="30"/>
        <v>2400</v>
      </c>
      <c r="L24" s="243">
        <f t="shared" si="0"/>
        <v>720</v>
      </c>
      <c r="M24" s="229">
        <f t="shared" si="1"/>
        <v>3120</v>
      </c>
      <c r="N24" s="229">
        <f t="shared" si="2"/>
        <v>1101.3599999999999</v>
      </c>
      <c r="O24" s="229">
        <f t="shared" si="3"/>
        <v>346.63199999999995</v>
      </c>
      <c r="P24" s="226">
        <f t="shared" si="4"/>
        <v>259.89600000000002</v>
      </c>
      <c r="Q24" s="229">
        <f t="shared" si="5"/>
        <v>214.10438399999998</v>
      </c>
      <c r="R24" s="229">
        <f t="shared" si="6"/>
        <v>260</v>
      </c>
      <c r="S24" s="229">
        <f t="shared" si="7"/>
        <v>149.06112000000002</v>
      </c>
      <c r="T24" s="226">
        <v>1100</v>
      </c>
      <c r="U24" s="226">
        <v>0</v>
      </c>
      <c r="V24" s="229">
        <f t="shared" si="31"/>
        <v>3431.0535039999995</v>
      </c>
      <c r="W24" s="226">
        <f t="shared" si="8"/>
        <v>20.833333333333332</v>
      </c>
      <c r="X24" s="226">
        <f t="shared" si="9"/>
        <v>20.833333333333332</v>
      </c>
      <c r="Y24" s="226">
        <f t="shared" si="10"/>
        <v>18.75</v>
      </c>
      <c r="Z24" s="226">
        <f t="shared" si="11"/>
        <v>3.5714285714285716</v>
      </c>
      <c r="AA24" s="226">
        <f t="shared" si="12"/>
        <v>82.408333333333317</v>
      </c>
      <c r="AB24" s="226">
        <f t="shared" si="13"/>
        <v>87.916666666666657</v>
      </c>
      <c r="AC24" s="230">
        <f t="shared" si="14"/>
        <v>150</v>
      </c>
      <c r="AD24" s="226">
        <f t="shared" si="15"/>
        <v>66.666666666666671</v>
      </c>
      <c r="AE24" s="226">
        <f t="shared" si="16"/>
        <v>15</v>
      </c>
      <c r="AF24" s="226">
        <v>400</v>
      </c>
      <c r="AG24" s="229">
        <f t="shared" si="17"/>
        <v>865.97976190476197</v>
      </c>
      <c r="AH24" s="229">
        <f t="shared" si="18"/>
        <v>7417.0332659047617</v>
      </c>
      <c r="AI24" s="231">
        <v>0.04</v>
      </c>
      <c r="AJ24" s="232">
        <f t="shared" si="19"/>
        <v>296.68133063619047</v>
      </c>
      <c r="AK24" s="233">
        <v>0.04</v>
      </c>
      <c r="AL24" s="234">
        <f t="shared" si="20"/>
        <v>451.50103581827796</v>
      </c>
      <c r="AM24" s="231">
        <v>0.01</v>
      </c>
      <c r="AN24" s="232">
        <f t="shared" si="21"/>
        <v>74.170332659047617</v>
      </c>
      <c r="AO24" s="233">
        <v>0.01</v>
      </c>
      <c r="AP24" s="234">
        <f t="shared" si="22"/>
        <v>112.87525895456949</v>
      </c>
      <c r="AQ24" s="231">
        <v>0.1</v>
      </c>
      <c r="AR24" s="232">
        <f t="shared" si="23"/>
        <v>741.70332659047619</v>
      </c>
      <c r="AS24" s="233">
        <v>0.1</v>
      </c>
      <c r="AT24" s="234">
        <f t="shared" si="24"/>
        <v>1128.7525895456949</v>
      </c>
      <c r="AU24" s="231">
        <v>0.15640000000000001</v>
      </c>
      <c r="AV24" s="232">
        <f t="shared" si="25"/>
        <v>1672.468285449113</v>
      </c>
      <c r="AW24" s="233">
        <v>0.19289999999999999</v>
      </c>
      <c r="AX24" s="234">
        <f t="shared" si="26"/>
        <v>2177.3637452336452</v>
      </c>
      <c r="AY24" s="235">
        <f t="shared" si="27"/>
        <v>10693.531236886911</v>
      </c>
      <c r="AZ24" s="234">
        <f t="shared" si="28"/>
        <v>11287.525895456949</v>
      </c>
      <c r="BA24" s="395">
        <f t="shared" si="32"/>
        <v>3785.4705612267358</v>
      </c>
    </row>
    <row r="25" spans="1:53" x14ac:dyDescent="0.25">
      <c r="A25" s="245">
        <f t="shared" si="29"/>
        <v>9987.4886733192743</v>
      </c>
      <c r="B25" s="220" t="str">
        <f>IF(Helexia!C25=0,"",Helexia!C25)</f>
        <v>João Victor Meireles</v>
      </c>
      <c r="C25" s="221" t="str">
        <f>IF(Helexia!G25=0,"",Helexia!G25)</f>
        <v>CLT</v>
      </c>
      <c r="D25" s="226">
        <v>2200</v>
      </c>
      <c r="K25" s="228">
        <f t="shared" si="30"/>
        <v>2200</v>
      </c>
      <c r="L25" s="243">
        <f t="shared" si="0"/>
        <v>660</v>
      </c>
      <c r="M25" s="229">
        <f t="shared" si="1"/>
        <v>2860</v>
      </c>
      <c r="N25" s="229">
        <f t="shared" si="2"/>
        <v>1009.5799999999999</v>
      </c>
      <c r="O25" s="229">
        <f t="shared" si="3"/>
        <v>317.74599999999998</v>
      </c>
      <c r="P25" s="226">
        <f t="shared" si="4"/>
        <v>238.238</v>
      </c>
      <c r="Q25" s="229">
        <f t="shared" si="5"/>
        <v>196.26235199999996</v>
      </c>
      <c r="R25" s="229">
        <f t="shared" si="6"/>
        <v>238.33333333333334</v>
      </c>
      <c r="S25" s="229">
        <f t="shared" si="7"/>
        <v>136.63936000000001</v>
      </c>
      <c r="T25" s="226">
        <v>700</v>
      </c>
      <c r="U25" s="226">
        <v>0</v>
      </c>
      <c r="V25" s="229">
        <f t="shared" si="31"/>
        <v>2836.7990453333332</v>
      </c>
      <c r="W25" s="226">
        <f t="shared" si="8"/>
        <v>20.833333333333332</v>
      </c>
      <c r="X25" s="226">
        <f t="shared" si="9"/>
        <v>20.833333333333332</v>
      </c>
      <c r="Y25" s="226">
        <f t="shared" si="10"/>
        <v>18.75</v>
      </c>
      <c r="Z25" s="226">
        <f t="shared" si="11"/>
        <v>3.5714285714285716</v>
      </c>
      <c r="AA25" s="226">
        <f t="shared" si="12"/>
        <v>82.408333333333317</v>
      </c>
      <c r="AB25" s="226">
        <f t="shared" si="13"/>
        <v>87.916666666666657</v>
      </c>
      <c r="AC25" s="230">
        <f t="shared" si="14"/>
        <v>150</v>
      </c>
      <c r="AD25" s="226">
        <f t="shared" si="15"/>
        <v>66.666666666666671</v>
      </c>
      <c r="AE25" s="226">
        <f t="shared" si="16"/>
        <v>15</v>
      </c>
      <c r="AF25" s="226">
        <v>400</v>
      </c>
      <c r="AG25" s="229">
        <f t="shared" si="17"/>
        <v>865.97976190476197</v>
      </c>
      <c r="AH25" s="229">
        <f t="shared" si="18"/>
        <v>6562.7788072380954</v>
      </c>
      <c r="AI25" s="231">
        <v>0.04</v>
      </c>
      <c r="AJ25" s="232">
        <f t="shared" si="19"/>
        <v>262.51115228952381</v>
      </c>
      <c r="AK25" s="233">
        <v>0.04</v>
      </c>
      <c r="AL25" s="234">
        <f t="shared" si="20"/>
        <v>399.49954693277095</v>
      </c>
      <c r="AM25" s="231">
        <v>0.01</v>
      </c>
      <c r="AN25" s="232">
        <f t="shared" si="21"/>
        <v>65.627788072380952</v>
      </c>
      <c r="AO25" s="233">
        <v>0.01</v>
      </c>
      <c r="AP25" s="234">
        <f t="shared" si="22"/>
        <v>99.874886733192739</v>
      </c>
      <c r="AQ25" s="231">
        <v>0.1</v>
      </c>
      <c r="AR25" s="232">
        <f t="shared" si="23"/>
        <v>656.27788072380963</v>
      </c>
      <c r="AS25" s="233">
        <v>0.1</v>
      </c>
      <c r="AT25" s="234">
        <f t="shared" si="24"/>
        <v>998.7488673319275</v>
      </c>
      <c r="AU25" s="231">
        <v>0.15640000000000001</v>
      </c>
      <c r="AV25" s="232">
        <f t="shared" si="25"/>
        <v>1479.8422800634921</v>
      </c>
      <c r="AW25" s="233">
        <v>0.19289999999999999</v>
      </c>
      <c r="AX25" s="234">
        <f t="shared" si="26"/>
        <v>1926.586565083288</v>
      </c>
      <c r="AY25" s="235">
        <f t="shared" si="27"/>
        <v>9461.9071615312787</v>
      </c>
      <c r="AZ25" s="234">
        <f t="shared" si="28"/>
        <v>9987.4886733192743</v>
      </c>
      <c r="BA25" s="395">
        <f t="shared" si="32"/>
        <v>3521.3046650439333</v>
      </c>
    </row>
    <row r="26" spans="1:53" x14ac:dyDescent="0.25">
      <c r="A26" s="245">
        <f t="shared" si="29"/>
        <v>8009.9756187461498</v>
      </c>
      <c r="B26" s="248" t="str">
        <f>IF(Helexia!C26=0,"",Helexia!C26)</f>
        <v>Renata Salgado Motta</v>
      </c>
      <c r="C26" s="221" t="str">
        <f>IF(Helexia!G26=0,"",Helexia!G26)</f>
        <v>CLT</v>
      </c>
      <c r="D26" s="226">
        <v>1804</v>
      </c>
      <c r="K26" s="228">
        <f t="shared" si="30"/>
        <v>1804</v>
      </c>
      <c r="L26" s="243">
        <f t="shared" si="0"/>
        <v>541.19999999999993</v>
      </c>
      <c r="M26" s="229">
        <f t="shared" si="1"/>
        <v>2345.1999999999998</v>
      </c>
      <c r="N26" s="229">
        <f t="shared" si="2"/>
        <v>827.85559999999987</v>
      </c>
      <c r="O26" s="229">
        <f t="shared" si="3"/>
        <v>260.55171999999993</v>
      </c>
      <c r="P26" s="226">
        <f t="shared" si="4"/>
        <v>195.35515999999998</v>
      </c>
      <c r="Q26" s="229">
        <f t="shared" si="5"/>
        <v>160.93512863999996</v>
      </c>
      <c r="R26" s="229">
        <f t="shared" si="6"/>
        <v>195.43333333333331</v>
      </c>
      <c r="S26" s="229">
        <f t="shared" si="7"/>
        <v>112.0442752</v>
      </c>
      <c r="T26" s="226">
        <v>300</v>
      </c>
      <c r="U26" s="226">
        <v>0</v>
      </c>
      <c r="V26" s="229">
        <f t="shared" si="31"/>
        <v>2052.1752171733333</v>
      </c>
      <c r="W26" s="226">
        <f t="shared" si="8"/>
        <v>20.833333333333332</v>
      </c>
      <c r="X26" s="226">
        <f t="shared" si="9"/>
        <v>20.833333333333332</v>
      </c>
      <c r="Y26" s="226">
        <f t="shared" si="10"/>
        <v>18.75</v>
      </c>
      <c r="Z26" s="226">
        <f t="shared" si="11"/>
        <v>3.5714285714285716</v>
      </c>
      <c r="AA26" s="226">
        <f t="shared" si="12"/>
        <v>82.408333333333317</v>
      </c>
      <c r="AB26" s="226">
        <f t="shared" si="13"/>
        <v>87.916666666666657</v>
      </c>
      <c r="AC26" s="230">
        <f t="shared" si="14"/>
        <v>150</v>
      </c>
      <c r="AD26" s="226">
        <f t="shared" si="15"/>
        <v>66.666666666666671</v>
      </c>
      <c r="AE26" s="226">
        <f t="shared" si="16"/>
        <v>15</v>
      </c>
      <c r="AF26" s="226">
        <v>400</v>
      </c>
      <c r="AG26" s="229">
        <f t="shared" si="17"/>
        <v>865.97976190476197</v>
      </c>
      <c r="AH26" s="229">
        <f t="shared" si="18"/>
        <v>5263.3549790780953</v>
      </c>
      <c r="AI26" s="231">
        <v>0.04</v>
      </c>
      <c r="AJ26" s="232">
        <f t="shared" si="19"/>
        <v>210.53419916312382</v>
      </c>
      <c r="AK26" s="233">
        <v>0.04</v>
      </c>
      <c r="AL26" s="234">
        <f t="shared" si="20"/>
        <v>320.39902474984598</v>
      </c>
      <c r="AM26" s="231">
        <v>0.01</v>
      </c>
      <c r="AN26" s="232">
        <f t="shared" si="21"/>
        <v>52.633549790780954</v>
      </c>
      <c r="AO26" s="233">
        <v>0.01</v>
      </c>
      <c r="AP26" s="234">
        <f t="shared" si="22"/>
        <v>80.099756187461495</v>
      </c>
      <c r="AQ26" s="231">
        <v>0.1</v>
      </c>
      <c r="AR26" s="232">
        <f t="shared" si="23"/>
        <v>526.33549790780955</v>
      </c>
      <c r="AS26" s="233">
        <v>0.1</v>
      </c>
      <c r="AT26" s="234">
        <f t="shared" si="24"/>
        <v>800.99756187461503</v>
      </c>
      <c r="AU26" s="231">
        <v>0.15640000000000001</v>
      </c>
      <c r="AV26" s="232">
        <f t="shared" si="25"/>
        <v>1186.8349462627079</v>
      </c>
      <c r="AW26" s="233">
        <v>0.19289999999999999</v>
      </c>
      <c r="AX26" s="234">
        <f t="shared" si="26"/>
        <v>1545.1242968561321</v>
      </c>
      <c r="AY26" s="235">
        <f t="shared" si="27"/>
        <v>7588.4587356950624</v>
      </c>
      <c r="AZ26" s="234">
        <f t="shared" si="28"/>
        <v>8009.9756187461498</v>
      </c>
      <c r="BA26" s="395">
        <f t="shared" si="32"/>
        <v>2998.2561906019837</v>
      </c>
    </row>
    <row r="27" spans="1:53" x14ac:dyDescent="0.25">
      <c r="A27" s="245">
        <f t="shared" si="29"/>
        <v>8009.9756187461498</v>
      </c>
      <c r="B27" s="220" t="str">
        <f>IF(Helexia!C27=0,"",Helexia!C27)</f>
        <v>Igor Valente Cruz</v>
      </c>
      <c r="C27" s="221" t="str">
        <f>IF(Helexia!G27=0,"",Helexia!G27)</f>
        <v>CLT</v>
      </c>
      <c r="D27" s="226">
        <v>1804</v>
      </c>
      <c r="K27" s="228">
        <f t="shared" si="30"/>
        <v>1804</v>
      </c>
      <c r="L27" s="243">
        <f t="shared" si="0"/>
        <v>541.19999999999993</v>
      </c>
      <c r="M27" s="229">
        <f t="shared" si="1"/>
        <v>2345.1999999999998</v>
      </c>
      <c r="N27" s="229">
        <f t="shared" si="2"/>
        <v>827.85559999999987</v>
      </c>
      <c r="O27" s="229">
        <f t="shared" si="3"/>
        <v>260.55171999999993</v>
      </c>
      <c r="P27" s="226">
        <f t="shared" si="4"/>
        <v>195.35515999999998</v>
      </c>
      <c r="Q27" s="229">
        <f t="shared" si="5"/>
        <v>160.93512863999996</v>
      </c>
      <c r="R27" s="229">
        <f t="shared" si="6"/>
        <v>195.43333333333331</v>
      </c>
      <c r="S27" s="229">
        <f t="shared" si="7"/>
        <v>112.0442752</v>
      </c>
      <c r="T27" s="226">
        <v>300</v>
      </c>
      <c r="U27" s="226">
        <v>0</v>
      </c>
      <c r="V27" s="229">
        <f t="shared" si="31"/>
        <v>2052.1752171733333</v>
      </c>
      <c r="W27" s="226">
        <f t="shared" si="8"/>
        <v>20.833333333333332</v>
      </c>
      <c r="X27" s="226">
        <f t="shared" si="9"/>
        <v>20.833333333333332</v>
      </c>
      <c r="Y27" s="226">
        <f t="shared" si="10"/>
        <v>18.75</v>
      </c>
      <c r="Z27" s="226">
        <f t="shared" si="11"/>
        <v>3.5714285714285716</v>
      </c>
      <c r="AA27" s="226">
        <f t="shared" si="12"/>
        <v>82.408333333333317</v>
      </c>
      <c r="AB27" s="226">
        <f t="shared" si="13"/>
        <v>87.916666666666657</v>
      </c>
      <c r="AC27" s="230">
        <f t="shared" si="14"/>
        <v>150</v>
      </c>
      <c r="AD27" s="226">
        <f t="shared" si="15"/>
        <v>66.666666666666671</v>
      </c>
      <c r="AE27" s="226">
        <f t="shared" si="16"/>
        <v>15</v>
      </c>
      <c r="AF27" s="226">
        <v>400</v>
      </c>
      <c r="AG27" s="229">
        <f t="shared" si="17"/>
        <v>865.97976190476197</v>
      </c>
      <c r="AH27" s="229">
        <f t="shared" si="18"/>
        <v>5263.3549790780953</v>
      </c>
      <c r="AI27" s="231">
        <v>0.04</v>
      </c>
      <c r="AJ27" s="232">
        <f t="shared" si="19"/>
        <v>210.53419916312382</v>
      </c>
      <c r="AK27" s="233">
        <v>0.04</v>
      </c>
      <c r="AL27" s="234">
        <f t="shared" si="20"/>
        <v>320.39902474984598</v>
      </c>
      <c r="AM27" s="231">
        <v>0.01</v>
      </c>
      <c r="AN27" s="232">
        <f t="shared" si="21"/>
        <v>52.633549790780954</v>
      </c>
      <c r="AO27" s="233">
        <v>0.01</v>
      </c>
      <c r="AP27" s="234">
        <f t="shared" si="22"/>
        <v>80.099756187461495</v>
      </c>
      <c r="AQ27" s="231">
        <v>0.1</v>
      </c>
      <c r="AR27" s="232">
        <f t="shared" si="23"/>
        <v>526.33549790780955</v>
      </c>
      <c r="AS27" s="233">
        <v>0.1</v>
      </c>
      <c r="AT27" s="234">
        <f t="shared" si="24"/>
        <v>800.99756187461503</v>
      </c>
      <c r="AU27" s="231">
        <v>0.15640000000000001</v>
      </c>
      <c r="AV27" s="232">
        <f t="shared" si="25"/>
        <v>1186.8349462627079</v>
      </c>
      <c r="AW27" s="233">
        <v>0.19289999999999999</v>
      </c>
      <c r="AX27" s="234">
        <f t="shared" si="26"/>
        <v>1545.1242968561321</v>
      </c>
      <c r="AY27" s="235">
        <f t="shared" si="27"/>
        <v>7588.4587356950624</v>
      </c>
      <c r="AZ27" s="234">
        <f t="shared" si="28"/>
        <v>8009.9756187461498</v>
      </c>
      <c r="BA27" s="395">
        <f t="shared" si="32"/>
        <v>2998.2561906019837</v>
      </c>
    </row>
    <row r="28" spans="1:53" x14ac:dyDescent="0.25">
      <c r="A28" s="245">
        <f t="shared" si="29"/>
        <v>13415.663960693088</v>
      </c>
      <c r="B28" s="248" t="str">
        <f>IF(Helexia!C28=0,"",Helexia!C28)</f>
        <v>Lucas Rafael Monte Verde Santos</v>
      </c>
      <c r="C28" s="221" t="str">
        <f>IF(Helexia!G28=0,"",Helexia!G28)</f>
        <v>CLT</v>
      </c>
      <c r="D28" s="226">
        <v>3500</v>
      </c>
      <c r="K28" s="228">
        <f t="shared" si="30"/>
        <v>3500</v>
      </c>
      <c r="L28" s="243">
        <f t="shared" si="0"/>
        <v>1050</v>
      </c>
      <c r="M28" s="229">
        <f t="shared" si="1"/>
        <v>4550</v>
      </c>
      <c r="N28" s="229">
        <f t="shared" si="2"/>
        <v>1606.1499999999999</v>
      </c>
      <c r="O28" s="229">
        <f t="shared" si="3"/>
        <v>505.50499999999994</v>
      </c>
      <c r="P28" s="226">
        <f t="shared" si="4"/>
        <v>379.01499999999999</v>
      </c>
      <c r="Q28" s="229">
        <f t="shared" si="5"/>
        <v>312.23555999999996</v>
      </c>
      <c r="R28" s="229">
        <f t="shared" si="6"/>
        <v>379.16666666666669</v>
      </c>
      <c r="S28" s="229">
        <f t="shared" si="7"/>
        <v>217.38080000000002</v>
      </c>
      <c r="T28" s="226">
        <v>0</v>
      </c>
      <c r="U28" s="226">
        <v>0</v>
      </c>
      <c r="V28" s="229">
        <f t="shared" si="31"/>
        <v>3399.4530266666661</v>
      </c>
      <c r="W28" s="226">
        <f t="shared" si="8"/>
        <v>20.833333333333332</v>
      </c>
      <c r="X28" s="226">
        <f t="shared" si="9"/>
        <v>20.833333333333332</v>
      </c>
      <c r="Y28" s="226">
        <f t="shared" si="10"/>
        <v>18.75</v>
      </c>
      <c r="Z28" s="226">
        <f t="shared" si="11"/>
        <v>3.5714285714285716</v>
      </c>
      <c r="AA28" s="226">
        <f t="shared" si="12"/>
        <v>82.408333333333317</v>
      </c>
      <c r="AB28" s="226">
        <f t="shared" si="13"/>
        <v>87.916666666666657</v>
      </c>
      <c r="AC28" s="230">
        <f t="shared" si="14"/>
        <v>150</v>
      </c>
      <c r="AD28" s="226">
        <f t="shared" si="15"/>
        <v>66.666666666666671</v>
      </c>
      <c r="AE28" s="226">
        <f t="shared" si="16"/>
        <v>15</v>
      </c>
      <c r="AF28" s="226">
        <v>400</v>
      </c>
      <c r="AG28" s="229">
        <f t="shared" si="17"/>
        <v>865.97976190476197</v>
      </c>
      <c r="AH28" s="229">
        <f t="shared" si="18"/>
        <v>8815.4327885714283</v>
      </c>
      <c r="AI28" s="231">
        <v>0.04</v>
      </c>
      <c r="AJ28" s="232">
        <f t="shared" si="19"/>
        <v>352.61731154285712</v>
      </c>
      <c r="AK28" s="233">
        <v>0.04</v>
      </c>
      <c r="AL28" s="234">
        <f t="shared" si="20"/>
        <v>536.62655842772347</v>
      </c>
      <c r="AM28" s="231">
        <v>0.01</v>
      </c>
      <c r="AN28" s="232">
        <f t="shared" si="21"/>
        <v>88.154327885714281</v>
      </c>
      <c r="AO28" s="233">
        <v>0.01</v>
      </c>
      <c r="AP28" s="234">
        <f t="shared" si="22"/>
        <v>134.15663960693087</v>
      </c>
      <c r="AQ28" s="231">
        <v>0.1</v>
      </c>
      <c r="AR28" s="232">
        <f t="shared" si="23"/>
        <v>881.54327885714292</v>
      </c>
      <c r="AS28" s="233">
        <v>0.1</v>
      </c>
      <c r="AT28" s="234">
        <f t="shared" si="24"/>
        <v>1341.5663960693089</v>
      </c>
      <c r="AU28" s="231">
        <v>0.15640000000000001</v>
      </c>
      <c r="AV28" s="232">
        <f t="shared" si="25"/>
        <v>1987.7936680112048</v>
      </c>
      <c r="AW28" s="233">
        <v>0.19289999999999999</v>
      </c>
      <c r="AX28" s="234">
        <f t="shared" si="26"/>
        <v>2587.8815780176965</v>
      </c>
      <c r="AY28" s="235">
        <f t="shared" si="27"/>
        <v>12709.678184214863</v>
      </c>
      <c r="AZ28" s="234">
        <f t="shared" si="28"/>
        <v>13415.663960693088</v>
      </c>
      <c r="BA28" s="395">
        <f t="shared" si="32"/>
        <v>5238.3829902321513</v>
      </c>
    </row>
    <row r="29" spans="1:53" x14ac:dyDescent="0.25">
      <c r="A29" s="245">
        <f t="shared" si="29"/>
        <v>23785.192008174447</v>
      </c>
      <c r="B29" s="220" t="str">
        <f>IF(Helexia!C29=0,"",Helexia!C29)</f>
        <v>Ana Beatriz Rocha Diniz</v>
      </c>
      <c r="C29" s="221" t="str">
        <f>IF(Helexia!G29=0,"",Helexia!G29)</f>
        <v>CLT</v>
      </c>
      <c r="D29" s="226">
        <v>6500</v>
      </c>
      <c r="K29" s="228">
        <f t="shared" si="30"/>
        <v>6500</v>
      </c>
      <c r="L29" s="243">
        <f t="shared" si="0"/>
        <v>1950</v>
      </c>
      <c r="M29" s="229">
        <f t="shared" si="1"/>
        <v>8450</v>
      </c>
      <c r="N29" s="229">
        <f t="shared" si="2"/>
        <v>2982.85</v>
      </c>
      <c r="O29" s="229">
        <f t="shared" si="3"/>
        <v>938.79499999999996</v>
      </c>
      <c r="P29" s="226">
        <f t="shared" si="4"/>
        <v>703.88499999999999</v>
      </c>
      <c r="Q29" s="229">
        <f t="shared" si="5"/>
        <v>579.86603999999988</v>
      </c>
      <c r="R29" s="229">
        <f t="shared" si="6"/>
        <v>704.16666666666663</v>
      </c>
      <c r="S29" s="229">
        <f t="shared" si="7"/>
        <v>403.7072</v>
      </c>
      <c r="T29" s="226">
        <v>0</v>
      </c>
      <c r="U29" s="226">
        <v>0</v>
      </c>
      <c r="V29" s="229">
        <f t="shared" si="31"/>
        <v>6313.2699066666664</v>
      </c>
      <c r="W29" s="226">
        <f t="shared" si="8"/>
        <v>20.833333333333332</v>
      </c>
      <c r="X29" s="226">
        <f t="shared" si="9"/>
        <v>20.833333333333332</v>
      </c>
      <c r="Y29" s="226">
        <f t="shared" si="10"/>
        <v>18.75</v>
      </c>
      <c r="Z29" s="226">
        <f t="shared" si="11"/>
        <v>3.5714285714285716</v>
      </c>
      <c r="AA29" s="226">
        <f t="shared" si="12"/>
        <v>82.408333333333317</v>
      </c>
      <c r="AB29" s="226">
        <f t="shared" si="13"/>
        <v>87.916666666666657</v>
      </c>
      <c r="AC29" s="230">
        <f t="shared" si="14"/>
        <v>150</v>
      </c>
      <c r="AD29" s="226">
        <f t="shared" si="15"/>
        <v>66.666666666666671</v>
      </c>
      <c r="AE29" s="226">
        <f t="shared" si="16"/>
        <v>15</v>
      </c>
      <c r="AF29" s="226">
        <v>400</v>
      </c>
      <c r="AG29" s="229">
        <f t="shared" si="17"/>
        <v>865.97976190476197</v>
      </c>
      <c r="AH29" s="229">
        <f t="shared" si="18"/>
        <v>15629.249668571429</v>
      </c>
      <c r="AI29" s="231">
        <v>0.04</v>
      </c>
      <c r="AJ29" s="232">
        <f t="shared" si="19"/>
        <v>625.16998674285719</v>
      </c>
      <c r="AK29" s="233">
        <v>0.04</v>
      </c>
      <c r="AL29" s="234">
        <f t="shared" si="20"/>
        <v>951.40768032697792</v>
      </c>
      <c r="AM29" s="231">
        <v>0.01</v>
      </c>
      <c r="AN29" s="232">
        <f t="shared" si="21"/>
        <v>156.2924966857143</v>
      </c>
      <c r="AO29" s="233">
        <v>0.01</v>
      </c>
      <c r="AP29" s="234">
        <f t="shared" si="22"/>
        <v>237.85192008174448</v>
      </c>
      <c r="AQ29" s="231">
        <v>0.1</v>
      </c>
      <c r="AR29" s="232">
        <f t="shared" si="23"/>
        <v>1562.9249668571429</v>
      </c>
      <c r="AS29" s="233">
        <v>0.1</v>
      </c>
      <c r="AT29" s="234">
        <f t="shared" si="24"/>
        <v>2378.5192008174449</v>
      </c>
      <c r="AU29" s="231">
        <v>0.15640000000000001</v>
      </c>
      <c r="AV29" s="232">
        <f t="shared" si="25"/>
        <v>3524.2425723249303</v>
      </c>
      <c r="AW29" s="233">
        <v>0.19289999999999999</v>
      </c>
      <c r="AX29" s="234">
        <f t="shared" si="26"/>
        <v>4588.1635383768507</v>
      </c>
      <c r="AY29" s="235">
        <f t="shared" si="27"/>
        <v>22533.520283407481</v>
      </c>
      <c r="AZ29" s="234">
        <f t="shared" si="28"/>
        <v>23785.192008174447</v>
      </c>
      <c r="BA29" s="395">
        <f t="shared" si="32"/>
        <v>9200.8714329741942</v>
      </c>
    </row>
    <row r="30" spans="1:53" x14ac:dyDescent="0.25">
      <c r="A30" s="245">
        <f t="shared" si="29"/>
        <v>12103.164675145481</v>
      </c>
      <c r="B30" s="248" t="str">
        <f>IF(Helexia!C30=0,"",Helexia!C30)</f>
        <v>Marcelo Augusto Ferraz Pinho</v>
      </c>
      <c r="C30" s="221" t="str">
        <f>IF(Helexia!G30=0,"",Helexia!G30)</f>
        <v>CLT</v>
      </c>
      <c r="D30" s="226">
        <v>2680</v>
      </c>
      <c r="K30" s="228">
        <f t="shared" si="30"/>
        <v>2680</v>
      </c>
      <c r="L30" s="243">
        <f t="shared" si="0"/>
        <v>804</v>
      </c>
      <c r="M30" s="229">
        <f t="shared" si="1"/>
        <v>3484</v>
      </c>
      <c r="N30" s="229">
        <f t="shared" si="2"/>
        <v>1229.8519999999999</v>
      </c>
      <c r="O30" s="229">
        <f t="shared" si="3"/>
        <v>387.07239999999996</v>
      </c>
      <c r="P30" s="226">
        <f t="shared" si="4"/>
        <v>290.21719999999999</v>
      </c>
      <c r="Q30" s="229">
        <f t="shared" si="5"/>
        <v>239.08322879999997</v>
      </c>
      <c r="R30" s="229">
        <f t="shared" si="6"/>
        <v>290.33333333333331</v>
      </c>
      <c r="S30" s="229">
        <f t="shared" si="7"/>
        <v>166.451584</v>
      </c>
      <c r="T30" s="226">
        <v>1000</v>
      </c>
      <c r="U30" s="226">
        <v>0</v>
      </c>
      <c r="V30" s="229">
        <f t="shared" si="31"/>
        <v>3603.0097461333335</v>
      </c>
      <c r="W30" s="226">
        <f t="shared" si="8"/>
        <v>20.833333333333332</v>
      </c>
      <c r="X30" s="226">
        <f t="shared" si="9"/>
        <v>20.833333333333332</v>
      </c>
      <c r="Y30" s="226">
        <f t="shared" si="10"/>
        <v>18.75</v>
      </c>
      <c r="Z30" s="226">
        <f t="shared" si="11"/>
        <v>3.5714285714285716</v>
      </c>
      <c r="AA30" s="226">
        <f t="shared" si="12"/>
        <v>82.408333333333317</v>
      </c>
      <c r="AB30" s="226">
        <f t="shared" si="13"/>
        <v>87.916666666666657</v>
      </c>
      <c r="AC30" s="230">
        <f t="shared" si="14"/>
        <v>150</v>
      </c>
      <c r="AD30" s="226">
        <f t="shared" si="15"/>
        <v>66.666666666666671</v>
      </c>
      <c r="AE30" s="226">
        <f t="shared" si="16"/>
        <v>15</v>
      </c>
      <c r="AF30" s="226">
        <v>400</v>
      </c>
      <c r="AG30" s="229">
        <f t="shared" si="17"/>
        <v>865.97976190476197</v>
      </c>
      <c r="AH30" s="229">
        <f t="shared" si="18"/>
        <v>7952.9895080380957</v>
      </c>
      <c r="AI30" s="231">
        <v>0.04</v>
      </c>
      <c r="AJ30" s="232">
        <f t="shared" si="19"/>
        <v>318.11958032152381</v>
      </c>
      <c r="AK30" s="233">
        <v>0.04</v>
      </c>
      <c r="AL30" s="234">
        <f t="shared" si="20"/>
        <v>484.12658700581926</v>
      </c>
      <c r="AM30" s="231">
        <v>0.01</v>
      </c>
      <c r="AN30" s="232">
        <f t="shared" si="21"/>
        <v>79.529895080380953</v>
      </c>
      <c r="AO30" s="233">
        <v>0.01</v>
      </c>
      <c r="AP30" s="234">
        <f t="shared" si="22"/>
        <v>121.03164675145482</v>
      </c>
      <c r="AQ30" s="231">
        <v>0.1</v>
      </c>
      <c r="AR30" s="232">
        <f t="shared" si="23"/>
        <v>795.29895080380959</v>
      </c>
      <c r="AS30" s="233">
        <v>0.1</v>
      </c>
      <c r="AT30" s="234">
        <f t="shared" si="24"/>
        <v>1210.3164675145481</v>
      </c>
      <c r="AU30" s="231">
        <v>0.15640000000000001</v>
      </c>
      <c r="AV30" s="232">
        <f t="shared" si="25"/>
        <v>1793.3211635772177</v>
      </c>
      <c r="AW30" s="233">
        <v>0.19289999999999999</v>
      </c>
      <c r="AX30" s="234">
        <f t="shared" si="26"/>
        <v>2334.7004658355631</v>
      </c>
      <c r="AY30" s="235">
        <f t="shared" si="27"/>
        <v>11466.247848959192</v>
      </c>
      <c r="AZ30" s="234">
        <f t="shared" si="28"/>
        <v>12103.164675145481</v>
      </c>
      <c r="BA30" s="395">
        <f t="shared" si="32"/>
        <v>4155.3028158826601</v>
      </c>
    </row>
    <row r="31" spans="1:53" x14ac:dyDescent="0.25">
      <c r="A31" s="245">
        <f t="shared" si="29"/>
        <v>9572.7075514200187</v>
      </c>
      <c r="B31" s="220" t="str">
        <f>IF(Helexia!C31=0,"",Helexia!C31)</f>
        <v>Carolina Venturini Paes</v>
      </c>
      <c r="C31" s="221" t="str">
        <f>IF(Helexia!G31=0,"",Helexia!G31)</f>
        <v>CLT</v>
      </c>
      <c r="D31" s="226">
        <v>2080</v>
      </c>
      <c r="K31" s="228">
        <f t="shared" si="30"/>
        <v>2080</v>
      </c>
      <c r="L31" s="243">
        <f t="shared" si="0"/>
        <v>624</v>
      </c>
      <c r="M31" s="229">
        <f t="shared" si="1"/>
        <v>2704</v>
      </c>
      <c r="N31" s="229">
        <f t="shared" si="2"/>
        <v>954.51199999999994</v>
      </c>
      <c r="O31" s="229">
        <f t="shared" si="3"/>
        <v>300.4144</v>
      </c>
      <c r="P31" s="226">
        <f t="shared" si="4"/>
        <v>225.2432</v>
      </c>
      <c r="Q31" s="229">
        <f t="shared" si="5"/>
        <v>185.55713279999998</v>
      </c>
      <c r="R31" s="229">
        <f t="shared" si="6"/>
        <v>225.33333333333334</v>
      </c>
      <c r="S31" s="229">
        <f t="shared" si="7"/>
        <v>129.18630400000001</v>
      </c>
      <c r="T31" s="226">
        <v>700</v>
      </c>
      <c r="U31" s="226">
        <v>0</v>
      </c>
      <c r="V31" s="229">
        <f t="shared" si="31"/>
        <v>2720.2463701333331</v>
      </c>
      <c r="W31" s="226">
        <f t="shared" si="8"/>
        <v>20.833333333333332</v>
      </c>
      <c r="X31" s="226">
        <f t="shared" si="9"/>
        <v>20.833333333333332</v>
      </c>
      <c r="Y31" s="226">
        <f t="shared" si="10"/>
        <v>18.75</v>
      </c>
      <c r="Z31" s="226">
        <f t="shared" si="11"/>
        <v>3.5714285714285716</v>
      </c>
      <c r="AA31" s="226">
        <f t="shared" si="12"/>
        <v>82.408333333333317</v>
      </c>
      <c r="AB31" s="226">
        <f t="shared" si="13"/>
        <v>87.916666666666657</v>
      </c>
      <c r="AC31" s="230">
        <f t="shared" si="14"/>
        <v>150</v>
      </c>
      <c r="AD31" s="226">
        <f t="shared" si="15"/>
        <v>66.666666666666671</v>
      </c>
      <c r="AE31" s="226">
        <f t="shared" si="16"/>
        <v>15</v>
      </c>
      <c r="AF31" s="226">
        <v>400</v>
      </c>
      <c r="AG31" s="229">
        <f t="shared" si="17"/>
        <v>865.97976190476197</v>
      </c>
      <c r="AH31" s="229">
        <f t="shared" si="18"/>
        <v>6290.2261320380949</v>
      </c>
      <c r="AI31" s="231">
        <v>0.04</v>
      </c>
      <c r="AJ31" s="232">
        <f t="shared" si="19"/>
        <v>251.60904528152381</v>
      </c>
      <c r="AK31" s="233">
        <v>0.04</v>
      </c>
      <c r="AL31" s="234">
        <f t="shared" si="20"/>
        <v>382.90830205680078</v>
      </c>
      <c r="AM31" s="231">
        <v>0.01</v>
      </c>
      <c r="AN31" s="232">
        <f t="shared" si="21"/>
        <v>62.902261320380951</v>
      </c>
      <c r="AO31" s="233">
        <v>0.01</v>
      </c>
      <c r="AP31" s="234">
        <f t="shared" si="22"/>
        <v>95.727075514200195</v>
      </c>
      <c r="AQ31" s="231">
        <v>0.1</v>
      </c>
      <c r="AR31" s="232">
        <f t="shared" si="23"/>
        <v>629.02261320380956</v>
      </c>
      <c r="AS31" s="233">
        <v>0.1</v>
      </c>
      <c r="AT31" s="234">
        <f t="shared" si="24"/>
        <v>957.27075514200192</v>
      </c>
      <c r="AU31" s="231">
        <v>0.15640000000000001</v>
      </c>
      <c r="AV31" s="232">
        <f t="shared" si="25"/>
        <v>1418.3843238909433</v>
      </c>
      <c r="AW31" s="233">
        <v>0.19289999999999999</v>
      </c>
      <c r="AX31" s="234">
        <f t="shared" si="26"/>
        <v>1846.5752866689215</v>
      </c>
      <c r="AY31" s="235">
        <f t="shared" si="27"/>
        <v>9068.9534775635748</v>
      </c>
      <c r="AZ31" s="234">
        <f t="shared" si="28"/>
        <v>9572.7075514200187</v>
      </c>
      <c r="BA31" s="395">
        <f t="shared" si="32"/>
        <v>3362.8051273342512</v>
      </c>
    </row>
    <row r="32" spans="1:53" x14ac:dyDescent="0.25">
      <c r="A32" s="245">
        <f t="shared" si="29"/>
        <v>6710.5229568884934</v>
      </c>
      <c r="B32" s="248" t="str">
        <f>IF(Helexia!C32=0,"",Helexia!C32)</f>
        <v>Felipe Otávio Corrêa Leite</v>
      </c>
      <c r="C32" s="221" t="str">
        <f>IF(Helexia!G32=0,"",Helexia!G32)</f>
        <v>CLT</v>
      </c>
      <c r="D32" s="226">
        <v>1340</v>
      </c>
      <c r="K32" s="228">
        <f t="shared" si="30"/>
        <v>1340</v>
      </c>
      <c r="L32" s="243">
        <f t="shared" si="0"/>
        <v>402</v>
      </c>
      <c r="M32" s="229">
        <f t="shared" si="1"/>
        <v>1742</v>
      </c>
      <c r="N32" s="229">
        <f t="shared" si="2"/>
        <v>614.92599999999993</v>
      </c>
      <c r="O32" s="229">
        <f t="shared" si="3"/>
        <v>193.53619999999998</v>
      </c>
      <c r="P32" s="226">
        <f t="shared" si="4"/>
        <v>145.1086</v>
      </c>
      <c r="Q32" s="229">
        <f t="shared" si="5"/>
        <v>119.54161439999999</v>
      </c>
      <c r="R32" s="229">
        <f t="shared" si="6"/>
        <v>145.16666666666666</v>
      </c>
      <c r="S32" s="229">
        <f t="shared" si="7"/>
        <v>83.225791999999998</v>
      </c>
      <c r="T32" s="226">
        <v>500</v>
      </c>
      <c r="U32" s="226">
        <v>0</v>
      </c>
      <c r="V32" s="229">
        <f t="shared" si="31"/>
        <v>1801.5048730666667</v>
      </c>
      <c r="W32" s="226">
        <f t="shared" si="8"/>
        <v>20.833333333333332</v>
      </c>
      <c r="X32" s="226">
        <f t="shared" si="9"/>
        <v>20.833333333333332</v>
      </c>
      <c r="Y32" s="226">
        <f t="shared" si="10"/>
        <v>18.75</v>
      </c>
      <c r="Z32" s="226">
        <f t="shared" si="11"/>
        <v>3.5714285714285716</v>
      </c>
      <c r="AA32" s="226">
        <f t="shared" si="12"/>
        <v>82.408333333333317</v>
      </c>
      <c r="AB32" s="226">
        <f t="shared" si="13"/>
        <v>87.916666666666657</v>
      </c>
      <c r="AC32" s="230">
        <f t="shared" si="14"/>
        <v>150</v>
      </c>
      <c r="AD32" s="226">
        <f t="shared" si="15"/>
        <v>66.666666666666671</v>
      </c>
      <c r="AE32" s="226">
        <f t="shared" si="16"/>
        <v>15</v>
      </c>
      <c r="AF32" s="226">
        <v>400</v>
      </c>
      <c r="AG32" s="229">
        <f t="shared" si="17"/>
        <v>865.97976190476197</v>
      </c>
      <c r="AH32" s="229">
        <f t="shared" si="18"/>
        <v>4409.4846349714289</v>
      </c>
      <c r="AI32" s="231">
        <v>0.04</v>
      </c>
      <c r="AJ32" s="232">
        <f t="shared" si="19"/>
        <v>176.37938539885715</v>
      </c>
      <c r="AK32" s="233">
        <v>0.04</v>
      </c>
      <c r="AL32" s="234">
        <f t="shared" si="20"/>
        <v>268.42091827553975</v>
      </c>
      <c r="AM32" s="231">
        <v>0.01</v>
      </c>
      <c r="AN32" s="232">
        <f t="shared" si="21"/>
        <v>44.094846349714288</v>
      </c>
      <c r="AO32" s="233">
        <v>0.01</v>
      </c>
      <c r="AP32" s="234">
        <f t="shared" si="22"/>
        <v>67.105229568884937</v>
      </c>
      <c r="AQ32" s="231">
        <v>0.1</v>
      </c>
      <c r="AR32" s="232">
        <f t="shared" si="23"/>
        <v>440.94846349714294</v>
      </c>
      <c r="AS32" s="233">
        <v>0.1</v>
      </c>
      <c r="AT32" s="234">
        <f t="shared" si="24"/>
        <v>671.05229568884943</v>
      </c>
      <c r="AU32" s="231">
        <v>0.15640000000000001</v>
      </c>
      <c r="AV32" s="232">
        <f t="shared" si="25"/>
        <v>994.29555494453791</v>
      </c>
      <c r="AW32" s="233">
        <v>0.19289999999999999</v>
      </c>
      <c r="AX32" s="234">
        <f t="shared" si="26"/>
        <v>1294.4598783837903</v>
      </c>
      <c r="AY32" s="235">
        <f t="shared" si="27"/>
        <v>6357.3884587246666</v>
      </c>
      <c r="AZ32" s="234">
        <f t="shared" si="28"/>
        <v>6710.5229568884934</v>
      </c>
      <c r="BA32" s="395">
        <f t="shared" si="32"/>
        <v>2385.3913114578813</v>
      </c>
    </row>
    <row r="33" spans="1:53" x14ac:dyDescent="0.25">
      <c r="A33" s="245">
        <f t="shared" si="29"/>
        <v>4663.9284286888269</v>
      </c>
      <c r="B33" s="220" t="str">
        <f>IF(Helexia!C33=0,"",Helexia!C33)</f>
        <v>Nathalia Freire Sampaio</v>
      </c>
      <c r="C33" s="221" t="str">
        <f>IF(Helexia!G33=0,"",Helexia!G33)</f>
        <v>CLT</v>
      </c>
      <c r="D33" s="226">
        <v>902</v>
      </c>
      <c r="K33" s="228">
        <f t="shared" si="30"/>
        <v>902</v>
      </c>
      <c r="L33" s="243">
        <f t="shared" si="0"/>
        <v>270.59999999999997</v>
      </c>
      <c r="M33" s="229">
        <f t="shared" si="1"/>
        <v>1172.5999999999999</v>
      </c>
      <c r="N33" s="229">
        <f t="shared" si="2"/>
        <v>413.92779999999993</v>
      </c>
      <c r="O33" s="229">
        <f t="shared" si="3"/>
        <v>130.27585999999997</v>
      </c>
      <c r="P33" s="226">
        <f t="shared" si="4"/>
        <v>97.677579999999992</v>
      </c>
      <c r="Q33" s="229">
        <f t="shared" si="5"/>
        <v>80.46756431999998</v>
      </c>
      <c r="R33" s="229">
        <f t="shared" si="6"/>
        <v>97.716666666666654</v>
      </c>
      <c r="S33" s="229">
        <f t="shared" si="7"/>
        <v>56.022137600000001</v>
      </c>
      <c r="T33" s="226">
        <v>150</v>
      </c>
      <c r="U33" s="226">
        <v>0</v>
      </c>
      <c r="V33" s="229">
        <f t="shared" si="31"/>
        <v>1026.0876085866666</v>
      </c>
      <c r="W33" s="226">
        <f t="shared" si="8"/>
        <v>20.833333333333332</v>
      </c>
      <c r="X33" s="226">
        <f t="shared" si="9"/>
        <v>20.833333333333332</v>
      </c>
      <c r="Y33" s="226">
        <f t="shared" si="10"/>
        <v>18.75</v>
      </c>
      <c r="Z33" s="226">
        <f t="shared" si="11"/>
        <v>3.5714285714285716</v>
      </c>
      <c r="AA33" s="226">
        <f t="shared" si="12"/>
        <v>82.408333333333317</v>
      </c>
      <c r="AB33" s="226">
        <f t="shared" si="13"/>
        <v>87.916666666666657</v>
      </c>
      <c r="AC33" s="230">
        <f t="shared" si="14"/>
        <v>150</v>
      </c>
      <c r="AD33" s="226">
        <f t="shared" si="15"/>
        <v>66.666666666666671</v>
      </c>
      <c r="AE33" s="226">
        <f t="shared" si="16"/>
        <v>15</v>
      </c>
      <c r="AF33" s="226">
        <v>400</v>
      </c>
      <c r="AG33" s="229">
        <f t="shared" si="17"/>
        <v>865.97976190476197</v>
      </c>
      <c r="AH33" s="229">
        <f t="shared" si="18"/>
        <v>3064.6673704914283</v>
      </c>
      <c r="AI33" s="231">
        <v>0.04</v>
      </c>
      <c r="AJ33" s="232">
        <f t="shared" si="19"/>
        <v>122.58669481965714</v>
      </c>
      <c r="AK33" s="233">
        <v>0.04</v>
      </c>
      <c r="AL33" s="234">
        <f t="shared" si="20"/>
        <v>186.55713714755308</v>
      </c>
      <c r="AM33" s="231">
        <v>0.01</v>
      </c>
      <c r="AN33" s="232">
        <f t="shared" si="21"/>
        <v>30.646673704914285</v>
      </c>
      <c r="AO33" s="233">
        <v>0.01</v>
      </c>
      <c r="AP33" s="234">
        <f t="shared" si="22"/>
        <v>46.63928428688827</v>
      </c>
      <c r="AQ33" s="231">
        <v>0.1</v>
      </c>
      <c r="AR33" s="232">
        <f t="shared" si="23"/>
        <v>306.46673704914286</v>
      </c>
      <c r="AS33" s="233">
        <v>0.1</v>
      </c>
      <c r="AT33" s="234">
        <f t="shared" si="24"/>
        <v>466.39284286888272</v>
      </c>
      <c r="AU33" s="231">
        <v>0.15640000000000001</v>
      </c>
      <c r="AV33" s="232">
        <f t="shared" si="25"/>
        <v>691.05244628728292</v>
      </c>
      <c r="AW33" s="233">
        <v>0.19289999999999999</v>
      </c>
      <c r="AX33" s="234">
        <f t="shared" si="26"/>
        <v>899.67179389407465</v>
      </c>
      <c r="AY33" s="235">
        <f t="shared" si="27"/>
        <v>4418.4939020926013</v>
      </c>
      <c r="AZ33" s="234">
        <f t="shared" si="28"/>
        <v>4663.9284286888269</v>
      </c>
      <c r="BA33" s="395">
        <f t="shared" si="32"/>
        <v>1806.8679988175436</v>
      </c>
    </row>
    <row r="34" spans="1:53" x14ac:dyDescent="0.25">
      <c r="A34" s="245">
        <f t="shared" si="29"/>
        <v>4224.9517413454505</v>
      </c>
      <c r="B34" s="248" t="str">
        <f>IF(Helexia!C34=0,"",Helexia!C34)</f>
        <v>Roberto Caetano Nolasco</v>
      </c>
      <c r="C34" s="221" t="str">
        <f>IF(Helexia!G34=0,"",Helexia!G34)</f>
        <v>CLT</v>
      </c>
      <c r="D34" s="226">
        <v>775</v>
      </c>
      <c r="K34" s="228">
        <f t="shared" si="30"/>
        <v>775</v>
      </c>
      <c r="L34" s="243">
        <f t="shared" ref="L34:L64" si="33">K34 * 0.3</f>
        <v>232.5</v>
      </c>
      <c r="M34" s="229">
        <f t="shared" ref="M34:M64" si="34">K34+L34</f>
        <v>1007.5</v>
      </c>
      <c r="N34" s="229">
        <f t="shared" ref="N34:N64" si="35">M34 * 35.3%</f>
        <v>355.64749999999998</v>
      </c>
      <c r="O34" s="229">
        <f t="shared" ref="O34:O64" si="36">M34 * 11.11%</f>
        <v>111.93324999999999</v>
      </c>
      <c r="P34" s="226">
        <f t="shared" ref="P34:P64" si="37">M34 * 8.33%</f>
        <v>83.924750000000003</v>
      </c>
      <c r="Q34" s="229">
        <f t="shared" ref="Q34:Q64" si="38">(O34+P34) * 35.3%</f>
        <v>69.137873999999996</v>
      </c>
      <c r="R34" s="229">
        <f t="shared" ref="R34:R64" si="39">M34/12</f>
        <v>83.958333333333329</v>
      </c>
      <c r="S34" s="229">
        <f t="shared" ref="S34:S64" si="40">((M34+O34+P34)*8%)*50%</f>
        <v>48.134320000000002</v>
      </c>
      <c r="T34" s="226">
        <v>150</v>
      </c>
      <c r="U34" s="226">
        <v>0</v>
      </c>
      <c r="V34" s="229">
        <f t="shared" si="31"/>
        <v>902.73602733333337</v>
      </c>
      <c r="W34" s="226">
        <f t="shared" ref="W34:W64" si="41">500/24</f>
        <v>20.833333333333332</v>
      </c>
      <c r="X34" s="226">
        <f t="shared" si="9"/>
        <v>20.833333333333332</v>
      </c>
      <c r="Y34" s="226">
        <f t="shared" ref="Y34:Y64" si="42">450/24</f>
        <v>18.75</v>
      </c>
      <c r="Z34" s="226">
        <f t="shared" ref="Z34:Z64" si="43">((1500*2)/24)/35</f>
        <v>3.5714285714285716</v>
      </c>
      <c r="AA34" s="226">
        <f t="shared" ref="AA34:AA64" si="44">(89.9 + 49.9 + 89.9 + 89.9 + 89.9 + 129.9 + 89.9 + 89.9 + 49.9 + 89.9 + 129.9)/12</f>
        <v>82.408333333333317</v>
      </c>
      <c r="AB34" s="226">
        <f t="shared" ref="AB34:AB64" si="45">(308/12)+(500/12)+(65/12)+(150/12)+(4/12)+(28/12)</f>
        <v>87.916666666666657</v>
      </c>
      <c r="AC34" s="230">
        <f t="shared" ref="AC34:AC64" si="46">1800/12</f>
        <v>150</v>
      </c>
      <c r="AD34" s="226">
        <f t="shared" ref="AD34:AD64" si="47">800/12</f>
        <v>66.666666666666671</v>
      </c>
      <c r="AE34" s="226">
        <f t="shared" ref="AE34:AE64" si="48">180/12</f>
        <v>15</v>
      </c>
      <c r="AF34" s="226">
        <v>400</v>
      </c>
      <c r="AG34" s="229">
        <f t="shared" ref="AG34:AG64" si="49">SUM(W34:AF34)</f>
        <v>865.97976190476197</v>
      </c>
      <c r="AH34" s="229">
        <f t="shared" ref="AH34:AH64" si="50">M34+V34+AG34</f>
        <v>2776.2157892380956</v>
      </c>
      <c r="AI34" s="231">
        <v>0.04</v>
      </c>
      <c r="AJ34" s="232">
        <f t="shared" ref="AJ34:AJ64" si="51">AH34*AI34</f>
        <v>111.04863156952382</v>
      </c>
      <c r="AK34" s="233">
        <v>0.04</v>
      </c>
      <c r="AL34" s="234">
        <f t="shared" si="20"/>
        <v>168.99806965381802</v>
      </c>
      <c r="AM34" s="231">
        <v>0.01</v>
      </c>
      <c r="AN34" s="232">
        <f t="shared" si="21"/>
        <v>27.762157892380955</v>
      </c>
      <c r="AO34" s="233">
        <v>0.01</v>
      </c>
      <c r="AP34" s="234">
        <f t="shared" ref="AP34:AP64" si="52">AZ34*AO34</f>
        <v>42.249517413454505</v>
      </c>
      <c r="AQ34" s="231">
        <v>0.1</v>
      </c>
      <c r="AR34" s="232">
        <f t="shared" si="23"/>
        <v>277.62157892380958</v>
      </c>
      <c r="AS34" s="233">
        <v>0.1</v>
      </c>
      <c r="AT34" s="234">
        <f t="shared" ref="AT34:AT64" si="53">AZ34*AS34</f>
        <v>422.4951741345451</v>
      </c>
      <c r="AU34" s="231">
        <v>0.15640000000000001</v>
      </c>
      <c r="AV34" s="232">
        <f t="shared" ref="AV34:AV64" si="54">AY34*AU34</f>
        <v>626.00944267133536</v>
      </c>
      <c r="AW34" s="233">
        <v>0.19289999999999999</v>
      </c>
      <c r="AX34" s="234">
        <f t="shared" ref="AX34:AX64" si="55">AZ34*AW34</f>
        <v>814.9931909055374</v>
      </c>
      <c r="AY34" s="235">
        <f t="shared" si="27"/>
        <v>4002.6179198934483</v>
      </c>
      <c r="AZ34" s="234">
        <f t="shared" si="28"/>
        <v>4224.9517413454505</v>
      </c>
      <c r="BA34" s="395">
        <f t="shared" si="32"/>
        <v>1639.1226547414635</v>
      </c>
    </row>
    <row r="35" spans="1:53" x14ac:dyDescent="0.25">
      <c r="A35" s="245">
        <f t="shared" si="29"/>
        <v>5445.2943950257622</v>
      </c>
      <c r="B35" s="220" t="str">
        <f>IF(Helexia!C35=0,"",Helexia!C35)</f>
        <v>Luiza Barcellos Antunes</v>
      </c>
      <c r="C35" s="221" t="str">
        <f>IF(Helexia!G35=0,"",Helexia!G35)</f>
        <v>CLT</v>
      </c>
      <c r="D35" s="226">
        <v>1040</v>
      </c>
      <c r="K35" s="228">
        <f t="shared" si="30"/>
        <v>1040</v>
      </c>
      <c r="L35" s="243">
        <f t="shared" si="33"/>
        <v>312</v>
      </c>
      <c r="M35" s="229">
        <f t="shared" si="34"/>
        <v>1352</v>
      </c>
      <c r="N35" s="229">
        <f t="shared" si="35"/>
        <v>477.25599999999997</v>
      </c>
      <c r="O35" s="229">
        <f t="shared" si="36"/>
        <v>150.2072</v>
      </c>
      <c r="P35" s="226">
        <f t="shared" si="37"/>
        <v>112.6216</v>
      </c>
      <c r="Q35" s="229">
        <f t="shared" si="38"/>
        <v>92.778566399999988</v>
      </c>
      <c r="R35" s="229">
        <f t="shared" si="39"/>
        <v>112.66666666666667</v>
      </c>
      <c r="S35" s="229">
        <f t="shared" si="40"/>
        <v>64.593152000000003</v>
      </c>
      <c r="T35" s="226">
        <v>350</v>
      </c>
      <c r="U35" s="226">
        <v>0</v>
      </c>
      <c r="V35" s="229">
        <f t="shared" si="31"/>
        <v>1360.1231850666666</v>
      </c>
      <c r="W35" s="226">
        <f t="shared" si="41"/>
        <v>20.833333333333332</v>
      </c>
      <c r="X35" s="226">
        <f t="shared" si="9"/>
        <v>20.833333333333332</v>
      </c>
      <c r="Y35" s="226">
        <f t="shared" si="42"/>
        <v>18.75</v>
      </c>
      <c r="Z35" s="226">
        <f t="shared" si="43"/>
        <v>3.5714285714285716</v>
      </c>
      <c r="AA35" s="226">
        <f t="shared" si="44"/>
        <v>82.408333333333317</v>
      </c>
      <c r="AB35" s="226">
        <f t="shared" si="45"/>
        <v>87.916666666666657</v>
      </c>
      <c r="AC35" s="230">
        <f t="shared" si="46"/>
        <v>150</v>
      </c>
      <c r="AD35" s="226">
        <f t="shared" si="47"/>
        <v>66.666666666666671</v>
      </c>
      <c r="AE35" s="226">
        <f t="shared" si="48"/>
        <v>15</v>
      </c>
      <c r="AF35" s="226">
        <v>400</v>
      </c>
      <c r="AG35" s="229">
        <f t="shared" si="49"/>
        <v>865.97976190476197</v>
      </c>
      <c r="AH35" s="229">
        <f t="shared" si="50"/>
        <v>3578.1029469714285</v>
      </c>
      <c r="AI35" s="231">
        <v>0.04</v>
      </c>
      <c r="AJ35" s="232">
        <f t="shared" si="51"/>
        <v>143.12411787885713</v>
      </c>
      <c r="AK35" s="233">
        <v>0.04</v>
      </c>
      <c r="AL35" s="234">
        <f t="shared" ref="AL35:AL66" si="56">AZ35*AK35</f>
        <v>217.81177580103051</v>
      </c>
      <c r="AM35" s="231">
        <v>0.01</v>
      </c>
      <c r="AN35" s="232">
        <f t="shared" ref="AN35:AN66" si="57">AH35*AM35</f>
        <v>35.781029469714284</v>
      </c>
      <c r="AO35" s="233">
        <v>0.01</v>
      </c>
      <c r="AP35" s="234">
        <f t="shared" si="52"/>
        <v>54.452943950257627</v>
      </c>
      <c r="AQ35" s="231">
        <v>0.1</v>
      </c>
      <c r="AR35" s="232">
        <f t="shared" ref="AR35:AR66" si="58">AH35*AQ35</f>
        <v>357.81029469714287</v>
      </c>
      <c r="AS35" s="233">
        <v>0.1</v>
      </c>
      <c r="AT35" s="234">
        <f t="shared" si="53"/>
        <v>544.52943950257622</v>
      </c>
      <c r="AU35" s="231">
        <v>0.15640000000000001</v>
      </c>
      <c r="AV35" s="232">
        <f t="shared" si="54"/>
        <v>806.82713510140059</v>
      </c>
      <c r="AW35" s="233">
        <v>0.19289999999999999</v>
      </c>
      <c r="AX35" s="234">
        <f t="shared" si="55"/>
        <v>1050.3972888004694</v>
      </c>
      <c r="AY35" s="235">
        <f t="shared" ref="AY35:AY66" si="59">(AH35)/(1-AI35-AM35-AQ35-AU35)</f>
        <v>5158.7412730268579</v>
      </c>
      <c r="AZ35" s="234">
        <f t="shared" ref="AZ35:AZ66" si="60">($AH35)/(1-AK35-AO35-AS35-AW35)</f>
        <v>5445.2943950257622</v>
      </c>
      <c r="BA35" s="395">
        <f t="shared" si="32"/>
        <v>1989.1424671836771</v>
      </c>
    </row>
    <row r="36" spans="1:53" x14ac:dyDescent="0.25">
      <c r="A36" s="245">
        <f t="shared" si="29"/>
        <v>6826.4083615656091</v>
      </c>
      <c r="B36" s="248" t="str">
        <f>IF(Helexia!C36=0,"",Helexia!C36)</f>
        <v>Pedro Henrique Alvarenga</v>
      </c>
      <c r="C36" s="221" t="str">
        <f>IF(Helexia!G36=0,"",Helexia!G36)</f>
        <v>CLT</v>
      </c>
      <c r="D36" s="226">
        <v>1488</v>
      </c>
      <c r="K36" s="228">
        <f t="shared" si="30"/>
        <v>1488</v>
      </c>
      <c r="L36" s="243">
        <f t="shared" si="33"/>
        <v>446.4</v>
      </c>
      <c r="M36" s="229">
        <f t="shared" si="34"/>
        <v>1934.4</v>
      </c>
      <c r="N36" s="229">
        <f t="shared" si="35"/>
        <v>682.84320000000002</v>
      </c>
      <c r="O36" s="229">
        <f t="shared" si="36"/>
        <v>214.91183999999998</v>
      </c>
      <c r="P36" s="226">
        <f t="shared" si="37"/>
        <v>161.13552000000001</v>
      </c>
      <c r="Q36" s="229">
        <f t="shared" si="38"/>
        <v>132.74471808000001</v>
      </c>
      <c r="R36" s="229">
        <f t="shared" si="39"/>
        <v>161.20000000000002</v>
      </c>
      <c r="S36" s="229">
        <f t="shared" si="40"/>
        <v>92.417894400000009</v>
      </c>
      <c r="T36" s="226">
        <v>240</v>
      </c>
      <c r="U36" s="226">
        <v>0</v>
      </c>
      <c r="V36" s="229">
        <f t="shared" si="31"/>
        <v>1685.2531724800001</v>
      </c>
      <c r="W36" s="226">
        <f t="shared" si="41"/>
        <v>20.833333333333332</v>
      </c>
      <c r="X36" s="226">
        <f t="shared" si="9"/>
        <v>20.833333333333332</v>
      </c>
      <c r="Y36" s="226">
        <f t="shared" si="42"/>
        <v>18.75</v>
      </c>
      <c r="Z36" s="226">
        <f t="shared" si="43"/>
        <v>3.5714285714285716</v>
      </c>
      <c r="AA36" s="226">
        <f t="shared" si="44"/>
        <v>82.408333333333317</v>
      </c>
      <c r="AB36" s="226">
        <f t="shared" si="45"/>
        <v>87.916666666666657</v>
      </c>
      <c r="AC36" s="230">
        <f t="shared" si="46"/>
        <v>150</v>
      </c>
      <c r="AD36" s="226">
        <f t="shared" si="47"/>
        <v>66.666666666666671</v>
      </c>
      <c r="AE36" s="226">
        <f t="shared" si="48"/>
        <v>15</v>
      </c>
      <c r="AF36" s="226">
        <v>400</v>
      </c>
      <c r="AG36" s="229">
        <f t="shared" si="49"/>
        <v>865.97976190476197</v>
      </c>
      <c r="AH36" s="229">
        <f t="shared" si="50"/>
        <v>4485.6329343847619</v>
      </c>
      <c r="AI36" s="231">
        <v>0.04</v>
      </c>
      <c r="AJ36" s="232">
        <f t="shared" si="51"/>
        <v>179.42531737539048</v>
      </c>
      <c r="AK36" s="233">
        <v>0.04</v>
      </c>
      <c r="AL36" s="234">
        <f t="shared" si="56"/>
        <v>273.05633446262436</v>
      </c>
      <c r="AM36" s="231">
        <v>0.01</v>
      </c>
      <c r="AN36" s="232">
        <f t="shared" si="57"/>
        <v>44.856329343847619</v>
      </c>
      <c r="AO36" s="233">
        <v>0.01</v>
      </c>
      <c r="AP36" s="234">
        <f t="shared" si="52"/>
        <v>68.264083615656091</v>
      </c>
      <c r="AQ36" s="231">
        <v>0.1</v>
      </c>
      <c r="AR36" s="232">
        <f t="shared" si="58"/>
        <v>448.56329343847619</v>
      </c>
      <c r="AS36" s="233">
        <v>0.1</v>
      </c>
      <c r="AT36" s="234">
        <f t="shared" si="53"/>
        <v>682.64083615656091</v>
      </c>
      <c r="AU36" s="231">
        <v>0.15640000000000001</v>
      </c>
      <c r="AV36" s="232">
        <f t="shared" si="54"/>
        <v>1011.4662499102895</v>
      </c>
      <c r="AW36" s="233">
        <v>0.19289999999999999</v>
      </c>
      <c r="AX36" s="234">
        <f t="shared" si="55"/>
        <v>1316.814172946006</v>
      </c>
      <c r="AY36" s="235">
        <f t="shared" si="59"/>
        <v>6467.1755109353544</v>
      </c>
      <c r="AZ36" s="234">
        <f t="shared" si="60"/>
        <v>6826.4083615656091</v>
      </c>
      <c r="BA36" s="395">
        <f t="shared" si="32"/>
        <v>2580.8740746331555</v>
      </c>
    </row>
    <row r="37" spans="1:53" x14ac:dyDescent="0.25">
      <c r="A37" s="245">
        <f t="shared" si="29"/>
        <v>9200.8714329741942</v>
      </c>
      <c r="B37" s="220" t="str">
        <f>IF(Helexia!C37=0,"",Helexia!C37)</f>
        <v>Sofia Mendes Albuquerque</v>
      </c>
      <c r="C37" s="221" t="str">
        <f>IF(Helexia!G37=0,"",Helexia!G37)</f>
        <v>PJ</v>
      </c>
      <c r="D37" s="226">
        <v>6500</v>
      </c>
      <c r="K37" s="228">
        <f t="shared" si="30"/>
        <v>6500</v>
      </c>
      <c r="L37" s="243">
        <f t="shared" si="33"/>
        <v>1950</v>
      </c>
      <c r="M37" s="229">
        <f t="shared" si="34"/>
        <v>8450</v>
      </c>
      <c r="N37" s="229">
        <f t="shared" si="35"/>
        <v>2982.85</v>
      </c>
      <c r="O37" s="229">
        <f t="shared" si="36"/>
        <v>938.79499999999996</v>
      </c>
      <c r="P37" s="226">
        <f t="shared" si="37"/>
        <v>703.88499999999999</v>
      </c>
      <c r="Q37" s="229">
        <f t="shared" si="38"/>
        <v>579.86603999999988</v>
      </c>
      <c r="R37" s="229">
        <f t="shared" si="39"/>
        <v>704.16666666666663</v>
      </c>
      <c r="S37" s="229">
        <f t="shared" si="40"/>
        <v>403.7072</v>
      </c>
      <c r="T37" s="226">
        <v>0</v>
      </c>
      <c r="U37" s="226">
        <v>0</v>
      </c>
      <c r="V37" s="229">
        <f t="shared" si="31"/>
        <v>6313.2699066666664</v>
      </c>
      <c r="W37" s="226">
        <f t="shared" si="41"/>
        <v>20.833333333333332</v>
      </c>
      <c r="X37" s="226">
        <f t="shared" si="9"/>
        <v>20.833333333333332</v>
      </c>
      <c r="Y37" s="226">
        <f t="shared" si="42"/>
        <v>18.75</v>
      </c>
      <c r="Z37" s="226">
        <f t="shared" si="43"/>
        <v>3.5714285714285716</v>
      </c>
      <c r="AA37" s="226">
        <f t="shared" si="44"/>
        <v>82.408333333333317</v>
      </c>
      <c r="AB37" s="226">
        <f t="shared" si="45"/>
        <v>87.916666666666657</v>
      </c>
      <c r="AC37" s="230">
        <f t="shared" si="46"/>
        <v>150</v>
      </c>
      <c r="AD37" s="226">
        <f t="shared" si="47"/>
        <v>66.666666666666671</v>
      </c>
      <c r="AE37" s="226">
        <f t="shared" si="48"/>
        <v>15</v>
      </c>
      <c r="AF37" s="226">
        <v>400</v>
      </c>
      <c r="AG37" s="229">
        <f t="shared" si="49"/>
        <v>865.97976190476197</v>
      </c>
      <c r="AH37" s="229">
        <f t="shared" si="50"/>
        <v>15629.249668571429</v>
      </c>
      <c r="AI37" s="231">
        <v>0.04</v>
      </c>
      <c r="AJ37" s="232">
        <f t="shared" si="51"/>
        <v>625.16998674285719</v>
      </c>
      <c r="AK37" s="233">
        <v>0.04</v>
      </c>
      <c r="AL37" s="234">
        <f t="shared" si="56"/>
        <v>951.40768032697792</v>
      </c>
      <c r="AM37" s="231">
        <v>0.01</v>
      </c>
      <c r="AN37" s="232">
        <f t="shared" si="57"/>
        <v>156.2924966857143</v>
      </c>
      <c r="AO37" s="233">
        <v>0.01</v>
      </c>
      <c r="AP37" s="234">
        <f t="shared" si="52"/>
        <v>237.85192008174448</v>
      </c>
      <c r="AQ37" s="231">
        <v>0.1</v>
      </c>
      <c r="AR37" s="232">
        <f t="shared" si="58"/>
        <v>1562.9249668571429</v>
      </c>
      <c r="AS37" s="233">
        <v>0.1</v>
      </c>
      <c r="AT37" s="234">
        <f t="shared" si="53"/>
        <v>2378.5192008174449</v>
      </c>
      <c r="AU37" s="231">
        <v>0.15640000000000001</v>
      </c>
      <c r="AV37" s="232">
        <f t="shared" si="54"/>
        <v>3524.2425723249303</v>
      </c>
      <c r="AW37" s="233">
        <v>0.19289999999999999</v>
      </c>
      <c r="AX37" s="234">
        <f t="shared" si="55"/>
        <v>4588.1635383768507</v>
      </c>
      <c r="AY37" s="235">
        <f t="shared" si="59"/>
        <v>22533.520283407481</v>
      </c>
      <c r="AZ37" s="234">
        <f t="shared" si="60"/>
        <v>23785.192008174447</v>
      </c>
      <c r="BA37" s="395">
        <f t="shared" si="32"/>
        <v>9200.8714329741942</v>
      </c>
    </row>
    <row r="38" spans="1:53" x14ac:dyDescent="0.25">
      <c r="A38" s="245" t="str">
        <f t="shared" si="29"/>
        <v/>
      </c>
      <c r="B38" s="248" t="str">
        <f>IF(Helexia!C38=0,"",Helexia!C38)</f>
        <v/>
      </c>
      <c r="C38" s="221" t="str">
        <f>IF(Helexia!G38=0,"",Helexia!G38)</f>
        <v/>
      </c>
      <c r="K38" s="228">
        <f t="shared" si="30"/>
        <v>0</v>
      </c>
      <c r="L38" s="243">
        <f t="shared" si="33"/>
        <v>0</v>
      </c>
      <c r="M38" s="229">
        <f t="shared" si="34"/>
        <v>0</v>
      </c>
      <c r="N38" s="229">
        <f t="shared" si="35"/>
        <v>0</v>
      </c>
      <c r="O38" s="229">
        <f t="shared" si="36"/>
        <v>0</v>
      </c>
      <c r="P38" s="226">
        <f t="shared" si="37"/>
        <v>0</v>
      </c>
      <c r="Q38" s="229">
        <f t="shared" si="38"/>
        <v>0</v>
      </c>
      <c r="R38" s="229">
        <f t="shared" si="39"/>
        <v>0</v>
      </c>
      <c r="S38" s="229">
        <f t="shared" si="40"/>
        <v>0</v>
      </c>
      <c r="T38" s="226">
        <v>0</v>
      </c>
      <c r="U38" s="226">
        <v>0</v>
      </c>
      <c r="V38" s="229">
        <f t="shared" si="31"/>
        <v>0</v>
      </c>
      <c r="W38" s="226">
        <f t="shared" si="41"/>
        <v>20.833333333333332</v>
      </c>
      <c r="X38" s="226">
        <f t="shared" si="9"/>
        <v>20.833333333333332</v>
      </c>
      <c r="Y38" s="226">
        <f t="shared" si="42"/>
        <v>18.75</v>
      </c>
      <c r="Z38" s="226">
        <f t="shared" si="43"/>
        <v>3.5714285714285716</v>
      </c>
      <c r="AA38" s="226">
        <f t="shared" si="44"/>
        <v>82.408333333333317</v>
      </c>
      <c r="AB38" s="226">
        <f t="shared" si="45"/>
        <v>87.916666666666657</v>
      </c>
      <c r="AC38" s="230">
        <f t="shared" si="46"/>
        <v>150</v>
      </c>
      <c r="AD38" s="226">
        <f t="shared" si="47"/>
        <v>66.666666666666671</v>
      </c>
      <c r="AE38" s="226">
        <f t="shared" si="48"/>
        <v>15</v>
      </c>
      <c r="AF38" s="226">
        <v>400</v>
      </c>
      <c r="AG38" s="229">
        <f t="shared" si="49"/>
        <v>865.97976190476197</v>
      </c>
      <c r="AH38" s="229">
        <f t="shared" si="50"/>
        <v>865.97976190476197</v>
      </c>
      <c r="AI38" s="231">
        <v>0.04</v>
      </c>
      <c r="AJ38" s="232">
        <f t="shared" si="51"/>
        <v>34.639190476190478</v>
      </c>
      <c r="AK38" s="233">
        <v>0.04</v>
      </c>
      <c r="AL38" s="234">
        <f t="shared" si="56"/>
        <v>52.715249545260207</v>
      </c>
      <c r="AM38" s="231">
        <v>0.01</v>
      </c>
      <c r="AN38" s="232">
        <f t="shared" si="57"/>
        <v>8.6597976190476196</v>
      </c>
      <c r="AO38" s="233">
        <v>0.01</v>
      </c>
      <c r="AP38" s="234">
        <f t="shared" si="52"/>
        <v>13.178812386315052</v>
      </c>
      <c r="AQ38" s="231">
        <v>0.1</v>
      </c>
      <c r="AR38" s="232">
        <f t="shared" si="58"/>
        <v>86.597976190476203</v>
      </c>
      <c r="AS38" s="233">
        <v>0.1</v>
      </c>
      <c r="AT38" s="234">
        <f t="shared" si="53"/>
        <v>131.7881238631505</v>
      </c>
      <c r="AU38" s="231">
        <v>0.15640000000000001</v>
      </c>
      <c r="AV38" s="232">
        <f t="shared" si="54"/>
        <v>195.26994631185812</v>
      </c>
      <c r="AW38" s="233">
        <v>0.19289999999999999</v>
      </c>
      <c r="AX38" s="234">
        <f t="shared" si="55"/>
        <v>254.21929093201732</v>
      </c>
      <c r="AY38" s="235">
        <f t="shared" si="59"/>
        <v>1248.5290684901413</v>
      </c>
      <c r="AZ38" s="234">
        <f t="shared" si="60"/>
        <v>1317.8812386315051</v>
      </c>
      <c r="BA38" s="395">
        <f t="shared" si="32"/>
        <v>615.47980703310247</v>
      </c>
    </row>
    <row r="39" spans="1:53" x14ac:dyDescent="0.25">
      <c r="A39" s="245" t="str">
        <f t="shared" si="29"/>
        <v/>
      </c>
      <c r="B39" s="220" t="str">
        <f>IF(Helexia!C39=0,"",Helexia!C39)</f>
        <v/>
      </c>
      <c r="C39" s="221" t="str">
        <f>IF(Helexia!G39=0,"",Helexia!G39)</f>
        <v/>
      </c>
      <c r="K39" s="228">
        <f t="shared" si="30"/>
        <v>0</v>
      </c>
      <c r="L39" s="243">
        <f t="shared" si="33"/>
        <v>0</v>
      </c>
      <c r="M39" s="229">
        <f t="shared" si="34"/>
        <v>0</v>
      </c>
      <c r="N39" s="229">
        <f t="shared" si="35"/>
        <v>0</v>
      </c>
      <c r="O39" s="229">
        <f t="shared" si="36"/>
        <v>0</v>
      </c>
      <c r="P39" s="226">
        <f t="shared" si="37"/>
        <v>0</v>
      </c>
      <c r="Q39" s="229">
        <f t="shared" si="38"/>
        <v>0</v>
      </c>
      <c r="R39" s="229">
        <f t="shared" si="39"/>
        <v>0</v>
      </c>
      <c r="S39" s="229">
        <f t="shared" si="40"/>
        <v>0</v>
      </c>
      <c r="T39" s="226">
        <v>0</v>
      </c>
      <c r="U39" s="226">
        <v>0</v>
      </c>
      <c r="V39" s="229">
        <f t="shared" si="31"/>
        <v>0</v>
      </c>
      <c r="W39" s="226">
        <f t="shared" si="41"/>
        <v>20.833333333333332</v>
      </c>
      <c r="X39" s="226">
        <f t="shared" si="9"/>
        <v>20.833333333333332</v>
      </c>
      <c r="Y39" s="226">
        <f t="shared" si="42"/>
        <v>18.75</v>
      </c>
      <c r="Z39" s="226">
        <f t="shared" si="43"/>
        <v>3.5714285714285716</v>
      </c>
      <c r="AA39" s="226">
        <f t="shared" si="44"/>
        <v>82.408333333333317</v>
      </c>
      <c r="AB39" s="226">
        <f t="shared" si="45"/>
        <v>87.916666666666657</v>
      </c>
      <c r="AC39" s="230">
        <f t="shared" si="46"/>
        <v>150</v>
      </c>
      <c r="AD39" s="226">
        <f t="shared" si="47"/>
        <v>66.666666666666671</v>
      </c>
      <c r="AE39" s="226">
        <f t="shared" si="48"/>
        <v>15</v>
      </c>
      <c r="AF39" s="226">
        <v>400</v>
      </c>
      <c r="AG39" s="229">
        <f t="shared" si="49"/>
        <v>865.97976190476197</v>
      </c>
      <c r="AH39" s="229">
        <f t="shared" si="50"/>
        <v>865.97976190476197</v>
      </c>
      <c r="AI39" s="231">
        <v>0.04</v>
      </c>
      <c r="AJ39" s="232">
        <f t="shared" si="51"/>
        <v>34.639190476190478</v>
      </c>
      <c r="AK39" s="233">
        <v>0.04</v>
      </c>
      <c r="AL39" s="234">
        <f t="shared" si="56"/>
        <v>52.715249545260207</v>
      </c>
      <c r="AM39" s="231">
        <v>0.01</v>
      </c>
      <c r="AN39" s="232">
        <f t="shared" si="57"/>
        <v>8.6597976190476196</v>
      </c>
      <c r="AO39" s="233">
        <v>0.01</v>
      </c>
      <c r="AP39" s="234">
        <f t="shared" si="52"/>
        <v>13.178812386315052</v>
      </c>
      <c r="AQ39" s="231">
        <v>0.1</v>
      </c>
      <c r="AR39" s="232">
        <f t="shared" si="58"/>
        <v>86.597976190476203</v>
      </c>
      <c r="AS39" s="233">
        <v>0.1</v>
      </c>
      <c r="AT39" s="234">
        <f t="shared" si="53"/>
        <v>131.7881238631505</v>
      </c>
      <c r="AU39" s="231">
        <v>0.15640000000000001</v>
      </c>
      <c r="AV39" s="232">
        <f t="shared" si="54"/>
        <v>195.26994631185812</v>
      </c>
      <c r="AW39" s="233">
        <v>0.19289999999999999</v>
      </c>
      <c r="AX39" s="234">
        <f t="shared" si="55"/>
        <v>254.21929093201732</v>
      </c>
      <c r="AY39" s="235">
        <f t="shared" si="59"/>
        <v>1248.5290684901413</v>
      </c>
      <c r="AZ39" s="234">
        <f t="shared" si="60"/>
        <v>1317.8812386315051</v>
      </c>
      <c r="BA39" s="395">
        <f t="shared" si="32"/>
        <v>615.47980703310247</v>
      </c>
    </row>
    <row r="40" spans="1:53" x14ac:dyDescent="0.25">
      <c r="A40" s="245" t="str">
        <f t="shared" si="29"/>
        <v/>
      </c>
      <c r="B40" s="248" t="str">
        <f>IF(Helexia!C40=0,"",Helexia!C40)</f>
        <v/>
      </c>
      <c r="C40" s="221" t="str">
        <f>IF(Helexia!G40=0,"",Helexia!G40)</f>
        <v/>
      </c>
      <c r="K40" s="228">
        <f t="shared" si="30"/>
        <v>0</v>
      </c>
      <c r="L40" s="243">
        <f t="shared" si="33"/>
        <v>0</v>
      </c>
      <c r="M40" s="229">
        <f t="shared" si="34"/>
        <v>0</v>
      </c>
      <c r="N40" s="229">
        <f t="shared" si="35"/>
        <v>0</v>
      </c>
      <c r="O40" s="229">
        <f t="shared" si="36"/>
        <v>0</v>
      </c>
      <c r="P40" s="226">
        <f t="shared" si="37"/>
        <v>0</v>
      </c>
      <c r="Q40" s="229">
        <f t="shared" si="38"/>
        <v>0</v>
      </c>
      <c r="R40" s="229">
        <f t="shared" si="39"/>
        <v>0</v>
      </c>
      <c r="S40" s="229">
        <f t="shared" si="40"/>
        <v>0</v>
      </c>
      <c r="T40" s="226">
        <v>0</v>
      </c>
      <c r="U40" s="226">
        <v>0</v>
      </c>
      <c r="V40" s="229">
        <f t="shared" si="31"/>
        <v>0</v>
      </c>
      <c r="W40" s="226">
        <f t="shared" si="41"/>
        <v>20.833333333333332</v>
      </c>
      <c r="X40" s="226">
        <f t="shared" si="9"/>
        <v>20.833333333333332</v>
      </c>
      <c r="Y40" s="226">
        <f t="shared" si="42"/>
        <v>18.75</v>
      </c>
      <c r="Z40" s="226">
        <f t="shared" si="43"/>
        <v>3.5714285714285716</v>
      </c>
      <c r="AA40" s="226">
        <f t="shared" si="44"/>
        <v>82.408333333333317</v>
      </c>
      <c r="AB40" s="226">
        <f t="shared" si="45"/>
        <v>87.916666666666657</v>
      </c>
      <c r="AC40" s="230">
        <f t="shared" si="46"/>
        <v>150</v>
      </c>
      <c r="AD40" s="226">
        <f t="shared" si="47"/>
        <v>66.666666666666671</v>
      </c>
      <c r="AE40" s="226">
        <f t="shared" si="48"/>
        <v>15</v>
      </c>
      <c r="AF40" s="226">
        <v>400</v>
      </c>
      <c r="AG40" s="229">
        <f t="shared" si="49"/>
        <v>865.97976190476197</v>
      </c>
      <c r="AH40" s="229">
        <f t="shared" si="50"/>
        <v>865.97976190476197</v>
      </c>
      <c r="AI40" s="231">
        <v>0.04</v>
      </c>
      <c r="AJ40" s="232">
        <f t="shared" si="51"/>
        <v>34.639190476190478</v>
      </c>
      <c r="AK40" s="233">
        <v>0.04</v>
      </c>
      <c r="AL40" s="234">
        <f t="shared" si="56"/>
        <v>52.715249545260207</v>
      </c>
      <c r="AM40" s="231">
        <v>0.01</v>
      </c>
      <c r="AN40" s="232">
        <f t="shared" si="57"/>
        <v>8.6597976190476196</v>
      </c>
      <c r="AO40" s="233">
        <v>0.01</v>
      </c>
      <c r="AP40" s="234">
        <f t="shared" si="52"/>
        <v>13.178812386315052</v>
      </c>
      <c r="AQ40" s="231">
        <v>0.1</v>
      </c>
      <c r="AR40" s="232">
        <f t="shared" si="58"/>
        <v>86.597976190476203</v>
      </c>
      <c r="AS40" s="233">
        <v>0.1</v>
      </c>
      <c r="AT40" s="234">
        <f t="shared" si="53"/>
        <v>131.7881238631505</v>
      </c>
      <c r="AU40" s="231">
        <v>0.15640000000000001</v>
      </c>
      <c r="AV40" s="232">
        <f t="shared" si="54"/>
        <v>195.26994631185812</v>
      </c>
      <c r="AW40" s="233">
        <v>0.19289999999999999</v>
      </c>
      <c r="AX40" s="234">
        <f t="shared" si="55"/>
        <v>254.21929093201732</v>
      </c>
      <c r="AY40" s="235">
        <f t="shared" si="59"/>
        <v>1248.5290684901413</v>
      </c>
      <c r="AZ40" s="234">
        <f t="shared" si="60"/>
        <v>1317.8812386315051</v>
      </c>
      <c r="BA40" s="395">
        <f t="shared" si="32"/>
        <v>615.47980703310247</v>
      </c>
    </row>
    <row r="41" spans="1:53" x14ac:dyDescent="0.25">
      <c r="A41" s="245" t="str">
        <f t="shared" si="29"/>
        <v/>
      </c>
      <c r="B41" s="220" t="str">
        <f>IF(Helexia!C41=0,"",Helexia!C41)</f>
        <v/>
      </c>
      <c r="C41" s="221" t="str">
        <f>IF(Helexia!G41=0,"",Helexia!G41)</f>
        <v/>
      </c>
      <c r="K41" s="228">
        <f t="shared" si="30"/>
        <v>0</v>
      </c>
      <c r="L41" s="243">
        <f t="shared" si="33"/>
        <v>0</v>
      </c>
      <c r="M41" s="229">
        <f t="shared" si="34"/>
        <v>0</v>
      </c>
      <c r="N41" s="229">
        <f t="shared" si="35"/>
        <v>0</v>
      </c>
      <c r="O41" s="229">
        <f t="shared" si="36"/>
        <v>0</v>
      </c>
      <c r="P41" s="226">
        <f t="shared" si="37"/>
        <v>0</v>
      </c>
      <c r="Q41" s="229">
        <f t="shared" si="38"/>
        <v>0</v>
      </c>
      <c r="R41" s="229">
        <f t="shared" si="39"/>
        <v>0</v>
      </c>
      <c r="S41" s="229">
        <f t="shared" si="40"/>
        <v>0</v>
      </c>
      <c r="T41" s="226">
        <v>0</v>
      </c>
      <c r="U41" s="226">
        <v>0</v>
      </c>
      <c r="V41" s="229">
        <f t="shared" si="31"/>
        <v>0</v>
      </c>
      <c r="W41" s="226">
        <f t="shared" si="41"/>
        <v>20.833333333333332</v>
      </c>
      <c r="X41" s="226">
        <f t="shared" si="9"/>
        <v>20.833333333333332</v>
      </c>
      <c r="Y41" s="226">
        <f t="shared" si="42"/>
        <v>18.75</v>
      </c>
      <c r="Z41" s="226">
        <f t="shared" si="43"/>
        <v>3.5714285714285716</v>
      </c>
      <c r="AA41" s="226">
        <f t="shared" si="44"/>
        <v>82.408333333333317</v>
      </c>
      <c r="AB41" s="226">
        <f t="shared" si="45"/>
        <v>87.916666666666657</v>
      </c>
      <c r="AC41" s="230">
        <f t="shared" si="46"/>
        <v>150</v>
      </c>
      <c r="AD41" s="226">
        <f t="shared" si="47"/>
        <v>66.666666666666671</v>
      </c>
      <c r="AE41" s="226">
        <f t="shared" si="48"/>
        <v>15</v>
      </c>
      <c r="AF41" s="226">
        <v>400</v>
      </c>
      <c r="AG41" s="229">
        <f t="shared" si="49"/>
        <v>865.97976190476197</v>
      </c>
      <c r="AH41" s="229">
        <f t="shared" si="50"/>
        <v>865.97976190476197</v>
      </c>
      <c r="AI41" s="231">
        <v>0.04</v>
      </c>
      <c r="AJ41" s="232">
        <f t="shared" si="51"/>
        <v>34.639190476190478</v>
      </c>
      <c r="AK41" s="233">
        <v>0.04</v>
      </c>
      <c r="AL41" s="234">
        <f t="shared" si="56"/>
        <v>52.715249545260207</v>
      </c>
      <c r="AM41" s="231">
        <v>0.01</v>
      </c>
      <c r="AN41" s="232">
        <f t="shared" si="57"/>
        <v>8.6597976190476196</v>
      </c>
      <c r="AO41" s="233">
        <v>0.01</v>
      </c>
      <c r="AP41" s="234">
        <f t="shared" si="52"/>
        <v>13.178812386315052</v>
      </c>
      <c r="AQ41" s="231">
        <v>0.1</v>
      </c>
      <c r="AR41" s="232">
        <f t="shared" si="58"/>
        <v>86.597976190476203</v>
      </c>
      <c r="AS41" s="233">
        <v>0.1</v>
      </c>
      <c r="AT41" s="234">
        <f t="shared" si="53"/>
        <v>131.7881238631505</v>
      </c>
      <c r="AU41" s="231">
        <v>0.15640000000000001</v>
      </c>
      <c r="AV41" s="232">
        <f t="shared" si="54"/>
        <v>195.26994631185812</v>
      </c>
      <c r="AW41" s="233">
        <v>0.19289999999999999</v>
      </c>
      <c r="AX41" s="234">
        <f t="shared" si="55"/>
        <v>254.21929093201732</v>
      </c>
      <c r="AY41" s="235">
        <f t="shared" si="59"/>
        <v>1248.5290684901413</v>
      </c>
      <c r="AZ41" s="234">
        <f t="shared" si="60"/>
        <v>1317.8812386315051</v>
      </c>
      <c r="BA41" s="395">
        <f t="shared" si="32"/>
        <v>615.47980703310247</v>
      </c>
    </row>
    <row r="42" spans="1:53" x14ac:dyDescent="0.25">
      <c r="A42" s="245" t="str">
        <f t="shared" si="29"/>
        <v/>
      </c>
      <c r="B42" s="248" t="str">
        <f>IF(Helexia!C42=0,"",Helexia!C42)</f>
        <v/>
      </c>
      <c r="C42" s="221" t="str">
        <f>IF(Helexia!G42=0,"",Helexia!G42)</f>
        <v/>
      </c>
      <c r="K42" s="228">
        <f t="shared" si="30"/>
        <v>0</v>
      </c>
      <c r="L42" s="243">
        <f t="shared" si="33"/>
        <v>0</v>
      </c>
      <c r="M42" s="229">
        <f t="shared" si="34"/>
        <v>0</v>
      </c>
      <c r="N42" s="229">
        <f t="shared" si="35"/>
        <v>0</v>
      </c>
      <c r="O42" s="229">
        <f t="shared" si="36"/>
        <v>0</v>
      </c>
      <c r="P42" s="226">
        <f t="shared" si="37"/>
        <v>0</v>
      </c>
      <c r="Q42" s="229">
        <f t="shared" si="38"/>
        <v>0</v>
      </c>
      <c r="R42" s="229">
        <f t="shared" si="39"/>
        <v>0</v>
      </c>
      <c r="S42" s="229">
        <f t="shared" si="40"/>
        <v>0</v>
      </c>
      <c r="T42" s="226">
        <v>0</v>
      </c>
      <c r="U42" s="226">
        <v>0</v>
      </c>
      <c r="V42" s="229">
        <f t="shared" si="31"/>
        <v>0</v>
      </c>
      <c r="W42" s="226">
        <f t="shared" si="41"/>
        <v>20.833333333333332</v>
      </c>
      <c r="X42" s="226">
        <f t="shared" si="9"/>
        <v>20.833333333333332</v>
      </c>
      <c r="Y42" s="226">
        <f t="shared" si="42"/>
        <v>18.75</v>
      </c>
      <c r="Z42" s="226">
        <f t="shared" si="43"/>
        <v>3.5714285714285716</v>
      </c>
      <c r="AA42" s="226">
        <f t="shared" si="44"/>
        <v>82.408333333333317</v>
      </c>
      <c r="AB42" s="226">
        <f t="shared" si="45"/>
        <v>87.916666666666657</v>
      </c>
      <c r="AC42" s="230">
        <f t="shared" si="46"/>
        <v>150</v>
      </c>
      <c r="AD42" s="226">
        <f t="shared" si="47"/>
        <v>66.666666666666671</v>
      </c>
      <c r="AE42" s="226">
        <f t="shared" si="48"/>
        <v>15</v>
      </c>
      <c r="AF42" s="226">
        <v>400</v>
      </c>
      <c r="AG42" s="229">
        <f t="shared" si="49"/>
        <v>865.97976190476197</v>
      </c>
      <c r="AH42" s="229">
        <f t="shared" si="50"/>
        <v>865.97976190476197</v>
      </c>
      <c r="AI42" s="231">
        <v>0.04</v>
      </c>
      <c r="AJ42" s="232">
        <f t="shared" si="51"/>
        <v>34.639190476190478</v>
      </c>
      <c r="AK42" s="233">
        <v>0.04</v>
      </c>
      <c r="AL42" s="234">
        <f t="shared" si="56"/>
        <v>52.715249545260207</v>
      </c>
      <c r="AM42" s="231">
        <v>0.01</v>
      </c>
      <c r="AN42" s="232">
        <f t="shared" si="57"/>
        <v>8.6597976190476196</v>
      </c>
      <c r="AO42" s="233">
        <v>0.01</v>
      </c>
      <c r="AP42" s="234">
        <f t="shared" si="52"/>
        <v>13.178812386315052</v>
      </c>
      <c r="AQ42" s="231">
        <v>0.1</v>
      </c>
      <c r="AR42" s="232">
        <f t="shared" si="58"/>
        <v>86.597976190476203</v>
      </c>
      <c r="AS42" s="233">
        <v>0.1</v>
      </c>
      <c r="AT42" s="234">
        <f t="shared" si="53"/>
        <v>131.7881238631505</v>
      </c>
      <c r="AU42" s="231">
        <v>0.15640000000000001</v>
      </c>
      <c r="AV42" s="232">
        <f t="shared" si="54"/>
        <v>195.26994631185812</v>
      </c>
      <c r="AW42" s="233">
        <v>0.19289999999999999</v>
      </c>
      <c r="AX42" s="234">
        <f t="shared" si="55"/>
        <v>254.21929093201732</v>
      </c>
      <c r="AY42" s="235">
        <f t="shared" si="59"/>
        <v>1248.5290684901413</v>
      </c>
      <c r="AZ42" s="234">
        <f t="shared" si="60"/>
        <v>1317.8812386315051</v>
      </c>
      <c r="BA42" s="395">
        <f t="shared" si="32"/>
        <v>615.47980703310247</v>
      </c>
    </row>
    <row r="43" spans="1:53" x14ac:dyDescent="0.25">
      <c r="A43" s="245" t="str">
        <f t="shared" si="29"/>
        <v/>
      </c>
      <c r="B43" s="220" t="str">
        <f>IF(Helexia!C43=0,"",Helexia!C43)</f>
        <v/>
      </c>
      <c r="C43" s="221" t="str">
        <f>IF(Helexia!G43=0,"",Helexia!G43)</f>
        <v/>
      </c>
      <c r="K43" s="228">
        <f t="shared" si="30"/>
        <v>0</v>
      </c>
      <c r="L43" s="243">
        <f t="shared" si="33"/>
        <v>0</v>
      </c>
      <c r="M43" s="229">
        <f t="shared" si="34"/>
        <v>0</v>
      </c>
      <c r="N43" s="229">
        <f t="shared" si="35"/>
        <v>0</v>
      </c>
      <c r="O43" s="229">
        <f t="shared" si="36"/>
        <v>0</v>
      </c>
      <c r="P43" s="226">
        <f t="shared" si="37"/>
        <v>0</v>
      </c>
      <c r="Q43" s="229">
        <f t="shared" si="38"/>
        <v>0</v>
      </c>
      <c r="R43" s="229">
        <f t="shared" si="39"/>
        <v>0</v>
      </c>
      <c r="S43" s="229">
        <f t="shared" si="40"/>
        <v>0</v>
      </c>
      <c r="T43" s="226">
        <v>0</v>
      </c>
      <c r="U43" s="226">
        <v>0</v>
      </c>
      <c r="V43" s="229">
        <f t="shared" si="31"/>
        <v>0</v>
      </c>
      <c r="W43" s="226">
        <f t="shared" si="41"/>
        <v>20.833333333333332</v>
      </c>
      <c r="X43" s="226">
        <f t="shared" si="9"/>
        <v>20.833333333333332</v>
      </c>
      <c r="Y43" s="226">
        <f t="shared" si="42"/>
        <v>18.75</v>
      </c>
      <c r="Z43" s="226">
        <f t="shared" si="43"/>
        <v>3.5714285714285716</v>
      </c>
      <c r="AA43" s="226">
        <f t="shared" si="44"/>
        <v>82.408333333333317</v>
      </c>
      <c r="AB43" s="226">
        <f t="shared" si="45"/>
        <v>87.916666666666657</v>
      </c>
      <c r="AC43" s="230">
        <f t="shared" si="46"/>
        <v>150</v>
      </c>
      <c r="AD43" s="226">
        <f t="shared" si="47"/>
        <v>66.666666666666671</v>
      </c>
      <c r="AE43" s="226">
        <f t="shared" si="48"/>
        <v>15</v>
      </c>
      <c r="AF43" s="226">
        <v>400</v>
      </c>
      <c r="AG43" s="229">
        <f t="shared" si="49"/>
        <v>865.97976190476197</v>
      </c>
      <c r="AH43" s="229">
        <f t="shared" si="50"/>
        <v>865.97976190476197</v>
      </c>
      <c r="AI43" s="231">
        <v>0.04</v>
      </c>
      <c r="AJ43" s="232">
        <f t="shared" si="51"/>
        <v>34.639190476190478</v>
      </c>
      <c r="AK43" s="233">
        <v>0.04</v>
      </c>
      <c r="AL43" s="234">
        <f t="shared" si="56"/>
        <v>52.715249545260207</v>
      </c>
      <c r="AM43" s="231">
        <v>0.01</v>
      </c>
      <c r="AN43" s="232">
        <f t="shared" si="57"/>
        <v>8.6597976190476196</v>
      </c>
      <c r="AO43" s="233">
        <v>0.01</v>
      </c>
      <c r="AP43" s="234">
        <f t="shared" si="52"/>
        <v>13.178812386315052</v>
      </c>
      <c r="AQ43" s="231">
        <v>0.1</v>
      </c>
      <c r="AR43" s="232">
        <f t="shared" si="58"/>
        <v>86.597976190476203</v>
      </c>
      <c r="AS43" s="233">
        <v>0.1</v>
      </c>
      <c r="AT43" s="234">
        <f t="shared" si="53"/>
        <v>131.7881238631505</v>
      </c>
      <c r="AU43" s="231">
        <v>0.15640000000000001</v>
      </c>
      <c r="AV43" s="232">
        <f t="shared" si="54"/>
        <v>195.26994631185812</v>
      </c>
      <c r="AW43" s="233">
        <v>0.19289999999999999</v>
      </c>
      <c r="AX43" s="234">
        <f t="shared" si="55"/>
        <v>254.21929093201732</v>
      </c>
      <c r="AY43" s="235">
        <f t="shared" si="59"/>
        <v>1248.5290684901413</v>
      </c>
      <c r="AZ43" s="234">
        <f t="shared" si="60"/>
        <v>1317.8812386315051</v>
      </c>
      <c r="BA43" s="395">
        <f t="shared" si="32"/>
        <v>615.47980703310247</v>
      </c>
    </row>
    <row r="44" spans="1:53" x14ac:dyDescent="0.25">
      <c r="A44" s="245" t="str">
        <f t="shared" si="29"/>
        <v/>
      </c>
      <c r="B44" s="248" t="str">
        <f>IF(Helexia!C44=0,"",Helexia!C44)</f>
        <v/>
      </c>
      <c r="C44" s="221" t="str">
        <f>IF(Helexia!G44=0,"",Helexia!G44)</f>
        <v/>
      </c>
      <c r="K44" s="228">
        <f t="shared" si="30"/>
        <v>0</v>
      </c>
      <c r="L44" s="243">
        <f t="shared" si="33"/>
        <v>0</v>
      </c>
      <c r="M44" s="229">
        <f t="shared" si="34"/>
        <v>0</v>
      </c>
      <c r="N44" s="229">
        <f t="shared" si="35"/>
        <v>0</v>
      </c>
      <c r="O44" s="229">
        <f t="shared" si="36"/>
        <v>0</v>
      </c>
      <c r="P44" s="226">
        <f t="shared" si="37"/>
        <v>0</v>
      </c>
      <c r="Q44" s="229">
        <f t="shared" si="38"/>
        <v>0</v>
      </c>
      <c r="R44" s="229">
        <f t="shared" si="39"/>
        <v>0</v>
      </c>
      <c r="S44" s="229">
        <f t="shared" si="40"/>
        <v>0</v>
      </c>
      <c r="T44" s="226">
        <v>0</v>
      </c>
      <c r="U44" s="226">
        <v>0</v>
      </c>
      <c r="V44" s="229">
        <f t="shared" si="31"/>
        <v>0</v>
      </c>
      <c r="W44" s="226">
        <f t="shared" si="41"/>
        <v>20.833333333333332</v>
      </c>
      <c r="X44" s="226">
        <f t="shared" si="9"/>
        <v>20.833333333333332</v>
      </c>
      <c r="Y44" s="226">
        <f t="shared" si="42"/>
        <v>18.75</v>
      </c>
      <c r="Z44" s="226">
        <f t="shared" si="43"/>
        <v>3.5714285714285716</v>
      </c>
      <c r="AA44" s="226">
        <f t="shared" si="44"/>
        <v>82.408333333333317</v>
      </c>
      <c r="AB44" s="226">
        <f t="shared" si="45"/>
        <v>87.916666666666657</v>
      </c>
      <c r="AC44" s="230">
        <f t="shared" si="46"/>
        <v>150</v>
      </c>
      <c r="AD44" s="226">
        <f t="shared" si="47"/>
        <v>66.666666666666671</v>
      </c>
      <c r="AE44" s="226">
        <f t="shared" si="48"/>
        <v>15</v>
      </c>
      <c r="AF44" s="226">
        <v>400</v>
      </c>
      <c r="AG44" s="229">
        <f t="shared" si="49"/>
        <v>865.97976190476197</v>
      </c>
      <c r="AH44" s="229">
        <f t="shared" si="50"/>
        <v>865.97976190476197</v>
      </c>
      <c r="AI44" s="231">
        <v>0.04</v>
      </c>
      <c r="AJ44" s="232">
        <f t="shared" si="51"/>
        <v>34.639190476190478</v>
      </c>
      <c r="AK44" s="233">
        <v>0.04</v>
      </c>
      <c r="AL44" s="234">
        <f t="shared" si="56"/>
        <v>52.715249545260207</v>
      </c>
      <c r="AM44" s="231">
        <v>0.01</v>
      </c>
      <c r="AN44" s="232">
        <f t="shared" si="57"/>
        <v>8.6597976190476196</v>
      </c>
      <c r="AO44" s="233">
        <v>0.01</v>
      </c>
      <c r="AP44" s="234">
        <f t="shared" si="52"/>
        <v>13.178812386315052</v>
      </c>
      <c r="AQ44" s="231">
        <v>0.1</v>
      </c>
      <c r="AR44" s="232">
        <f t="shared" si="58"/>
        <v>86.597976190476203</v>
      </c>
      <c r="AS44" s="233">
        <v>0.1</v>
      </c>
      <c r="AT44" s="234">
        <f t="shared" si="53"/>
        <v>131.7881238631505</v>
      </c>
      <c r="AU44" s="231">
        <v>0.15640000000000001</v>
      </c>
      <c r="AV44" s="232">
        <f t="shared" si="54"/>
        <v>195.26994631185812</v>
      </c>
      <c r="AW44" s="233">
        <v>0.19289999999999999</v>
      </c>
      <c r="AX44" s="234">
        <f t="shared" si="55"/>
        <v>254.21929093201732</v>
      </c>
      <c r="AY44" s="235">
        <f t="shared" si="59"/>
        <v>1248.5290684901413</v>
      </c>
      <c r="AZ44" s="234">
        <f t="shared" si="60"/>
        <v>1317.8812386315051</v>
      </c>
      <c r="BA44" s="395">
        <f t="shared" si="32"/>
        <v>615.47980703310247</v>
      </c>
    </row>
    <row r="45" spans="1:53" x14ac:dyDescent="0.25">
      <c r="A45" s="245" t="str">
        <f t="shared" si="29"/>
        <v/>
      </c>
      <c r="B45" s="220" t="str">
        <f>IF(Helexia!C45=0,"",Helexia!C45)</f>
        <v/>
      </c>
      <c r="C45" s="221" t="str">
        <f>IF(Helexia!G45=0,"",Helexia!G45)</f>
        <v/>
      </c>
      <c r="K45" s="228">
        <f t="shared" si="30"/>
        <v>0</v>
      </c>
      <c r="L45" s="243">
        <f t="shared" si="33"/>
        <v>0</v>
      </c>
      <c r="M45" s="229">
        <f t="shared" si="34"/>
        <v>0</v>
      </c>
      <c r="N45" s="229">
        <f t="shared" si="35"/>
        <v>0</v>
      </c>
      <c r="O45" s="229">
        <f t="shared" si="36"/>
        <v>0</v>
      </c>
      <c r="P45" s="226">
        <f t="shared" si="37"/>
        <v>0</v>
      </c>
      <c r="Q45" s="229">
        <f t="shared" si="38"/>
        <v>0</v>
      </c>
      <c r="R45" s="229">
        <f t="shared" si="39"/>
        <v>0</v>
      </c>
      <c r="S45" s="229">
        <f t="shared" si="40"/>
        <v>0</v>
      </c>
      <c r="T45" s="226">
        <v>0</v>
      </c>
      <c r="U45" s="226">
        <v>0</v>
      </c>
      <c r="V45" s="229">
        <f t="shared" si="31"/>
        <v>0</v>
      </c>
      <c r="W45" s="226">
        <f t="shared" si="41"/>
        <v>20.833333333333332</v>
      </c>
      <c r="X45" s="226">
        <f t="shared" si="9"/>
        <v>20.833333333333332</v>
      </c>
      <c r="Y45" s="226">
        <f t="shared" si="42"/>
        <v>18.75</v>
      </c>
      <c r="Z45" s="226">
        <f t="shared" si="43"/>
        <v>3.5714285714285716</v>
      </c>
      <c r="AA45" s="226">
        <f t="shared" si="44"/>
        <v>82.408333333333317</v>
      </c>
      <c r="AB45" s="226">
        <f t="shared" si="45"/>
        <v>87.916666666666657</v>
      </c>
      <c r="AC45" s="230">
        <f t="shared" si="46"/>
        <v>150</v>
      </c>
      <c r="AD45" s="226">
        <f t="shared" si="47"/>
        <v>66.666666666666671</v>
      </c>
      <c r="AE45" s="226">
        <f t="shared" si="48"/>
        <v>15</v>
      </c>
      <c r="AF45" s="226">
        <v>400</v>
      </c>
      <c r="AG45" s="229">
        <f t="shared" si="49"/>
        <v>865.97976190476197</v>
      </c>
      <c r="AH45" s="229">
        <f t="shared" si="50"/>
        <v>865.97976190476197</v>
      </c>
      <c r="AI45" s="231">
        <v>0.04</v>
      </c>
      <c r="AJ45" s="232">
        <f t="shared" si="51"/>
        <v>34.639190476190478</v>
      </c>
      <c r="AK45" s="233">
        <v>0.04</v>
      </c>
      <c r="AL45" s="234">
        <f t="shared" si="56"/>
        <v>52.715249545260207</v>
      </c>
      <c r="AM45" s="231">
        <v>0.01</v>
      </c>
      <c r="AN45" s="232">
        <f t="shared" si="57"/>
        <v>8.6597976190476196</v>
      </c>
      <c r="AO45" s="233">
        <v>0.01</v>
      </c>
      <c r="AP45" s="234">
        <f t="shared" si="52"/>
        <v>13.178812386315052</v>
      </c>
      <c r="AQ45" s="231">
        <v>0.1</v>
      </c>
      <c r="AR45" s="232">
        <f t="shared" si="58"/>
        <v>86.597976190476203</v>
      </c>
      <c r="AS45" s="233">
        <v>0.1</v>
      </c>
      <c r="AT45" s="234">
        <f t="shared" si="53"/>
        <v>131.7881238631505</v>
      </c>
      <c r="AU45" s="231">
        <v>0.15640000000000001</v>
      </c>
      <c r="AV45" s="232">
        <f t="shared" si="54"/>
        <v>195.26994631185812</v>
      </c>
      <c r="AW45" s="233">
        <v>0.19289999999999999</v>
      </c>
      <c r="AX45" s="234">
        <f t="shared" si="55"/>
        <v>254.21929093201732</v>
      </c>
      <c r="AY45" s="235">
        <f t="shared" si="59"/>
        <v>1248.5290684901413</v>
      </c>
      <c r="AZ45" s="234">
        <f t="shared" si="60"/>
        <v>1317.8812386315051</v>
      </c>
      <c r="BA45" s="395">
        <f t="shared" si="32"/>
        <v>615.47980703310247</v>
      </c>
    </row>
    <row r="46" spans="1:53" x14ac:dyDescent="0.25">
      <c r="A46" s="245" t="str">
        <f t="shared" si="29"/>
        <v/>
      </c>
      <c r="B46" s="248" t="str">
        <f>IF(Helexia!C46=0,"",Helexia!C46)</f>
        <v/>
      </c>
      <c r="C46" s="221" t="str">
        <f>IF(Helexia!G46=0,"",Helexia!G46)</f>
        <v/>
      </c>
      <c r="K46" s="228">
        <f t="shared" si="30"/>
        <v>0</v>
      </c>
      <c r="L46" s="243">
        <f t="shared" si="33"/>
        <v>0</v>
      </c>
      <c r="M46" s="229">
        <f t="shared" si="34"/>
        <v>0</v>
      </c>
      <c r="N46" s="229">
        <f t="shared" si="35"/>
        <v>0</v>
      </c>
      <c r="O46" s="229">
        <f t="shared" si="36"/>
        <v>0</v>
      </c>
      <c r="P46" s="226">
        <f t="shared" si="37"/>
        <v>0</v>
      </c>
      <c r="Q46" s="229">
        <f t="shared" si="38"/>
        <v>0</v>
      </c>
      <c r="R46" s="229">
        <f t="shared" si="39"/>
        <v>0</v>
      </c>
      <c r="S46" s="229">
        <f t="shared" si="40"/>
        <v>0</v>
      </c>
      <c r="T46" s="226">
        <v>0</v>
      </c>
      <c r="U46" s="226">
        <v>0</v>
      </c>
      <c r="V46" s="229">
        <f t="shared" si="31"/>
        <v>0</v>
      </c>
      <c r="W46" s="226">
        <f t="shared" si="41"/>
        <v>20.833333333333332</v>
      </c>
      <c r="X46" s="226">
        <f t="shared" si="9"/>
        <v>20.833333333333332</v>
      </c>
      <c r="Y46" s="226">
        <f t="shared" si="42"/>
        <v>18.75</v>
      </c>
      <c r="Z46" s="226">
        <f t="shared" si="43"/>
        <v>3.5714285714285716</v>
      </c>
      <c r="AA46" s="226">
        <f t="shared" si="44"/>
        <v>82.408333333333317</v>
      </c>
      <c r="AB46" s="226">
        <f t="shared" si="45"/>
        <v>87.916666666666657</v>
      </c>
      <c r="AC46" s="230">
        <f t="shared" si="46"/>
        <v>150</v>
      </c>
      <c r="AD46" s="226">
        <f t="shared" si="47"/>
        <v>66.666666666666671</v>
      </c>
      <c r="AE46" s="226">
        <f t="shared" si="48"/>
        <v>15</v>
      </c>
      <c r="AF46" s="226">
        <v>400</v>
      </c>
      <c r="AG46" s="229">
        <f t="shared" si="49"/>
        <v>865.97976190476197</v>
      </c>
      <c r="AH46" s="229">
        <f t="shared" si="50"/>
        <v>865.97976190476197</v>
      </c>
      <c r="AI46" s="231">
        <v>0.04</v>
      </c>
      <c r="AJ46" s="232">
        <f t="shared" si="51"/>
        <v>34.639190476190478</v>
      </c>
      <c r="AK46" s="233">
        <v>0.04</v>
      </c>
      <c r="AL46" s="234">
        <f t="shared" si="56"/>
        <v>52.715249545260207</v>
      </c>
      <c r="AM46" s="231">
        <v>0.01</v>
      </c>
      <c r="AN46" s="232">
        <f t="shared" si="57"/>
        <v>8.6597976190476196</v>
      </c>
      <c r="AO46" s="233">
        <v>0.01</v>
      </c>
      <c r="AP46" s="234">
        <f t="shared" si="52"/>
        <v>13.178812386315052</v>
      </c>
      <c r="AQ46" s="231">
        <v>0.1</v>
      </c>
      <c r="AR46" s="232">
        <f t="shared" si="58"/>
        <v>86.597976190476203</v>
      </c>
      <c r="AS46" s="233">
        <v>0.1</v>
      </c>
      <c r="AT46" s="234">
        <f t="shared" si="53"/>
        <v>131.7881238631505</v>
      </c>
      <c r="AU46" s="231">
        <v>0.15640000000000001</v>
      </c>
      <c r="AV46" s="232">
        <f t="shared" si="54"/>
        <v>195.26994631185812</v>
      </c>
      <c r="AW46" s="233">
        <v>0.19289999999999999</v>
      </c>
      <c r="AX46" s="234">
        <f t="shared" si="55"/>
        <v>254.21929093201732</v>
      </c>
      <c r="AY46" s="235">
        <f t="shared" si="59"/>
        <v>1248.5290684901413</v>
      </c>
      <c r="AZ46" s="234">
        <f t="shared" si="60"/>
        <v>1317.8812386315051</v>
      </c>
      <c r="BA46" s="395">
        <f t="shared" si="32"/>
        <v>615.47980703310247</v>
      </c>
    </row>
    <row r="47" spans="1:53" x14ac:dyDescent="0.25">
      <c r="A47" s="245" t="str">
        <f t="shared" si="29"/>
        <v/>
      </c>
      <c r="B47" s="220" t="str">
        <f>IF(Helexia!C47=0,"",Helexia!C47)</f>
        <v/>
      </c>
      <c r="C47" s="221" t="str">
        <f>IF(Helexia!G47=0,"",Helexia!G47)</f>
        <v/>
      </c>
      <c r="K47" s="228">
        <f t="shared" si="30"/>
        <v>0</v>
      </c>
      <c r="L47" s="243">
        <f t="shared" si="33"/>
        <v>0</v>
      </c>
      <c r="M47" s="229">
        <f t="shared" si="34"/>
        <v>0</v>
      </c>
      <c r="N47" s="229">
        <f t="shared" si="35"/>
        <v>0</v>
      </c>
      <c r="O47" s="229">
        <f t="shared" si="36"/>
        <v>0</v>
      </c>
      <c r="P47" s="226">
        <f t="shared" si="37"/>
        <v>0</v>
      </c>
      <c r="Q47" s="229">
        <f t="shared" si="38"/>
        <v>0</v>
      </c>
      <c r="R47" s="229">
        <f t="shared" si="39"/>
        <v>0</v>
      </c>
      <c r="S47" s="229">
        <f t="shared" si="40"/>
        <v>0</v>
      </c>
      <c r="T47" s="226">
        <v>0</v>
      </c>
      <c r="U47" s="226">
        <v>0</v>
      </c>
      <c r="V47" s="229">
        <f t="shared" si="31"/>
        <v>0</v>
      </c>
      <c r="W47" s="226">
        <f t="shared" si="41"/>
        <v>20.833333333333332</v>
      </c>
      <c r="X47" s="226">
        <f t="shared" si="9"/>
        <v>20.833333333333332</v>
      </c>
      <c r="Y47" s="226">
        <f t="shared" si="42"/>
        <v>18.75</v>
      </c>
      <c r="Z47" s="226">
        <f t="shared" si="43"/>
        <v>3.5714285714285716</v>
      </c>
      <c r="AA47" s="226">
        <f t="shared" si="44"/>
        <v>82.408333333333317</v>
      </c>
      <c r="AB47" s="226">
        <f t="shared" si="45"/>
        <v>87.916666666666657</v>
      </c>
      <c r="AC47" s="230">
        <f t="shared" si="46"/>
        <v>150</v>
      </c>
      <c r="AD47" s="226">
        <f t="shared" si="47"/>
        <v>66.666666666666671</v>
      </c>
      <c r="AE47" s="226">
        <f t="shared" si="48"/>
        <v>15</v>
      </c>
      <c r="AF47" s="226">
        <v>400</v>
      </c>
      <c r="AG47" s="229">
        <f t="shared" si="49"/>
        <v>865.97976190476197</v>
      </c>
      <c r="AH47" s="229">
        <f t="shared" si="50"/>
        <v>865.97976190476197</v>
      </c>
      <c r="AI47" s="231">
        <v>0.04</v>
      </c>
      <c r="AJ47" s="232">
        <f t="shared" si="51"/>
        <v>34.639190476190478</v>
      </c>
      <c r="AK47" s="233">
        <v>0.04</v>
      </c>
      <c r="AL47" s="234">
        <f t="shared" si="56"/>
        <v>52.715249545260207</v>
      </c>
      <c r="AM47" s="231">
        <v>0.01</v>
      </c>
      <c r="AN47" s="232">
        <f t="shared" si="57"/>
        <v>8.6597976190476196</v>
      </c>
      <c r="AO47" s="233">
        <v>0.01</v>
      </c>
      <c r="AP47" s="234">
        <f t="shared" si="52"/>
        <v>13.178812386315052</v>
      </c>
      <c r="AQ47" s="231">
        <v>0.1</v>
      </c>
      <c r="AR47" s="232">
        <f t="shared" si="58"/>
        <v>86.597976190476203</v>
      </c>
      <c r="AS47" s="233">
        <v>0.1</v>
      </c>
      <c r="AT47" s="234">
        <f t="shared" si="53"/>
        <v>131.7881238631505</v>
      </c>
      <c r="AU47" s="231">
        <v>0.15640000000000001</v>
      </c>
      <c r="AV47" s="232">
        <f t="shared" si="54"/>
        <v>195.26994631185812</v>
      </c>
      <c r="AW47" s="233">
        <v>0.19289999999999999</v>
      </c>
      <c r="AX47" s="234">
        <f t="shared" si="55"/>
        <v>254.21929093201732</v>
      </c>
      <c r="AY47" s="235">
        <f t="shared" si="59"/>
        <v>1248.5290684901413</v>
      </c>
      <c r="AZ47" s="234">
        <f t="shared" si="60"/>
        <v>1317.8812386315051</v>
      </c>
      <c r="BA47" s="395">
        <f t="shared" si="32"/>
        <v>615.47980703310247</v>
      </c>
    </row>
    <row r="48" spans="1:53" x14ac:dyDescent="0.25">
      <c r="A48" s="245" t="str">
        <f t="shared" si="29"/>
        <v/>
      </c>
      <c r="B48" s="248" t="str">
        <f>IF(Helexia!C48=0,"",Helexia!C48)</f>
        <v/>
      </c>
      <c r="C48" s="221" t="str">
        <f>IF(Helexia!G48=0,"",Helexia!G48)</f>
        <v/>
      </c>
      <c r="K48" s="228">
        <f t="shared" si="30"/>
        <v>0</v>
      </c>
      <c r="L48" s="243">
        <f t="shared" si="33"/>
        <v>0</v>
      </c>
      <c r="M48" s="229">
        <f t="shared" si="34"/>
        <v>0</v>
      </c>
      <c r="N48" s="229">
        <f t="shared" si="35"/>
        <v>0</v>
      </c>
      <c r="O48" s="229">
        <f t="shared" si="36"/>
        <v>0</v>
      </c>
      <c r="P48" s="226">
        <f t="shared" si="37"/>
        <v>0</v>
      </c>
      <c r="Q48" s="229">
        <f t="shared" si="38"/>
        <v>0</v>
      </c>
      <c r="R48" s="229">
        <f t="shared" si="39"/>
        <v>0</v>
      </c>
      <c r="S48" s="229">
        <f t="shared" si="40"/>
        <v>0</v>
      </c>
      <c r="T48" s="226">
        <v>0</v>
      </c>
      <c r="U48" s="226">
        <v>0</v>
      </c>
      <c r="V48" s="229">
        <f t="shared" si="31"/>
        <v>0</v>
      </c>
      <c r="W48" s="226">
        <f t="shared" si="41"/>
        <v>20.833333333333332</v>
      </c>
      <c r="X48" s="226">
        <f t="shared" si="9"/>
        <v>20.833333333333332</v>
      </c>
      <c r="Y48" s="226">
        <f t="shared" si="42"/>
        <v>18.75</v>
      </c>
      <c r="Z48" s="226">
        <f t="shared" si="43"/>
        <v>3.5714285714285716</v>
      </c>
      <c r="AA48" s="226">
        <f t="shared" si="44"/>
        <v>82.408333333333317</v>
      </c>
      <c r="AB48" s="226">
        <f t="shared" si="45"/>
        <v>87.916666666666657</v>
      </c>
      <c r="AC48" s="230">
        <f t="shared" si="46"/>
        <v>150</v>
      </c>
      <c r="AD48" s="226">
        <f t="shared" si="47"/>
        <v>66.666666666666671</v>
      </c>
      <c r="AE48" s="226">
        <f t="shared" si="48"/>
        <v>15</v>
      </c>
      <c r="AF48" s="226">
        <v>400</v>
      </c>
      <c r="AG48" s="229">
        <f t="shared" si="49"/>
        <v>865.97976190476197</v>
      </c>
      <c r="AH48" s="229">
        <f t="shared" si="50"/>
        <v>865.97976190476197</v>
      </c>
      <c r="AI48" s="231">
        <v>0.04</v>
      </c>
      <c r="AJ48" s="232">
        <f t="shared" si="51"/>
        <v>34.639190476190478</v>
      </c>
      <c r="AK48" s="233">
        <v>0.04</v>
      </c>
      <c r="AL48" s="234">
        <f t="shared" si="56"/>
        <v>52.715249545260207</v>
      </c>
      <c r="AM48" s="231">
        <v>0.01</v>
      </c>
      <c r="AN48" s="232">
        <f t="shared" si="57"/>
        <v>8.6597976190476196</v>
      </c>
      <c r="AO48" s="233">
        <v>0.01</v>
      </c>
      <c r="AP48" s="234">
        <f t="shared" si="52"/>
        <v>13.178812386315052</v>
      </c>
      <c r="AQ48" s="231">
        <v>0.1</v>
      </c>
      <c r="AR48" s="232">
        <f t="shared" si="58"/>
        <v>86.597976190476203</v>
      </c>
      <c r="AS48" s="233">
        <v>0.1</v>
      </c>
      <c r="AT48" s="234">
        <f t="shared" si="53"/>
        <v>131.7881238631505</v>
      </c>
      <c r="AU48" s="231">
        <v>0.15640000000000001</v>
      </c>
      <c r="AV48" s="232">
        <f t="shared" si="54"/>
        <v>195.26994631185812</v>
      </c>
      <c r="AW48" s="233">
        <v>0.19289999999999999</v>
      </c>
      <c r="AX48" s="234">
        <f t="shared" si="55"/>
        <v>254.21929093201732</v>
      </c>
      <c r="AY48" s="235">
        <f t="shared" si="59"/>
        <v>1248.5290684901413</v>
      </c>
      <c r="AZ48" s="234">
        <f t="shared" si="60"/>
        <v>1317.8812386315051</v>
      </c>
      <c r="BA48" s="395">
        <f t="shared" si="32"/>
        <v>615.47980703310247</v>
      </c>
    </row>
    <row r="49" spans="1:53" x14ac:dyDescent="0.25">
      <c r="A49" s="245" t="str">
        <f t="shared" si="29"/>
        <v/>
      </c>
      <c r="B49" s="220" t="str">
        <f>IF(Helexia!C49=0,"",Helexia!C49)</f>
        <v/>
      </c>
      <c r="C49" s="221" t="str">
        <f>IF(Helexia!G49=0,"",Helexia!G49)</f>
        <v/>
      </c>
      <c r="K49" s="228">
        <f t="shared" si="30"/>
        <v>0</v>
      </c>
      <c r="L49" s="243">
        <f t="shared" si="33"/>
        <v>0</v>
      </c>
      <c r="M49" s="229">
        <f t="shared" si="34"/>
        <v>0</v>
      </c>
      <c r="N49" s="229">
        <f t="shared" si="35"/>
        <v>0</v>
      </c>
      <c r="O49" s="229">
        <f t="shared" si="36"/>
        <v>0</v>
      </c>
      <c r="P49" s="226">
        <f t="shared" si="37"/>
        <v>0</v>
      </c>
      <c r="Q49" s="229">
        <f t="shared" si="38"/>
        <v>0</v>
      </c>
      <c r="R49" s="229">
        <f t="shared" si="39"/>
        <v>0</v>
      </c>
      <c r="S49" s="229">
        <f t="shared" si="40"/>
        <v>0</v>
      </c>
      <c r="T49" s="226">
        <v>0</v>
      </c>
      <c r="U49" s="226">
        <v>0</v>
      </c>
      <c r="V49" s="229">
        <f t="shared" si="31"/>
        <v>0</v>
      </c>
      <c r="W49" s="226">
        <f t="shared" si="41"/>
        <v>20.833333333333332</v>
      </c>
      <c r="X49" s="226">
        <f t="shared" si="9"/>
        <v>20.833333333333332</v>
      </c>
      <c r="Y49" s="226">
        <f t="shared" si="42"/>
        <v>18.75</v>
      </c>
      <c r="Z49" s="226">
        <f t="shared" si="43"/>
        <v>3.5714285714285716</v>
      </c>
      <c r="AA49" s="226">
        <f t="shared" si="44"/>
        <v>82.408333333333317</v>
      </c>
      <c r="AB49" s="226">
        <f t="shared" si="45"/>
        <v>87.916666666666657</v>
      </c>
      <c r="AC49" s="230">
        <f t="shared" si="46"/>
        <v>150</v>
      </c>
      <c r="AD49" s="226">
        <f t="shared" si="47"/>
        <v>66.666666666666671</v>
      </c>
      <c r="AE49" s="226">
        <f t="shared" si="48"/>
        <v>15</v>
      </c>
      <c r="AF49" s="226">
        <v>400</v>
      </c>
      <c r="AG49" s="229">
        <f t="shared" si="49"/>
        <v>865.97976190476197</v>
      </c>
      <c r="AH49" s="229">
        <f t="shared" si="50"/>
        <v>865.97976190476197</v>
      </c>
      <c r="AI49" s="231">
        <v>0.04</v>
      </c>
      <c r="AJ49" s="232">
        <f t="shared" si="51"/>
        <v>34.639190476190478</v>
      </c>
      <c r="AK49" s="233">
        <v>0.04</v>
      </c>
      <c r="AL49" s="234">
        <f t="shared" si="56"/>
        <v>52.715249545260207</v>
      </c>
      <c r="AM49" s="231">
        <v>0.01</v>
      </c>
      <c r="AN49" s="232">
        <f t="shared" si="57"/>
        <v>8.6597976190476196</v>
      </c>
      <c r="AO49" s="233">
        <v>0.01</v>
      </c>
      <c r="AP49" s="234">
        <f t="shared" si="52"/>
        <v>13.178812386315052</v>
      </c>
      <c r="AQ49" s="231">
        <v>0.1</v>
      </c>
      <c r="AR49" s="232">
        <f t="shared" si="58"/>
        <v>86.597976190476203</v>
      </c>
      <c r="AS49" s="233">
        <v>0.1</v>
      </c>
      <c r="AT49" s="234">
        <f t="shared" si="53"/>
        <v>131.7881238631505</v>
      </c>
      <c r="AU49" s="231">
        <v>0.15640000000000001</v>
      </c>
      <c r="AV49" s="232">
        <f t="shared" si="54"/>
        <v>195.26994631185812</v>
      </c>
      <c r="AW49" s="233">
        <v>0.19289999999999999</v>
      </c>
      <c r="AX49" s="234">
        <f t="shared" si="55"/>
        <v>254.21929093201732</v>
      </c>
      <c r="AY49" s="235">
        <f t="shared" si="59"/>
        <v>1248.5290684901413</v>
      </c>
      <c r="AZ49" s="234">
        <f t="shared" si="60"/>
        <v>1317.8812386315051</v>
      </c>
      <c r="BA49" s="395">
        <f t="shared" si="32"/>
        <v>615.47980703310247</v>
      </c>
    </row>
    <row r="50" spans="1:53" x14ac:dyDescent="0.25">
      <c r="A50" s="245" t="str">
        <f t="shared" si="29"/>
        <v/>
      </c>
      <c r="B50" s="248" t="str">
        <f>IF(Helexia!C50=0,"",Helexia!C50)</f>
        <v/>
      </c>
      <c r="C50" s="221" t="str">
        <f>IF(Helexia!G50=0,"",Helexia!G50)</f>
        <v/>
      </c>
      <c r="K50" s="228">
        <f t="shared" si="30"/>
        <v>0</v>
      </c>
      <c r="L50" s="243">
        <f t="shared" si="33"/>
        <v>0</v>
      </c>
      <c r="M50" s="229">
        <f t="shared" si="34"/>
        <v>0</v>
      </c>
      <c r="N50" s="229">
        <f t="shared" si="35"/>
        <v>0</v>
      </c>
      <c r="O50" s="229">
        <f t="shared" si="36"/>
        <v>0</v>
      </c>
      <c r="P50" s="226">
        <f t="shared" si="37"/>
        <v>0</v>
      </c>
      <c r="Q50" s="229">
        <f t="shared" si="38"/>
        <v>0</v>
      </c>
      <c r="R50" s="229">
        <f t="shared" si="39"/>
        <v>0</v>
      </c>
      <c r="S50" s="229">
        <f t="shared" si="40"/>
        <v>0</v>
      </c>
      <c r="T50" s="226">
        <v>0</v>
      </c>
      <c r="U50" s="226">
        <v>0</v>
      </c>
      <c r="V50" s="229">
        <f t="shared" si="31"/>
        <v>0</v>
      </c>
      <c r="W50" s="226">
        <f t="shared" si="41"/>
        <v>20.833333333333332</v>
      </c>
      <c r="X50" s="226">
        <f t="shared" si="9"/>
        <v>20.833333333333332</v>
      </c>
      <c r="Y50" s="226">
        <f t="shared" si="42"/>
        <v>18.75</v>
      </c>
      <c r="Z50" s="226">
        <f t="shared" si="43"/>
        <v>3.5714285714285716</v>
      </c>
      <c r="AA50" s="226">
        <f t="shared" si="44"/>
        <v>82.408333333333317</v>
      </c>
      <c r="AB50" s="226">
        <f t="shared" si="45"/>
        <v>87.916666666666657</v>
      </c>
      <c r="AC50" s="230">
        <f t="shared" si="46"/>
        <v>150</v>
      </c>
      <c r="AD50" s="226">
        <f t="shared" si="47"/>
        <v>66.666666666666671</v>
      </c>
      <c r="AE50" s="226">
        <f t="shared" si="48"/>
        <v>15</v>
      </c>
      <c r="AF50" s="226">
        <v>400</v>
      </c>
      <c r="AG50" s="229">
        <f t="shared" si="49"/>
        <v>865.97976190476197</v>
      </c>
      <c r="AH50" s="229">
        <f t="shared" si="50"/>
        <v>865.97976190476197</v>
      </c>
      <c r="AI50" s="231">
        <v>0.04</v>
      </c>
      <c r="AJ50" s="232">
        <f t="shared" si="51"/>
        <v>34.639190476190478</v>
      </c>
      <c r="AK50" s="233">
        <v>0.04</v>
      </c>
      <c r="AL50" s="234">
        <f t="shared" si="56"/>
        <v>52.715249545260207</v>
      </c>
      <c r="AM50" s="231">
        <v>0.01</v>
      </c>
      <c r="AN50" s="232">
        <f t="shared" si="57"/>
        <v>8.6597976190476196</v>
      </c>
      <c r="AO50" s="233">
        <v>0.01</v>
      </c>
      <c r="AP50" s="234">
        <f t="shared" si="52"/>
        <v>13.178812386315052</v>
      </c>
      <c r="AQ50" s="231">
        <v>0.1</v>
      </c>
      <c r="AR50" s="232">
        <f t="shared" si="58"/>
        <v>86.597976190476203</v>
      </c>
      <c r="AS50" s="233">
        <v>0.1</v>
      </c>
      <c r="AT50" s="234">
        <f t="shared" si="53"/>
        <v>131.7881238631505</v>
      </c>
      <c r="AU50" s="231">
        <v>0.15640000000000001</v>
      </c>
      <c r="AV50" s="232">
        <f t="shared" si="54"/>
        <v>195.26994631185812</v>
      </c>
      <c r="AW50" s="233">
        <v>0.19289999999999999</v>
      </c>
      <c r="AX50" s="234">
        <f t="shared" si="55"/>
        <v>254.21929093201732</v>
      </c>
      <c r="AY50" s="235">
        <f t="shared" si="59"/>
        <v>1248.5290684901413</v>
      </c>
      <c r="AZ50" s="234">
        <f t="shared" si="60"/>
        <v>1317.8812386315051</v>
      </c>
      <c r="BA50" s="395">
        <f t="shared" si="32"/>
        <v>615.47980703310247</v>
      </c>
    </row>
    <row r="51" spans="1:53" x14ac:dyDescent="0.25">
      <c r="A51" s="245" t="str">
        <f t="shared" si="29"/>
        <v/>
      </c>
      <c r="B51" s="220" t="str">
        <f>IF(Helexia!C51=0,"",Helexia!C51)</f>
        <v/>
      </c>
      <c r="C51" s="221" t="str">
        <f>IF(Helexia!G51=0,"",Helexia!G51)</f>
        <v/>
      </c>
      <c r="K51" s="228">
        <f t="shared" ref="K51" si="61">D51</f>
        <v>0</v>
      </c>
      <c r="L51" s="243">
        <f t="shared" ref="L51" si="62">K51 * 0.3</f>
        <v>0</v>
      </c>
      <c r="M51" s="229">
        <f t="shared" ref="M51" si="63">K51+L51</f>
        <v>0</v>
      </c>
      <c r="N51" s="229">
        <f t="shared" ref="N51" si="64">M51 * 35.3%</f>
        <v>0</v>
      </c>
      <c r="O51" s="229">
        <f t="shared" ref="O51" si="65">M51 * 11.11%</f>
        <v>0</v>
      </c>
      <c r="P51" s="226">
        <f t="shared" ref="P51" si="66">M51 * 8.33%</f>
        <v>0</v>
      </c>
      <c r="Q51" s="229">
        <f t="shared" ref="Q51" si="67">(O51+P51) * 35.3%</f>
        <v>0</v>
      </c>
      <c r="R51" s="229">
        <f t="shared" ref="R51" si="68">M51/12</f>
        <v>0</v>
      </c>
      <c r="S51" s="229">
        <f t="shared" ref="S51" si="69">((M51+O51+P51)*8%)*50%</f>
        <v>0</v>
      </c>
      <c r="T51" s="226">
        <v>0</v>
      </c>
      <c r="U51" s="226">
        <v>0</v>
      </c>
      <c r="V51" s="229">
        <f t="shared" ref="V51" si="70">SUM(N51:U51)</f>
        <v>0</v>
      </c>
      <c r="W51" s="226">
        <f t="shared" si="41"/>
        <v>20.833333333333332</v>
      </c>
      <c r="X51" s="226">
        <f t="shared" si="9"/>
        <v>20.833333333333332</v>
      </c>
      <c r="Y51" s="226">
        <f t="shared" si="42"/>
        <v>18.75</v>
      </c>
      <c r="Z51" s="226">
        <f t="shared" si="43"/>
        <v>3.5714285714285716</v>
      </c>
      <c r="AA51" s="226">
        <f t="shared" si="44"/>
        <v>82.408333333333317</v>
      </c>
      <c r="AB51" s="226">
        <f t="shared" si="45"/>
        <v>87.916666666666657</v>
      </c>
      <c r="AC51" s="230">
        <f t="shared" si="46"/>
        <v>150</v>
      </c>
      <c r="AD51" s="226">
        <f t="shared" si="47"/>
        <v>66.666666666666671</v>
      </c>
      <c r="AE51" s="226">
        <f t="shared" si="48"/>
        <v>15</v>
      </c>
      <c r="AF51" s="226">
        <v>400</v>
      </c>
      <c r="AG51" s="229">
        <f t="shared" ref="AG51" si="71">SUM(W51:AF51)</f>
        <v>865.97976190476197</v>
      </c>
      <c r="AH51" s="229">
        <f t="shared" ref="AH51" si="72">M51+V51+AG51</f>
        <v>865.97976190476197</v>
      </c>
      <c r="AI51" s="231">
        <v>0.04</v>
      </c>
      <c r="AJ51" s="232">
        <f t="shared" ref="AJ51" si="73">AH51*AI51</f>
        <v>34.639190476190478</v>
      </c>
      <c r="AK51" s="233">
        <v>0.04</v>
      </c>
      <c r="AL51" s="234">
        <f t="shared" si="56"/>
        <v>52.715249545260207</v>
      </c>
      <c r="AM51" s="231">
        <v>0.01</v>
      </c>
      <c r="AN51" s="232">
        <f t="shared" si="57"/>
        <v>8.6597976190476196</v>
      </c>
      <c r="AO51" s="233">
        <v>0.01</v>
      </c>
      <c r="AP51" s="234">
        <f t="shared" ref="AP51" si="74">AZ51*AO51</f>
        <v>13.178812386315052</v>
      </c>
      <c r="AQ51" s="231">
        <v>0.1</v>
      </c>
      <c r="AR51" s="232">
        <f t="shared" si="58"/>
        <v>86.597976190476203</v>
      </c>
      <c r="AS51" s="233">
        <v>0.1</v>
      </c>
      <c r="AT51" s="234">
        <f t="shared" ref="AT51" si="75">AZ51*AS51</f>
        <v>131.7881238631505</v>
      </c>
      <c r="AU51" s="231">
        <v>0.15640000000000001</v>
      </c>
      <c r="AV51" s="232">
        <f t="shared" ref="AV51" si="76">AY51*AU51</f>
        <v>195.26994631185812</v>
      </c>
      <c r="AW51" s="233">
        <v>0.19289999999999999</v>
      </c>
      <c r="AX51" s="234">
        <f t="shared" ref="AX51" si="77">AZ51*AW51</f>
        <v>254.21929093201732</v>
      </c>
      <c r="AY51" s="235">
        <f t="shared" si="59"/>
        <v>1248.5290684901413</v>
      </c>
      <c r="AZ51" s="234">
        <f t="shared" si="60"/>
        <v>1317.8812386315051</v>
      </c>
      <c r="BA51" s="395">
        <f t="shared" si="32"/>
        <v>615.47980703310247</v>
      </c>
    </row>
    <row r="52" spans="1:53" x14ac:dyDescent="0.25">
      <c r="A52" s="245" t="str">
        <f t="shared" si="29"/>
        <v/>
      </c>
      <c r="B52" s="248" t="str">
        <f>IF(Helexia!C52=0,"",Helexia!C52)</f>
        <v/>
      </c>
      <c r="C52" s="221" t="str">
        <f>IF(Helexia!G52=0,"",Helexia!G52)</f>
        <v/>
      </c>
      <c r="K52" s="228">
        <f t="shared" si="30"/>
        <v>0</v>
      </c>
      <c r="L52" s="243">
        <f t="shared" si="33"/>
        <v>0</v>
      </c>
      <c r="M52" s="229">
        <f t="shared" si="34"/>
        <v>0</v>
      </c>
      <c r="N52" s="229">
        <f t="shared" si="35"/>
        <v>0</v>
      </c>
      <c r="O52" s="229">
        <f t="shared" si="36"/>
        <v>0</v>
      </c>
      <c r="P52" s="226">
        <f t="shared" si="37"/>
        <v>0</v>
      </c>
      <c r="Q52" s="229">
        <f t="shared" si="38"/>
        <v>0</v>
      </c>
      <c r="R52" s="229">
        <f t="shared" si="39"/>
        <v>0</v>
      </c>
      <c r="S52" s="229">
        <f t="shared" si="40"/>
        <v>0</v>
      </c>
      <c r="T52" s="226">
        <v>0</v>
      </c>
      <c r="U52" s="226">
        <v>0</v>
      </c>
      <c r="V52" s="229">
        <f t="shared" si="31"/>
        <v>0</v>
      </c>
      <c r="W52" s="226">
        <f t="shared" si="41"/>
        <v>20.833333333333332</v>
      </c>
      <c r="X52" s="226">
        <f t="shared" si="9"/>
        <v>20.833333333333332</v>
      </c>
      <c r="Y52" s="226">
        <f t="shared" si="42"/>
        <v>18.75</v>
      </c>
      <c r="Z52" s="226">
        <f t="shared" si="43"/>
        <v>3.5714285714285716</v>
      </c>
      <c r="AA52" s="226">
        <f t="shared" si="44"/>
        <v>82.408333333333317</v>
      </c>
      <c r="AB52" s="226">
        <f t="shared" si="45"/>
        <v>87.916666666666657</v>
      </c>
      <c r="AC52" s="230">
        <f t="shared" si="46"/>
        <v>150</v>
      </c>
      <c r="AD52" s="226">
        <f t="shared" si="47"/>
        <v>66.666666666666671</v>
      </c>
      <c r="AE52" s="226">
        <f t="shared" si="48"/>
        <v>15</v>
      </c>
      <c r="AF52" s="226">
        <v>400</v>
      </c>
      <c r="AG52" s="229">
        <f t="shared" si="49"/>
        <v>865.97976190476197</v>
      </c>
      <c r="AH52" s="229">
        <f t="shared" si="50"/>
        <v>865.97976190476197</v>
      </c>
      <c r="AI52" s="231">
        <v>0.04</v>
      </c>
      <c r="AJ52" s="232">
        <f t="shared" si="51"/>
        <v>34.639190476190478</v>
      </c>
      <c r="AK52" s="233">
        <v>0.04</v>
      </c>
      <c r="AL52" s="234">
        <f t="shared" si="56"/>
        <v>52.715249545260207</v>
      </c>
      <c r="AM52" s="231">
        <v>0.01</v>
      </c>
      <c r="AN52" s="232">
        <f t="shared" si="57"/>
        <v>8.6597976190476196</v>
      </c>
      <c r="AO52" s="233">
        <v>0.01</v>
      </c>
      <c r="AP52" s="234">
        <f t="shared" si="52"/>
        <v>13.178812386315052</v>
      </c>
      <c r="AQ52" s="231">
        <v>0.1</v>
      </c>
      <c r="AR52" s="232">
        <f t="shared" si="58"/>
        <v>86.597976190476203</v>
      </c>
      <c r="AS52" s="233">
        <v>0.1</v>
      </c>
      <c r="AT52" s="234">
        <f t="shared" si="53"/>
        <v>131.7881238631505</v>
      </c>
      <c r="AU52" s="231">
        <v>0.15640000000000001</v>
      </c>
      <c r="AV52" s="232">
        <f t="shared" si="54"/>
        <v>195.26994631185812</v>
      </c>
      <c r="AW52" s="233">
        <v>0.19289999999999999</v>
      </c>
      <c r="AX52" s="234">
        <f t="shared" si="55"/>
        <v>254.21929093201732</v>
      </c>
      <c r="AY52" s="235">
        <f t="shared" si="59"/>
        <v>1248.5290684901413</v>
      </c>
      <c r="AZ52" s="234">
        <f t="shared" si="60"/>
        <v>1317.8812386315051</v>
      </c>
      <c r="BA52" s="395">
        <f t="shared" si="32"/>
        <v>615.47980703310247</v>
      </c>
    </row>
    <row r="53" spans="1:53" x14ac:dyDescent="0.25">
      <c r="A53" s="245" t="str">
        <f t="shared" si="29"/>
        <v/>
      </c>
      <c r="B53" s="220" t="str">
        <f>IF(Helexia!C53=0,"",Helexia!C53)</f>
        <v/>
      </c>
      <c r="C53" s="221" t="str">
        <f>IF(Helexia!G53=0,"",Helexia!G53)</f>
        <v/>
      </c>
      <c r="K53" s="228">
        <f t="shared" si="30"/>
        <v>0</v>
      </c>
      <c r="L53" s="243">
        <f t="shared" si="33"/>
        <v>0</v>
      </c>
      <c r="M53" s="229">
        <f t="shared" si="34"/>
        <v>0</v>
      </c>
      <c r="N53" s="229">
        <f t="shared" si="35"/>
        <v>0</v>
      </c>
      <c r="O53" s="229">
        <f t="shared" si="36"/>
        <v>0</v>
      </c>
      <c r="P53" s="226">
        <f t="shared" si="37"/>
        <v>0</v>
      </c>
      <c r="Q53" s="229">
        <f t="shared" si="38"/>
        <v>0</v>
      </c>
      <c r="R53" s="229">
        <f t="shared" si="39"/>
        <v>0</v>
      </c>
      <c r="S53" s="229">
        <f t="shared" si="40"/>
        <v>0</v>
      </c>
      <c r="T53" s="226">
        <v>0</v>
      </c>
      <c r="U53" s="226">
        <v>0</v>
      </c>
      <c r="V53" s="229">
        <f t="shared" si="31"/>
        <v>0</v>
      </c>
      <c r="W53" s="226">
        <f t="shared" si="41"/>
        <v>20.833333333333332</v>
      </c>
      <c r="X53" s="226">
        <f t="shared" si="9"/>
        <v>20.833333333333332</v>
      </c>
      <c r="Y53" s="226">
        <f t="shared" si="42"/>
        <v>18.75</v>
      </c>
      <c r="Z53" s="226">
        <f t="shared" si="43"/>
        <v>3.5714285714285716</v>
      </c>
      <c r="AA53" s="226">
        <f t="shared" si="44"/>
        <v>82.408333333333317</v>
      </c>
      <c r="AB53" s="226">
        <f t="shared" si="45"/>
        <v>87.916666666666657</v>
      </c>
      <c r="AC53" s="230">
        <f t="shared" si="46"/>
        <v>150</v>
      </c>
      <c r="AD53" s="226">
        <f t="shared" si="47"/>
        <v>66.666666666666671</v>
      </c>
      <c r="AE53" s="226">
        <f t="shared" si="48"/>
        <v>15</v>
      </c>
      <c r="AF53" s="226">
        <v>400</v>
      </c>
      <c r="AG53" s="229">
        <f t="shared" si="49"/>
        <v>865.97976190476197</v>
      </c>
      <c r="AH53" s="229">
        <f t="shared" si="50"/>
        <v>865.97976190476197</v>
      </c>
      <c r="AI53" s="231">
        <v>0.04</v>
      </c>
      <c r="AJ53" s="232">
        <f t="shared" si="51"/>
        <v>34.639190476190478</v>
      </c>
      <c r="AK53" s="233">
        <v>0.04</v>
      </c>
      <c r="AL53" s="234">
        <f t="shared" si="56"/>
        <v>52.715249545260207</v>
      </c>
      <c r="AM53" s="231">
        <v>0.01</v>
      </c>
      <c r="AN53" s="232">
        <f t="shared" si="57"/>
        <v>8.6597976190476196</v>
      </c>
      <c r="AO53" s="233">
        <v>0.01</v>
      </c>
      <c r="AP53" s="234">
        <f t="shared" si="52"/>
        <v>13.178812386315052</v>
      </c>
      <c r="AQ53" s="231">
        <v>0.1</v>
      </c>
      <c r="AR53" s="232">
        <f t="shared" si="58"/>
        <v>86.597976190476203</v>
      </c>
      <c r="AS53" s="233">
        <v>0.1</v>
      </c>
      <c r="AT53" s="234">
        <f t="shared" si="53"/>
        <v>131.7881238631505</v>
      </c>
      <c r="AU53" s="231">
        <v>0.15640000000000001</v>
      </c>
      <c r="AV53" s="232">
        <f t="shared" si="54"/>
        <v>195.26994631185812</v>
      </c>
      <c r="AW53" s="233">
        <v>0.19289999999999999</v>
      </c>
      <c r="AX53" s="234">
        <f t="shared" si="55"/>
        <v>254.21929093201732</v>
      </c>
      <c r="AY53" s="235">
        <f t="shared" si="59"/>
        <v>1248.5290684901413</v>
      </c>
      <c r="AZ53" s="234">
        <f t="shared" si="60"/>
        <v>1317.8812386315051</v>
      </c>
      <c r="BA53" s="395">
        <f t="shared" si="32"/>
        <v>615.47980703310247</v>
      </c>
    </row>
    <row r="54" spans="1:53" x14ac:dyDescent="0.25">
      <c r="A54" s="245">
        <f t="shared" si="29"/>
        <v>7600.3212649288735</v>
      </c>
      <c r="B54" s="248" t="str">
        <f>IF(Helexia!C54=0,"",Helexia!C54)</f>
        <v>Carlos Eduardo de Almeida Pereira</v>
      </c>
      <c r="C54" s="221" t="str">
        <f>IF(Helexia!G54=0,"",Helexia!G54)</f>
        <v>CLT</v>
      </c>
      <c r="D54" s="226">
        <v>1518</v>
      </c>
      <c r="K54" s="228">
        <f t="shared" si="30"/>
        <v>1518</v>
      </c>
      <c r="L54" s="243">
        <f t="shared" si="33"/>
        <v>455.4</v>
      </c>
      <c r="M54" s="229">
        <f t="shared" si="34"/>
        <v>1973.4</v>
      </c>
      <c r="N54" s="229">
        <f t="shared" si="35"/>
        <v>696.61019999999996</v>
      </c>
      <c r="O54" s="229">
        <f t="shared" si="36"/>
        <v>219.24473999999998</v>
      </c>
      <c r="P54" s="226">
        <f t="shared" si="37"/>
        <v>164.38422</v>
      </c>
      <c r="Q54" s="229">
        <f t="shared" si="38"/>
        <v>135.42102287999998</v>
      </c>
      <c r="R54" s="229">
        <f t="shared" si="39"/>
        <v>164.45000000000002</v>
      </c>
      <c r="S54" s="229">
        <f t="shared" si="40"/>
        <v>94.28115840000001</v>
      </c>
      <c r="T54" s="226">
        <v>680.4</v>
      </c>
      <c r="U54" s="226">
        <v>0</v>
      </c>
      <c r="V54" s="229">
        <f t="shared" si="31"/>
        <v>2154.7913412799999</v>
      </c>
      <c r="W54" s="226">
        <f t="shared" si="41"/>
        <v>20.833333333333332</v>
      </c>
      <c r="X54" s="226">
        <f t="shared" si="9"/>
        <v>20.833333333333332</v>
      </c>
      <c r="Y54" s="226">
        <f t="shared" si="42"/>
        <v>18.75</v>
      </c>
      <c r="Z54" s="226">
        <f t="shared" si="43"/>
        <v>3.5714285714285716</v>
      </c>
      <c r="AA54" s="226">
        <f t="shared" si="44"/>
        <v>82.408333333333317</v>
      </c>
      <c r="AB54" s="226">
        <f t="shared" si="45"/>
        <v>87.916666666666657</v>
      </c>
      <c r="AC54" s="230">
        <f t="shared" si="46"/>
        <v>150</v>
      </c>
      <c r="AD54" s="226">
        <f t="shared" si="47"/>
        <v>66.666666666666671</v>
      </c>
      <c r="AE54" s="226">
        <f t="shared" si="48"/>
        <v>15</v>
      </c>
      <c r="AF54" s="226">
        <v>400</v>
      </c>
      <c r="AG54" s="229">
        <f t="shared" si="49"/>
        <v>865.97976190476197</v>
      </c>
      <c r="AH54" s="229">
        <f t="shared" si="50"/>
        <v>4994.1711031847626</v>
      </c>
      <c r="AI54" s="231">
        <v>0.04</v>
      </c>
      <c r="AJ54" s="232">
        <f t="shared" si="51"/>
        <v>199.7668441273905</v>
      </c>
      <c r="AK54" s="233">
        <v>0.04</v>
      </c>
      <c r="AL54" s="234">
        <f t="shared" si="56"/>
        <v>304.01285059715497</v>
      </c>
      <c r="AM54" s="231">
        <v>0.01</v>
      </c>
      <c r="AN54" s="232">
        <f t="shared" si="57"/>
        <v>49.941711031847625</v>
      </c>
      <c r="AO54" s="233">
        <v>0.01</v>
      </c>
      <c r="AP54" s="234">
        <f t="shared" si="52"/>
        <v>76.003212649288741</v>
      </c>
      <c r="AQ54" s="231">
        <v>0.1</v>
      </c>
      <c r="AR54" s="232">
        <f t="shared" si="58"/>
        <v>499.41711031847626</v>
      </c>
      <c r="AS54" s="233">
        <v>0.1</v>
      </c>
      <c r="AT54" s="234">
        <f t="shared" si="53"/>
        <v>760.03212649288741</v>
      </c>
      <c r="AU54" s="231">
        <v>0.15640000000000001</v>
      </c>
      <c r="AV54" s="232">
        <f t="shared" si="54"/>
        <v>1126.1366213063682</v>
      </c>
      <c r="AW54" s="233">
        <v>0.19289999999999999</v>
      </c>
      <c r="AX54" s="234">
        <f t="shared" si="55"/>
        <v>1466.1019720047796</v>
      </c>
      <c r="AY54" s="235">
        <f t="shared" si="59"/>
        <v>7200.3620288130951</v>
      </c>
      <c r="AZ54" s="234">
        <f t="shared" si="60"/>
        <v>7600.3212649288735</v>
      </c>
      <c r="BA54" s="395">
        <f t="shared" si="32"/>
        <v>2620.498959060576</v>
      </c>
    </row>
    <row r="55" spans="1:53" x14ac:dyDescent="0.25">
      <c r="A55" s="245">
        <f t="shared" si="29"/>
        <v>18735.80737274437</v>
      </c>
      <c r="B55" s="220" t="str">
        <f>IF(Helexia!C55=0,"",Helexia!C55)</f>
        <v>Marina Lopes da Costa Figueiredo</v>
      </c>
      <c r="C55" s="221" t="str">
        <f>IF(Helexia!G55=0,"",Helexia!G55)</f>
        <v>PJ</v>
      </c>
      <c r="D55" s="226">
        <v>13718.9</v>
      </c>
      <c r="K55" s="228">
        <f t="shared" si="30"/>
        <v>13718.9</v>
      </c>
      <c r="L55" s="243">
        <f t="shared" si="33"/>
        <v>4115.67</v>
      </c>
      <c r="M55" s="229">
        <f t="shared" si="34"/>
        <v>17834.57</v>
      </c>
      <c r="N55" s="229">
        <f t="shared" si="35"/>
        <v>6295.6032099999993</v>
      </c>
      <c r="O55" s="229">
        <f t="shared" si="36"/>
        <v>1981.4207269999997</v>
      </c>
      <c r="P55" s="226">
        <f t="shared" si="37"/>
        <v>1485.6196809999999</v>
      </c>
      <c r="Q55" s="229">
        <f t="shared" si="38"/>
        <v>1223.8652640239998</v>
      </c>
      <c r="R55" s="229">
        <f t="shared" si="39"/>
        <v>1486.2141666666666</v>
      </c>
      <c r="S55" s="229">
        <f t="shared" si="40"/>
        <v>852.06441632000008</v>
      </c>
      <c r="T55" s="226">
        <v>0</v>
      </c>
      <c r="U55" s="226">
        <v>0</v>
      </c>
      <c r="V55" s="229">
        <f t="shared" si="31"/>
        <v>13324.787465010664</v>
      </c>
      <c r="W55" s="226">
        <f t="shared" si="41"/>
        <v>20.833333333333332</v>
      </c>
      <c r="X55" s="226">
        <f t="shared" si="9"/>
        <v>20.833333333333332</v>
      </c>
      <c r="Y55" s="226">
        <f t="shared" si="42"/>
        <v>18.75</v>
      </c>
      <c r="Z55" s="226">
        <f t="shared" si="43"/>
        <v>3.5714285714285716</v>
      </c>
      <c r="AA55" s="226">
        <f t="shared" si="44"/>
        <v>82.408333333333317</v>
      </c>
      <c r="AB55" s="226">
        <f t="shared" si="45"/>
        <v>87.916666666666657</v>
      </c>
      <c r="AC55" s="230">
        <f t="shared" si="46"/>
        <v>150</v>
      </c>
      <c r="AD55" s="226">
        <f t="shared" si="47"/>
        <v>66.666666666666671</v>
      </c>
      <c r="AE55" s="226">
        <f t="shared" si="48"/>
        <v>15</v>
      </c>
      <c r="AF55" s="226">
        <v>400</v>
      </c>
      <c r="AG55" s="229">
        <f t="shared" si="49"/>
        <v>865.97976190476197</v>
      </c>
      <c r="AH55" s="229">
        <f t="shared" si="50"/>
        <v>32025.337226915424</v>
      </c>
      <c r="AI55" s="231">
        <v>0.04</v>
      </c>
      <c r="AJ55" s="232">
        <f t="shared" si="51"/>
        <v>1281.0134890766169</v>
      </c>
      <c r="AK55" s="233">
        <v>0.04</v>
      </c>
      <c r="AL55" s="234">
        <f t="shared" si="56"/>
        <v>1949.4954939531533</v>
      </c>
      <c r="AM55" s="231">
        <v>0.01</v>
      </c>
      <c r="AN55" s="232">
        <f t="shared" si="57"/>
        <v>320.25337226915423</v>
      </c>
      <c r="AO55" s="233">
        <v>0.01</v>
      </c>
      <c r="AP55" s="234">
        <f t="shared" si="52"/>
        <v>487.37387348828833</v>
      </c>
      <c r="AQ55" s="231">
        <v>0.1</v>
      </c>
      <c r="AR55" s="232">
        <f t="shared" si="58"/>
        <v>3202.5337226915426</v>
      </c>
      <c r="AS55" s="233">
        <v>0.1</v>
      </c>
      <c r="AT55" s="234">
        <f t="shared" si="53"/>
        <v>4873.7387348828834</v>
      </c>
      <c r="AU55" s="231">
        <v>0.15640000000000001</v>
      </c>
      <c r="AV55" s="232">
        <f t="shared" si="54"/>
        <v>7221.3995707750464</v>
      </c>
      <c r="AW55" s="233">
        <v>0.19289999999999999</v>
      </c>
      <c r="AX55" s="234">
        <f t="shared" si="55"/>
        <v>9401.4420195890816</v>
      </c>
      <c r="AY55" s="235">
        <f t="shared" si="59"/>
        <v>46172.631526694669</v>
      </c>
      <c r="AZ55" s="234">
        <f t="shared" si="60"/>
        <v>48737.38734882883</v>
      </c>
      <c r="BA55" s="395">
        <f t="shared" si="32"/>
        <v>18735.80737274437</v>
      </c>
    </row>
    <row r="56" spans="1:53" x14ac:dyDescent="0.25">
      <c r="A56" s="245">
        <f t="shared" si="29"/>
        <v>2491.0576699310027</v>
      </c>
      <c r="B56" s="248" t="str">
        <f>IF(Helexia!C56=0,"",Helexia!C56)</f>
        <v>Rafael Henrique do Nascimento Barros</v>
      </c>
      <c r="C56" s="221" t="str">
        <f>IF(Helexia!G56=0,"",Helexia!G56)</f>
        <v>PJ</v>
      </c>
      <c r="D56" s="226">
        <v>1420</v>
      </c>
      <c r="K56" s="228">
        <f t="shared" si="30"/>
        <v>1420</v>
      </c>
      <c r="L56" s="243">
        <f t="shared" si="33"/>
        <v>426</v>
      </c>
      <c r="M56" s="229">
        <f t="shared" si="34"/>
        <v>1846</v>
      </c>
      <c r="N56" s="229">
        <f t="shared" si="35"/>
        <v>651.63799999999992</v>
      </c>
      <c r="O56" s="229">
        <f t="shared" si="36"/>
        <v>205.09059999999999</v>
      </c>
      <c r="P56" s="226">
        <f t="shared" si="37"/>
        <v>153.77179999999998</v>
      </c>
      <c r="Q56" s="229">
        <f t="shared" si="38"/>
        <v>126.67842719999999</v>
      </c>
      <c r="R56" s="229">
        <f t="shared" si="39"/>
        <v>153.83333333333334</v>
      </c>
      <c r="S56" s="229">
        <f t="shared" si="40"/>
        <v>88.194496000000001</v>
      </c>
      <c r="T56" s="226">
        <v>0</v>
      </c>
      <c r="U56" s="226">
        <v>0</v>
      </c>
      <c r="V56" s="229">
        <f t="shared" si="31"/>
        <v>1379.2066565333332</v>
      </c>
      <c r="W56" s="226">
        <f t="shared" si="41"/>
        <v>20.833333333333332</v>
      </c>
      <c r="X56" s="226">
        <f t="shared" si="9"/>
        <v>20.833333333333332</v>
      </c>
      <c r="Y56" s="226">
        <f t="shared" si="42"/>
        <v>18.75</v>
      </c>
      <c r="Z56" s="226">
        <f t="shared" si="43"/>
        <v>3.5714285714285716</v>
      </c>
      <c r="AA56" s="226">
        <f t="shared" si="44"/>
        <v>82.408333333333317</v>
      </c>
      <c r="AB56" s="226">
        <f t="shared" si="45"/>
        <v>87.916666666666657</v>
      </c>
      <c r="AC56" s="230">
        <f t="shared" si="46"/>
        <v>150</v>
      </c>
      <c r="AD56" s="226">
        <f t="shared" si="47"/>
        <v>66.666666666666671</v>
      </c>
      <c r="AE56" s="226">
        <f t="shared" si="48"/>
        <v>15</v>
      </c>
      <c r="AF56" s="226">
        <v>400</v>
      </c>
      <c r="AG56" s="229">
        <f t="shared" si="49"/>
        <v>865.97976190476197</v>
      </c>
      <c r="AH56" s="229">
        <f t="shared" si="50"/>
        <v>4091.1864184380956</v>
      </c>
      <c r="AI56" s="231">
        <v>0.04</v>
      </c>
      <c r="AJ56" s="232">
        <f t="shared" si="51"/>
        <v>163.64745673752384</v>
      </c>
      <c r="AK56" s="233">
        <v>0.04</v>
      </c>
      <c r="AL56" s="234">
        <f t="shared" si="56"/>
        <v>249.04498057757391</v>
      </c>
      <c r="AM56" s="231">
        <v>0.01</v>
      </c>
      <c r="AN56" s="232">
        <f t="shared" si="57"/>
        <v>40.91186418438096</v>
      </c>
      <c r="AO56" s="233">
        <v>0.01</v>
      </c>
      <c r="AP56" s="234">
        <f t="shared" si="52"/>
        <v>62.261245144393477</v>
      </c>
      <c r="AQ56" s="231">
        <v>0.1</v>
      </c>
      <c r="AR56" s="232">
        <f t="shared" si="58"/>
        <v>409.1186418438096</v>
      </c>
      <c r="AS56" s="233">
        <v>0.1</v>
      </c>
      <c r="AT56" s="234">
        <f t="shared" si="53"/>
        <v>622.61245144393479</v>
      </c>
      <c r="AU56" s="231">
        <v>0.15640000000000001</v>
      </c>
      <c r="AV56" s="232">
        <f t="shared" si="54"/>
        <v>922.5224276870216</v>
      </c>
      <c r="AW56" s="233">
        <v>0.19289999999999999</v>
      </c>
      <c r="AX56" s="234">
        <f t="shared" si="55"/>
        <v>1201.0194188353501</v>
      </c>
      <c r="AY56" s="235">
        <f t="shared" si="59"/>
        <v>5898.480995441314</v>
      </c>
      <c r="AZ56" s="234">
        <f t="shared" si="60"/>
        <v>6226.1245144393479</v>
      </c>
      <c r="BA56" s="395">
        <f t="shared" si="32"/>
        <v>2491.0576699310027</v>
      </c>
    </row>
    <row r="57" spans="1:53" x14ac:dyDescent="0.25">
      <c r="A57" s="245">
        <f t="shared" si="29"/>
        <v>9200.8714329741942</v>
      </c>
      <c r="B57" s="220" t="str">
        <f>IF(Helexia!C57=0,"",Helexia!C57)</f>
        <v>Ana Paula Ribeiro dos Santos Azevedo</v>
      </c>
      <c r="C57" s="221" t="str">
        <f>IF(Helexia!G57=0,"",Helexia!G57)</f>
        <v>PJ</v>
      </c>
      <c r="D57" s="226">
        <v>6500</v>
      </c>
      <c r="K57" s="228">
        <f t="shared" si="30"/>
        <v>6500</v>
      </c>
      <c r="L57" s="243">
        <f t="shared" si="33"/>
        <v>1950</v>
      </c>
      <c r="M57" s="229">
        <f t="shared" si="34"/>
        <v>8450</v>
      </c>
      <c r="N57" s="229">
        <f t="shared" si="35"/>
        <v>2982.85</v>
      </c>
      <c r="O57" s="229">
        <f t="shared" si="36"/>
        <v>938.79499999999996</v>
      </c>
      <c r="P57" s="226">
        <f t="shared" si="37"/>
        <v>703.88499999999999</v>
      </c>
      <c r="Q57" s="229">
        <f t="shared" si="38"/>
        <v>579.86603999999988</v>
      </c>
      <c r="R57" s="229">
        <f t="shared" si="39"/>
        <v>704.16666666666663</v>
      </c>
      <c r="S57" s="229">
        <f t="shared" si="40"/>
        <v>403.7072</v>
      </c>
      <c r="T57" s="226">
        <v>0</v>
      </c>
      <c r="U57" s="226">
        <v>0</v>
      </c>
      <c r="V57" s="229">
        <f t="shared" si="31"/>
        <v>6313.2699066666664</v>
      </c>
      <c r="W57" s="226">
        <f t="shared" si="41"/>
        <v>20.833333333333332</v>
      </c>
      <c r="X57" s="226">
        <f t="shared" si="9"/>
        <v>20.833333333333332</v>
      </c>
      <c r="Y57" s="226">
        <f t="shared" si="42"/>
        <v>18.75</v>
      </c>
      <c r="Z57" s="226">
        <f t="shared" si="43"/>
        <v>3.5714285714285716</v>
      </c>
      <c r="AA57" s="226">
        <f t="shared" si="44"/>
        <v>82.408333333333317</v>
      </c>
      <c r="AB57" s="226">
        <f t="shared" si="45"/>
        <v>87.916666666666657</v>
      </c>
      <c r="AC57" s="230">
        <f t="shared" si="46"/>
        <v>150</v>
      </c>
      <c r="AD57" s="226">
        <f t="shared" si="47"/>
        <v>66.666666666666671</v>
      </c>
      <c r="AE57" s="226">
        <f t="shared" si="48"/>
        <v>15</v>
      </c>
      <c r="AF57" s="226">
        <v>400</v>
      </c>
      <c r="AG57" s="229">
        <f t="shared" si="49"/>
        <v>865.97976190476197</v>
      </c>
      <c r="AH57" s="229">
        <f t="shared" si="50"/>
        <v>15629.249668571429</v>
      </c>
      <c r="AI57" s="231">
        <v>0.04</v>
      </c>
      <c r="AJ57" s="232">
        <f t="shared" si="51"/>
        <v>625.16998674285719</v>
      </c>
      <c r="AK57" s="233">
        <v>0.04</v>
      </c>
      <c r="AL57" s="234">
        <f t="shared" si="56"/>
        <v>951.40768032697792</v>
      </c>
      <c r="AM57" s="231">
        <v>0.01</v>
      </c>
      <c r="AN57" s="232">
        <f t="shared" si="57"/>
        <v>156.2924966857143</v>
      </c>
      <c r="AO57" s="233">
        <v>0.01</v>
      </c>
      <c r="AP57" s="234">
        <f t="shared" si="52"/>
        <v>237.85192008174448</v>
      </c>
      <c r="AQ57" s="231">
        <v>0.1</v>
      </c>
      <c r="AR57" s="232">
        <f t="shared" si="58"/>
        <v>1562.9249668571429</v>
      </c>
      <c r="AS57" s="233">
        <v>0.1</v>
      </c>
      <c r="AT57" s="234">
        <f t="shared" si="53"/>
        <v>2378.5192008174449</v>
      </c>
      <c r="AU57" s="231">
        <v>0.15640000000000001</v>
      </c>
      <c r="AV57" s="232">
        <f t="shared" si="54"/>
        <v>3524.2425723249303</v>
      </c>
      <c r="AW57" s="233">
        <v>0.19289999999999999</v>
      </c>
      <c r="AX57" s="234">
        <f t="shared" si="55"/>
        <v>4588.1635383768507</v>
      </c>
      <c r="AY57" s="235">
        <f t="shared" si="59"/>
        <v>22533.520283407481</v>
      </c>
      <c r="AZ57" s="234">
        <f t="shared" si="60"/>
        <v>23785.192008174447</v>
      </c>
      <c r="BA57" s="395">
        <f t="shared" si="32"/>
        <v>9200.8714329741942</v>
      </c>
    </row>
    <row r="58" spans="1:53" x14ac:dyDescent="0.25">
      <c r="A58" s="245">
        <f t="shared" si="29"/>
        <v>6564.8624306570719</v>
      </c>
      <c r="B58" s="248" t="str">
        <f>IF(Helexia!C58=0,"",Helexia!C58)</f>
        <v>Felipe Augusto de Oliveira Cunha</v>
      </c>
      <c r="C58" s="221" t="str">
        <f>IF(Helexia!G58=0,"",Helexia!G58)</f>
        <v>CLT</v>
      </c>
      <c r="D58" s="226">
        <v>1518</v>
      </c>
      <c r="K58" s="228">
        <f t="shared" si="30"/>
        <v>1518</v>
      </c>
      <c r="L58" s="243">
        <f t="shared" si="33"/>
        <v>455.4</v>
      </c>
      <c r="M58" s="229">
        <f t="shared" si="34"/>
        <v>1973.4</v>
      </c>
      <c r="N58" s="229">
        <f t="shared" si="35"/>
        <v>696.61019999999996</v>
      </c>
      <c r="O58" s="229">
        <f t="shared" si="36"/>
        <v>219.24473999999998</v>
      </c>
      <c r="P58" s="226">
        <f t="shared" si="37"/>
        <v>164.38422</v>
      </c>
      <c r="Q58" s="229">
        <f t="shared" si="38"/>
        <v>135.42102287999998</v>
      </c>
      <c r="R58" s="229">
        <f t="shared" si="39"/>
        <v>164.45000000000002</v>
      </c>
      <c r="S58" s="229">
        <f t="shared" si="40"/>
        <v>94.28115840000001</v>
      </c>
      <c r="T58" s="226">
        <v>0</v>
      </c>
      <c r="U58" s="226">
        <v>0</v>
      </c>
      <c r="V58" s="229">
        <f t="shared" si="31"/>
        <v>1474.39134128</v>
      </c>
      <c r="W58" s="226">
        <f t="shared" si="41"/>
        <v>20.833333333333332</v>
      </c>
      <c r="X58" s="226">
        <f t="shared" si="9"/>
        <v>20.833333333333332</v>
      </c>
      <c r="Y58" s="226">
        <f t="shared" si="42"/>
        <v>18.75</v>
      </c>
      <c r="Z58" s="226">
        <f t="shared" si="43"/>
        <v>3.5714285714285716</v>
      </c>
      <c r="AA58" s="226">
        <f t="shared" si="44"/>
        <v>82.408333333333317</v>
      </c>
      <c r="AB58" s="226">
        <f t="shared" si="45"/>
        <v>87.916666666666657</v>
      </c>
      <c r="AC58" s="230">
        <f t="shared" si="46"/>
        <v>150</v>
      </c>
      <c r="AD58" s="226">
        <f t="shared" si="47"/>
        <v>66.666666666666671</v>
      </c>
      <c r="AE58" s="226">
        <f t="shared" si="48"/>
        <v>15</v>
      </c>
      <c r="AF58" s="226">
        <v>400</v>
      </c>
      <c r="AG58" s="229">
        <f t="shared" si="49"/>
        <v>865.97976190476197</v>
      </c>
      <c r="AH58" s="229">
        <f t="shared" si="50"/>
        <v>4313.7711031847621</v>
      </c>
      <c r="AI58" s="231">
        <v>0.04</v>
      </c>
      <c r="AJ58" s="232">
        <f t="shared" si="51"/>
        <v>172.55084412739049</v>
      </c>
      <c r="AK58" s="233">
        <v>0.04</v>
      </c>
      <c r="AL58" s="234">
        <f t="shared" si="56"/>
        <v>262.5944972262829</v>
      </c>
      <c r="AM58" s="231">
        <v>0.01</v>
      </c>
      <c r="AN58" s="232">
        <f t="shared" si="57"/>
        <v>43.137711031847623</v>
      </c>
      <c r="AO58" s="233">
        <v>0.01</v>
      </c>
      <c r="AP58" s="234">
        <f t="shared" si="52"/>
        <v>65.648624306570724</v>
      </c>
      <c r="AQ58" s="231">
        <v>0.1</v>
      </c>
      <c r="AR58" s="232">
        <f t="shared" si="58"/>
        <v>431.37711031847624</v>
      </c>
      <c r="AS58" s="233">
        <v>0.1</v>
      </c>
      <c r="AT58" s="234">
        <f t="shared" si="53"/>
        <v>656.48624306570719</v>
      </c>
      <c r="AU58" s="231">
        <v>0.15640000000000001</v>
      </c>
      <c r="AV58" s="232">
        <f t="shared" si="54"/>
        <v>972.71309189460328</v>
      </c>
      <c r="AW58" s="233">
        <v>0.19289999999999999</v>
      </c>
      <c r="AX58" s="234">
        <f t="shared" si="55"/>
        <v>1266.361962873749</v>
      </c>
      <c r="AY58" s="235">
        <f t="shared" si="59"/>
        <v>6219.3931706816065</v>
      </c>
      <c r="AZ58" s="234">
        <f t="shared" si="60"/>
        <v>6564.8624306570719</v>
      </c>
      <c r="BA58" s="395">
        <f t="shared" si="32"/>
        <v>2620.498959060576</v>
      </c>
    </row>
    <row r="59" spans="1:53" x14ac:dyDescent="0.25">
      <c r="A59" s="245">
        <f t="shared" si="29"/>
        <v>6893.579520902088</v>
      </c>
      <c r="B59" s="220" t="str">
        <f>IF(Helexia!C59=0,"",Helexia!C59)</f>
        <v>Luciana Martins da Rocha Pimentel</v>
      </c>
      <c r="C59" s="221" t="str">
        <f>IF(Helexia!G59=0,"",Helexia!G59)</f>
        <v>CLT</v>
      </c>
      <c r="D59" s="226">
        <v>1518</v>
      </c>
      <c r="K59" s="228">
        <f t="shared" si="30"/>
        <v>1518</v>
      </c>
      <c r="L59" s="243">
        <f t="shared" si="33"/>
        <v>455.4</v>
      </c>
      <c r="M59" s="229">
        <f t="shared" si="34"/>
        <v>1973.4</v>
      </c>
      <c r="N59" s="229">
        <f t="shared" si="35"/>
        <v>696.61019999999996</v>
      </c>
      <c r="O59" s="229">
        <f t="shared" si="36"/>
        <v>219.24473999999998</v>
      </c>
      <c r="P59" s="226">
        <f t="shared" si="37"/>
        <v>164.38422</v>
      </c>
      <c r="Q59" s="229">
        <f t="shared" si="38"/>
        <v>135.42102287999998</v>
      </c>
      <c r="R59" s="229">
        <f t="shared" si="39"/>
        <v>164.45000000000002</v>
      </c>
      <c r="S59" s="229">
        <f t="shared" si="40"/>
        <v>94.28115840000001</v>
      </c>
      <c r="T59" s="226">
        <v>216</v>
      </c>
      <c r="U59" s="226">
        <v>0</v>
      </c>
      <c r="V59" s="229">
        <f t="shared" si="31"/>
        <v>1690.39134128</v>
      </c>
      <c r="W59" s="226">
        <f t="shared" si="41"/>
        <v>20.833333333333332</v>
      </c>
      <c r="X59" s="226">
        <f t="shared" si="9"/>
        <v>20.833333333333332</v>
      </c>
      <c r="Y59" s="226">
        <f t="shared" si="42"/>
        <v>18.75</v>
      </c>
      <c r="Z59" s="226">
        <f t="shared" si="43"/>
        <v>3.5714285714285716</v>
      </c>
      <c r="AA59" s="226">
        <f t="shared" si="44"/>
        <v>82.408333333333317</v>
      </c>
      <c r="AB59" s="226">
        <f t="shared" si="45"/>
        <v>87.916666666666657</v>
      </c>
      <c r="AC59" s="230">
        <f t="shared" si="46"/>
        <v>150</v>
      </c>
      <c r="AD59" s="226">
        <f t="shared" si="47"/>
        <v>66.666666666666671</v>
      </c>
      <c r="AE59" s="226">
        <f t="shared" si="48"/>
        <v>15</v>
      </c>
      <c r="AF59" s="226">
        <v>400</v>
      </c>
      <c r="AG59" s="229">
        <f t="shared" si="49"/>
        <v>865.97976190476197</v>
      </c>
      <c r="AH59" s="229">
        <f t="shared" si="50"/>
        <v>4529.7711031847621</v>
      </c>
      <c r="AI59" s="231">
        <v>0.04</v>
      </c>
      <c r="AJ59" s="232">
        <f t="shared" si="51"/>
        <v>181.19084412739048</v>
      </c>
      <c r="AK59" s="233">
        <v>0.04</v>
      </c>
      <c r="AL59" s="234">
        <f t="shared" si="56"/>
        <v>275.74318083608352</v>
      </c>
      <c r="AM59" s="231">
        <v>0.01</v>
      </c>
      <c r="AN59" s="232">
        <f t="shared" si="57"/>
        <v>45.297711031847619</v>
      </c>
      <c r="AO59" s="233">
        <v>0.01</v>
      </c>
      <c r="AP59" s="234">
        <f t="shared" si="52"/>
        <v>68.935795209020881</v>
      </c>
      <c r="AQ59" s="231">
        <v>0.1</v>
      </c>
      <c r="AR59" s="232">
        <f t="shared" si="58"/>
        <v>452.97711031847621</v>
      </c>
      <c r="AS59" s="233">
        <v>0.1</v>
      </c>
      <c r="AT59" s="234">
        <f t="shared" si="53"/>
        <v>689.35795209020887</v>
      </c>
      <c r="AU59" s="231">
        <v>0.15640000000000001</v>
      </c>
      <c r="AV59" s="232">
        <f t="shared" si="54"/>
        <v>1021.4189742475445</v>
      </c>
      <c r="AW59" s="233">
        <v>0.19289999999999999</v>
      </c>
      <c r="AX59" s="234">
        <f t="shared" si="55"/>
        <v>1329.7714895820127</v>
      </c>
      <c r="AY59" s="235">
        <f t="shared" si="59"/>
        <v>6530.8118558027136</v>
      </c>
      <c r="AZ59" s="234">
        <f t="shared" si="60"/>
        <v>6893.579520902088</v>
      </c>
      <c r="BA59" s="395">
        <f t="shared" si="32"/>
        <v>2620.498959060576</v>
      </c>
    </row>
    <row r="60" spans="1:53" x14ac:dyDescent="0.25">
      <c r="A60" s="245">
        <f t="shared" si="29"/>
        <v>1698.5599813825941</v>
      </c>
      <c r="B60" s="248" t="str">
        <f>IF(Helexia!C60=0,"",Helexia!C60)</f>
        <v>Bruno César do Carmo Teixeira</v>
      </c>
      <c r="C60" s="221" t="str">
        <f>IF(Helexia!G60=0,"",Helexia!G60)</f>
        <v>Estágio</v>
      </c>
      <c r="D60" s="226">
        <v>820</v>
      </c>
      <c r="K60" s="228">
        <f t="shared" si="30"/>
        <v>820</v>
      </c>
      <c r="L60" s="243">
        <f t="shared" si="33"/>
        <v>246</v>
      </c>
      <c r="M60" s="229">
        <f t="shared" si="34"/>
        <v>1066</v>
      </c>
      <c r="N60" s="229">
        <f t="shared" si="35"/>
        <v>376.298</v>
      </c>
      <c r="O60" s="229">
        <f t="shared" si="36"/>
        <v>118.43259999999999</v>
      </c>
      <c r="P60" s="226">
        <f t="shared" si="37"/>
        <v>88.797799999999995</v>
      </c>
      <c r="Q60" s="229">
        <f t="shared" si="38"/>
        <v>73.152331199999992</v>
      </c>
      <c r="R60" s="229">
        <f t="shared" si="39"/>
        <v>88.833333333333329</v>
      </c>
      <c r="S60" s="229">
        <f t="shared" si="40"/>
        <v>50.929216000000004</v>
      </c>
      <c r="T60" s="226">
        <v>0</v>
      </c>
      <c r="U60" s="226">
        <v>0</v>
      </c>
      <c r="V60" s="229">
        <f t="shared" si="31"/>
        <v>796.44328053333322</v>
      </c>
      <c r="W60" s="226">
        <f t="shared" si="41"/>
        <v>20.833333333333332</v>
      </c>
      <c r="X60" s="226">
        <f t="shared" si="9"/>
        <v>20.833333333333332</v>
      </c>
      <c r="Y60" s="226">
        <f t="shared" si="42"/>
        <v>18.75</v>
      </c>
      <c r="Z60" s="226">
        <f t="shared" si="43"/>
        <v>3.5714285714285716</v>
      </c>
      <c r="AA60" s="226">
        <f t="shared" si="44"/>
        <v>82.408333333333317</v>
      </c>
      <c r="AB60" s="226">
        <f t="shared" si="45"/>
        <v>87.916666666666657</v>
      </c>
      <c r="AC60" s="230">
        <f t="shared" si="46"/>
        <v>150</v>
      </c>
      <c r="AD60" s="226">
        <f t="shared" si="47"/>
        <v>66.666666666666671</v>
      </c>
      <c r="AE60" s="226">
        <f t="shared" si="48"/>
        <v>15</v>
      </c>
      <c r="AF60" s="226">
        <v>400</v>
      </c>
      <c r="AG60" s="229">
        <f t="shared" si="49"/>
        <v>865.97976190476197</v>
      </c>
      <c r="AH60" s="229">
        <f t="shared" si="50"/>
        <v>2728.4230424380949</v>
      </c>
      <c r="AI60" s="231">
        <v>0.04</v>
      </c>
      <c r="AJ60" s="232">
        <f t="shared" si="51"/>
        <v>109.1369216975238</v>
      </c>
      <c r="AK60" s="233">
        <v>0.04</v>
      </c>
      <c r="AL60" s="234">
        <f t="shared" si="56"/>
        <v>166.08875619772303</v>
      </c>
      <c r="AM60" s="231">
        <v>0.01</v>
      </c>
      <c r="AN60" s="232">
        <f t="shared" si="57"/>
        <v>27.284230424380951</v>
      </c>
      <c r="AO60" s="233">
        <v>0.01</v>
      </c>
      <c r="AP60" s="234">
        <f t="shared" si="52"/>
        <v>41.522189049430757</v>
      </c>
      <c r="AQ60" s="231">
        <v>0.1</v>
      </c>
      <c r="AR60" s="232">
        <f t="shared" si="58"/>
        <v>272.84230424380951</v>
      </c>
      <c r="AS60" s="233">
        <v>0.1</v>
      </c>
      <c r="AT60" s="234">
        <f t="shared" si="53"/>
        <v>415.22189049430756</v>
      </c>
      <c r="AU60" s="231">
        <v>0.15640000000000001</v>
      </c>
      <c r="AV60" s="232">
        <f t="shared" si="54"/>
        <v>615.23264682427634</v>
      </c>
      <c r="AW60" s="233">
        <v>0.19289999999999999</v>
      </c>
      <c r="AX60" s="234">
        <f t="shared" si="55"/>
        <v>800.96302676351922</v>
      </c>
      <c r="AY60" s="235">
        <f t="shared" si="59"/>
        <v>3933.7125756027895</v>
      </c>
      <c r="AZ60" s="234">
        <f t="shared" si="60"/>
        <v>4152.2189049430754</v>
      </c>
      <c r="BA60" s="395">
        <f t="shared" si="32"/>
        <v>1698.5599813825941</v>
      </c>
    </row>
    <row r="61" spans="1:53" x14ac:dyDescent="0.25">
      <c r="A61" s="245">
        <f t="shared" si="29"/>
        <v>1698.5599813825941</v>
      </c>
      <c r="B61" s="248" t="str">
        <f>IF(Helexia!C61=0,"",Helexia!C61)</f>
        <v>Patrícia Alves dos Anjos Guimarães</v>
      </c>
      <c r="C61" s="221" t="str">
        <f>IF(Helexia!G61=0,"",Helexia!G61)</f>
        <v>Estágio</v>
      </c>
      <c r="D61" s="226">
        <v>820</v>
      </c>
      <c r="K61" s="228">
        <f t="shared" si="30"/>
        <v>820</v>
      </c>
      <c r="L61" s="243">
        <f t="shared" si="33"/>
        <v>246</v>
      </c>
      <c r="M61" s="229">
        <f t="shared" si="34"/>
        <v>1066</v>
      </c>
      <c r="N61" s="229">
        <f t="shared" si="35"/>
        <v>376.298</v>
      </c>
      <c r="O61" s="229">
        <f t="shared" si="36"/>
        <v>118.43259999999999</v>
      </c>
      <c r="P61" s="226">
        <f t="shared" si="37"/>
        <v>88.797799999999995</v>
      </c>
      <c r="Q61" s="229">
        <f t="shared" si="38"/>
        <v>73.152331199999992</v>
      </c>
      <c r="R61" s="229">
        <f t="shared" si="39"/>
        <v>88.833333333333329</v>
      </c>
      <c r="S61" s="229">
        <f t="shared" si="40"/>
        <v>50.929216000000004</v>
      </c>
      <c r="T61" s="226">
        <v>0</v>
      </c>
      <c r="U61" s="226">
        <v>0</v>
      </c>
      <c r="V61" s="229">
        <f t="shared" si="31"/>
        <v>796.44328053333322</v>
      </c>
      <c r="W61" s="226">
        <f t="shared" si="41"/>
        <v>20.833333333333332</v>
      </c>
      <c r="X61" s="226">
        <f t="shared" si="9"/>
        <v>20.833333333333332</v>
      </c>
      <c r="Y61" s="226">
        <f t="shared" si="42"/>
        <v>18.75</v>
      </c>
      <c r="Z61" s="226">
        <f t="shared" si="43"/>
        <v>3.5714285714285716</v>
      </c>
      <c r="AA61" s="226">
        <f t="shared" si="44"/>
        <v>82.408333333333317</v>
      </c>
      <c r="AB61" s="226">
        <f t="shared" si="45"/>
        <v>87.916666666666657</v>
      </c>
      <c r="AC61" s="230">
        <f t="shared" si="46"/>
        <v>150</v>
      </c>
      <c r="AD61" s="226">
        <f t="shared" si="47"/>
        <v>66.666666666666671</v>
      </c>
      <c r="AE61" s="226">
        <f t="shared" si="48"/>
        <v>15</v>
      </c>
      <c r="AF61" s="226">
        <v>400</v>
      </c>
      <c r="AG61" s="229">
        <f t="shared" si="49"/>
        <v>865.97976190476197</v>
      </c>
      <c r="AH61" s="229">
        <f t="shared" si="50"/>
        <v>2728.4230424380949</v>
      </c>
      <c r="AI61" s="231">
        <v>0.04</v>
      </c>
      <c r="AJ61" s="232">
        <f t="shared" si="51"/>
        <v>109.1369216975238</v>
      </c>
      <c r="AK61" s="233">
        <v>0.04</v>
      </c>
      <c r="AL61" s="234">
        <f t="shared" si="56"/>
        <v>166.08875619772303</v>
      </c>
      <c r="AM61" s="231">
        <v>0.01</v>
      </c>
      <c r="AN61" s="232">
        <f t="shared" si="57"/>
        <v>27.284230424380951</v>
      </c>
      <c r="AO61" s="233">
        <v>0.01</v>
      </c>
      <c r="AP61" s="234">
        <f t="shared" si="52"/>
        <v>41.522189049430757</v>
      </c>
      <c r="AQ61" s="231">
        <v>0.1</v>
      </c>
      <c r="AR61" s="232">
        <f t="shared" si="58"/>
        <v>272.84230424380951</v>
      </c>
      <c r="AS61" s="233">
        <v>0.1</v>
      </c>
      <c r="AT61" s="234">
        <f t="shared" si="53"/>
        <v>415.22189049430756</v>
      </c>
      <c r="AU61" s="231">
        <v>0.15640000000000001</v>
      </c>
      <c r="AV61" s="232">
        <f t="shared" si="54"/>
        <v>615.23264682427634</v>
      </c>
      <c r="AW61" s="233">
        <v>0.19289999999999999</v>
      </c>
      <c r="AX61" s="234">
        <f t="shared" si="55"/>
        <v>800.96302676351922</v>
      </c>
      <c r="AY61" s="235">
        <f t="shared" si="59"/>
        <v>3933.7125756027895</v>
      </c>
      <c r="AZ61" s="234">
        <f t="shared" si="60"/>
        <v>4152.2189049430754</v>
      </c>
      <c r="BA61" s="395">
        <f t="shared" si="32"/>
        <v>1698.5599813825941</v>
      </c>
    </row>
    <row r="62" spans="1:53" x14ac:dyDescent="0.25">
      <c r="A62" s="245">
        <f t="shared" si="29"/>
        <v>1698.5599813825941</v>
      </c>
      <c r="B62" s="248" t="str">
        <f>IF(Helexia!C62=0,"",Helexia!C62)</f>
        <v>Eduardo Vinícius de Azevedo Moreira</v>
      </c>
      <c r="C62" s="221" t="str">
        <f>IF(Helexia!G62=0,"",Helexia!G62)</f>
        <v>Estágio</v>
      </c>
      <c r="D62" s="226">
        <v>820</v>
      </c>
      <c r="K62" s="228">
        <f t="shared" si="30"/>
        <v>820</v>
      </c>
      <c r="L62" s="243">
        <f t="shared" si="33"/>
        <v>246</v>
      </c>
      <c r="M62" s="229">
        <f t="shared" si="34"/>
        <v>1066</v>
      </c>
      <c r="N62" s="229">
        <f t="shared" si="35"/>
        <v>376.298</v>
      </c>
      <c r="O62" s="229">
        <f t="shared" si="36"/>
        <v>118.43259999999999</v>
      </c>
      <c r="P62" s="226">
        <f t="shared" si="37"/>
        <v>88.797799999999995</v>
      </c>
      <c r="Q62" s="229">
        <f t="shared" si="38"/>
        <v>73.152331199999992</v>
      </c>
      <c r="R62" s="229">
        <f t="shared" si="39"/>
        <v>88.833333333333329</v>
      </c>
      <c r="S62" s="229">
        <f t="shared" si="40"/>
        <v>50.929216000000004</v>
      </c>
      <c r="T62" s="226">
        <v>0</v>
      </c>
      <c r="U62" s="226">
        <v>0</v>
      </c>
      <c r="V62" s="229">
        <f t="shared" si="31"/>
        <v>796.44328053333322</v>
      </c>
      <c r="W62" s="226">
        <f t="shared" si="41"/>
        <v>20.833333333333332</v>
      </c>
      <c r="X62" s="226">
        <f t="shared" si="9"/>
        <v>20.833333333333332</v>
      </c>
      <c r="Y62" s="226">
        <f t="shared" si="42"/>
        <v>18.75</v>
      </c>
      <c r="Z62" s="226">
        <f t="shared" si="43"/>
        <v>3.5714285714285716</v>
      </c>
      <c r="AA62" s="226">
        <f t="shared" si="44"/>
        <v>82.408333333333317</v>
      </c>
      <c r="AB62" s="226">
        <f t="shared" si="45"/>
        <v>87.916666666666657</v>
      </c>
      <c r="AC62" s="230">
        <f t="shared" si="46"/>
        <v>150</v>
      </c>
      <c r="AD62" s="226">
        <f t="shared" si="47"/>
        <v>66.666666666666671</v>
      </c>
      <c r="AE62" s="226">
        <f t="shared" si="48"/>
        <v>15</v>
      </c>
      <c r="AF62" s="226">
        <v>400</v>
      </c>
      <c r="AG62" s="229">
        <f t="shared" si="49"/>
        <v>865.97976190476197</v>
      </c>
      <c r="AH62" s="229">
        <f t="shared" si="50"/>
        <v>2728.4230424380949</v>
      </c>
      <c r="AI62" s="231">
        <v>0.04</v>
      </c>
      <c r="AJ62" s="232">
        <f t="shared" si="51"/>
        <v>109.1369216975238</v>
      </c>
      <c r="AK62" s="233">
        <v>0.04</v>
      </c>
      <c r="AL62" s="234">
        <f t="shared" si="56"/>
        <v>166.08875619772303</v>
      </c>
      <c r="AM62" s="231">
        <v>0.01</v>
      </c>
      <c r="AN62" s="232">
        <f t="shared" si="57"/>
        <v>27.284230424380951</v>
      </c>
      <c r="AO62" s="233">
        <v>0.01</v>
      </c>
      <c r="AP62" s="234">
        <f t="shared" si="52"/>
        <v>41.522189049430757</v>
      </c>
      <c r="AQ62" s="231">
        <v>0.1</v>
      </c>
      <c r="AR62" s="232">
        <f t="shared" si="58"/>
        <v>272.84230424380951</v>
      </c>
      <c r="AS62" s="233">
        <v>0.1</v>
      </c>
      <c r="AT62" s="234">
        <f t="shared" si="53"/>
        <v>415.22189049430756</v>
      </c>
      <c r="AU62" s="231">
        <v>0.15640000000000001</v>
      </c>
      <c r="AV62" s="232">
        <f t="shared" si="54"/>
        <v>615.23264682427634</v>
      </c>
      <c r="AW62" s="233">
        <v>0.19289999999999999</v>
      </c>
      <c r="AX62" s="234">
        <f t="shared" si="55"/>
        <v>800.96302676351922</v>
      </c>
      <c r="AY62" s="235">
        <f t="shared" si="59"/>
        <v>3933.7125756027895</v>
      </c>
      <c r="AZ62" s="234">
        <f t="shared" si="60"/>
        <v>4152.2189049430754</v>
      </c>
      <c r="BA62" s="395">
        <f t="shared" si="32"/>
        <v>1698.5599813825941</v>
      </c>
    </row>
    <row r="63" spans="1:53" x14ac:dyDescent="0.25">
      <c r="A63" s="245">
        <f t="shared" si="29"/>
        <v>1698.5599813825941</v>
      </c>
      <c r="B63" s="220" t="str">
        <f>IF(Helexia!C63=0,"",Helexia!C63)</f>
        <v>Renata Cristina da Silva Monteiro</v>
      </c>
      <c r="C63" s="221" t="str">
        <f>IF(Helexia!G63=0,"",Helexia!G63)</f>
        <v>Estágio</v>
      </c>
      <c r="D63" s="226">
        <v>820</v>
      </c>
      <c r="K63" s="228">
        <f t="shared" si="30"/>
        <v>820</v>
      </c>
      <c r="L63" s="243">
        <f t="shared" si="33"/>
        <v>246</v>
      </c>
      <c r="M63" s="229">
        <f t="shared" si="34"/>
        <v>1066</v>
      </c>
      <c r="N63" s="229">
        <f t="shared" si="35"/>
        <v>376.298</v>
      </c>
      <c r="O63" s="229">
        <f t="shared" si="36"/>
        <v>118.43259999999999</v>
      </c>
      <c r="P63" s="226">
        <f t="shared" si="37"/>
        <v>88.797799999999995</v>
      </c>
      <c r="Q63" s="229">
        <f t="shared" si="38"/>
        <v>73.152331199999992</v>
      </c>
      <c r="R63" s="229">
        <f t="shared" si="39"/>
        <v>88.833333333333329</v>
      </c>
      <c r="S63" s="229">
        <f t="shared" si="40"/>
        <v>50.929216000000004</v>
      </c>
      <c r="T63" s="226">
        <v>0</v>
      </c>
      <c r="U63" s="226">
        <v>0</v>
      </c>
      <c r="V63" s="229">
        <f t="shared" si="31"/>
        <v>796.44328053333322</v>
      </c>
      <c r="W63" s="226">
        <f t="shared" si="41"/>
        <v>20.833333333333332</v>
      </c>
      <c r="X63" s="226">
        <f t="shared" si="9"/>
        <v>20.833333333333332</v>
      </c>
      <c r="Y63" s="226">
        <f t="shared" si="42"/>
        <v>18.75</v>
      </c>
      <c r="Z63" s="226">
        <f t="shared" si="43"/>
        <v>3.5714285714285716</v>
      </c>
      <c r="AA63" s="226">
        <f t="shared" si="44"/>
        <v>82.408333333333317</v>
      </c>
      <c r="AB63" s="226">
        <f t="shared" si="45"/>
        <v>87.916666666666657</v>
      </c>
      <c r="AC63" s="230">
        <f t="shared" si="46"/>
        <v>150</v>
      </c>
      <c r="AD63" s="226">
        <f t="shared" si="47"/>
        <v>66.666666666666671</v>
      </c>
      <c r="AE63" s="226">
        <f t="shared" si="48"/>
        <v>15</v>
      </c>
      <c r="AF63" s="226">
        <v>400</v>
      </c>
      <c r="AG63" s="229">
        <f t="shared" si="49"/>
        <v>865.97976190476197</v>
      </c>
      <c r="AH63" s="229">
        <f t="shared" si="50"/>
        <v>2728.4230424380949</v>
      </c>
      <c r="AI63" s="231">
        <v>0.04</v>
      </c>
      <c r="AJ63" s="232">
        <f t="shared" si="51"/>
        <v>109.1369216975238</v>
      </c>
      <c r="AK63" s="233">
        <v>0.04</v>
      </c>
      <c r="AL63" s="234">
        <f t="shared" si="56"/>
        <v>166.08875619772303</v>
      </c>
      <c r="AM63" s="231">
        <v>0.01</v>
      </c>
      <c r="AN63" s="232">
        <f t="shared" si="57"/>
        <v>27.284230424380951</v>
      </c>
      <c r="AO63" s="233">
        <v>0.01</v>
      </c>
      <c r="AP63" s="234">
        <f t="shared" si="52"/>
        <v>41.522189049430757</v>
      </c>
      <c r="AQ63" s="231">
        <v>0.1</v>
      </c>
      <c r="AR63" s="232">
        <f t="shared" si="58"/>
        <v>272.84230424380951</v>
      </c>
      <c r="AS63" s="233">
        <v>0.1</v>
      </c>
      <c r="AT63" s="234">
        <f t="shared" si="53"/>
        <v>415.22189049430756</v>
      </c>
      <c r="AU63" s="231">
        <v>0.15640000000000001</v>
      </c>
      <c r="AV63" s="232">
        <f t="shared" si="54"/>
        <v>615.23264682427634</v>
      </c>
      <c r="AW63" s="233">
        <v>0.19289999999999999</v>
      </c>
      <c r="AX63" s="234">
        <f t="shared" si="55"/>
        <v>800.96302676351922</v>
      </c>
      <c r="AY63" s="235">
        <f t="shared" si="59"/>
        <v>3933.7125756027895</v>
      </c>
      <c r="AZ63" s="234">
        <f t="shared" si="60"/>
        <v>4152.2189049430754</v>
      </c>
      <c r="BA63" s="395">
        <f t="shared" si="32"/>
        <v>1698.5599813825941</v>
      </c>
    </row>
    <row r="64" spans="1:53" x14ac:dyDescent="0.25">
      <c r="A64" s="245" t="str">
        <f>IF(D64=0, "", AZ64)</f>
        <v/>
      </c>
      <c r="B64" s="220" t="str">
        <f>IF(Helexia!C64=0,"",Helexia!C64)</f>
        <v/>
      </c>
      <c r="C64" s="221" t="str">
        <f>IF(Helexia!G64=0,"",Helexia!G64)</f>
        <v/>
      </c>
      <c r="K64" s="228">
        <f t="shared" si="30"/>
        <v>0</v>
      </c>
      <c r="L64" s="243">
        <f t="shared" si="33"/>
        <v>0</v>
      </c>
      <c r="M64" s="229">
        <f t="shared" si="34"/>
        <v>0</v>
      </c>
      <c r="N64" s="229">
        <f t="shared" si="35"/>
        <v>0</v>
      </c>
      <c r="O64" s="229">
        <f t="shared" si="36"/>
        <v>0</v>
      </c>
      <c r="P64" s="226">
        <f t="shared" si="37"/>
        <v>0</v>
      </c>
      <c r="Q64" s="229">
        <f t="shared" si="38"/>
        <v>0</v>
      </c>
      <c r="R64" s="229">
        <f t="shared" si="39"/>
        <v>0</v>
      </c>
      <c r="S64" s="229">
        <f t="shared" si="40"/>
        <v>0</v>
      </c>
      <c r="T64" s="226">
        <v>0</v>
      </c>
      <c r="U64" s="226">
        <v>0</v>
      </c>
      <c r="V64" s="229">
        <f t="shared" si="31"/>
        <v>0</v>
      </c>
      <c r="W64" s="226">
        <f t="shared" si="41"/>
        <v>20.833333333333332</v>
      </c>
      <c r="X64" s="226">
        <f t="shared" si="9"/>
        <v>20.833333333333332</v>
      </c>
      <c r="Y64" s="226">
        <f t="shared" si="42"/>
        <v>18.75</v>
      </c>
      <c r="Z64" s="226">
        <f t="shared" si="43"/>
        <v>3.5714285714285716</v>
      </c>
      <c r="AA64" s="226">
        <f t="shared" si="44"/>
        <v>82.408333333333317</v>
      </c>
      <c r="AB64" s="226">
        <f t="shared" si="45"/>
        <v>87.916666666666657</v>
      </c>
      <c r="AC64" s="230">
        <f t="shared" si="46"/>
        <v>150</v>
      </c>
      <c r="AD64" s="226">
        <f t="shared" si="47"/>
        <v>66.666666666666671</v>
      </c>
      <c r="AE64" s="226">
        <f t="shared" si="48"/>
        <v>15</v>
      </c>
      <c r="AF64" s="226">
        <v>400</v>
      </c>
      <c r="AG64" s="229">
        <f t="shared" si="49"/>
        <v>865.97976190476197</v>
      </c>
      <c r="AH64" s="229">
        <f t="shared" si="50"/>
        <v>865.97976190476197</v>
      </c>
      <c r="AI64" s="231">
        <v>0.04</v>
      </c>
      <c r="AJ64" s="232">
        <f t="shared" si="51"/>
        <v>34.639190476190478</v>
      </c>
      <c r="AK64" s="233">
        <v>0.04</v>
      </c>
      <c r="AL64" s="234">
        <f t="shared" si="56"/>
        <v>52.715249545260207</v>
      </c>
      <c r="AM64" s="231">
        <v>0.01</v>
      </c>
      <c r="AN64" s="232">
        <f t="shared" si="57"/>
        <v>8.6597976190476196</v>
      </c>
      <c r="AO64" s="233">
        <v>0.01</v>
      </c>
      <c r="AP64" s="234">
        <f t="shared" si="52"/>
        <v>13.178812386315052</v>
      </c>
      <c r="AQ64" s="231">
        <v>0.1</v>
      </c>
      <c r="AR64" s="232">
        <f t="shared" si="58"/>
        <v>86.597976190476203</v>
      </c>
      <c r="AS64" s="233">
        <v>0.1</v>
      </c>
      <c r="AT64" s="234">
        <f t="shared" si="53"/>
        <v>131.7881238631505</v>
      </c>
      <c r="AU64" s="231">
        <v>0.15640000000000001</v>
      </c>
      <c r="AV64" s="232">
        <f t="shared" si="54"/>
        <v>195.26994631185812</v>
      </c>
      <c r="AW64" s="233">
        <v>0.19289999999999999</v>
      </c>
      <c r="AX64" s="234">
        <f t="shared" si="55"/>
        <v>254.21929093201732</v>
      </c>
      <c r="AY64" s="235">
        <f t="shared" si="59"/>
        <v>1248.5290684901413</v>
      </c>
      <c r="AZ64" s="234">
        <f t="shared" si="60"/>
        <v>1317.8812386315051</v>
      </c>
      <c r="BA64" s="395">
        <f t="shared" si="32"/>
        <v>615.47980703310247</v>
      </c>
    </row>
    <row r="65" spans="1:53" x14ac:dyDescent="0.25">
      <c r="A65" s="245" t="str">
        <f>IF(D65=0, "", AZ65)</f>
        <v/>
      </c>
      <c r="B65" s="220" t="str">
        <f>IF(Helexia!C65=0,"",Helexia!C65)</f>
        <v/>
      </c>
      <c r="C65" s="221" t="str">
        <f>IF(Helexia!G65=0,"",Helexia!G65)</f>
        <v/>
      </c>
      <c r="K65" s="228">
        <f t="shared" si="30"/>
        <v>0</v>
      </c>
      <c r="L65" s="243">
        <f t="shared" ref="L65:L82" si="78">K65 * 0.3</f>
        <v>0</v>
      </c>
      <c r="M65" s="229">
        <f t="shared" ref="M65:M82" si="79">K65+L65</f>
        <v>0</v>
      </c>
      <c r="N65" s="229">
        <f t="shared" ref="N65:N82" si="80">M65 * 35.3%</f>
        <v>0</v>
      </c>
      <c r="O65" s="229">
        <f t="shared" ref="O65:O82" si="81">M65 * 11.11%</f>
        <v>0</v>
      </c>
      <c r="P65" s="226">
        <f t="shared" ref="P65:P82" si="82">M65 * 8.33%</f>
        <v>0</v>
      </c>
      <c r="Q65" s="229">
        <f t="shared" ref="Q65:Q82" si="83">(O65+P65) * 35.3%</f>
        <v>0</v>
      </c>
      <c r="R65" s="229">
        <f t="shared" ref="R65:R82" si="84">M65/12</f>
        <v>0</v>
      </c>
      <c r="S65" s="229">
        <f t="shared" ref="S65:S82" si="85">((M65+O65+P65)*8%)*50%</f>
        <v>0</v>
      </c>
      <c r="T65" s="226">
        <v>0</v>
      </c>
      <c r="U65" s="226">
        <v>0</v>
      </c>
      <c r="V65" s="229">
        <f t="shared" si="31"/>
        <v>0</v>
      </c>
      <c r="W65" s="226">
        <f t="shared" ref="W65:W82" si="86">500/24</f>
        <v>20.833333333333332</v>
      </c>
      <c r="X65" s="226">
        <f t="shared" si="9"/>
        <v>20.833333333333332</v>
      </c>
      <c r="Y65" s="226">
        <f t="shared" ref="Y65:Y82" si="87">450/24</f>
        <v>18.75</v>
      </c>
      <c r="Z65" s="226">
        <f t="shared" ref="Z65:Z82" si="88">((1500*2)/24)/35</f>
        <v>3.5714285714285716</v>
      </c>
      <c r="AA65" s="226">
        <f t="shared" ref="AA65:AA82" si="89">(89.9 + 49.9 + 89.9 + 89.9 + 89.9 + 129.9 + 89.9 + 89.9 + 49.9 + 89.9 + 129.9)/12</f>
        <v>82.408333333333317</v>
      </c>
      <c r="AB65" s="226">
        <f t="shared" ref="AB65:AB82" si="90">(308/12)+(500/12)+(65/12)+(150/12)+(4/12)+(28/12)</f>
        <v>87.916666666666657</v>
      </c>
      <c r="AC65" s="230">
        <f t="shared" ref="AC65:AC82" si="91">1800/12</f>
        <v>150</v>
      </c>
      <c r="AD65" s="226">
        <f t="shared" ref="AD65:AD82" si="92">800/12</f>
        <v>66.666666666666671</v>
      </c>
      <c r="AE65" s="226">
        <f t="shared" ref="AE65:AE82" si="93">180/12</f>
        <v>15</v>
      </c>
      <c r="AF65" s="226">
        <v>400</v>
      </c>
      <c r="AG65" s="229">
        <f t="shared" ref="AG65:AG82" si="94">SUM(W65:AF65)</f>
        <v>865.97976190476197</v>
      </c>
      <c r="AH65" s="229">
        <f t="shared" ref="AH65:AH82" si="95">M65+V65+AG65</f>
        <v>865.97976190476197</v>
      </c>
      <c r="AI65" s="231">
        <v>0.04</v>
      </c>
      <c r="AJ65" s="232">
        <f t="shared" ref="AJ65:AJ82" si="96">AH65*AI65</f>
        <v>34.639190476190478</v>
      </c>
      <c r="AK65" s="233">
        <v>0.04</v>
      </c>
      <c r="AL65" s="234">
        <f t="shared" si="56"/>
        <v>52.715249545260207</v>
      </c>
      <c r="AM65" s="231">
        <v>0.01</v>
      </c>
      <c r="AN65" s="232">
        <f t="shared" si="57"/>
        <v>8.6597976190476196</v>
      </c>
      <c r="AO65" s="233">
        <v>0.01</v>
      </c>
      <c r="AP65" s="234">
        <f t="shared" ref="AP65:AP82" si="97">AZ65*AO65</f>
        <v>13.178812386315052</v>
      </c>
      <c r="AQ65" s="231">
        <v>0.1</v>
      </c>
      <c r="AR65" s="232">
        <f t="shared" si="58"/>
        <v>86.597976190476203</v>
      </c>
      <c r="AS65" s="233">
        <v>0.1</v>
      </c>
      <c r="AT65" s="234">
        <f t="shared" ref="AT65:AT82" si="98">AZ65*AS65</f>
        <v>131.7881238631505</v>
      </c>
      <c r="AU65" s="231">
        <v>0.15640000000000001</v>
      </c>
      <c r="AV65" s="232">
        <f t="shared" ref="AV65:AV82" si="99">AY65*AU65</f>
        <v>195.26994631185812</v>
      </c>
      <c r="AW65" s="233">
        <v>0.19289999999999999</v>
      </c>
      <c r="AX65" s="234">
        <f t="shared" ref="AX65:AX82" si="100">AZ65*AW65</f>
        <v>254.21929093201732</v>
      </c>
      <c r="AY65" s="235">
        <f t="shared" si="59"/>
        <v>1248.5290684901413</v>
      </c>
      <c r="AZ65" s="234">
        <f t="shared" si="60"/>
        <v>1317.8812386315051</v>
      </c>
      <c r="BA65" s="395">
        <f t="shared" si="32"/>
        <v>615.47980703310247</v>
      </c>
    </row>
    <row r="66" spans="1:53" x14ac:dyDescent="0.25">
      <c r="A66" s="245" t="str">
        <f>IF(D66=0, "", AZ66)</f>
        <v/>
      </c>
      <c r="C66" s="221" t="str">
        <f>IF(Helexia!G66=0,"",Helexia!G66)</f>
        <v/>
      </c>
      <c r="K66" s="228">
        <f t="shared" ref="K66:K82" si="101">D66</f>
        <v>0</v>
      </c>
      <c r="L66" s="243">
        <f t="shared" si="78"/>
        <v>0</v>
      </c>
      <c r="M66" s="229">
        <f t="shared" si="79"/>
        <v>0</v>
      </c>
      <c r="N66" s="229">
        <f t="shared" si="80"/>
        <v>0</v>
      </c>
      <c r="O66" s="229">
        <f t="shared" si="81"/>
        <v>0</v>
      </c>
      <c r="P66" s="226">
        <f t="shared" si="82"/>
        <v>0</v>
      </c>
      <c r="Q66" s="229">
        <f t="shared" si="83"/>
        <v>0</v>
      </c>
      <c r="R66" s="229">
        <f t="shared" si="84"/>
        <v>0</v>
      </c>
      <c r="S66" s="229">
        <f t="shared" si="85"/>
        <v>0</v>
      </c>
      <c r="T66" s="226">
        <v>0</v>
      </c>
      <c r="U66" s="226">
        <v>0</v>
      </c>
      <c r="V66" s="229">
        <f t="shared" ref="V66:V82" si="102">SUM(N66:U66)</f>
        <v>0</v>
      </c>
      <c r="W66" s="226">
        <f t="shared" si="86"/>
        <v>20.833333333333332</v>
      </c>
      <c r="X66" s="226">
        <f t="shared" ref="X66" si="103">500/24</f>
        <v>20.833333333333332</v>
      </c>
      <c r="Y66" s="226">
        <f t="shared" si="87"/>
        <v>18.75</v>
      </c>
      <c r="Z66" s="226">
        <f t="shared" si="88"/>
        <v>3.5714285714285716</v>
      </c>
      <c r="AA66" s="226">
        <f t="shared" si="89"/>
        <v>82.408333333333317</v>
      </c>
      <c r="AB66" s="226">
        <f t="shared" si="90"/>
        <v>87.916666666666657</v>
      </c>
      <c r="AC66" s="230">
        <f t="shared" si="91"/>
        <v>150</v>
      </c>
      <c r="AD66" s="226">
        <f t="shared" si="92"/>
        <v>66.666666666666671</v>
      </c>
      <c r="AE66" s="226">
        <f t="shared" si="93"/>
        <v>15</v>
      </c>
      <c r="AF66" s="226">
        <v>400</v>
      </c>
      <c r="AG66" s="229">
        <f t="shared" si="94"/>
        <v>865.97976190476197</v>
      </c>
      <c r="AH66" s="229">
        <f t="shared" si="95"/>
        <v>865.97976190476197</v>
      </c>
      <c r="AI66" s="231">
        <v>0.04</v>
      </c>
      <c r="AJ66" s="232">
        <f t="shared" si="96"/>
        <v>34.639190476190478</v>
      </c>
      <c r="AK66" s="233">
        <v>0.04</v>
      </c>
      <c r="AL66" s="234">
        <f t="shared" si="56"/>
        <v>52.715249545260207</v>
      </c>
      <c r="AM66" s="231">
        <v>0.01</v>
      </c>
      <c r="AN66" s="232">
        <f t="shared" si="57"/>
        <v>8.6597976190476196</v>
      </c>
      <c r="AO66" s="233">
        <v>0.01</v>
      </c>
      <c r="AP66" s="234">
        <f t="shared" si="97"/>
        <v>13.178812386315052</v>
      </c>
      <c r="AQ66" s="231">
        <v>0.1</v>
      </c>
      <c r="AR66" s="232">
        <f t="shared" si="58"/>
        <v>86.597976190476203</v>
      </c>
      <c r="AS66" s="233">
        <v>0.1</v>
      </c>
      <c r="AT66" s="234">
        <f t="shared" si="98"/>
        <v>131.7881238631505</v>
      </c>
      <c r="AU66" s="231">
        <v>0.15640000000000001</v>
      </c>
      <c r="AV66" s="232">
        <f t="shared" si="99"/>
        <v>195.26994631185812</v>
      </c>
      <c r="AW66" s="233">
        <v>0.19289999999999999</v>
      </c>
      <c r="AX66" s="234">
        <f t="shared" si="100"/>
        <v>254.21929093201732</v>
      </c>
      <c r="AY66" s="235">
        <f t="shared" si="59"/>
        <v>1248.5290684901413</v>
      </c>
      <c r="AZ66" s="234">
        <f t="shared" si="60"/>
        <v>1317.8812386315051</v>
      </c>
      <c r="BA66" s="395">
        <f t="shared" si="32"/>
        <v>615.47980703310247</v>
      </c>
    </row>
    <row r="67" spans="1:53" x14ac:dyDescent="0.25">
      <c r="A67" s="245" t="str">
        <f>IF(D67=0, "", AZ67)</f>
        <v/>
      </c>
      <c r="C67" s="221" t="str">
        <f>IF(Helexia!G67=0,"",Helexia!G67)</f>
        <v/>
      </c>
      <c r="K67" s="228">
        <f t="shared" si="101"/>
        <v>0</v>
      </c>
      <c r="L67" s="243">
        <f t="shared" si="78"/>
        <v>0</v>
      </c>
      <c r="M67" s="229">
        <f t="shared" si="79"/>
        <v>0</v>
      </c>
      <c r="N67" s="229">
        <f t="shared" si="80"/>
        <v>0</v>
      </c>
      <c r="O67" s="229">
        <f t="shared" si="81"/>
        <v>0</v>
      </c>
      <c r="P67" s="226">
        <f t="shared" si="82"/>
        <v>0</v>
      </c>
      <c r="Q67" s="229">
        <f t="shared" si="83"/>
        <v>0</v>
      </c>
      <c r="R67" s="229">
        <f t="shared" si="84"/>
        <v>0</v>
      </c>
      <c r="S67" s="229">
        <f t="shared" si="85"/>
        <v>0</v>
      </c>
      <c r="T67" s="226">
        <v>0</v>
      </c>
      <c r="U67" s="226">
        <v>0</v>
      </c>
      <c r="V67" s="229">
        <f t="shared" si="102"/>
        <v>0</v>
      </c>
      <c r="W67" s="226">
        <f t="shared" si="86"/>
        <v>20.833333333333332</v>
      </c>
      <c r="X67" s="226">
        <f t="shared" si="9"/>
        <v>20.833333333333332</v>
      </c>
      <c r="Y67" s="226">
        <f t="shared" si="87"/>
        <v>18.75</v>
      </c>
      <c r="Z67" s="226">
        <f t="shared" si="88"/>
        <v>3.5714285714285716</v>
      </c>
      <c r="AA67" s="226">
        <f t="shared" si="89"/>
        <v>82.408333333333317</v>
      </c>
      <c r="AB67" s="226">
        <f t="shared" si="90"/>
        <v>87.916666666666657</v>
      </c>
      <c r="AC67" s="230">
        <f t="shared" si="91"/>
        <v>150</v>
      </c>
      <c r="AD67" s="226">
        <f t="shared" si="92"/>
        <v>66.666666666666671</v>
      </c>
      <c r="AE67" s="226">
        <f t="shared" si="93"/>
        <v>15</v>
      </c>
      <c r="AF67" s="226">
        <v>400</v>
      </c>
      <c r="AG67" s="229">
        <f t="shared" si="94"/>
        <v>865.97976190476197</v>
      </c>
      <c r="AH67" s="229">
        <f t="shared" si="95"/>
        <v>865.97976190476197</v>
      </c>
      <c r="AI67" s="231">
        <v>0.04</v>
      </c>
      <c r="AJ67" s="232">
        <f t="shared" si="96"/>
        <v>34.639190476190478</v>
      </c>
      <c r="AK67" s="233">
        <v>0.04</v>
      </c>
      <c r="AL67" s="234">
        <f t="shared" ref="AL67:AL98" si="104">AZ67*AK67</f>
        <v>52.715249545260207</v>
      </c>
      <c r="AM67" s="231">
        <v>0.01</v>
      </c>
      <c r="AN67" s="232">
        <f t="shared" ref="AN67:AN98" si="105">AH67*AM67</f>
        <v>8.6597976190476196</v>
      </c>
      <c r="AO67" s="233">
        <v>0.01</v>
      </c>
      <c r="AP67" s="234">
        <f t="shared" si="97"/>
        <v>13.178812386315052</v>
      </c>
      <c r="AQ67" s="231">
        <v>0.1</v>
      </c>
      <c r="AR67" s="232">
        <f t="shared" ref="AR67:AR98" si="106">AH67*AQ67</f>
        <v>86.597976190476203</v>
      </c>
      <c r="AS67" s="233">
        <v>0.1</v>
      </c>
      <c r="AT67" s="234">
        <f t="shared" si="98"/>
        <v>131.7881238631505</v>
      </c>
      <c r="AU67" s="231">
        <v>0.15640000000000001</v>
      </c>
      <c r="AV67" s="232">
        <f t="shared" si="99"/>
        <v>195.26994631185812</v>
      </c>
      <c r="AW67" s="233">
        <v>0.19289999999999999</v>
      </c>
      <c r="AX67" s="234">
        <f t="shared" si="100"/>
        <v>254.21929093201732</v>
      </c>
      <c r="AY67" s="235">
        <f t="shared" ref="AY67:AY82" si="107">(AH67)/(1-AI67-AM67-AQ67-AU67)</f>
        <v>1248.5290684901413</v>
      </c>
      <c r="AZ67" s="234">
        <f t="shared" ref="AZ67:AZ82" si="108">($AH67)/(1-AK67-AO67-AS67-AW67)</f>
        <v>1317.8812386315051</v>
      </c>
      <c r="BA67" s="395">
        <f t="shared" si="32"/>
        <v>615.47980703310247</v>
      </c>
    </row>
    <row r="68" spans="1:53" x14ac:dyDescent="0.25">
      <c r="A68" s="245" t="str">
        <f>IF(D68=0, "", AZ68)</f>
        <v/>
      </c>
      <c r="C68" s="221" t="str">
        <f>IF(Helexia!G68=0,"",Helexia!G68)</f>
        <v/>
      </c>
      <c r="K68" s="228">
        <f t="shared" si="101"/>
        <v>0</v>
      </c>
      <c r="L68" s="243">
        <f t="shared" si="78"/>
        <v>0</v>
      </c>
      <c r="M68" s="229">
        <f t="shared" si="79"/>
        <v>0</v>
      </c>
      <c r="N68" s="229">
        <f t="shared" si="80"/>
        <v>0</v>
      </c>
      <c r="O68" s="229">
        <f t="shared" si="81"/>
        <v>0</v>
      </c>
      <c r="P68" s="226">
        <f t="shared" si="82"/>
        <v>0</v>
      </c>
      <c r="Q68" s="229">
        <f t="shared" si="83"/>
        <v>0</v>
      </c>
      <c r="R68" s="229">
        <f t="shared" si="84"/>
        <v>0</v>
      </c>
      <c r="S68" s="229">
        <f t="shared" si="85"/>
        <v>0</v>
      </c>
      <c r="T68" s="226">
        <v>0</v>
      </c>
      <c r="U68" s="226">
        <v>0</v>
      </c>
      <c r="V68" s="229">
        <f t="shared" si="102"/>
        <v>0</v>
      </c>
      <c r="W68" s="226">
        <f t="shared" si="86"/>
        <v>20.833333333333332</v>
      </c>
      <c r="X68" s="226">
        <f t="shared" ref="X68:X82" si="109">500/24</f>
        <v>20.833333333333332</v>
      </c>
      <c r="Y68" s="226">
        <f t="shared" si="87"/>
        <v>18.75</v>
      </c>
      <c r="Z68" s="226">
        <f t="shared" si="88"/>
        <v>3.5714285714285716</v>
      </c>
      <c r="AA68" s="226">
        <f t="shared" si="89"/>
        <v>82.408333333333317</v>
      </c>
      <c r="AB68" s="226">
        <f t="shared" si="90"/>
        <v>87.916666666666657</v>
      </c>
      <c r="AC68" s="230">
        <f t="shared" si="91"/>
        <v>150</v>
      </c>
      <c r="AD68" s="226">
        <f t="shared" si="92"/>
        <v>66.666666666666671</v>
      </c>
      <c r="AE68" s="226">
        <f t="shared" si="93"/>
        <v>15</v>
      </c>
      <c r="AF68" s="226">
        <v>400</v>
      </c>
      <c r="AG68" s="229">
        <f t="shared" si="94"/>
        <v>865.97976190476197</v>
      </c>
      <c r="AH68" s="229">
        <f t="shared" si="95"/>
        <v>865.97976190476197</v>
      </c>
      <c r="AI68" s="231">
        <v>0.04</v>
      </c>
      <c r="AJ68" s="232">
        <f t="shared" si="96"/>
        <v>34.639190476190478</v>
      </c>
      <c r="AK68" s="233">
        <v>0.04</v>
      </c>
      <c r="AL68" s="234">
        <f t="shared" si="104"/>
        <v>52.715249545260207</v>
      </c>
      <c r="AM68" s="231">
        <v>0.01</v>
      </c>
      <c r="AN68" s="232">
        <f t="shared" si="105"/>
        <v>8.6597976190476196</v>
      </c>
      <c r="AO68" s="233">
        <v>0.01</v>
      </c>
      <c r="AP68" s="234">
        <f t="shared" si="97"/>
        <v>13.178812386315052</v>
      </c>
      <c r="AQ68" s="231">
        <v>0.1</v>
      </c>
      <c r="AR68" s="232">
        <f t="shared" si="106"/>
        <v>86.597976190476203</v>
      </c>
      <c r="AS68" s="233">
        <v>0.1</v>
      </c>
      <c r="AT68" s="234">
        <f t="shared" si="98"/>
        <v>131.7881238631505</v>
      </c>
      <c r="AU68" s="231">
        <v>0.15640000000000001</v>
      </c>
      <c r="AV68" s="232">
        <f t="shared" si="99"/>
        <v>195.26994631185812</v>
      </c>
      <c r="AW68" s="233">
        <v>0.19289999999999999</v>
      </c>
      <c r="AX68" s="234">
        <f t="shared" si="100"/>
        <v>254.21929093201732</v>
      </c>
      <c r="AY68" s="235">
        <f t="shared" si="107"/>
        <v>1248.5290684901413</v>
      </c>
      <c r="AZ68" s="234">
        <f t="shared" si="108"/>
        <v>1317.8812386315051</v>
      </c>
      <c r="BA68" s="395">
        <f t="shared" ref="BA68:BA82" si="110">SUM($D68+$W68+$X68+$Y68+$Z68+$AA68+$AB68+$AC68+$AD68+$AE68)/(1-$AK68-$AO68-$AW68)</f>
        <v>615.47980703310247</v>
      </c>
    </row>
    <row r="69" spans="1:53" x14ac:dyDescent="0.25">
      <c r="A69" s="246"/>
      <c r="K69" s="228">
        <f t="shared" si="101"/>
        <v>0</v>
      </c>
      <c r="L69" s="243">
        <f t="shared" si="78"/>
        <v>0</v>
      </c>
      <c r="M69" s="229">
        <f t="shared" si="79"/>
        <v>0</v>
      </c>
      <c r="N69" s="229">
        <f t="shared" si="80"/>
        <v>0</v>
      </c>
      <c r="O69" s="229">
        <f t="shared" si="81"/>
        <v>0</v>
      </c>
      <c r="P69" s="226">
        <f t="shared" si="82"/>
        <v>0</v>
      </c>
      <c r="Q69" s="229">
        <f t="shared" si="83"/>
        <v>0</v>
      </c>
      <c r="R69" s="229">
        <f t="shared" si="84"/>
        <v>0</v>
      </c>
      <c r="S69" s="229">
        <f t="shared" si="85"/>
        <v>0</v>
      </c>
      <c r="T69" s="226">
        <v>0</v>
      </c>
      <c r="U69" s="226">
        <v>0</v>
      </c>
      <c r="V69" s="229">
        <f t="shared" si="102"/>
        <v>0</v>
      </c>
      <c r="W69" s="226">
        <f t="shared" si="86"/>
        <v>20.833333333333332</v>
      </c>
      <c r="X69" s="226">
        <f t="shared" si="109"/>
        <v>20.833333333333332</v>
      </c>
      <c r="Y69" s="226">
        <f t="shared" si="87"/>
        <v>18.75</v>
      </c>
      <c r="Z69" s="226">
        <f t="shared" si="88"/>
        <v>3.5714285714285716</v>
      </c>
      <c r="AA69" s="226">
        <f t="shared" si="89"/>
        <v>82.408333333333317</v>
      </c>
      <c r="AB69" s="226">
        <f t="shared" si="90"/>
        <v>87.916666666666657</v>
      </c>
      <c r="AC69" s="230">
        <f t="shared" si="91"/>
        <v>150</v>
      </c>
      <c r="AD69" s="226">
        <f t="shared" si="92"/>
        <v>66.666666666666671</v>
      </c>
      <c r="AE69" s="226">
        <f t="shared" si="93"/>
        <v>15</v>
      </c>
      <c r="AF69" s="226">
        <v>400</v>
      </c>
      <c r="AG69" s="229">
        <f t="shared" si="94"/>
        <v>865.97976190476197</v>
      </c>
      <c r="AH69" s="229">
        <f t="shared" si="95"/>
        <v>865.97976190476197</v>
      </c>
      <c r="AI69" s="231">
        <v>0.04</v>
      </c>
      <c r="AJ69" s="232">
        <f t="shared" si="96"/>
        <v>34.639190476190478</v>
      </c>
      <c r="AK69" s="233">
        <v>0.04</v>
      </c>
      <c r="AL69" s="234">
        <f t="shared" si="104"/>
        <v>52.715249545260207</v>
      </c>
      <c r="AM69" s="231">
        <v>0.01</v>
      </c>
      <c r="AN69" s="232">
        <f t="shared" si="105"/>
        <v>8.6597976190476196</v>
      </c>
      <c r="AO69" s="233">
        <v>0.01</v>
      </c>
      <c r="AP69" s="234">
        <f t="shared" si="97"/>
        <v>13.178812386315052</v>
      </c>
      <c r="AQ69" s="231">
        <v>0.1</v>
      </c>
      <c r="AR69" s="232">
        <f t="shared" si="106"/>
        <v>86.597976190476203</v>
      </c>
      <c r="AS69" s="233">
        <v>0.1</v>
      </c>
      <c r="AT69" s="234">
        <f t="shared" si="98"/>
        <v>131.7881238631505</v>
      </c>
      <c r="AU69" s="231">
        <v>0.15640000000000001</v>
      </c>
      <c r="AV69" s="232">
        <f t="shared" si="99"/>
        <v>195.26994631185812</v>
      </c>
      <c r="AW69" s="233">
        <v>0.19289999999999999</v>
      </c>
      <c r="AX69" s="234">
        <f t="shared" si="100"/>
        <v>254.21929093201732</v>
      </c>
      <c r="AY69" s="235">
        <f t="shared" si="107"/>
        <v>1248.5290684901413</v>
      </c>
      <c r="AZ69" s="234">
        <f t="shared" si="108"/>
        <v>1317.8812386315051</v>
      </c>
      <c r="BA69" s="395">
        <f t="shared" si="110"/>
        <v>615.47980703310247</v>
      </c>
    </row>
    <row r="70" spans="1:53" x14ac:dyDescent="0.25">
      <c r="A70" s="246"/>
      <c r="K70" s="228">
        <f t="shared" si="101"/>
        <v>0</v>
      </c>
      <c r="L70" s="243">
        <f t="shared" si="78"/>
        <v>0</v>
      </c>
      <c r="M70" s="229">
        <f t="shared" si="79"/>
        <v>0</v>
      </c>
      <c r="N70" s="229">
        <f t="shared" si="80"/>
        <v>0</v>
      </c>
      <c r="O70" s="229">
        <f t="shared" si="81"/>
        <v>0</v>
      </c>
      <c r="P70" s="226">
        <f t="shared" si="82"/>
        <v>0</v>
      </c>
      <c r="Q70" s="229">
        <f t="shared" si="83"/>
        <v>0</v>
      </c>
      <c r="R70" s="229">
        <f t="shared" si="84"/>
        <v>0</v>
      </c>
      <c r="S70" s="229">
        <f t="shared" si="85"/>
        <v>0</v>
      </c>
      <c r="T70" s="226">
        <v>0</v>
      </c>
      <c r="U70" s="226">
        <v>0</v>
      </c>
      <c r="V70" s="229">
        <f t="shared" si="102"/>
        <v>0</v>
      </c>
      <c r="W70" s="226">
        <f t="shared" si="86"/>
        <v>20.833333333333332</v>
      </c>
      <c r="X70" s="226">
        <f t="shared" si="109"/>
        <v>20.833333333333332</v>
      </c>
      <c r="Y70" s="226">
        <f t="shared" si="87"/>
        <v>18.75</v>
      </c>
      <c r="Z70" s="226">
        <f t="shared" si="88"/>
        <v>3.5714285714285716</v>
      </c>
      <c r="AA70" s="226">
        <f t="shared" si="89"/>
        <v>82.408333333333317</v>
      </c>
      <c r="AB70" s="226">
        <f t="shared" si="90"/>
        <v>87.916666666666657</v>
      </c>
      <c r="AC70" s="230">
        <f t="shared" si="91"/>
        <v>150</v>
      </c>
      <c r="AD70" s="226">
        <f t="shared" si="92"/>
        <v>66.666666666666671</v>
      </c>
      <c r="AE70" s="226">
        <f t="shared" si="93"/>
        <v>15</v>
      </c>
      <c r="AF70" s="226">
        <v>400</v>
      </c>
      <c r="AG70" s="229">
        <f t="shared" si="94"/>
        <v>865.97976190476197</v>
      </c>
      <c r="AH70" s="229">
        <f t="shared" si="95"/>
        <v>865.97976190476197</v>
      </c>
      <c r="AI70" s="231">
        <v>0.04</v>
      </c>
      <c r="AJ70" s="232">
        <f t="shared" si="96"/>
        <v>34.639190476190478</v>
      </c>
      <c r="AK70" s="233">
        <v>0.04</v>
      </c>
      <c r="AL70" s="234">
        <f t="shared" si="104"/>
        <v>52.715249545260207</v>
      </c>
      <c r="AM70" s="231">
        <v>0.01</v>
      </c>
      <c r="AN70" s="232">
        <f t="shared" si="105"/>
        <v>8.6597976190476196</v>
      </c>
      <c r="AO70" s="233">
        <v>0.01</v>
      </c>
      <c r="AP70" s="234">
        <f t="shared" si="97"/>
        <v>13.178812386315052</v>
      </c>
      <c r="AQ70" s="231">
        <v>0.1</v>
      </c>
      <c r="AR70" s="232">
        <f t="shared" si="106"/>
        <v>86.597976190476203</v>
      </c>
      <c r="AS70" s="233">
        <v>0.1</v>
      </c>
      <c r="AT70" s="234">
        <f t="shared" si="98"/>
        <v>131.7881238631505</v>
      </c>
      <c r="AU70" s="231">
        <v>0.15640000000000001</v>
      </c>
      <c r="AV70" s="232">
        <f t="shared" si="99"/>
        <v>195.26994631185812</v>
      </c>
      <c r="AW70" s="233">
        <v>0.19289999999999999</v>
      </c>
      <c r="AX70" s="234">
        <f t="shared" si="100"/>
        <v>254.21929093201732</v>
      </c>
      <c r="AY70" s="235">
        <f t="shared" si="107"/>
        <v>1248.5290684901413</v>
      </c>
      <c r="AZ70" s="234">
        <f t="shared" si="108"/>
        <v>1317.8812386315051</v>
      </c>
      <c r="BA70" s="395">
        <f t="shared" si="110"/>
        <v>615.47980703310247</v>
      </c>
    </row>
    <row r="71" spans="1:53" x14ac:dyDescent="0.25">
      <c r="A71" s="246"/>
      <c r="K71" s="228">
        <f t="shared" si="101"/>
        <v>0</v>
      </c>
      <c r="L71" s="243">
        <f t="shared" si="78"/>
        <v>0</v>
      </c>
      <c r="M71" s="229">
        <f t="shared" si="79"/>
        <v>0</v>
      </c>
      <c r="N71" s="229">
        <f t="shared" si="80"/>
        <v>0</v>
      </c>
      <c r="O71" s="229">
        <f t="shared" si="81"/>
        <v>0</v>
      </c>
      <c r="P71" s="226">
        <f t="shared" si="82"/>
        <v>0</v>
      </c>
      <c r="Q71" s="229">
        <f t="shared" si="83"/>
        <v>0</v>
      </c>
      <c r="R71" s="229">
        <f t="shared" si="84"/>
        <v>0</v>
      </c>
      <c r="S71" s="229">
        <f t="shared" si="85"/>
        <v>0</v>
      </c>
      <c r="T71" s="226">
        <v>0</v>
      </c>
      <c r="U71" s="226">
        <v>0</v>
      </c>
      <c r="V71" s="229">
        <f t="shared" si="102"/>
        <v>0</v>
      </c>
      <c r="W71" s="226">
        <f t="shared" si="86"/>
        <v>20.833333333333332</v>
      </c>
      <c r="X71" s="226">
        <f t="shared" si="109"/>
        <v>20.833333333333332</v>
      </c>
      <c r="Y71" s="226">
        <f t="shared" si="87"/>
        <v>18.75</v>
      </c>
      <c r="Z71" s="226">
        <f t="shared" si="88"/>
        <v>3.5714285714285716</v>
      </c>
      <c r="AA71" s="226">
        <f t="shared" si="89"/>
        <v>82.408333333333317</v>
      </c>
      <c r="AB71" s="226">
        <f t="shared" si="90"/>
        <v>87.916666666666657</v>
      </c>
      <c r="AC71" s="230">
        <f t="shared" si="91"/>
        <v>150</v>
      </c>
      <c r="AD71" s="226">
        <f t="shared" si="92"/>
        <v>66.666666666666671</v>
      </c>
      <c r="AE71" s="226">
        <f t="shared" si="93"/>
        <v>15</v>
      </c>
      <c r="AF71" s="226">
        <v>400</v>
      </c>
      <c r="AG71" s="229">
        <f t="shared" si="94"/>
        <v>865.97976190476197</v>
      </c>
      <c r="AH71" s="229">
        <f t="shared" si="95"/>
        <v>865.97976190476197</v>
      </c>
      <c r="AI71" s="231">
        <v>0.04</v>
      </c>
      <c r="AJ71" s="232">
        <f t="shared" si="96"/>
        <v>34.639190476190478</v>
      </c>
      <c r="AK71" s="233">
        <v>0.04</v>
      </c>
      <c r="AL71" s="234">
        <f t="shared" si="104"/>
        <v>52.715249545260207</v>
      </c>
      <c r="AM71" s="231">
        <v>0.01</v>
      </c>
      <c r="AN71" s="232">
        <f t="shared" si="105"/>
        <v>8.6597976190476196</v>
      </c>
      <c r="AO71" s="233">
        <v>0.01</v>
      </c>
      <c r="AP71" s="234">
        <f t="shared" si="97"/>
        <v>13.178812386315052</v>
      </c>
      <c r="AQ71" s="231">
        <v>0.1</v>
      </c>
      <c r="AR71" s="232">
        <f t="shared" si="106"/>
        <v>86.597976190476203</v>
      </c>
      <c r="AS71" s="233">
        <v>0.1</v>
      </c>
      <c r="AT71" s="234">
        <f t="shared" si="98"/>
        <v>131.7881238631505</v>
      </c>
      <c r="AU71" s="231">
        <v>0.15640000000000001</v>
      </c>
      <c r="AV71" s="232">
        <f t="shared" si="99"/>
        <v>195.26994631185812</v>
      </c>
      <c r="AW71" s="233">
        <v>0.19289999999999999</v>
      </c>
      <c r="AX71" s="234">
        <f t="shared" si="100"/>
        <v>254.21929093201732</v>
      </c>
      <c r="AY71" s="235">
        <f t="shared" si="107"/>
        <v>1248.5290684901413</v>
      </c>
      <c r="AZ71" s="234">
        <f t="shared" si="108"/>
        <v>1317.8812386315051</v>
      </c>
      <c r="BA71" s="395">
        <f t="shared" si="110"/>
        <v>615.47980703310247</v>
      </c>
    </row>
    <row r="72" spans="1:53" x14ac:dyDescent="0.25">
      <c r="A72" s="246"/>
      <c r="K72" s="228">
        <f t="shared" si="101"/>
        <v>0</v>
      </c>
      <c r="L72" s="243">
        <f t="shared" si="78"/>
        <v>0</v>
      </c>
      <c r="M72" s="229">
        <f t="shared" si="79"/>
        <v>0</v>
      </c>
      <c r="N72" s="229">
        <f t="shared" si="80"/>
        <v>0</v>
      </c>
      <c r="O72" s="229">
        <f t="shared" si="81"/>
        <v>0</v>
      </c>
      <c r="P72" s="226">
        <f t="shared" si="82"/>
        <v>0</v>
      </c>
      <c r="Q72" s="229">
        <f t="shared" si="83"/>
        <v>0</v>
      </c>
      <c r="R72" s="229">
        <f t="shared" si="84"/>
        <v>0</v>
      </c>
      <c r="S72" s="229">
        <f t="shared" si="85"/>
        <v>0</v>
      </c>
      <c r="T72" s="226">
        <v>0</v>
      </c>
      <c r="U72" s="226">
        <v>0</v>
      </c>
      <c r="V72" s="229">
        <f t="shared" si="102"/>
        <v>0</v>
      </c>
      <c r="W72" s="226">
        <f t="shared" si="86"/>
        <v>20.833333333333332</v>
      </c>
      <c r="X72" s="226">
        <f t="shared" si="109"/>
        <v>20.833333333333332</v>
      </c>
      <c r="Y72" s="226">
        <f t="shared" si="87"/>
        <v>18.75</v>
      </c>
      <c r="Z72" s="226">
        <f t="shared" si="88"/>
        <v>3.5714285714285716</v>
      </c>
      <c r="AA72" s="226">
        <f t="shared" si="89"/>
        <v>82.408333333333317</v>
      </c>
      <c r="AB72" s="226">
        <f t="shared" si="90"/>
        <v>87.916666666666657</v>
      </c>
      <c r="AC72" s="230">
        <f t="shared" si="91"/>
        <v>150</v>
      </c>
      <c r="AD72" s="226">
        <f t="shared" si="92"/>
        <v>66.666666666666671</v>
      </c>
      <c r="AE72" s="226">
        <f t="shared" si="93"/>
        <v>15</v>
      </c>
      <c r="AF72" s="226">
        <v>400</v>
      </c>
      <c r="AG72" s="229">
        <f t="shared" si="94"/>
        <v>865.97976190476197</v>
      </c>
      <c r="AH72" s="229">
        <f t="shared" si="95"/>
        <v>865.97976190476197</v>
      </c>
      <c r="AI72" s="231">
        <v>0.04</v>
      </c>
      <c r="AJ72" s="232">
        <f t="shared" si="96"/>
        <v>34.639190476190478</v>
      </c>
      <c r="AK72" s="233">
        <v>0.04</v>
      </c>
      <c r="AL72" s="234">
        <f t="shared" si="104"/>
        <v>52.715249545260207</v>
      </c>
      <c r="AM72" s="231">
        <v>0.01</v>
      </c>
      <c r="AN72" s="232">
        <f t="shared" si="105"/>
        <v>8.6597976190476196</v>
      </c>
      <c r="AO72" s="233">
        <v>0.01</v>
      </c>
      <c r="AP72" s="234">
        <f t="shared" si="97"/>
        <v>13.178812386315052</v>
      </c>
      <c r="AQ72" s="231">
        <v>0.1</v>
      </c>
      <c r="AR72" s="232">
        <f t="shared" si="106"/>
        <v>86.597976190476203</v>
      </c>
      <c r="AS72" s="233">
        <v>0.1</v>
      </c>
      <c r="AT72" s="234">
        <f t="shared" si="98"/>
        <v>131.7881238631505</v>
      </c>
      <c r="AU72" s="231">
        <v>0.15640000000000001</v>
      </c>
      <c r="AV72" s="232">
        <f t="shared" si="99"/>
        <v>195.26994631185812</v>
      </c>
      <c r="AW72" s="233">
        <v>0.19289999999999999</v>
      </c>
      <c r="AX72" s="234">
        <f t="shared" si="100"/>
        <v>254.21929093201732</v>
      </c>
      <c r="AY72" s="235">
        <f t="shared" si="107"/>
        <v>1248.5290684901413</v>
      </c>
      <c r="AZ72" s="234">
        <f t="shared" si="108"/>
        <v>1317.8812386315051</v>
      </c>
      <c r="BA72" s="395">
        <f t="shared" si="110"/>
        <v>615.47980703310247</v>
      </c>
    </row>
    <row r="73" spans="1:53" x14ac:dyDescent="0.25">
      <c r="A73" s="246"/>
      <c r="K73" s="228">
        <f t="shared" si="101"/>
        <v>0</v>
      </c>
      <c r="L73" s="243">
        <f t="shared" si="78"/>
        <v>0</v>
      </c>
      <c r="M73" s="229">
        <f t="shared" si="79"/>
        <v>0</v>
      </c>
      <c r="N73" s="229">
        <f t="shared" si="80"/>
        <v>0</v>
      </c>
      <c r="O73" s="229">
        <f t="shared" si="81"/>
        <v>0</v>
      </c>
      <c r="P73" s="226">
        <f t="shared" si="82"/>
        <v>0</v>
      </c>
      <c r="Q73" s="229">
        <f t="shared" si="83"/>
        <v>0</v>
      </c>
      <c r="R73" s="229">
        <f t="shared" si="84"/>
        <v>0</v>
      </c>
      <c r="S73" s="229">
        <f t="shared" si="85"/>
        <v>0</v>
      </c>
      <c r="T73" s="226">
        <v>0</v>
      </c>
      <c r="U73" s="226">
        <v>0</v>
      </c>
      <c r="V73" s="229">
        <f t="shared" si="102"/>
        <v>0</v>
      </c>
      <c r="W73" s="226">
        <f t="shared" si="86"/>
        <v>20.833333333333332</v>
      </c>
      <c r="X73" s="226">
        <f t="shared" si="109"/>
        <v>20.833333333333332</v>
      </c>
      <c r="Y73" s="226">
        <f t="shared" si="87"/>
        <v>18.75</v>
      </c>
      <c r="Z73" s="226">
        <f t="shared" si="88"/>
        <v>3.5714285714285716</v>
      </c>
      <c r="AA73" s="226">
        <f t="shared" si="89"/>
        <v>82.408333333333317</v>
      </c>
      <c r="AB73" s="226">
        <f t="shared" si="90"/>
        <v>87.916666666666657</v>
      </c>
      <c r="AC73" s="230">
        <f t="shared" si="91"/>
        <v>150</v>
      </c>
      <c r="AD73" s="226">
        <f t="shared" si="92"/>
        <v>66.666666666666671</v>
      </c>
      <c r="AE73" s="226">
        <f t="shared" si="93"/>
        <v>15</v>
      </c>
      <c r="AF73" s="226">
        <v>400</v>
      </c>
      <c r="AG73" s="229">
        <f t="shared" si="94"/>
        <v>865.97976190476197</v>
      </c>
      <c r="AH73" s="229">
        <f t="shared" si="95"/>
        <v>865.97976190476197</v>
      </c>
      <c r="AI73" s="231">
        <v>0.04</v>
      </c>
      <c r="AJ73" s="232">
        <f t="shared" si="96"/>
        <v>34.639190476190478</v>
      </c>
      <c r="AK73" s="233">
        <v>0.04</v>
      </c>
      <c r="AL73" s="234">
        <f t="shared" si="104"/>
        <v>52.715249545260207</v>
      </c>
      <c r="AM73" s="231">
        <v>0.01</v>
      </c>
      <c r="AN73" s="232">
        <f t="shared" si="105"/>
        <v>8.6597976190476196</v>
      </c>
      <c r="AO73" s="233">
        <v>0.01</v>
      </c>
      <c r="AP73" s="234">
        <f t="shared" si="97"/>
        <v>13.178812386315052</v>
      </c>
      <c r="AQ73" s="231">
        <v>0.1</v>
      </c>
      <c r="AR73" s="232">
        <f t="shared" si="106"/>
        <v>86.597976190476203</v>
      </c>
      <c r="AS73" s="233">
        <v>0.1</v>
      </c>
      <c r="AT73" s="234">
        <f t="shared" si="98"/>
        <v>131.7881238631505</v>
      </c>
      <c r="AU73" s="231">
        <v>0.15640000000000001</v>
      </c>
      <c r="AV73" s="232">
        <f t="shared" si="99"/>
        <v>195.26994631185812</v>
      </c>
      <c r="AW73" s="233">
        <v>0.19289999999999999</v>
      </c>
      <c r="AX73" s="234">
        <f t="shared" si="100"/>
        <v>254.21929093201732</v>
      </c>
      <c r="AY73" s="235">
        <f t="shared" si="107"/>
        <v>1248.5290684901413</v>
      </c>
      <c r="AZ73" s="234">
        <f t="shared" si="108"/>
        <v>1317.8812386315051</v>
      </c>
      <c r="BA73" s="395">
        <f t="shared" si="110"/>
        <v>615.47980703310247</v>
      </c>
    </row>
    <row r="74" spans="1:53" x14ac:dyDescent="0.25">
      <c r="A74" s="246"/>
      <c r="K74" s="228">
        <f t="shared" si="101"/>
        <v>0</v>
      </c>
      <c r="L74" s="243">
        <f t="shared" si="78"/>
        <v>0</v>
      </c>
      <c r="M74" s="229">
        <f t="shared" si="79"/>
        <v>0</v>
      </c>
      <c r="N74" s="229">
        <f t="shared" si="80"/>
        <v>0</v>
      </c>
      <c r="O74" s="229">
        <f t="shared" si="81"/>
        <v>0</v>
      </c>
      <c r="P74" s="226">
        <f t="shared" si="82"/>
        <v>0</v>
      </c>
      <c r="Q74" s="229">
        <f t="shared" si="83"/>
        <v>0</v>
      </c>
      <c r="R74" s="229">
        <f t="shared" si="84"/>
        <v>0</v>
      </c>
      <c r="S74" s="229">
        <f t="shared" si="85"/>
        <v>0</v>
      </c>
      <c r="T74" s="226">
        <v>0</v>
      </c>
      <c r="U74" s="226">
        <v>0</v>
      </c>
      <c r="V74" s="229">
        <f t="shared" si="102"/>
        <v>0</v>
      </c>
      <c r="W74" s="226">
        <f t="shared" si="86"/>
        <v>20.833333333333332</v>
      </c>
      <c r="X74" s="226">
        <f t="shared" si="109"/>
        <v>20.833333333333332</v>
      </c>
      <c r="Y74" s="226">
        <f t="shared" si="87"/>
        <v>18.75</v>
      </c>
      <c r="Z74" s="226">
        <f t="shared" si="88"/>
        <v>3.5714285714285716</v>
      </c>
      <c r="AA74" s="226">
        <f t="shared" si="89"/>
        <v>82.408333333333317</v>
      </c>
      <c r="AB74" s="226">
        <f t="shared" si="90"/>
        <v>87.916666666666657</v>
      </c>
      <c r="AC74" s="230">
        <f t="shared" si="91"/>
        <v>150</v>
      </c>
      <c r="AD74" s="226">
        <f t="shared" si="92"/>
        <v>66.666666666666671</v>
      </c>
      <c r="AE74" s="226">
        <f t="shared" si="93"/>
        <v>15</v>
      </c>
      <c r="AF74" s="226">
        <v>400</v>
      </c>
      <c r="AG74" s="229">
        <f t="shared" si="94"/>
        <v>865.97976190476197</v>
      </c>
      <c r="AH74" s="229">
        <f t="shared" si="95"/>
        <v>865.97976190476197</v>
      </c>
      <c r="AI74" s="231">
        <v>0.04</v>
      </c>
      <c r="AJ74" s="232">
        <f t="shared" si="96"/>
        <v>34.639190476190478</v>
      </c>
      <c r="AK74" s="233">
        <v>0.04</v>
      </c>
      <c r="AL74" s="234">
        <f t="shared" si="104"/>
        <v>52.715249545260207</v>
      </c>
      <c r="AM74" s="231">
        <v>0.01</v>
      </c>
      <c r="AN74" s="232">
        <f t="shared" si="105"/>
        <v>8.6597976190476196</v>
      </c>
      <c r="AO74" s="233">
        <v>0.01</v>
      </c>
      <c r="AP74" s="234">
        <f t="shared" si="97"/>
        <v>13.178812386315052</v>
      </c>
      <c r="AQ74" s="231">
        <v>0.1</v>
      </c>
      <c r="AR74" s="232">
        <f t="shared" si="106"/>
        <v>86.597976190476203</v>
      </c>
      <c r="AS74" s="233">
        <v>0.1</v>
      </c>
      <c r="AT74" s="234">
        <f t="shared" si="98"/>
        <v>131.7881238631505</v>
      </c>
      <c r="AU74" s="231">
        <v>0.15640000000000001</v>
      </c>
      <c r="AV74" s="232">
        <f t="shared" si="99"/>
        <v>195.26994631185812</v>
      </c>
      <c r="AW74" s="233">
        <v>0.19289999999999999</v>
      </c>
      <c r="AX74" s="234">
        <f t="shared" si="100"/>
        <v>254.21929093201732</v>
      </c>
      <c r="AY74" s="235">
        <f t="shared" si="107"/>
        <v>1248.5290684901413</v>
      </c>
      <c r="AZ74" s="234">
        <f t="shared" si="108"/>
        <v>1317.8812386315051</v>
      </c>
      <c r="BA74" s="395">
        <f t="shared" si="110"/>
        <v>615.47980703310247</v>
      </c>
    </row>
    <row r="75" spans="1:53" x14ac:dyDescent="0.25">
      <c r="A75" s="246"/>
      <c r="K75" s="228">
        <f t="shared" si="101"/>
        <v>0</v>
      </c>
      <c r="L75" s="243">
        <f t="shared" si="78"/>
        <v>0</v>
      </c>
      <c r="M75" s="229">
        <f t="shared" si="79"/>
        <v>0</v>
      </c>
      <c r="N75" s="229">
        <f t="shared" si="80"/>
        <v>0</v>
      </c>
      <c r="O75" s="229">
        <f t="shared" si="81"/>
        <v>0</v>
      </c>
      <c r="P75" s="226">
        <f t="shared" si="82"/>
        <v>0</v>
      </c>
      <c r="Q75" s="229">
        <f t="shared" si="83"/>
        <v>0</v>
      </c>
      <c r="R75" s="229">
        <f t="shared" si="84"/>
        <v>0</v>
      </c>
      <c r="S75" s="229">
        <f t="shared" si="85"/>
        <v>0</v>
      </c>
      <c r="T75" s="226">
        <v>0</v>
      </c>
      <c r="U75" s="226">
        <v>0</v>
      </c>
      <c r="V75" s="229">
        <f t="shared" si="102"/>
        <v>0</v>
      </c>
      <c r="W75" s="226">
        <f t="shared" si="86"/>
        <v>20.833333333333332</v>
      </c>
      <c r="X75" s="226">
        <f t="shared" si="109"/>
        <v>20.833333333333332</v>
      </c>
      <c r="Y75" s="226">
        <f t="shared" si="87"/>
        <v>18.75</v>
      </c>
      <c r="Z75" s="226">
        <f t="shared" si="88"/>
        <v>3.5714285714285716</v>
      </c>
      <c r="AA75" s="226">
        <f t="shared" si="89"/>
        <v>82.408333333333317</v>
      </c>
      <c r="AB75" s="226">
        <f t="shared" si="90"/>
        <v>87.916666666666657</v>
      </c>
      <c r="AC75" s="230">
        <f t="shared" si="91"/>
        <v>150</v>
      </c>
      <c r="AD75" s="226">
        <f t="shared" si="92"/>
        <v>66.666666666666671</v>
      </c>
      <c r="AE75" s="226">
        <f t="shared" si="93"/>
        <v>15</v>
      </c>
      <c r="AF75" s="226">
        <v>400</v>
      </c>
      <c r="AG75" s="229">
        <f t="shared" si="94"/>
        <v>865.97976190476197</v>
      </c>
      <c r="AH75" s="229">
        <f t="shared" si="95"/>
        <v>865.97976190476197</v>
      </c>
      <c r="AI75" s="231">
        <v>0.04</v>
      </c>
      <c r="AJ75" s="232">
        <f t="shared" si="96"/>
        <v>34.639190476190478</v>
      </c>
      <c r="AK75" s="233">
        <v>0.04</v>
      </c>
      <c r="AL75" s="234">
        <f t="shared" si="104"/>
        <v>52.715249545260207</v>
      </c>
      <c r="AM75" s="231">
        <v>0.01</v>
      </c>
      <c r="AN75" s="232">
        <f t="shared" si="105"/>
        <v>8.6597976190476196</v>
      </c>
      <c r="AO75" s="233">
        <v>0.01</v>
      </c>
      <c r="AP75" s="234">
        <f t="shared" si="97"/>
        <v>13.178812386315052</v>
      </c>
      <c r="AQ75" s="231">
        <v>0.1</v>
      </c>
      <c r="AR75" s="232">
        <f t="shared" si="106"/>
        <v>86.597976190476203</v>
      </c>
      <c r="AS75" s="233">
        <v>0.1</v>
      </c>
      <c r="AT75" s="234">
        <f t="shared" si="98"/>
        <v>131.7881238631505</v>
      </c>
      <c r="AU75" s="231">
        <v>0.15640000000000001</v>
      </c>
      <c r="AV75" s="232">
        <f t="shared" si="99"/>
        <v>195.26994631185812</v>
      </c>
      <c r="AW75" s="233">
        <v>0.19289999999999999</v>
      </c>
      <c r="AX75" s="234">
        <f t="shared" si="100"/>
        <v>254.21929093201732</v>
      </c>
      <c r="AY75" s="235">
        <f t="shared" si="107"/>
        <v>1248.5290684901413</v>
      </c>
      <c r="AZ75" s="234">
        <f t="shared" si="108"/>
        <v>1317.8812386315051</v>
      </c>
      <c r="BA75" s="395">
        <f t="shared" si="110"/>
        <v>615.47980703310247</v>
      </c>
    </row>
    <row r="76" spans="1:53" x14ac:dyDescent="0.25">
      <c r="A76" s="246"/>
      <c r="K76" s="228">
        <f t="shared" si="101"/>
        <v>0</v>
      </c>
      <c r="L76" s="243">
        <f t="shared" si="78"/>
        <v>0</v>
      </c>
      <c r="M76" s="229">
        <f t="shared" si="79"/>
        <v>0</v>
      </c>
      <c r="N76" s="229">
        <f t="shared" si="80"/>
        <v>0</v>
      </c>
      <c r="O76" s="229">
        <f t="shared" si="81"/>
        <v>0</v>
      </c>
      <c r="P76" s="226">
        <f t="shared" si="82"/>
        <v>0</v>
      </c>
      <c r="Q76" s="229">
        <f t="shared" si="83"/>
        <v>0</v>
      </c>
      <c r="R76" s="229">
        <f t="shared" si="84"/>
        <v>0</v>
      </c>
      <c r="S76" s="229">
        <f t="shared" si="85"/>
        <v>0</v>
      </c>
      <c r="T76" s="226">
        <v>0</v>
      </c>
      <c r="U76" s="226">
        <v>0</v>
      </c>
      <c r="V76" s="229">
        <f t="shared" si="102"/>
        <v>0</v>
      </c>
      <c r="W76" s="226">
        <f t="shared" si="86"/>
        <v>20.833333333333332</v>
      </c>
      <c r="X76" s="226">
        <f t="shared" si="109"/>
        <v>20.833333333333332</v>
      </c>
      <c r="Y76" s="226">
        <f t="shared" si="87"/>
        <v>18.75</v>
      </c>
      <c r="Z76" s="226">
        <f t="shared" si="88"/>
        <v>3.5714285714285716</v>
      </c>
      <c r="AA76" s="226">
        <f t="shared" si="89"/>
        <v>82.408333333333317</v>
      </c>
      <c r="AB76" s="226">
        <f t="shared" si="90"/>
        <v>87.916666666666657</v>
      </c>
      <c r="AC76" s="230">
        <f t="shared" si="91"/>
        <v>150</v>
      </c>
      <c r="AD76" s="226">
        <f t="shared" si="92"/>
        <v>66.666666666666671</v>
      </c>
      <c r="AE76" s="226">
        <f t="shared" si="93"/>
        <v>15</v>
      </c>
      <c r="AF76" s="226">
        <v>400</v>
      </c>
      <c r="AG76" s="229">
        <f t="shared" si="94"/>
        <v>865.97976190476197</v>
      </c>
      <c r="AH76" s="229">
        <f t="shared" si="95"/>
        <v>865.97976190476197</v>
      </c>
      <c r="AI76" s="231">
        <v>0.04</v>
      </c>
      <c r="AJ76" s="232">
        <f t="shared" si="96"/>
        <v>34.639190476190478</v>
      </c>
      <c r="AK76" s="233">
        <v>0.04</v>
      </c>
      <c r="AL76" s="234">
        <f t="shared" si="104"/>
        <v>52.715249545260207</v>
      </c>
      <c r="AM76" s="231">
        <v>0.01</v>
      </c>
      <c r="AN76" s="232">
        <f t="shared" si="105"/>
        <v>8.6597976190476196</v>
      </c>
      <c r="AO76" s="233">
        <v>0.01</v>
      </c>
      <c r="AP76" s="234">
        <f t="shared" si="97"/>
        <v>13.178812386315052</v>
      </c>
      <c r="AQ76" s="231">
        <v>0.1</v>
      </c>
      <c r="AR76" s="232">
        <f t="shared" si="106"/>
        <v>86.597976190476203</v>
      </c>
      <c r="AS76" s="233">
        <v>0.1</v>
      </c>
      <c r="AT76" s="234">
        <f t="shared" si="98"/>
        <v>131.7881238631505</v>
      </c>
      <c r="AU76" s="231">
        <v>0.15640000000000001</v>
      </c>
      <c r="AV76" s="232">
        <f t="shared" si="99"/>
        <v>195.26994631185812</v>
      </c>
      <c r="AW76" s="233">
        <v>0.19289999999999999</v>
      </c>
      <c r="AX76" s="234">
        <f t="shared" si="100"/>
        <v>254.21929093201732</v>
      </c>
      <c r="AY76" s="235">
        <f t="shared" si="107"/>
        <v>1248.5290684901413</v>
      </c>
      <c r="AZ76" s="234">
        <f t="shared" si="108"/>
        <v>1317.8812386315051</v>
      </c>
      <c r="BA76" s="395">
        <f t="shared" si="110"/>
        <v>615.47980703310247</v>
      </c>
    </row>
    <row r="77" spans="1:53" x14ac:dyDescent="0.25">
      <c r="A77" s="246"/>
      <c r="K77" s="228">
        <f t="shared" si="101"/>
        <v>0</v>
      </c>
      <c r="L77" s="243">
        <f t="shared" si="78"/>
        <v>0</v>
      </c>
      <c r="M77" s="229">
        <f t="shared" si="79"/>
        <v>0</v>
      </c>
      <c r="N77" s="229">
        <f t="shared" si="80"/>
        <v>0</v>
      </c>
      <c r="O77" s="229">
        <f t="shared" si="81"/>
        <v>0</v>
      </c>
      <c r="P77" s="226">
        <f t="shared" si="82"/>
        <v>0</v>
      </c>
      <c r="Q77" s="229">
        <f t="shared" si="83"/>
        <v>0</v>
      </c>
      <c r="R77" s="229">
        <f t="shared" si="84"/>
        <v>0</v>
      </c>
      <c r="S77" s="229">
        <f t="shared" si="85"/>
        <v>0</v>
      </c>
      <c r="T77" s="226">
        <v>0</v>
      </c>
      <c r="U77" s="226">
        <v>0</v>
      </c>
      <c r="V77" s="229">
        <f t="shared" si="102"/>
        <v>0</v>
      </c>
      <c r="W77" s="226">
        <f t="shared" si="86"/>
        <v>20.833333333333332</v>
      </c>
      <c r="X77" s="226">
        <f t="shared" si="109"/>
        <v>20.833333333333332</v>
      </c>
      <c r="Y77" s="226">
        <f t="shared" si="87"/>
        <v>18.75</v>
      </c>
      <c r="Z77" s="226">
        <f t="shared" si="88"/>
        <v>3.5714285714285716</v>
      </c>
      <c r="AA77" s="226">
        <f t="shared" si="89"/>
        <v>82.408333333333317</v>
      </c>
      <c r="AB77" s="226">
        <f t="shared" si="90"/>
        <v>87.916666666666657</v>
      </c>
      <c r="AC77" s="230">
        <f t="shared" si="91"/>
        <v>150</v>
      </c>
      <c r="AD77" s="226">
        <f t="shared" si="92"/>
        <v>66.666666666666671</v>
      </c>
      <c r="AE77" s="226">
        <f t="shared" si="93"/>
        <v>15</v>
      </c>
      <c r="AF77" s="226">
        <v>400</v>
      </c>
      <c r="AG77" s="229">
        <f t="shared" si="94"/>
        <v>865.97976190476197</v>
      </c>
      <c r="AH77" s="229">
        <f t="shared" si="95"/>
        <v>865.97976190476197</v>
      </c>
      <c r="AI77" s="231">
        <v>0.04</v>
      </c>
      <c r="AJ77" s="232">
        <f t="shared" si="96"/>
        <v>34.639190476190478</v>
      </c>
      <c r="AK77" s="233">
        <v>0.04</v>
      </c>
      <c r="AL77" s="234">
        <f t="shared" si="104"/>
        <v>52.715249545260207</v>
      </c>
      <c r="AM77" s="231">
        <v>0.01</v>
      </c>
      <c r="AN77" s="232">
        <f t="shared" si="105"/>
        <v>8.6597976190476196</v>
      </c>
      <c r="AO77" s="233">
        <v>0.01</v>
      </c>
      <c r="AP77" s="234">
        <f t="shared" si="97"/>
        <v>13.178812386315052</v>
      </c>
      <c r="AQ77" s="231">
        <v>0.1</v>
      </c>
      <c r="AR77" s="232">
        <f t="shared" si="106"/>
        <v>86.597976190476203</v>
      </c>
      <c r="AS77" s="233">
        <v>0.1</v>
      </c>
      <c r="AT77" s="234">
        <f t="shared" si="98"/>
        <v>131.7881238631505</v>
      </c>
      <c r="AU77" s="231">
        <v>0.15640000000000001</v>
      </c>
      <c r="AV77" s="232">
        <f t="shared" si="99"/>
        <v>195.26994631185812</v>
      </c>
      <c r="AW77" s="233">
        <v>0.19289999999999999</v>
      </c>
      <c r="AX77" s="234">
        <f t="shared" si="100"/>
        <v>254.21929093201732</v>
      </c>
      <c r="AY77" s="235">
        <f t="shared" si="107"/>
        <v>1248.5290684901413</v>
      </c>
      <c r="AZ77" s="234">
        <f t="shared" si="108"/>
        <v>1317.8812386315051</v>
      </c>
      <c r="BA77" s="395">
        <f t="shared" si="110"/>
        <v>615.47980703310247</v>
      </c>
    </row>
    <row r="78" spans="1:53" x14ac:dyDescent="0.25">
      <c r="A78" s="246"/>
      <c r="K78" s="228">
        <f t="shared" si="101"/>
        <v>0</v>
      </c>
      <c r="L78" s="243">
        <f t="shared" si="78"/>
        <v>0</v>
      </c>
      <c r="M78" s="229">
        <f t="shared" si="79"/>
        <v>0</v>
      </c>
      <c r="N78" s="229">
        <f t="shared" si="80"/>
        <v>0</v>
      </c>
      <c r="O78" s="229">
        <f t="shared" si="81"/>
        <v>0</v>
      </c>
      <c r="P78" s="226">
        <f t="shared" si="82"/>
        <v>0</v>
      </c>
      <c r="Q78" s="229">
        <f t="shared" si="83"/>
        <v>0</v>
      </c>
      <c r="R78" s="229">
        <f t="shared" si="84"/>
        <v>0</v>
      </c>
      <c r="S78" s="229">
        <f t="shared" si="85"/>
        <v>0</v>
      </c>
      <c r="T78" s="226">
        <v>0</v>
      </c>
      <c r="U78" s="226">
        <v>0</v>
      </c>
      <c r="V78" s="229">
        <f t="shared" si="102"/>
        <v>0</v>
      </c>
      <c r="W78" s="226">
        <f t="shared" si="86"/>
        <v>20.833333333333332</v>
      </c>
      <c r="X78" s="226">
        <f t="shared" si="109"/>
        <v>20.833333333333332</v>
      </c>
      <c r="Y78" s="226">
        <f t="shared" si="87"/>
        <v>18.75</v>
      </c>
      <c r="Z78" s="226">
        <f t="shared" si="88"/>
        <v>3.5714285714285716</v>
      </c>
      <c r="AA78" s="226">
        <f t="shared" si="89"/>
        <v>82.408333333333317</v>
      </c>
      <c r="AB78" s="226">
        <f t="shared" si="90"/>
        <v>87.916666666666657</v>
      </c>
      <c r="AC78" s="230">
        <f t="shared" si="91"/>
        <v>150</v>
      </c>
      <c r="AD78" s="226">
        <f t="shared" si="92"/>
        <v>66.666666666666671</v>
      </c>
      <c r="AE78" s="226">
        <f t="shared" si="93"/>
        <v>15</v>
      </c>
      <c r="AF78" s="226">
        <v>400</v>
      </c>
      <c r="AG78" s="229">
        <f t="shared" si="94"/>
        <v>865.97976190476197</v>
      </c>
      <c r="AH78" s="229">
        <f t="shared" si="95"/>
        <v>865.97976190476197</v>
      </c>
      <c r="AI78" s="231">
        <v>0.04</v>
      </c>
      <c r="AJ78" s="232">
        <f t="shared" si="96"/>
        <v>34.639190476190478</v>
      </c>
      <c r="AK78" s="233">
        <v>0.04</v>
      </c>
      <c r="AL78" s="234">
        <f t="shared" si="104"/>
        <v>52.715249545260207</v>
      </c>
      <c r="AM78" s="231">
        <v>0.01</v>
      </c>
      <c r="AN78" s="232">
        <f t="shared" si="105"/>
        <v>8.6597976190476196</v>
      </c>
      <c r="AO78" s="233">
        <v>0.01</v>
      </c>
      <c r="AP78" s="234">
        <f t="shared" si="97"/>
        <v>13.178812386315052</v>
      </c>
      <c r="AQ78" s="231">
        <v>0.1</v>
      </c>
      <c r="AR78" s="232">
        <f t="shared" si="106"/>
        <v>86.597976190476203</v>
      </c>
      <c r="AS78" s="233">
        <v>0.1</v>
      </c>
      <c r="AT78" s="234">
        <f t="shared" si="98"/>
        <v>131.7881238631505</v>
      </c>
      <c r="AU78" s="231">
        <v>0.15640000000000001</v>
      </c>
      <c r="AV78" s="232">
        <f t="shared" si="99"/>
        <v>195.26994631185812</v>
      </c>
      <c r="AW78" s="233">
        <v>0.19289999999999999</v>
      </c>
      <c r="AX78" s="234">
        <f t="shared" si="100"/>
        <v>254.21929093201732</v>
      </c>
      <c r="AY78" s="235">
        <f t="shared" si="107"/>
        <v>1248.5290684901413</v>
      </c>
      <c r="AZ78" s="234">
        <f t="shared" si="108"/>
        <v>1317.8812386315051</v>
      </c>
      <c r="BA78" s="395">
        <f t="shared" si="110"/>
        <v>615.47980703310247</v>
      </c>
    </row>
    <row r="79" spans="1:53" x14ac:dyDescent="0.25">
      <c r="A79" s="246"/>
      <c r="K79" s="228">
        <f t="shared" si="101"/>
        <v>0</v>
      </c>
      <c r="L79" s="243">
        <f t="shared" si="78"/>
        <v>0</v>
      </c>
      <c r="M79" s="229">
        <f t="shared" si="79"/>
        <v>0</v>
      </c>
      <c r="N79" s="229">
        <f t="shared" si="80"/>
        <v>0</v>
      </c>
      <c r="O79" s="229">
        <f t="shared" si="81"/>
        <v>0</v>
      </c>
      <c r="P79" s="226">
        <f t="shared" si="82"/>
        <v>0</v>
      </c>
      <c r="Q79" s="229">
        <f t="shared" si="83"/>
        <v>0</v>
      </c>
      <c r="R79" s="229">
        <f t="shared" si="84"/>
        <v>0</v>
      </c>
      <c r="S79" s="229">
        <f t="shared" si="85"/>
        <v>0</v>
      </c>
      <c r="T79" s="226">
        <v>0</v>
      </c>
      <c r="U79" s="226">
        <v>0</v>
      </c>
      <c r="V79" s="229">
        <f t="shared" si="102"/>
        <v>0</v>
      </c>
      <c r="W79" s="226">
        <f t="shared" si="86"/>
        <v>20.833333333333332</v>
      </c>
      <c r="X79" s="226">
        <f t="shared" si="109"/>
        <v>20.833333333333332</v>
      </c>
      <c r="Y79" s="226">
        <f t="shared" si="87"/>
        <v>18.75</v>
      </c>
      <c r="Z79" s="226">
        <f t="shared" si="88"/>
        <v>3.5714285714285716</v>
      </c>
      <c r="AA79" s="226">
        <f t="shared" si="89"/>
        <v>82.408333333333317</v>
      </c>
      <c r="AB79" s="226">
        <f t="shared" si="90"/>
        <v>87.916666666666657</v>
      </c>
      <c r="AC79" s="230">
        <f t="shared" si="91"/>
        <v>150</v>
      </c>
      <c r="AD79" s="226">
        <f t="shared" si="92"/>
        <v>66.666666666666671</v>
      </c>
      <c r="AE79" s="226">
        <f t="shared" si="93"/>
        <v>15</v>
      </c>
      <c r="AF79" s="226">
        <v>400</v>
      </c>
      <c r="AG79" s="229">
        <f t="shared" si="94"/>
        <v>865.97976190476197</v>
      </c>
      <c r="AH79" s="229">
        <f t="shared" si="95"/>
        <v>865.97976190476197</v>
      </c>
      <c r="AI79" s="231">
        <v>0.04</v>
      </c>
      <c r="AJ79" s="232">
        <f t="shared" si="96"/>
        <v>34.639190476190478</v>
      </c>
      <c r="AK79" s="233">
        <v>0.04</v>
      </c>
      <c r="AL79" s="234">
        <f t="shared" si="104"/>
        <v>52.715249545260207</v>
      </c>
      <c r="AM79" s="231">
        <v>0.01</v>
      </c>
      <c r="AN79" s="232">
        <f t="shared" si="105"/>
        <v>8.6597976190476196</v>
      </c>
      <c r="AO79" s="233">
        <v>0.01</v>
      </c>
      <c r="AP79" s="234">
        <f t="shared" si="97"/>
        <v>13.178812386315052</v>
      </c>
      <c r="AQ79" s="231">
        <v>0.1</v>
      </c>
      <c r="AR79" s="232">
        <f t="shared" si="106"/>
        <v>86.597976190476203</v>
      </c>
      <c r="AS79" s="233">
        <v>0.1</v>
      </c>
      <c r="AT79" s="234">
        <f t="shared" si="98"/>
        <v>131.7881238631505</v>
      </c>
      <c r="AU79" s="231">
        <v>0.15640000000000001</v>
      </c>
      <c r="AV79" s="232">
        <f t="shared" si="99"/>
        <v>195.26994631185812</v>
      </c>
      <c r="AW79" s="233">
        <v>0.19289999999999999</v>
      </c>
      <c r="AX79" s="234">
        <f t="shared" si="100"/>
        <v>254.21929093201732</v>
      </c>
      <c r="AY79" s="235">
        <f t="shared" si="107"/>
        <v>1248.5290684901413</v>
      </c>
      <c r="AZ79" s="234">
        <f t="shared" si="108"/>
        <v>1317.8812386315051</v>
      </c>
      <c r="BA79" s="395">
        <f t="shared" si="110"/>
        <v>615.47980703310247</v>
      </c>
    </row>
    <row r="80" spans="1:53" x14ac:dyDescent="0.25">
      <c r="A80" s="246"/>
      <c r="K80" s="228">
        <f t="shared" si="101"/>
        <v>0</v>
      </c>
      <c r="L80" s="243">
        <f t="shared" si="78"/>
        <v>0</v>
      </c>
      <c r="M80" s="229">
        <f t="shared" si="79"/>
        <v>0</v>
      </c>
      <c r="N80" s="229">
        <f t="shared" si="80"/>
        <v>0</v>
      </c>
      <c r="O80" s="229">
        <f t="shared" si="81"/>
        <v>0</v>
      </c>
      <c r="P80" s="226">
        <f t="shared" si="82"/>
        <v>0</v>
      </c>
      <c r="Q80" s="229">
        <f t="shared" si="83"/>
        <v>0</v>
      </c>
      <c r="R80" s="229">
        <f t="shared" si="84"/>
        <v>0</v>
      </c>
      <c r="S80" s="229">
        <f t="shared" si="85"/>
        <v>0</v>
      </c>
      <c r="T80" s="226">
        <v>0</v>
      </c>
      <c r="U80" s="226">
        <v>0</v>
      </c>
      <c r="V80" s="229">
        <f t="shared" si="102"/>
        <v>0</v>
      </c>
      <c r="W80" s="226">
        <f t="shared" si="86"/>
        <v>20.833333333333332</v>
      </c>
      <c r="X80" s="226">
        <f t="shared" si="109"/>
        <v>20.833333333333332</v>
      </c>
      <c r="Y80" s="226">
        <f t="shared" si="87"/>
        <v>18.75</v>
      </c>
      <c r="Z80" s="226">
        <f t="shared" si="88"/>
        <v>3.5714285714285716</v>
      </c>
      <c r="AA80" s="226">
        <f t="shared" si="89"/>
        <v>82.408333333333317</v>
      </c>
      <c r="AB80" s="226">
        <f t="shared" si="90"/>
        <v>87.916666666666657</v>
      </c>
      <c r="AC80" s="230">
        <f t="shared" si="91"/>
        <v>150</v>
      </c>
      <c r="AD80" s="226">
        <f t="shared" si="92"/>
        <v>66.666666666666671</v>
      </c>
      <c r="AE80" s="226">
        <f t="shared" si="93"/>
        <v>15</v>
      </c>
      <c r="AF80" s="226">
        <v>400</v>
      </c>
      <c r="AG80" s="229">
        <f t="shared" si="94"/>
        <v>865.97976190476197</v>
      </c>
      <c r="AH80" s="229">
        <f t="shared" si="95"/>
        <v>865.97976190476197</v>
      </c>
      <c r="AI80" s="231">
        <v>0.04</v>
      </c>
      <c r="AJ80" s="232">
        <f t="shared" si="96"/>
        <v>34.639190476190478</v>
      </c>
      <c r="AK80" s="233">
        <v>0.04</v>
      </c>
      <c r="AL80" s="234">
        <f t="shared" si="104"/>
        <v>52.715249545260207</v>
      </c>
      <c r="AM80" s="231">
        <v>0.01</v>
      </c>
      <c r="AN80" s="232">
        <f t="shared" si="105"/>
        <v>8.6597976190476196</v>
      </c>
      <c r="AO80" s="233">
        <v>0.01</v>
      </c>
      <c r="AP80" s="234">
        <f t="shared" si="97"/>
        <v>13.178812386315052</v>
      </c>
      <c r="AQ80" s="231">
        <v>0.1</v>
      </c>
      <c r="AR80" s="232">
        <f t="shared" si="106"/>
        <v>86.597976190476203</v>
      </c>
      <c r="AS80" s="233">
        <v>0.1</v>
      </c>
      <c r="AT80" s="234">
        <f t="shared" si="98"/>
        <v>131.7881238631505</v>
      </c>
      <c r="AU80" s="231">
        <v>0.15640000000000001</v>
      </c>
      <c r="AV80" s="232">
        <f t="shared" si="99"/>
        <v>195.26994631185812</v>
      </c>
      <c r="AW80" s="233">
        <v>0.19289999999999999</v>
      </c>
      <c r="AX80" s="234">
        <f t="shared" si="100"/>
        <v>254.21929093201732</v>
      </c>
      <c r="AY80" s="235">
        <f t="shared" si="107"/>
        <v>1248.5290684901413</v>
      </c>
      <c r="AZ80" s="234">
        <f t="shared" si="108"/>
        <v>1317.8812386315051</v>
      </c>
      <c r="BA80" s="395">
        <f t="shared" si="110"/>
        <v>615.47980703310247</v>
      </c>
    </row>
    <row r="81" spans="1:53" x14ac:dyDescent="0.25">
      <c r="A81" s="246"/>
      <c r="K81" s="228">
        <f t="shared" si="101"/>
        <v>0</v>
      </c>
      <c r="L81" s="243">
        <f t="shared" si="78"/>
        <v>0</v>
      </c>
      <c r="M81" s="229">
        <f t="shared" si="79"/>
        <v>0</v>
      </c>
      <c r="N81" s="229">
        <f t="shared" si="80"/>
        <v>0</v>
      </c>
      <c r="O81" s="229">
        <f t="shared" si="81"/>
        <v>0</v>
      </c>
      <c r="P81" s="226">
        <f t="shared" si="82"/>
        <v>0</v>
      </c>
      <c r="Q81" s="229">
        <f t="shared" si="83"/>
        <v>0</v>
      </c>
      <c r="R81" s="229">
        <f t="shared" si="84"/>
        <v>0</v>
      </c>
      <c r="S81" s="229">
        <f t="shared" si="85"/>
        <v>0</v>
      </c>
      <c r="T81" s="226">
        <v>0</v>
      </c>
      <c r="U81" s="226">
        <v>0</v>
      </c>
      <c r="V81" s="229">
        <f t="shared" si="102"/>
        <v>0</v>
      </c>
      <c r="W81" s="226">
        <f t="shared" si="86"/>
        <v>20.833333333333332</v>
      </c>
      <c r="X81" s="226">
        <f t="shared" si="109"/>
        <v>20.833333333333332</v>
      </c>
      <c r="Y81" s="226">
        <f t="shared" si="87"/>
        <v>18.75</v>
      </c>
      <c r="Z81" s="226">
        <f t="shared" si="88"/>
        <v>3.5714285714285716</v>
      </c>
      <c r="AA81" s="226">
        <f t="shared" si="89"/>
        <v>82.408333333333317</v>
      </c>
      <c r="AB81" s="226">
        <f t="shared" si="90"/>
        <v>87.916666666666657</v>
      </c>
      <c r="AC81" s="230">
        <f t="shared" si="91"/>
        <v>150</v>
      </c>
      <c r="AD81" s="226">
        <f t="shared" si="92"/>
        <v>66.666666666666671</v>
      </c>
      <c r="AE81" s="226">
        <f t="shared" si="93"/>
        <v>15</v>
      </c>
      <c r="AF81" s="226">
        <v>400</v>
      </c>
      <c r="AG81" s="229">
        <f t="shared" si="94"/>
        <v>865.97976190476197</v>
      </c>
      <c r="AH81" s="229">
        <f t="shared" si="95"/>
        <v>865.97976190476197</v>
      </c>
      <c r="AI81" s="231">
        <v>0.04</v>
      </c>
      <c r="AJ81" s="232">
        <f t="shared" si="96"/>
        <v>34.639190476190478</v>
      </c>
      <c r="AK81" s="233">
        <v>0.04</v>
      </c>
      <c r="AL81" s="234">
        <f t="shared" si="104"/>
        <v>52.715249545260207</v>
      </c>
      <c r="AM81" s="231">
        <v>0.01</v>
      </c>
      <c r="AN81" s="232">
        <f t="shared" si="105"/>
        <v>8.6597976190476196</v>
      </c>
      <c r="AO81" s="233">
        <v>0.01</v>
      </c>
      <c r="AP81" s="234">
        <f t="shared" si="97"/>
        <v>13.178812386315052</v>
      </c>
      <c r="AQ81" s="231">
        <v>0.1</v>
      </c>
      <c r="AR81" s="232">
        <f t="shared" si="106"/>
        <v>86.597976190476203</v>
      </c>
      <c r="AS81" s="233">
        <v>0.1</v>
      </c>
      <c r="AT81" s="234">
        <f t="shared" si="98"/>
        <v>131.7881238631505</v>
      </c>
      <c r="AU81" s="231">
        <v>0.15640000000000001</v>
      </c>
      <c r="AV81" s="232">
        <f t="shared" si="99"/>
        <v>195.26994631185812</v>
      </c>
      <c r="AW81" s="233">
        <v>0.19289999999999999</v>
      </c>
      <c r="AX81" s="234">
        <f t="shared" si="100"/>
        <v>254.21929093201732</v>
      </c>
      <c r="AY81" s="235">
        <f t="shared" si="107"/>
        <v>1248.5290684901413</v>
      </c>
      <c r="AZ81" s="234">
        <f t="shared" si="108"/>
        <v>1317.8812386315051</v>
      </c>
      <c r="BA81" s="395">
        <f t="shared" si="110"/>
        <v>615.47980703310247</v>
      </c>
    </row>
    <row r="82" spans="1:53" x14ac:dyDescent="0.25">
      <c r="A82" s="246"/>
      <c r="K82" s="228">
        <f t="shared" si="101"/>
        <v>0</v>
      </c>
      <c r="L82" s="243">
        <f t="shared" si="78"/>
        <v>0</v>
      </c>
      <c r="M82" s="229">
        <f t="shared" si="79"/>
        <v>0</v>
      </c>
      <c r="N82" s="229">
        <f t="shared" si="80"/>
        <v>0</v>
      </c>
      <c r="O82" s="229">
        <f t="shared" si="81"/>
        <v>0</v>
      </c>
      <c r="P82" s="226">
        <f t="shared" si="82"/>
        <v>0</v>
      </c>
      <c r="Q82" s="229">
        <f t="shared" si="83"/>
        <v>0</v>
      </c>
      <c r="R82" s="229">
        <f t="shared" si="84"/>
        <v>0</v>
      </c>
      <c r="S82" s="229">
        <f t="shared" si="85"/>
        <v>0</v>
      </c>
      <c r="T82" s="226">
        <v>0</v>
      </c>
      <c r="U82" s="226">
        <v>0</v>
      </c>
      <c r="V82" s="229">
        <f t="shared" si="102"/>
        <v>0</v>
      </c>
      <c r="W82" s="226">
        <f t="shared" si="86"/>
        <v>20.833333333333332</v>
      </c>
      <c r="X82" s="226">
        <f t="shared" si="109"/>
        <v>20.833333333333332</v>
      </c>
      <c r="Y82" s="226">
        <f t="shared" si="87"/>
        <v>18.75</v>
      </c>
      <c r="Z82" s="226">
        <f t="shared" si="88"/>
        <v>3.5714285714285716</v>
      </c>
      <c r="AA82" s="226">
        <f t="shared" si="89"/>
        <v>82.408333333333317</v>
      </c>
      <c r="AB82" s="226">
        <f t="shared" si="90"/>
        <v>87.916666666666657</v>
      </c>
      <c r="AC82" s="230">
        <f t="shared" si="91"/>
        <v>150</v>
      </c>
      <c r="AD82" s="226">
        <f t="shared" si="92"/>
        <v>66.666666666666671</v>
      </c>
      <c r="AE82" s="226">
        <f t="shared" si="93"/>
        <v>15</v>
      </c>
      <c r="AF82" s="226">
        <v>400</v>
      </c>
      <c r="AG82" s="229">
        <f t="shared" si="94"/>
        <v>865.97976190476197</v>
      </c>
      <c r="AH82" s="229">
        <f t="shared" si="95"/>
        <v>865.97976190476197</v>
      </c>
      <c r="AI82" s="231">
        <v>0.04</v>
      </c>
      <c r="AJ82" s="232">
        <f t="shared" si="96"/>
        <v>34.639190476190478</v>
      </c>
      <c r="AK82" s="233">
        <v>0.04</v>
      </c>
      <c r="AL82" s="234">
        <f t="shared" si="104"/>
        <v>52.715249545260207</v>
      </c>
      <c r="AM82" s="231">
        <v>0.01</v>
      </c>
      <c r="AN82" s="232">
        <f t="shared" si="105"/>
        <v>8.6597976190476196</v>
      </c>
      <c r="AO82" s="233">
        <v>0.01</v>
      </c>
      <c r="AP82" s="234">
        <f t="shared" si="97"/>
        <v>13.178812386315052</v>
      </c>
      <c r="AQ82" s="231">
        <v>0.1</v>
      </c>
      <c r="AR82" s="232">
        <f t="shared" si="106"/>
        <v>86.597976190476203</v>
      </c>
      <c r="AS82" s="233">
        <v>0.1</v>
      </c>
      <c r="AT82" s="234">
        <f t="shared" si="98"/>
        <v>131.7881238631505</v>
      </c>
      <c r="AU82" s="231">
        <v>0.15640000000000001</v>
      </c>
      <c r="AV82" s="232">
        <f t="shared" si="99"/>
        <v>195.26994631185812</v>
      </c>
      <c r="AW82" s="233">
        <v>0.19289999999999999</v>
      </c>
      <c r="AX82" s="234">
        <f t="shared" si="100"/>
        <v>254.21929093201732</v>
      </c>
      <c r="AY82" s="235">
        <f t="shared" si="107"/>
        <v>1248.5290684901413</v>
      </c>
      <c r="AZ82" s="234">
        <f t="shared" si="108"/>
        <v>1317.8812386315051</v>
      </c>
      <c r="BA82" s="395">
        <f t="shared" si="110"/>
        <v>615.47980703310247</v>
      </c>
    </row>
  </sheetData>
  <mergeCells count="5">
    <mergeCell ref="AU2:AV2"/>
    <mergeCell ref="AW2:AX2"/>
    <mergeCell ref="AI2:AL2"/>
    <mergeCell ref="AM2:AP2"/>
    <mergeCell ref="AQ2:AT2"/>
  </mergeCells>
  <conditionalFormatting sqref="AI4:AZ4">
    <cfRule type="cellIs" dxfId="87" priority="92" operator="equal">
      <formula>0</formula>
    </cfRule>
  </conditionalFormatting>
  <conditionalFormatting sqref="C1:C1048576">
    <cfRule type="cellIs" dxfId="86" priority="2" operator="equal">
      <formula>"Estágio"</formula>
    </cfRule>
    <cfRule type="cellIs" dxfId="85" priority="91" operator="equal">
      <formula>"PJ"</formula>
    </cfRule>
  </conditionalFormatting>
  <conditionalFormatting sqref="AI5:AZ5">
    <cfRule type="cellIs" dxfId="84" priority="90" operator="equal">
      <formula>0</formula>
    </cfRule>
  </conditionalFormatting>
  <conditionalFormatting sqref="AI6:AZ6">
    <cfRule type="cellIs" dxfId="83" priority="89" operator="equal">
      <formula>0</formula>
    </cfRule>
  </conditionalFormatting>
  <conditionalFormatting sqref="AI7:AZ7">
    <cfRule type="cellIs" dxfId="82" priority="88" operator="equal">
      <formula>0</formula>
    </cfRule>
  </conditionalFormatting>
  <conditionalFormatting sqref="AI8:AZ8">
    <cfRule type="cellIs" dxfId="81" priority="87" operator="equal">
      <formula>0</formula>
    </cfRule>
  </conditionalFormatting>
  <conditionalFormatting sqref="AI9:AZ9">
    <cfRule type="cellIs" dxfId="80" priority="86" operator="equal">
      <formula>0</formula>
    </cfRule>
  </conditionalFormatting>
  <conditionalFormatting sqref="AI10:AZ10">
    <cfRule type="cellIs" dxfId="79" priority="85" operator="equal">
      <formula>0</formula>
    </cfRule>
  </conditionalFormatting>
  <conditionalFormatting sqref="AI11:AZ11">
    <cfRule type="cellIs" dxfId="78" priority="84" operator="equal">
      <formula>0</formula>
    </cfRule>
  </conditionalFormatting>
  <conditionalFormatting sqref="AI12:AZ12">
    <cfRule type="cellIs" dxfId="77" priority="83" operator="equal">
      <formula>0</formula>
    </cfRule>
  </conditionalFormatting>
  <conditionalFormatting sqref="AI13:AZ13">
    <cfRule type="cellIs" dxfId="76" priority="82" operator="equal">
      <formula>0</formula>
    </cfRule>
  </conditionalFormatting>
  <conditionalFormatting sqref="AI14:AZ14">
    <cfRule type="cellIs" dxfId="75" priority="81" operator="equal">
      <formula>0</formula>
    </cfRule>
  </conditionalFormatting>
  <conditionalFormatting sqref="AI15:AZ15">
    <cfRule type="cellIs" dxfId="74" priority="80" operator="equal">
      <formula>0</formula>
    </cfRule>
  </conditionalFormatting>
  <conditionalFormatting sqref="AI16:AZ16">
    <cfRule type="cellIs" dxfId="73" priority="79" operator="equal">
      <formula>0</formula>
    </cfRule>
  </conditionalFormatting>
  <conditionalFormatting sqref="AI17:AZ17">
    <cfRule type="cellIs" dxfId="72" priority="78" operator="equal">
      <formula>0</formula>
    </cfRule>
  </conditionalFormatting>
  <conditionalFormatting sqref="AI18:AZ18">
    <cfRule type="cellIs" dxfId="71" priority="77" operator="equal">
      <formula>0</formula>
    </cfRule>
  </conditionalFormatting>
  <conditionalFormatting sqref="AI19:AZ19">
    <cfRule type="cellIs" dxfId="70" priority="76" operator="equal">
      <formula>0</formula>
    </cfRule>
  </conditionalFormatting>
  <conditionalFormatting sqref="AI20:AZ20">
    <cfRule type="cellIs" dxfId="69" priority="75" operator="equal">
      <formula>0</formula>
    </cfRule>
  </conditionalFormatting>
  <conditionalFormatting sqref="AI21:AZ21">
    <cfRule type="cellIs" dxfId="68" priority="74" operator="equal">
      <formula>0</formula>
    </cfRule>
  </conditionalFormatting>
  <conditionalFormatting sqref="AI22:AZ22">
    <cfRule type="cellIs" dxfId="67" priority="73" operator="equal">
      <formula>0</formula>
    </cfRule>
  </conditionalFormatting>
  <conditionalFormatting sqref="AI23:AZ23">
    <cfRule type="cellIs" dxfId="66" priority="72" operator="equal">
      <formula>0</formula>
    </cfRule>
  </conditionalFormatting>
  <conditionalFormatting sqref="AI24:AZ24">
    <cfRule type="cellIs" dxfId="65" priority="70" operator="equal">
      <formula>0</formula>
    </cfRule>
  </conditionalFormatting>
  <conditionalFormatting sqref="AI25:AZ25">
    <cfRule type="cellIs" dxfId="64" priority="69" operator="equal">
      <formula>0</formula>
    </cfRule>
  </conditionalFormatting>
  <conditionalFormatting sqref="AI26:AZ26">
    <cfRule type="cellIs" dxfId="63" priority="68" operator="equal">
      <formula>0</formula>
    </cfRule>
  </conditionalFormatting>
  <conditionalFormatting sqref="AI27:AZ27">
    <cfRule type="cellIs" dxfId="62" priority="67" operator="equal">
      <formula>0</formula>
    </cfRule>
  </conditionalFormatting>
  <conditionalFormatting sqref="AI28:AZ28">
    <cfRule type="cellIs" dxfId="61" priority="66" operator="equal">
      <formula>0</formula>
    </cfRule>
  </conditionalFormatting>
  <conditionalFormatting sqref="AI29:AZ29">
    <cfRule type="cellIs" dxfId="60" priority="65" operator="equal">
      <formula>0</formula>
    </cfRule>
  </conditionalFormatting>
  <conditionalFormatting sqref="AI30:AZ30">
    <cfRule type="cellIs" dxfId="59" priority="64" operator="equal">
      <formula>0</formula>
    </cfRule>
  </conditionalFormatting>
  <conditionalFormatting sqref="AI31:AZ31">
    <cfRule type="cellIs" dxfId="58" priority="63" operator="equal">
      <formula>0</formula>
    </cfRule>
  </conditionalFormatting>
  <conditionalFormatting sqref="AI32:AZ32">
    <cfRule type="cellIs" dxfId="57" priority="62" operator="equal">
      <formula>0</formula>
    </cfRule>
  </conditionalFormatting>
  <conditionalFormatting sqref="AI33:AZ33">
    <cfRule type="cellIs" dxfId="56" priority="61" operator="equal">
      <formula>0</formula>
    </cfRule>
  </conditionalFormatting>
  <conditionalFormatting sqref="AI34:AZ34">
    <cfRule type="cellIs" dxfId="55" priority="60" operator="equal">
      <formula>0</formula>
    </cfRule>
  </conditionalFormatting>
  <conditionalFormatting sqref="AI35:AZ35">
    <cfRule type="cellIs" dxfId="54" priority="59" operator="equal">
      <formula>0</formula>
    </cfRule>
  </conditionalFormatting>
  <conditionalFormatting sqref="AI36:AZ36">
    <cfRule type="cellIs" dxfId="53" priority="58" operator="equal">
      <formula>0</formula>
    </cfRule>
  </conditionalFormatting>
  <conditionalFormatting sqref="AI37:AZ37">
    <cfRule type="cellIs" dxfId="52" priority="57" operator="equal">
      <formula>0</formula>
    </cfRule>
  </conditionalFormatting>
  <conditionalFormatting sqref="AI38:AZ38">
    <cfRule type="cellIs" dxfId="51" priority="56" operator="equal">
      <formula>0</formula>
    </cfRule>
  </conditionalFormatting>
  <conditionalFormatting sqref="AI39:AZ39">
    <cfRule type="cellIs" dxfId="50" priority="55" operator="equal">
      <formula>0</formula>
    </cfRule>
  </conditionalFormatting>
  <conditionalFormatting sqref="AI40:AZ40">
    <cfRule type="cellIs" dxfId="49" priority="54" operator="equal">
      <formula>0</formula>
    </cfRule>
  </conditionalFormatting>
  <conditionalFormatting sqref="AI41:AZ41">
    <cfRule type="cellIs" dxfId="48" priority="53" operator="equal">
      <formula>0</formula>
    </cfRule>
  </conditionalFormatting>
  <conditionalFormatting sqref="AI42:AZ42">
    <cfRule type="cellIs" dxfId="47" priority="52" operator="equal">
      <formula>0</formula>
    </cfRule>
  </conditionalFormatting>
  <conditionalFormatting sqref="AI43:AZ43">
    <cfRule type="cellIs" dxfId="46" priority="51" operator="equal">
      <formula>0</formula>
    </cfRule>
  </conditionalFormatting>
  <conditionalFormatting sqref="AI44:AZ44">
    <cfRule type="cellIs" dxfId="45" priority="50" operator="equal">
      <formula>0</formula>
    </cfRule>
  </conditionalFormatting>
  <conditionalFormatting sqref="AI45:AZ45">
    <cfRule type="cellIs" dxfId="44" priority="49" operator="equal">
      <formula>0</formula>
    </cfRule>
  </conditionalFormatting>
  <conditionalFormatting sqref="AI46:AZ46">
    <cfRule type="cellIs" dxfId="43" priority="48" operator="equal">
      <formula>0</formula>
    </cfRule>
  </conditionalFormatting>
  <conditionalFormatting sqref="AI47:AZ47">
    <cfRule type="cellIs" dxfId="42" priority="47" operator="equal">
      <formula>0</formula>
    </cfRule>
  </conditionalFormatting>
  <conditionalFormatting sqref="AI48:AZ48">
    <cfRule type="cellIs" dxfId="41" priority="46" operator="equal">
      <formula>0</formula>
    </cfRule>
  </conditionalFormatting>
  <conditionalFormatting sqref="AI49:AZ49">
    <cfRule type="cellIs" dxfId="40" priority="45" operator="equal">
      <formula>0</formula>
    </cfRule>
  </conditionalFormatting>
  <conditionalFormatting sqref="AI50:AZ50">
    <cfRule type="cellIs" dxfId="39" priority="44" operator="equal">
      <formula>0</formula>
    </cfRule>
  </conditionalFormatting>
  <conditionalFormatting sqref="AI52:AZ52">
    <cfRule type="cellIs" dxfId="38" priority="43" operator="equal">
      <formula>0</formula>
    </cfRule>
  </conditionalFormatting>
  <conditionalFormatting sqref="AI53:AZ53">
    <cfRule type="cellIs" dxfId="37" priority="42" operator="equal">
      <formula>0</formula>
    </cfRule>
  </conditionalFormatting>
  <conditionalFormatting sqref="AI54:AZ54">
    <cfRule type="cellIs" dxfId="36" priority="41" operator="equal">
      <formula>0</formula>
    </cfRule>
  </conditionalFormatting>
  <conditionalFormatting sqref="AI55:AZ55">
    <cfRule type="cellIs" dxfId="35" priority="40" operator="equal">
      <formula>0</formula>
    </cfRule>
  </conditionalFormatting>
  <conditionalFormatting sqref="AI56:AZ56">
    <cfRule type="cellIs" dxfId="34" priority="39" operator="equal">
      <formula>0</formula>
    </cfRule>
  </conditionalFormatting>
  <conditionalFormatting sqref="AI57:AZ57">
    <cfRule type="cellIs" dxfId="33" priority="38" operator="equal">
      <formula>0</formula>
    </cfRule>
  </conditionalFormatting>
  <conditionalFormatting sqref="AI58:AZ58">
    <cfRule type="cellIs" dxfId="32" priority="37" operator="equal">
      <formula>0</formula>
    </cfRule>
  </conditionalFormatting>
  <conditionalFormatting sqref="AI59:AZ59">
    <cfRule type="cellIs" dxfId="31" priority="36" operator="equal">
      <formula>0</formula>
    </cfRule>
  </conditionalFormatting>
  <conditionalFormatting sqref="AI66:AZ66">
    <cfRule type="cellIs" dxfId="30" priority="28" operator="equal">
      <formula>0</formula>
    </cfRule>
  </conditionalFormatting>
  <conditionalFormatting sqref="AI60:AZ60">
    <cfRule type="cellIs" dxfId="29" priority="27" operator="equal">
      <formula>0</formula>
    </cfRule>
  </conditionalFormatting>
  <conditionalFormatting sqref="AI61:AZ61">
    <cfRule type="cellIs" dxfId="28" priority="25" operator="equal">
      <formula>0</formula>
    </cfRule>
  </conditionalFormatting>
  <conditionalFormatting sqref="AI62:AZ62">
    <cfRule type="cellIs" dxfId="27" priority="23" operator="equal">
      <formula>0</formula>
    </cfRule>
  </conditionalFormatting>
  <conditionalFormatting sqref="AI63:AZ63">
    <cfRule type="cellIs" dxfId="26" priority="22" operator="equal">
      <formula>0</formula>
    </cfRule>
  </conditionalFormatting>
  <conditionalFormatting sqref="AI64:AZ64">
    <cfRule type="cellIs" dxfId="25" priority="21" operator="equal">
      <formula>0</formula>
    </cfRule>
  </conditionalFormatting>
  <conditionalFormatting sqref="AI65:AZ65">
    <cfRule type="cellIs" dxfId="24" priority="20" operator="equal">
      <formula>0</formula>
    </cfRule>
  </conditionalFormatting>
  <conditionalFormatting sqref="AI67:AZ67">
    <cfRule type="cellIs" dxfId="23" priority="19" operator="equal">
      <formula>0</formula>
    </cfRule>
  </conditionalFormatting>
  <conditionalFormatting sqref="AI68:AZ68">
    <cfRule type="cellIs" dxfId="22" priority="18" operator="equal">
      <formula>0</formula>
    </cfRule>
  </conditionalFormatting>
  <conditionalFormatting sqref="AI69:AZ69">
    <cfRule type="cellIs" dxfId="21" priority="17" operator="equal">
      <formula>0</formula>
    </cfRule>
  </conditionalFormatting>
  <conditionalFormatting sqref="AI70:AZ70">
    <cfRule type="cellIs" dxfId="20" priority="16" operator="equal">
      <formula>0</formula>
    </cfRule>
  </conditionalFormatting>
  <conditionalFormatting sqref="AI71:AZ71">
    <cfRule type="cellIs" dxfId="19" priority="15" operator="equal">
      <formula>0</formula>
    </cfRule>
  </conditionalFormatting>
  <conditionalFormatting sqref="AI72:AZ72">
    <cfRule type="cellIs" dxfId="18" priority="14" operator="equal">
      <formula>0</formula>
    </cfRule>
  </conditionalFormatting>
  <conditionalFormatting sqref="AI73:AZ73">
    <cfRule type="cellIs" dxfId="17" priority="13" operator="equal">
      <formula>0</formula>
    </cfRule>
  </conditionalFormatting>
  <conditionalFormatting sqref="AI74:AZ74">
    <cfRule type="cellIs" dxfId="16" priority="12" operator="equal">
      <formula>0</formula>
    </cfRule>
  </conditionalFormatting>
  <conditionalFormatting sqref="AI75:AZ75">
    <cfRule type="cellIs" dxfId="15" priority="11" operator="equal">
      <formula>0</formula>
    </cfRule>
  </conditionalFormatting>
  <conditionalFormatting sqref="AI76:AZ76">
    <cfRule type="cellIs" dxfId="14" priority="10" operator="equal">
      <formula>0</formula>
    </cfRule>
  </conditionalFormatting>
  <conditionalFormatting sqref="AI77:AZ77">
    <cfRule type="cellIs" dxfId="13" priority="9" operator="equal">
      <formula>0</formula>
    </cfRule>
  </conditionalFormatting>
  <conditionalFormatting sqref="AI78:AZ78">
    <cfRule type="cellIs" dxfId="12" priority="8" operator="equal">
      <formula>0</formula>
    </cfRule>
  </conditionalFormatting>
  <conditionalFormatting sqref="AI79:AZ79">
    <cfRule type="cellIs" dxfId="11" priority="7" operator="equal">
      <formula>0</formula>
    </cfRule>
  </conditionalFormatting>
  <conditionalFormatting sqref="AI80:AZ80">
    <cfRule type="cellIs" dxfId="10" priority="6" operator="equal">
      <formula>0</formula>
    </cfRule>
  </conditionalFormatting>
  <conditionalFormatting sqref="AI81:AZ81">
    <cfRule type="cellIs" dxfId="9" priority="5" operator="equal">
      <formula>0</formula>
    </cfRule>
  </conditionalFormatting>
  <conditionalFormatting sqref="AI82:AZ82">
    <cfRule type="cellIs" dxfId="8" priority="4" operator="equal">
      <formula>0</formula>
    </cfRule>
  </conditionalFormatting>
  <conditionalFormatting sqref="AI3:BA3 BA4:BA82">
    <cfRule type="cellIs" dxfId="7" priority="3" operator="equal">
      <formula>0</formula>
    </cfRule>
  </conditionalFormatting>
  <conditionalFormatting sqref="AI51:AZ51">
    <cfRule type="cellIs" dxfId="6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A834-F8DB-4A5F-A16A-50A2CEBE88EA}">
  <sheetPr codeName="Planilha11"/>
  <dimension ref="A1:L53"/>
  <sheetViews>
    <sheetView zoomScale="115" zoomScaleNormal="115" workbookViewId="0">
      <selection activeCell="H48" sqref="H48"/>
    </sheetView>
  </sheetViews>
  <sheetFormatPr defaultRowHeight="15" x14ac:dyDescent="0.25"/>
  <cols>
    <col min="1" max="1" width="11.28515625" bestFit="1" customWidth="1"/>
    <col min="2" max="2" width="18.28515625" style="104" bestFit="1" customWidth="1"/>
    <col min="3" max="3" width="28.140625" bestFit="1" customWidth="1"/>
    <col min="4" max="4" width="11.42578125" bestFit="1" customWidth="1"/>
    <col min="5" max="5" width="10.42578125" bestFit="1" customWidth="1"/>
    <col min="6" max="6" width="17.28515625" bestFit="1" customWidth="1"/>
    <col min="8" max="8" width="18.28515625" style="86" bestFit="1" customWidth="1"/>
    <col min="9" max="9" width="24.7109375" style="105" bestFit="1" customWidth="1"/>
    <col min="10" max="10" width="14.42578125" bestFit="1" customWidth="1"/>
  </cols>
  <sheetData>
    <row r="1" spans="1:12" x14ac:dyDescent="0.25">
      <c r="A1" s="89"/>
      <c r="B1" s="90"/>
      <c r="C1" s="89"/>
      <c r="D1" s="89"/>
      <c r="E1" s="89"/>
      <c r="F1" s="91"/>
      <c r="G1" s="89"/>
      <c r="H1" s="92"/>
      <c r="I1" s="93"/>
      <c r="J1" s="89"/>
      <c r="K1" s="94"/>
      <c r="L1" s="89"/>
    </row>
    <row r="2" spans="1:12" x14ac:dyDescent="0.25">
      <c r="A2" s="89"/>
      <c r="B2" s="90"/>
      <c r="C2" s="89"/>
      <c r="D2" s="89"/>
      <c r="E2" s="89"/>
      <c r="F2" s="91"/>
      <c r="G2" s="89"/>
      <c r="H2" s="92"/>
      <c r="I2" s="93"/>
      <c r="J2" s="89"/>
      <c r="K2" s="94"/>
      <c r="L2" s="89"/>
    </row>
    <row r="3" spans="1:12" ht="15" customHeight="1" x14ac:dyDescent="0.25">
      <c r="A3" s="87"/>
      <c r="B3" s="95" t="s">
        <v>181</v>
      </c>
      <c r="C3" s="96" t="s">
        <v>182</v>
      </c>
      <c r="D3" s="96" t="s">
        <v>183</v>
      </c>
      <c r="E3" s="96" t="s">
        <v>184</v>
      </c>
      <c r="F3" s="96" t="s">
        <v>185</v>
      </c>
      <c r="G3" s="97"/>
      <c r="H3" s="98"/>
      <c r="I3" s="99"/>
      <c r="J3" s="14"/>
      <c r="K3" s="100"/>
      <c r="L3" s="97"/>
    </row>
    <row r="4" spans="1:12" ht="15" customHeight="1" x14ac:dyDescent="0.25">
      <c r="A4" s="87"/>
      <c r="B4" s="101" t="str">
        <f>IF(Helexia!C3="","",LEFT(Helexia!C3,FIND(" ",Helexia!C3&amp;" ")-1)
&amp;" "&amp;
LEFT(
    MID(
        Helexia!C3,
        FIND(" ",Helexia!C3)+1,
        FIND(" ",Helexia!C3&amp;" ",FIND(" ",Helexia!C3)+1)-FIND(" ",Helexia!C3)-1
    ),
1
)&amp;".")</f>
        <v>Leandro F.</v>
      </c>
      <c r="C4" s="97" t="str">
        <f>TRIM(IF(Helexia!E3="", "",
LEFT(
    Helexia!E3,
    MIN(
        IFERROR(FIND(" /",Helexia!E3),9999),
        IFERROR(FIND("'-",Helexia!E3),9999),
        IFERROR(FIND("/",Helexia!E3),9999),
        IFERROR(FIND(" '- ",Helexia!E3),9999)
    ) - 1
)))</f>
        <v>Mossoró</v>
      </c>
      <c r="D4" s="102" t="str">
        <f>TRIM(Helexia!F3)</f>
        <v>RN</v>
      </c>
      <c r="E4" s="97" t="s">
        <v>186</v>
      </c>
      <c r="F4" s="100" t="str">
        <f>CONCATENATE(Helexia!J3," ",Helexia!K3)</f>
        <v xml:space="preserve"> </v>
      </c>
      <c r="G4" s="97"/>
      <c r="H4" s="98"/>
      <c r="I4" s="99"/>
      <c r="J4" s="96"/>
      <c r="K4" s="100"/>
      <c r="L4" s="97"/>
    </row>
    <row r="5" spans="1:12" ht="15" customHeight="1" x14ac:dyDescent="0.25">
      <c r="A5" s="87"/>
      <c r="B5" s="101" t="str">
        <f>IF(Helexia!C4="","",LEFT(Helexia!C4,FIND(" ",Helexia!C4&amp;" ")-1)
&amp;" "&amp;
LEFT(
    MID(
        Helexia!C4,
        FIND(" ",Helexia!C4)+1,
        FIND(" ",Helexia!C4&amp;" ",FIND(" ",Helexia!C4)+1)-FIND(" ",Helexia!C4)-1
    ),
1
)&amp;".")</f>
        <v>Mônica T.</v>
      </c>
      <c r="C5" s="97" t="str">
        <f>TRIM(IF(Helexia!E4="", "",
LEFT(
    Helexia!E4,
    MIN(
        IFERROR(FIND(" /",Helexia!E4),9999),
        IFERROR(FIND("'-",Helexia!E4),9999),
        IFERROR(FIND("/",Helexia!E4),9999),
        IFERROR(FIND(" '- ",Helexia!E4),9999)
    ) - 1
)))</f>
        <v>Beberibe</v>
      </c>
      <c r="D5" s="102" t="str">
        <f>TRIM(Helexia!F4)</f>
        <v>CE</v>
      </c>
      <c r="E5" s="97" t="s">
        <v>186</v>
      </c>
      <c r="F5" s="100" t="str">
        <f>CONCATENATE(Helexia!J4," ",Helexia!K4)</f>
        <v>4x4# Frota Própria</v>
      </c>
      <c r="G5" s="97"/>
      <c r="H5" s="98"/>
      <c r="I5" s="99"/>
      <c r="J5" s="96"/>
      <c r="K5" s="100"/>
      <c r="L5" s="97"/>
    </row>
    <row r="6" spans="1:12" ht="15" customHeight="1" x14ac:dyDescent="0.25">
      <c r="A6" s="87"/>
      <c r="B6" s="101" t="str">
        <f>IF(Helexia!C5="","",LEFT(Helexia!C5,FIND(" ",Helexia!C5&amp;" ")-1)
&amp;" "&amp;
LEFT(
    MID(
        Helexia!C5,
        FIND(" ",Helexia!C5)+1,
        FIND(" ",Helexia!C5&amp;" ",FIND(" ",Helexia!C5)+1)-FIND(" ",Helexia!C5)-1
    ),
1
)&amp;".")</f>
        <v>Rogério B.</v>
      </c>
      <c r="C6" s="97" t="str">
        <f>TRIM(IF(Helexia!E5="", "",
LEFT(
    Helexia!E5,
    MIN(
        IFERROR(FIND(" /",Helexia!E5),9999),
        IFERROR(FIND("'-",Helexia!E5),9999),
        IFERROR(FIND("/",Helexia!E5),9999),
        IFERROR(FIND(" '- ",Helexia!E5),9999)
    ) - 1
)))</f>
        <v>Paranaiba</v>
      </c>
      <c r="D6" s="102" t="str">
        <f>TRIM(Helexia!F5)</f>
        <v>MS</v>
      </c>
      <c r="E6" s="97" t="s">
        <v>186</v>
      </c>
      <c r="F6" s="100" t="str">
        <f>CONCATENATE(Helexia!J5," ",Helexia!K5)</f>
        <v>4x4# Frota Própria</v>
      </c>
      <c r="G6" s="97"/>
      <c r="H6" s="98"/>
      <c r="I6" s="99"/>
      <c r="J6" s="96"/>
      <c r="K6" s="100"/>
      <c r="L6" s="97"/>
    </row>
    <row r="7" spans="1:12" ht="15" customHeight="1" x14ac:dyDescent="0.25">
      <c r="A7" s="87"/>
      <c r="B7" s="101" t="str">
        <f>IF(Helexia!C6="","",LEFT(Helexia!C6,FIND(" ",Helexia!C6&amp;" ")-1)
&amp;" "&amp;
LEFT(
    MID(
        Helexia!C6,
        FIND(" ",Helexia!C6)+1,
        FIND(" ",Helexia!C6&amp;" ",FIND(" ",Helexia!C6)+1)-FIND(" ",Helexia!C6)-1
    ),
1
)&amp;".")</f>
        <v>Elaine P.</v>
      </c>
      <c r="C7" s="97" t="str">
        <f>TRIM(IF(Helexia!E6="", "",
LEFT(
    Helexia!E6,
    MIN(
        IFERROR(FIND(" /",Helexia!E6),9999),
        IFERROR(FIND("'-",Helexia!E6),9999),
        IFERROR(FIND("/",Helexia!E6),9999),
        IFERROR(FIND(" '- ",Helexia!E6),9999)
    ) - 1
)))</f>
        <v>Lorena</v>
      </c>
      <c r="D7" s="102" t="str">
        <f>TRIM(Helexia!F6)</f>
        <v>SP</v>
      </c>
      <c r="E7" s="97" t="s">
        <v>186</v>
      </c>
      <c r="F7" s="100" t="str">
        <f>CONCATENATE(Helexia!J6," ",Helexia!K6)</f>
        <v>4x4# Frota Própria</v>
      </c>
      <c r="G7" s="97"/>
      <c r="H7" s="98"/>
      <c r="I7" s="99"/>
      <c r="J7" s="96"/>
      <c r="K7" s="100"/>
      <c r="L7" s="97"/>
    </row>
    <row r="8" spans="1:12" ht="15" customHeight="1" x14ac:dyDescent="0.25">
      <c r="A8" s="87"/>
      <c r="B8" s="101" t="str">
        <f>IF(Helexia!C7="","",LEFT(Helexia!C7,FIND(" ",Helexia!C7&amp;" ")-1)
&amp;" "&amp;
LEFT(
    MID(
        Helexia!C7,
        FIND(" ",Helexia!C7)+1,
        FIND(" ",Helexia!C7&amp;" ",FIND(" ",Helexia!C7)+1)-FIND(" ",Helexia!C7)-1
    ),
1
)&amp;".")</f>
        <v>Fábio C.</v>
      </c>
      <c r="C8" s="97" t="str">
        <f>TRIM(IF(Helexia!E7="", "",
LEFT(
    Helexia!E7,
    MIN(
        IFERROR(FIND(" /",Helexia!E7),9999),
        IFERROR(FIND("'-",Helexia!E7),9999),
        IFERROR(FIND("/",Helexia!E7),9999),
        IFERROR(FIND(" '- ",Helexia!E7),9999)
    ) - 1
)))</f>
        <v>Guararapes</v>
      </c>
      <c r="D8" s="102" t="str">
        <f>TRIM(Helexia!F7)</f>
        <v>SP</v>
      </c>
      <c r="E8" s="97" t="s">
        <v>186</v>
      </c>
      <c r="F8" s="100" t="str">
        <f>CONCATENATE(Helexia!J7," ",Helexia!K7)</f>
        <v>4x4# Frota Própria</v>
      </c>
      <c r="G8" s="97"/>
      <c r="H8" s="98"/>
      <c r="I8" s="99"/>
      <c r="J8" s="96"/>
      <c r="K8" s="100"/>
      <c r="L8" s="97"/>
    </row>
    <row r="9" spans="1:12" ht="15" customHeight="1" x14ac:dyDescent="0.25">
      <c r="A9" s="87"/>
      <c r="B9" s="101" t="str">
        <f>IF(Helexia!C8="","",LEFT(Helexia!C8,FIND(" ",Helexia!C8&amp;" ")-1)
&amp;" "&amp;
LEFT(
    MID(
        Helexia!C8,
        FIND(" ",Helexia!C8)+1,
        FIND(" ",Helexia!C8&amp;" ",FIND(" ",Helexia!C8)+1)-FIND(" ",Helexia!C8)-1
    ),
1
)&amp;".")</f>
        <v>Patrícia A.</v>
      </c>
      <c r="C9" s="97" t="str">
        <f>TRIM(IF(Helexia!E8="", "",
LEFT(
    Helexia!E8,
    MIN(
        IFERROR(FIND(" /",Helexia!E8),9999),
        IFERROR(FIND("'-",Helexia!E8),9999),
        IFERROR(FIND("/",Helexia!E8),9999),
        IFERROR(FIND(" '- ",Helexia!E8),9999)
    ) - 1
)))</f>
        <v>Cassilândia</v>
      </c>
      <c r="D9" s="102" t="str">
        <f>TRIM(Helexia!F8)</f>
        <v>MS</v>
      </c>
      <c r="E9" s="97" t="s">
        <v>186</v>
      </c>
      <c r="F9" s="100" t="str">
        <f>CONCATENATE(Helexia!J8," ",Helexia!K8)</f>
        <v xml:space="preserve"> </v>
      </c>
      <c r="G9" s="97"/>
      <c r="H9" s="98"/>
      <c r="I9" s="99"/>
      <c r="J9" s="96"/>
      <c r="K9" s="100"/>
      <c r="L9" s="97"/>
    </row>
    <row r="10" spans="1:12" ht="15" customHeight="1" x14ac:dyDescent="0.25">
      <c r="A10" s="87"/>
      <c r="B10" s="101" t="str">
        <f>IF(Helexia!C9="","",LEFT(Helexia!C9,FIND(" ",Helexia!C9&amp;" ")-1)
&amp;" "&amp;
LEFT(
    MID(
        Helexia!C9,
        FIND(" ",Helexia!C9)+1,
        FIND(" ",Helexia!C9&amp;" ",FIND(" ",Helexia!C9)+1)-FIND(" ",Helexia!C9)-1
    ),
1
)&amp;".")</f>
        <v>Vinícius M.</v>
      </c>
      <c r="C10" s="97" t="str">
        <f>TRIM(IF(Helexia!E9="", "",
LEFT(
    Helexia!E9,
    MIN(
        IFERROR(FIND(" /",Helexia!E9),9999),
        IFERROR(FIND("'-",Helexia!E9),9999),
        IFERROR(FIND("/",Helexia!E9),9999),
        IFERROR(FIND(" '- ",Helexia!E9),9999)
    ) - 1
)))</f>
        <v>Rolim de Moura</v>
      </c>
      <c r="D10" s="102" t="str">
        <f>TRIM(Helexia!F9)</f>
        <v>RO</v>
      </c>
      <c r="E10" s="97" t="s">
        <v>186</v>
      </c>
      <c r="F10" s="100" t="str">
        <f>CONCATENATE(Helexia!J9," ",Helexia!K9)</f>
        <v xml:space="preserve"> </v>
      </c>
      <c r="G10" s="97"/>
      <c r="H10" s="98"/>
      <c r="I10" s="99"/>
      <c r="J10" s="96"/>
      <c r="K10" s="100"/>
      <c r="L10" s="97"/>
    </row>
    <row r="11" spans="1:12" ht="15" customHeight="1" x14ac:dyDescent="0.25">
      <c r="A11" s="87"/>
      <c r="B11" s="101" t="str">
        <f>IF(Helexia!C10="","",LEFT(Helexia!C10,FIND(" ",Helexia!C10&amp;" ")-1)
&amp;" "&amp;
LEFT(
    MID(
        Helexia!C10,
        FIND(" ",Helexia!C10)+1,
        FIND(" ",Helexia!C10&amp;" ",FIND(" ",Helexia!C10)+1)-FIND(" ",Helexia!C10)-1
    ),
1
)&amp;".")</f>
        <v>Cláudia P.</v>
      </c>
      <c r="C11" s="97" t="str">
        <f>TRIM(IF(Helexia!E10="", "",
LEFT(
    Helexia!E10,
    MIN(
        IFERROR(FIND(" /",Helexia!E10),9999),
        IFERROR(FIND("'-",Helexia!E10),9999),
        IFERROR(FIND("/",Helexia!E10),9999),
        IFERROR(FIND(" '- ",Helexia!E10),9999)
    ) - 1
)))</f>
        <v>Rolim de Moura</v>
      </c>
      <c r="D11" s="102" t="str">
        <f>TRIM(Helexia!F10)</f>
        <v>RO</v>
      </c>
      <c r="E11" s="97" t="s">
        <v>186</v>
      </c>
      <c r="F11" s="100" t="str">
        <f>CONCATENATE(Helexia!J10," ",Helexia!K10)</f>
        <v>4x2 Localiza</v>
      </c>
      <c r="G11" s="97"/>
      <c r="H11" s="98"/>
      <c r="I11" s="99"/>
      <c r="J11" s="96"/>
      <c r="K11" s="100"/>
      <c r="L11" s="97"/>
    </row>
    <row r="12" spans="1:12" ht="15" customHeight="1" x14ac:dyDescent="0.25">
      <c r="A12" s="87"/>
      <c r="B12" s="101" t="str">
        <f>IF(Helexia!C11="","",LEFT(Helexia!C11,FIND(" ",Helexia!C11&amp;" ")-1)
&amp;" "&amp;
LEFT(
    MID(
        Helexia!C11,
        FIND(" ",Helexia!C11)+1,
        FIND(" ",Helexia!C11&amp;" ",FIND(" ",Helexia!C11)+1)-FIND(" ",Helexia!C11)-1
    ),
1
)&amp;".")</f>
        <v>Renato G.</v>
      </c>
      <c r="C12" s="97" t="str">
        <f>TRIM(IF(Helexia!E11="", "",
LEFT(
    Helexia!E11,
    MIN(
        IFERROR(FIND(" /",Helexia!E11),9999),
        IFERROR(FIND("'-",Helexia!E11),9999),
        IFERROR(FIND("/",Helexia!E11),9999),
        IFERROR(FIND(" '- ",Helexia!E11),9999)
    ) - 1
)))</f>
        <v>Beberibe</v>
      </c>
      <c r="D12" s="102" t="str">
        <f>TRIM(Helexia!F11)</f>
        <v>CE</v>
      </c>
      <c r="E12" s="97" t="s">
        <v>186</v>
      </c>
      <c r="F12" s="100" t="str">
        <f>CONCATENATE(Helexia!J11," ",Helexia!K11)</f>
        <v>4x2 Localiza</v>
      </c>
      <c r="G12" s="97"/>
      <c r="H12" s="98"/>
      <c r="I12" s="99"/>
      <c r="J12" s="96"/>
      <c r="K12" s="100"/>
      <c r="L12" s="97"/>
    </row>
    <row r="13" spans="1:12" ht="15" customHeight="1" x14ac:dyDescent="0.25">
      <c r="A13" s="87"/>
      <c r="B13" s="101" t="str">
        <f>IF(Helexia!C12="","",LEFT(Helexia!C12,FIND(" ",Helexia!C12&amp;" ")-1)
&amp;" "&amp;
LEFT(
    MID(
        Helexia!C12,
        FIND(" ",Helexia!C12)+1,
        FIND(" ",Helexia!C12&amp;" ",FIND(" ",Helexia!C12)+1)-FIND(" ",Helexia!C12)-1
    ),
1
)&amp;".")</f>
        <v>Silvia M.</v>
      </c>
      <c r="C13" s="97" t="str">
        <f>TRIM(IF(Helexia!E12="", "",
LEFT(
    Helexia!E12,
    MIN(
        IFERROR(FIND(" /",Helexia!E12),9999),
        IFERROR(FIND("'-",Helexia!E12),9999),
        IFERROR(FIND("/",Helexia!E12),9999),
        IFERROR(FIND(" '- ",Helexia!E12),9999)
    ) - 1
)))</f>
        <v>Rodando o BR</v>
      </c>
      <c r="D13" s="102" t="str">
        <f>TRIM(Helexia!F12)</f>
        <v>BR</v>
      </c>
      <c r="E13" s="97" t="s">
        <v>186</v>
      </c>
      <c r="F13" s="100" t="str">
        <f>CONCATENATE(Helexia!J12," ",Helexia!K12)</f>
        <v>4x2 Frota Própria</v>
      </c>
      <c r="G13" s="97"/>
      <c r="H13" s="98"/>
      <c r="I13" s="99"/>
      <c r="J13" s="96"/>
      <c r="K13" s="100"/>
      <c r="L13" s="97"/>
    </row>
    <row r="14" spans="1:12" ht="15" customHeight="1" x14ac:dyDescent="0.25">
      <c r="A14" s="87"/>
      <c r="B14" s="101" t="str">
        <f>IF(Helexia!C13="","",LEFT(Helexia!C13,FIND(" ",Helexia!C13&amp;" ")-1)
&amp;" "&amp;
LEFT(
    MID(
        Helexia!C13,
        FIND(" ",Helexia!C13)+1,
        FIND(" ",Helexia!C13&amp;" ",FIND(" ",Helexia!C13)+1)-FIND(" ",Helexia!C13)-1
    ),
1
)&amp;".")</f>
        <v>Daniel A.</v>
      </c>
      <c r="C14" s="97" t="str">
        <f>TRIM(IF(Helexia!E13="", "",
LEFT(
    Helexia!E13,
    MIN(
        IFERROR(FIND(" /",Helexia!E13),9999),
        IFERROR(FIND("'-",Helexia!E13),9999),
        IFERROR(FIND("/",Helexia!E13),9999),
        IFERROR(FIND(" '- ",Helexia!E13),9999)
    ) - 1
)))</f>
        <v>Cidade Gaúcha</v>
      </c>
      <c r="D14" s="102" t="str">
        <f>TRIM(Helexia!F13)</f>
        <v>PR</v>
      </c>
      <c r="E14" s="97" t="s">
        <v>186</v>
      </c>
      <c r="F14" s="100" t="str">
        <f>CONCATENATE(Helexia!J13," ",Helexia!K13)</f>
        <v>4x2 Localiza</v>
      </c>
      <c r="G14" s="97"/>
      <c r="H14" s="98"/>
      <c r="I14" s="99"/>
      <c r="J14" s="96"/>
      <c r="K14" s="100"/>
      <c r="L14" s="97"/>
    </row>
    <row r="15" spans="1:12" ht="15" customHeight="1" x14ac:dyDescent="0.25">
      <c r="A15" s="87"/>
      <c r="B15" s="101" t="str">
        <f>IF(Helexia!C14="","",LEFT(Helexia!C14,FIND(" ",Helexia!C14&amp;" ")-1)
&amp;" "&amp;
LEFT(
    MID(
        Helexia!C14,
        FIND(" ",Helexia!C14)+1,
        FIND(" ",Helexia!C14&amp;" ",FIND(" ",Helexia!C14)+1)-FIND(" ",Helexia!C14)-1
    ),
1
)&amp;".")</f>
        <v>Juliane C.</v>
      </c>
      <c r="C15" s="97" t="str">
        <f>TRIM(IF(Helexia!E14="", "",
LEFT(
    Helexia!E14,
    MIN(
        IFERROR(FIND(" /",Helexia!E14),9999),
        IFERROR(FIND("'-",Helexia!E14),9999),
        IFERROR(FIND("/",Helexia!E14),9999),
        IFERROR(FIND(" '- ",Helexia!E14),9999)
    ) - 1
)))</f>
        <v>Cezarina</v>
      </c>
      <c r="D15" s="102" t="str">
        <f>TRIM(Helexia!F14)</f>
        <v>GO</v>
      </c>
      <c r="E15" s="97" t="s">
        <v>186</v>
      </c>
      <c r="F15" s="100" t="str">
        <f>CONCATENATE(Helexia!J14," ",Helexia!K14)</f>
        <v>4x2 Frota Própria</v>
      </c>
      <c r="G15" s="97"/>
      <c r="H15" s="103"/>
      <c r="I15" s="97"/>
      <c r="J15" s="96"/>
      <c r="K15" s="100"/>
      <c r="L15" s="97"/>
    </row>
    <row r="16" spans="1:12" ht="15" customHeight="1" x14ac:dyDescent="0.25">
      <c r="A16" s="87"/>
      <c r="B16" s="101" t="str">
        <f>IF(Helexia!C15="","",LEFT(Helexia!C15,FIND(" ",Helexia!C15&amp;" ")-1)
&amp;" "&amp;
LEFT(
    MID(
        Helexia!C15,
        FIND(" ",Helexia!C15)+1,
        FIND(" ",Helexia!C15&amp;" ",FIND(" ",Helexia!C15)+1)-FIND(" ",Helexia!C15)-1
    ),
1
)&amp;".")</f>
        <v>Mauro S.</v>
      </c>
      <c r="C16" s="97" t="str">
        <f>TRIM(IF(Helexia!E15="", "",
LEFT(
    Helexia!E15,
    MIN(
        IFERROR(FIND(" /",Helexia!E15),9999),
        IFERROR(FIND("'-",Helexia!E15),9999),
        IFERROR(FIND("/",Helexia!E15),9999),
        IFERROR(FIND(" '- ",Helexia!E15),9999)
    ) - 1
)))</f>
        <v>Cidade Gaúcha</v>
      </c>
      <c r="D16" s="102" t="str">
        <f>TRIM(Helexia!F15)</f>
        <v>PR</v>
      </c>
      <c r="E16" s="97" t="s">
        <v>186</v>
      </c>
      <c r="F16" s="100" t="str">
        <f>CONCATENATE(Helexia!J15," ",Helexia!K15)</f>
        <v xml:space="preserve"> </v>
      </c>
      <c r="G16" s="97"/>
      <c r="H16" s="98"/>
      <c r="I16" s="99"/>
      <c r="J16" s="96"/>
      <c r="K16" s="100"/>
      <c r="L16" s="97"/>
    </row>
    <row r="17" spans="1:12" ht="15" customHeight="1" x14ac:dyDescent="0.25">
      <c r="A17" s="87"/>
      <c r="B17" s="101" t="str">
        <f>IF(Helexia!C16="","",LEFT(Helexia!C16,FIND(" ",Helexia!C16&amp;" ")-1)
&amp;" "&amp;
LEFT(
    MID(
        Helexia!C16,
        FIND(" ",Helexia!C16)+1,
        FIND(" ",Helexia!C16&amp;" ",FIND(" ",Helexia!C16)+1)-FIND(" ",Helexia!C16)-1
    ),
1
)&amp;".")</f>
        <v>Tatiana B.</v>
      </c>
      <c r="C17" s="97" t="str">
        <f>TRIM(IF(Helexia!E16="", "",
LEFT(
    Helexia!E16,
    MIN(
        IFERROR(FIND(" /",Helexia!E16),9999),
        IFERROR(FIND("'-",Helexia!E16),9999),
        IFERROR(FIND("/",Helexia!E16),9999),
        IFERROR(FIND(" '- ",Helexia!E16),9999)
    ) - 1
)))</f>
        <v>Cotia-SP</v>
      </c>
      <c r="D17" s="102" t="str">
        <f>TRIM(Helexia!F16)</f>
        <v>SP</v>
      </c>
      <c r="E17" s="97" t="s">
        <v>186</v>
      </c>
      <c r="F17" s="100" t="str">
        <f>CONCATENATE(Helexia!J16," ",Helexia!K16)</f>
        <v>4x2 Localiza</v>
      </c>
      <c r="G17" s="97"/>
      <c r="H17" s="98"/>
      <c r="I17" s="99"/>
      <c r="J17" s="96"/>
      <c r="K17" s="100"/>
      <c r="L17" s="97"/>
    </row>
    <row r="18" spans="1:12" ht="15" customHeight="1" x14ac:dyDescent="0.25">
      <c r="A18" s="87"/>
      <c r="B18" s="101" t="str">
        <f>IF(Helexia!C17="","",LEFT(Helexia!C17,FIND(" ",Helexia!C17&amp;" ")-1)
&amp;" "&amp;
LEFT(
    MID(
        Helexia!C17,
        FIND(" ",Helexia!C17)+1,
        FIND(" ",Helexia!C17&amp;" ",FIND(" ",Helexia!C17)+1)-FIND(" ",Helexia!C17)-1
    ),
1
)&amp;".")</f>
        <v>Alex R.</v>
      </c>
      <c r="C18" s="97" t="str">
        <f>TRIM(IF(Helexia!E17="", "",
LEFT(
    Helexia!E17,
    MIN(
        IFERROR(FIND(" /",Helexia!E17),9999),
        IFERROR(FIND("'-",Helexia!E17),9999),
        IFERROR(FIND("/",Helexia!E17),9999),
        IFERROR(FIND(" '- ",Helexia!E17),9999)
    ) - 1
)))</f>
        <v>Paranavaí</v>
      </c>
      <c r="D18" s="102" t="str">
        <f>TRIM(Helexia!F17)</f>
        <v>PR</v>
      </c>
      <c r="E18" s="97" t="s">
        <v>186</v>
      </c>
      <c r="F18" s="100" t="str">
        <f>CONCATENATE(Helexia!J17," ",Helexia!K17)</f>
        <v>4x2 Localiza</v>
      </c>
      <c r="G18" s="97"/>
      <c r="H18" s="98"/>
      <c r="I18" s="99"/>
      <c r="J18" s="96"/>
      <c r="K18" s="100"/>
      <c r="L18" s="97"/>
    </row>
    <row r="19" spans="1:12" ht="15" customHeight="1" x14ac:dyDescent="0.25">
      <c r="A19" s="87"/>
      <c r="B19" s="101" t="str">
        <f>IF(Helexia!C18="","",LEFT(Helexia!C18,FIND(" ",Helexia!C18&amp;" ")-1)
&amp;" "&amp;
LEFT(
    MID(
        Helexia!C18,
        FIND(" ",Helexia!C18)+1,
        FIND(" ",Helexia!C18&amp;" ",FIND(" ",Helexia!C18)+1)-FIND(" ",Helexia!C18)-1
    ),
1
)&amp;".")</f>
        <v>Eduardo T.</v>
      </c>
      <c r="C19" s="97" t="str">
        <f>TRIM(IF(Helexia!E18="", "",
LEFT(
    Helexia!E18,
    MIN(
        IFERROR(FIND(" /",Helexia!E18),9999),
        IFERROR(FIND("'-",Helexia!E18),9999),
        IFERROR(FIND("/",Helexia!E18),9999),
        IFERROR(FIND(" '- ",Helexia!E18),9999)
    ) - 1
)))</f>
        <v>Gauaratinguetá</v>
      </c>
      <c r="D19" s="102" t="str">
        <f>TRIM(Helexia!F18)</f>
        <v>SP</v>
      </c>
      <c r="E19" s="97" t="s">
        <v>186</v>
      </c>
      <c r="F19" s="100" t="str">
        <f>CONCATENATE(Helexia!J18," ",Helexia!K18)</f>
        <v xml:space="preserve"> </v>
      </c>
      <c r="G19" s="97"/>
      <c r="H19" s="98"/>
      <c r="I19" s="99"/>
      <c r="J19" s="96"/>
      <c r="K19" s="100"/>
      <c r="L19" s="97"/>
    </row>
    <row r="20" spans="1:12" ht="15" customHeight="1" x14ac:dyDescent="0.25">
      <c r="A20" s="87"/>
      <c r="B20" s="101" t="str">
        <f>IF(Helexia!C19="","",LEFT(Helexia!C19,FIND(" ",Helexia!C19&amp;" ")-1)
&amp;" "&amp;
LEFT(
    MID(
        Helexia!C19,
        FIND(" ",Helexia!C19)+1,
        FIND(" ",Helexia!C19&amp;" ",FIND(" ",Helexia!C19)+1)-FIND(" ",Helexia!C19)-1
    ),
1
)&amp;".")</f>
        <v>Bianca L.</v>
      </c>
      <c r="C20" s="97" t="str">
        <f>TRIM(IF(Helexia!E19="", "",
LEFT(
    Helexia!E19,
    MIN(
        IFERROR(FIND(" /",Helexia!E19),9999),
        IFERROR(FIND("'-",Helexia!E19),9999),
        IFERROR(FIND("/",Helexia!E19),9999),
        IFERROR(FIND(" '- ",Helexia!E19),9999)
    ) - 1
)))</f>
        <v>Beberibe</v>
      </c>
      <c r="D20" s="102" t="str">
        <f>TRIM(Helexia!F19)</f>
        <v>CE</v>
      </c>
      <c r="E20" s="97" t="s">
        <v>186</v>
      </c>
      <c r="F20" s="100" t="str">
        <f>CONCATENATE(Helexia!J19," ",Helexia!K19)</f>
        <v xml:space="preserve"> </v>
      </c>
      <c r="G20" s="97"/>
      <c r="H20" s="98"/>
      <c r="I20" s="99"/>
      <c r="J20" s="96"/>
      <c r="K20" s="100"/>
      <c r="L20" s="97"/>
    </row>
    <row r="21" spans="1:12" ht="15" customHeight="1" x14ac:dyDescent="0.25">
      <c r="A21" s="87"/>
      <c r="B21" s="101" t="str">
        <f>IF(Helexia!C20="","",LEFT(Helexia!C20,FIND(" ",Helexia!C20&amp;" ")-1)
&amp;" "&amp;
LEFT(
    MID(
        Helexia!C20,
        FIND(" ",Helexia!C20)+1,
        FIND(" ",Helexia!C20&amp;" ",FIND(" ",Helexia!C20)+1)-FIND(" ",Helexia!C20)-1
    ),
1
)&amp;".")</f>
        <v>Samuel T.</v>
      </c>
      <c r="C21" s="97" t="str">
        <f>TRIM(IF(Helexia!E20="", "",
LEFT(
    Helexia!E20,
    MIN(
        IFERROR(FIND(" /",Helexia!E20),9999),
        IFERROR(FIND("'-",Helexia!E20),9999),
        IFERROR(FIND("/",Helexia!E20),9999),
        IFERROR(FIND(" '- ",Helexia!E20),9999)
    ) - 1
)))</f>
        <v>Charqueadas</v>
      </c>
      <c r="D21" s="102" t="str">
        <f>TRIM(Helexia!F20)</f>
        <v>RS</v>
      </c>
      <c r="E21" s="97" t="s">
        <v>186</v>
      </c>
      <c r="F21" s="100" t="str">
        <f>CONCATENATE(Helexia!J20," ",Helexia!K20)</f>
        <v>4x2 Frota Própria</v>
      </c>
      <c r="G21" s="97"/>
      <c r="H21" s="98"/>
      <c r="I21" s="99"/>
      <c r="J21" s="96"/>
      <c r="K21" s="100"/>
      <c r="L21" s="97"/>
    </row>
    <row r="22" spans="1:12" ht="15" customHeight="1" x14ac:dyDescent="0.25">
      <c r="A22" s="87"/>
      <c r="B22" s="101" t="str">
        <f>IF(Helexia!C21="","",LEFT(Helexia!C21,FIND(" ",Helexia!C21&amp;" ")-1)
&amp;" "&amp;
LEFT(
    MID(
        Helexia!C21,
        FIND(" ",Helexia!C21)+1,
        FIND(" ",Helexia!C21&amp;" ",FIND(" ",Helexia!C21)+1)-FIND(" ",Helexia!C21)-1
    ),
1
)&amp;".")</f>
        <v>Priscila A.</v>
      </c>
      <c r="C22" s="97" t="str">
        <f>TRIM(IF(Helexia!E21="", "",
LEFT(
    Helexia!E21,
    MIN(
        IFERROR(FIND(" /",Helexia!E21),9999),
        IFERROR(FIND("'-",Helexia!E21),9999),
        IFERROR(FIND("/",Helexia!E21),9999),
        IFERROR(FIND(" '- ",Helexia!E21),9999)
    ) - 1
)))</f>
        <v>Munhoz de Melo</v>
      </c>
      <c r="D22" s="102" t="str">
        <f>TRIM(Helexia!F21)</f>
        <v>PR</v>
      </c>
      <c r="E22" s="97" t="s">
        <v>186</v>
      </c>
      <c r="F22" s="100" t="str">
        <f>CONCATENATE(Helexia!J21," ",Helexia!K21)</f>
        <v>4x2 Localiza</v>
      </c>
      <c r="G22" s="97"/>
      <c r="H22" s="98"/>
      <c r="I22" s="99"/>
      <c r="J22" s="96"/>
      <c r="K22" s="100"/>
      <c r="L22" s="97"/>
    </row>
    <row r="23" spans="1:12" ht="15" customHeight="1" x14ac:dyDescent="0.25">
      <c r="A23" s="87"/>
      <c r="B23" s="101" t="str">
        <f>IF(Helexia!C22="","",LEFT(Helexia!C22,FIND(" ",Helexia!C22&amp;" ")-1)
&amp;" "&amp;
LEFT(
    MID(
        Helexia!C22,
        FIND(" ",Helexia!C22)+1,
        FIND(" ",Helexia!C22&amp;" ",FIND(" ",Helexia!C22)+1)-FIND(" ",Helexia!C22)-1
    ),
1
)&amp;".")</f>
        <v>Henrique V.</v>
      </c>
      <c r="C23" s="97" t="str">
        <f>TRIM(IF(Helexia!E22="", "",
LEFT(
    Helexia!E22,
    MIN(
        IFERROR(FIND(" /",Helexia!E22),9999),
        IFERROR(FIND("'-",Helexia!E22),9999),
        IFERROR(FIND("/",Helexia!E22),9999),
        IFERROR(FIND(" '- ",Helexia!E22),9999)
    ) - 1
)))</f>
        <v>Rio Verde-GO</v>
      </c>
      <c r="D23" s="102" t="str">
        <f>TRIM(Helexia!F22)</f>
        <v>GO</v>
      </c>
      <c r="E23" s="97" t="s">
        <v>186</v>
      </c>
      <c r="F23" s="100" t="str">
        <f>CONCATENATE(Helexia!J22," ",Helexia!K22)</f>
        <v>4x2 Localiza</v>
      </c>
      <c r="G23" s="97"/>
      <c r="H23" s="98"/>
      <c r="I23" s="99"/>
      <c r="J23" s="96"/>
      <c r="K23" s="100"/>
      <c r="L23" s="97"/>
    </row>
    <row r="24" spans="1:12" ht="15" customHeight="1" x14ac:dyDescent="0.25">
      <c r="A24" s="87"/>
      <c r="B24" s="101" t="str">
        <f>IF(Helexia!C23="","",LEFT(Helexia!C23,FIND(" ",Helexia!C23&amp;" ")-1)
&amp;" "&amp;
LEFT(
    MID(
        Helexia!C23,
        FIND(" ",Helexia!C23)+1,
        FIND(" ",Helexia!C23&amp;" ",FIND(" ",Helexia!C23)+1)-FIND(" ",Helexia!C23)-1
    ),
1
)&amp;".")</f>
        <v>André L.</v>
      </c>
      <c r="C24" s="97" t="str">
        <f>TRIM(IF(Helexia!E23="", "",
LEFT(
    Helexia!E23,
    MIN(
        IFERROR(FIND(" /",Helexia!E23),9999),
        IFERROR(FIND("'-",Helexia!E23),9999),
        IFERROR(FIND("/",Helexia!E23),9999),
        IFERROR(FIND(" '- ",Helexia!E23),9999)
    ) - 1
)))</f>
        <v>Caçapava – SP</v>
      </c>
      <c r="D24" s="102" t="str">
        <f>TRIM(Helexia!F23)</f>
        <v>SP</v>
      </c>
      <c r="E24" s="97" t="s">
        <v>186</v>
      </c>
      <c r="F24" s="100" t="str">
        <f>CONCATENATE(Helexia!J23," ",Helexia!K23)</f>
        <v>4x2 Localiza</v>
      </c>
      <c r="G24" s="97"/>
      <c r="H24" s="98"/>
      <c r="I24" s="99"/>
      <c r="J24" s="96"/>
      <c r="K24" s="100"/>
      <c r="L24" s="97"/>
    </row>
    <row r="25" spans="1:12" ht="15" customHeight="1" x14ac:dyDescent="0.25">
      <c r="A25" s="87"/>
      <c r="B25" s="101" t="str">
        <f>IF(Helexia!C24="","",LEFT(Helexia!C24,FIND(" ",Helexia!C24&amp;" ")-1)
&amp;" "&amp;
LEFT(
    MID(
        Helexia!C24,
        FIND(" ",Helexia!C24)+1,
        FIND(" ",Helexia!C24&amp;" ",FIND(" ",Helexia!C24)+1)-FIND(" ",Helexia!C24)-1
    ),
1
)&amp;".")</f>
        <v>Camila N.</v>
      </c>
      <c r="C25" s="97" t="str">
        <f>TRIM(IF(Helexia!E24="", "",
LEFT(
    Helexia!E24,
    MIN(
        IFERROR(FIND(" /",Helexia!E24),9999),
        IFERROR(FIND("'-",Helexia!E24),9999),
        IFERROR(FIND("/",Helexia!E24),9999),
        IFERROR(FIND(" '- ",Helexia!E24),9999)
    ) - 1
)))</f>
        <v>Goiânia – GO</v>
      </c>
      <c r="D25" s="102" t="str">
        <f>TRIM(Helexia!F24)</f>
        <v>GO</v>
      </c>
      <c r="E25" s="97" t="s">
        <v>186</v>
      </c>
      <c r="F25" s="100" t="str">
        <f>CONCATENATE(Helexia!J24," ",Helexia!K24)</f>
        <v>4x2 Localiza</v>
      </c>
      <c r="G25" s="97"/>
      <c r="H25" s="98"/>
      <c r="I25" s="99"/>
      <c r="J25" s="96"/>
      <c r="K25" s="100"/>
      <c r="L25" s="97"/>
    </row>
    <row r="26" spans="1:12" ht="15" customHeight="1" x14ac:dyDescent="0.25">
      <c r="A26" s="87"/>
      <c r="B26" s="101" t="str">
        <f>IF(Helexia!C25="","",LEFT(Helexia!C25,FIND(" ",Helexia!C25&amp;" ")-1)
&amp;" "&amp;
LEFT(
    MID(
        Helexia!C25,
        FIND(" ",Helexia!C25)+1,
        FIND(" ",Helexia!C25&amp;" ",FIND(" ",Helexia!C25)+1)-FIND(" ",Helexia!C25)-1
    ),
1
)&amp;".")</f>
        <v>João V.</v>
      </c>
      <c r="C26" s="97" t="str">
        <f>TRIM(IF(Helexia!E25="", "",
LEFT(
    Helexia!E25,
    MIN(
        IFERROR(FIND(" /",Helexia!E25),9999),
        IFERROR(FIND("'-",Helexia!E25),9999),
        IFERROR(FIND("/",Helexia!E25),9999),
        IFERROR(FIND(" '- ",Helexia!E25),9999)
    ) - 1
)))</f>
        <v>Carnaubal</v>
      </c>
      <c r="D26" s="102" t="str">
        <f>TRIM(Helexia!F25)</f>
        <v>CE</v>
      </c>
      <c r="E26" s="97" t="s">
        <v>186</v>
      </c>
      <c r="F26" s="100" t="str">
        <f>CONCATENATE(Helexia!J25," ",Helexia!K25)</f>
        <v xml:space="preserve"> </v>
      </c>
      <c r="G26" s="97"/>
      <c r="H26" s="98"/>
      <c r="I26" s="99"/>
      <c r="J26" s="96"/>
      <c r="K26" s="100"/>
      <c r="L26" s="97"/>
    </row>
    <row r="27" spans="1:12" ht="15" customHeight="1" x14ac:dyDescent="0.25">
      <c r="A27" s="87"/>
      <c r="B27" s="101" t="str">
        <f>IF(Helexia!C26="","",LEFT(Helexia!C26,FIND(" ",Helexia!C26&amp;" ")-1)
&amp;" "&amp;
LEFT(
    MID(
        Helexia!C26,
        FIND(" ",Helexia!C26)+1,
        FIND(" ",Helexia!C26&amp;" ",FIND(" ",Helexia!C26)+1)-FIND(" ",Helexia!C26)-1
    ),
1
)&amp;".")</f>
        <v>Renata S.</v>
      </c>
      <c r="C27" s="97" t="str">
        <f>TRIM(IF(Helexia!E26="", "",
LEFT(
    Helexia!E26,
    MIN(
        IFERROR(FIND(" /",Helexia!E26),9999),
        IFERROR(FIND("'-",Helexia!E26),9999),
        IFERROR(FIND("/",Helexia!E26),9999),
        IFERROR(FIND(" '- ",Helexia!E26),9999)
    ) - 1
)))</f>
        <v>Carnaubal</v>
      </c>
      <c r="D27" s="102" t="str">
        <f>TRIM(Helexia!F26)</f>
        <v>CE</v>
      </c>
      <c r="E27" s="97" t="s">
        <v>186</v>
      </c>
      <c r="F27" s="100" t="str">
        <f>CONCATENATE(Helexia!J26," ",Helexia!K26)</f>
        <v>4x2 Frota Própria</v>
      </c>
      <c r="G27" s="97"/>
      <c r="H27" s="98"/>
      <c r="I27" s="99"/>
      <c r="J27" s="96"/>
      <c r="K27" s="100"/>
      <c r="L27" s="97"/>
    </row>
    <row r="28" spans="1:12" ht="15" customHeight="1" x14ac:dyDescent="0.25">
      <c r="A28" s="87"/>
      <c r="B28" s="101" t="str">
        <f>IF(Helexia!C27="","",LEFT(Helexia!C27,FIND(" ",Helexia!C27&amp;" ")-1)
&amp;" "&amp;
LEFT(
    MID(
        Helexia!C27,
        FIND(" ",Helexia!C27)+1,
        FIND(" ",Helexia!C27&amp;" ",FIND(" ",Helexia!C27)+1)-FIND(" ",Helexia!C27)-1
    ),
1
)&amp;".")</f>
        <v>Igor V.</v>
      </c>
      <c r="C28" s="97" t="str">
        <f>TRIM(IF(Helexia!E27="", "",
LEFT(
    Helexia!E27,
    MIN(
        IFERROR(FIND(" /",Helexia!E27),9999),
        IFERROR(FIND("'-",Helexia!E27),9999),
        IFERROR(FIND("/",Helexia!E27),9999),
        IFERROR(FIND(" '- ",Helexia!E27),9999)
    ) - 1
)))</f>
        <v>São Jerônimo - RS</v>
      </c>
      <c r="D28" s="102" t="str">
        <f>TRIM(Helexia!F27)</f>
        <v>RS</v>
      </c>
      <c r="E28" s="97" t="s">
        <v>186</v>
      </c>
      <c r="F28" s="100" t="str">
        <f>CONCATENATE(Helexia!J27," ",Helexia!K27)</f>
        <v xml:space="preserve"> </v>
      </c>
      <c r="G28" s="97"/>
      <c r="H28" s="98"/>
      <c r="I28" s="99"/>
      <c r="J28" s="96"/>
      <c r="K28" s="100"/>
      <c r="L28" s="97"/>
    </row>
    <row r="29" spans="1:12" ht="15" customHeight="1" x14ac:dyDescent="0.25">
      <c r="A29" s="87"/>
      <c r="B29" s="101" t="str">
        <f>IF(Helexia!C28="","",LEFT(Helexia!C28,FIND(" ",Helexia!C28&amp;" ")-1)
&amp;" "&amp;
LEFT(
    MID(
        Helexia!C28,
        FIND(" ",Helexia!C28)+1,
        FIND(" ",Helexia!C28&amp;" ",FIND(" ",Helexia!C28)+1)-FIND(" ",Helexia!C28)-1
    ),
1
)&amp;".")</f>
        <v>Lucas R.</v>
      </c>
      <c r="C29" s="97" t="str">
        <f>TRIM(IF(Helexia!E28="", "",
LEFT(
    Helexia!E28,
    MIN(
        IFERROR(FIND(" /",Helexia!E28),9999),
        IFERROR(FIND("'-",Helexia!E28),9999),
        IFERROR(FIND("/",Helexia!E28),9999),
        IFERROR(FIND(" '- ",Helexia!E28),9999)
    ) - 1
)))</f>
        <v>Rio Verde-GO</v>
      </c>
      <c r="D29" s="102" t="str">
        <f>TRIM(Helexia!F28)</f>
        <v>GO</v>
      </c>
      <c r="E29" s="97" t="s">
        <v>186</v>
      </c>
      <c r="F29" s="100" t="str">
        <f>CONCATENATE(Helexia!J28," ",Helexia!K28)</f>
        <v xml:space="preserve"> </v>
      </c>
      <c r="G29" s="97"/>
      <c r="H29" s="98"/>
      <c r="I29" s="99"/>
      <c r="J29" s="96"/>
      <c r="K29" s="100"/>
      <c r="L29" s="97"/>
    </row>
    <row r="30" spans="1:12" ht="15" customHeight="1" x14ac:dyDescent="0.25">
      <c r="A30" s="87"/>
      <c r="B30" s="101" t="str">
        <f>IF(Helexia!C29="","",LEFT(Helexia!C29,FIND(" ",Helexia!C29&amp;" ")-1)
&amp;" "&amp;
LEFT(
    MID(
        Helexia!C29,
        FIND(" ",Helexia!C29)+1,
        FIND(" ",Helexia!C29&amp;" ",FIND(" ",Helexia!C29)+1)-FIND(" ",Helexia!C29)-1
    ),
1
)&amp;".")</f>
        <v>Ana B.</v>
      </c>
      <c r="C30" s="97" t="str">
        <f>TRIM(IF(Helexia!E29="", "",
LEFT(
    Helexia!E29,
    MIN(
        IFERROR(FIND(" /",Helexia!E29),9999),
        IFERROR(FIND("'-",Helexia!E29),9999),
        IFERROR(FIND("/",Helexia!E29),9999),
        IFERROR(FIND(" '- ",Helexia!E29),9999)
    ) - 1
)))</f>
        <v>Cassilândia – MS</v>
      </c>
      <c r="D30" s="102" t="str">
        <f>TRIM(Helexia!F29)</f>
        <v>MS</v>
      </c>
      <c r="E30" s="97" t="s">
        <v>186</v>
      </c>
      <c r="F30" s="100" t="str">
        <f>CONCATENATE(Helexia!J29," ",Helexia!K29)</f>
        <v>4x2 Localiza</v>
      </c>
      <c r="G30" s="97"/>
      <c r="H30" s="98"/>
      <c r="I30" s="99"/>
      <c r="J30" s="96"/>
      <c r="K30" s="100"/>
      <c r="L30" s="97"/>
    </row>
    <row r="31" spans="1:12" ht="15" customHeight="1" x14ac:dyDescent="0.25">
      <c r="A31" s="87"/>
      <c r="B31" s="101" t="str">
        <f>IF(Helexia!C30="","",LEFT(Helexia!C30,FIND(" ",Helexia!C30&amp;" ")-1)
&amp;" "&amp;
LEFT(
    MID(
        Helexia!C30,
        FIND(" ",Helexia!C30)+1,
        FIND(" ",Helexia!C30&amp;" ",FIND(" ",Helexia!C30)+1)-FIND(" ",Helexia!C30)-1
    ),
1
)&amp;".")</f>
        <v>Marcelo A.</v>
      </c>
      <c r="C31" s="97" t="str">
        <f>TRIM(IF(Helexia!E30="", "",
LEFT(
    Helexia!E30,
    MIN(
        IFERROR(FIND(" /",Helexia!E30),9999),
        IFERROR(FIND("'-",Helexia!E30),9999),
        IFERROR(FIND("/",Helexia!E30),9999),
        IFERROR(FIND(" '- ",Helexia!E30),9999)
    ) - 1
)))</f>
        <v>Paranavaí – PR</v>
      </c>
      <c r="D31" s="102" t="str">
        <f>TRIM(Helexia!F30)</f>
        <v>PR</v>
      </c>
      <c r="E31" s="97" t="s">
        <v>186</v>
      </c>
      <c r="F31" s="100" t="str">
        <f>CONCATENATE(Helexia!J30," ",Helexia!K30)</f>
        <v xml:space="preserve"> </v>
      </c>
      <c r="G31" s="97"/>
      <c r="H31" s="98"/>
      <c r="I31" s="99"/>
      <c r="J31" s="96"/>
      <c r="K31" s="100"/>
      <c r="L31" s="97"/>
    </row>
    <row r="32" spans="1:12" ht="15" customHeight="1" x14ac:dyDescent="0.25">
      <c r="A32" s="87"/>
      <c r="B32" s="101" t="str">
        <f>IF(Helexia!C31="","",LEFT(Helexia!C31,FIND(" ",Helexia!C31&amp;" ")-1)
&amp;" "&amp;
LEFT(
    MID(
        Helexia!C31,
        FIND(" ",Helexia!C31)+1,
        FIND(" ",Helexia!C31&amp;" ",FIND(" ",Helexia!C31)+1)-FIND(" ",Helexia!C31)-1
    ),
1
)&amp;".")</f>
        <v>Carolina V.</v>
      </c>
      <c r="C32" s="97" t="str">
        <f>TRIM(IF(Helexia!E31="", "",
LEFT(
    Helexia!E31,
    MIN(
        IFERROR(FIND(" /",Helexia!E31),9999),
        IFERROR(FIND("'-",Helexia!E31),9999),
        IFERROR(FIND("/",Helexia!E31),9999),
        IFERROR(FIND(" '- ",Helexia!E31),9999)
    ) - 1
)))</f>
        <v>Caçapava – SP</v>
      </c>
      <c r="D32" s="102" t="str">
        <f>TRIM(Helexia!F31)</f>
        <v>SP</v>
      </c>
      <c r="E32" s="97" t="s">
        <v>186</v>
      </c>
      <c r="F32" s="100" t="str">
        <f>CONCATENATE(Helexia!J31," ",Helexia!K31)</f>
        <v xml:space="preserve"> </v>
      </c>
      <c r="G32" s="97"/>
      <c r="H32" s="98"/>
      <c r="I32" s="99"/>
      <c r="J32" s="96"/>
      <c r="K32" s="100"/>
      <c r="L32" s="97"/>
    </row>
    <row r="33" spans="1:12" ht="15" customHeight="1" x14ac:dyDescent="0.25">
      <c r="A33" s="87"/>
      <c r="B33" s="101" t="str">
        <f>IF(Helexia!C32="","",LEFT(Helexia!C32,FIND(" ",Helexia!C32&amp;" ")-1)
&amp;" "&amp;
LEFT(
    MID(
        Helexia!C32,
        FIND(" ",Helexia!C32)+1,
        FIND(" ",Helexia!C32&amp;" ",FIND(" ",Helexia!C32)+1)-FIND(" ",Helexia!C32)-1
    ),
1
)&amp;".")</f>
        <v>Felipe O.</v>
      </c>
      <c r="C33" s="97" t="str">
        <f>TRIM(IF(Helexia!E32="", "",
LEFT(
    Helexia!E32,
    MIN(
        IFERROR(FIND(" /",Helexia!E32),9999),
        IFERROR(FIND("'-",Helexia!E32),9999),
        IFERROR(FIND("/",Helexia!E32),9999),
        IFERROR(FIND(" '- ",Helexia!E32),9999)
    ) - 1
)))</f>
        <v>Iranduba – AM</v>
      </c>
      <c r="D33" s="102" t="str">
        <f>TRIM(Helexia!F32)</f>
        <v>AM</v>
      </c>
      <c r="E33" s="97" t="s">
        <v>186</v>
      </c>
      <c r="F33" s="100" t="str">
        <f>CONCATENATE(Helexia!J32," ",Helexia!K32)</f>
        <v>4x2 Localiza</v>
      </c>
      <c r="G33" s="97"/>
      <c r="H33" s="98"/>
      <c r="I33" s="99"/>
      <c r="J33" s="96"/>
      <c r="K33" s="100"/>
      <c r="L33" s="97"/>
    </row>
    <row r="34" spans="1:12" ht="15" customHeight="1" x14ac:dyDescent="0.25">
      <c r="A34" s="87"/>
      <c r="B34" s="101" t="str">
        <f>IF(Helexia!C33="","",LEFT(Helexia!C33,FIND(" ",Helexia!C33&amp;" ")-1)
&amp;" "&amp;
LEFT(
    MID(
        Helexia!C33,
        FIND(" ",Helexia!C33)+1,
        FIND(" ",Helexia!C33&amp;" ",FIND(" ",Helexia!C33)+1)-FIND(" ",Helexia!C33)-1
    ),
1
)&amp;".")</f>
        <v>Nathalia F.</v>
      </c>
      <c r="C34" s="97" t="str">
        <f>TRIM(IF(Helexia!E33="", "",
LEFT(
    Helexia!E33,
    MIN(
        IFERROR(FIND(" /",Helexia!E33),9999),
        IFERROR(FIND("'-",Helexia!E33),9999),
        IFERROR(FIND("/",Helexia!E33),9999),
        IFERROR(FIND(" '- ",Helexia!E33),9999)
    ) - 1
)))</f>
        <v>Iranduba – AM</v>
      </c>
      <c r="D34" s="102" t="str">
        <f>TRIM(Helexia!F33)</f>
        <v>AM</v>
      </c>
      <c r="E34" s="97" t="s">
        <v>186</v>
      </c>
      <c r="F34" s="100" t="str">
        <f>CONCATENATE(Helexia!J33," ",Helexia!K33)</f>
        <v xml:space="preserve"> </v>
      </c>
      <c r="G34" s="97"/>
      <c r="H34" s="98"/>
      <c r="I34" s="99"/>
      <c r="J34" s="96"/>
      <c r="K34" s="100"/>
      <c r="L34" s="97"/>
    </row>
    <row r="35" spans="1:12" ht="15" customHeight="1" x14ac:dyDescent="0.25">
      <c r="A35" s="87"/>
      <c r="B35" s="101" t="str">
        <f>IF(Helexia!C34="","",LEFT(Helexia!C34,FIND(" ",Helexia!C34&amp;" ")-1)
&amp;" "&amp;
LEFT(
    MID(
        Helexia!C34,
        FIND(" ",Helexia!C34)+1,
        FIND(" ",Helexia!C34&amp;" ",FIND(" ",Helexia!C34)+1)-FIND(" ",Helexia!C34)-1
    ),
1
)&amp;".")</f>
        <v>Roberto C.</v>
      </c>
      <c r="C35" s="97" t="str">
        <f>TRIM(IF(Helexia!E34="", "",
LEFT(
    Helexia!E34,
    MIN(
        IFERROR(FIND(" /",Helexia!E34),9999),
        IFERROR(FIND("'-",Helexia!E34),9999),
        IFERROR(FIND("/",Helexia!E34),9999),
        IFERROR(FIND(" '- ",Helexia!E34),9999)
    ) - 1
)))</f>
        <v>Paranaíba</v>
      </c>
      <c r="D35" s="102" t="str">
        <f>TRIM(Helexia!F34)</f>
        <v>MS</v>
      </c>
      <c r="E35" s="97" t="s">
        <v>186</v>
      </c>
      <c r="F35" s="100" t="str">
        <f>CONCATENATE(Helexia!J34," ",Helexia!K34)</f>
        <v xml:space="preserve"> </v>
      </c>
      <c r="G35" s="97"/>
      <c r="H35" s="98"/>
      <c r="I35" s="99"/>
      <c r="J35" s="96"/>
      <c r="K35" s="100"/>
      <c r="L35" s="97"/>
    </row>
    <row r="36" spans="1:12" ht="15" customHeight="1" x14ac:dyDescent="0.25">
      <c r="A36" s="87"/>
      <c r="B36" s="101" t="str">
        <f>IF(Helexia!C35="","",LEFT(Helexia!C35,FIND(" ",Helexia!C35&amp;" ")-1)
&amp;" "&amp;
LEFT(
    MID(
        Helexia!C35,
        FIND(" ",Helexia!C35)+1,
        FIND(" ",Helexia!C35&amp;" ",FIND(" ",Helexia!C35)+1)-FIND(" ",Helexia!C35)-1
    ),
1
)&amp;".")</f>
        <v>Luiza B.</v>
      </c>
      <c r="C36" s="97" t="str">
        <f>TRIM(IF(Helexia!E35="", "",
LEFT(
    Helexia!E35,
    MIN(
        IFERROR(FIND(" /",Helexia!E35),9999),
        IFERROR(FIND("'-",Helexia!E35),9999),
        IFERROR(FIND("/",Helexia!E35),9999),
        IFERROR(FIND(" '- ",Helexia!E35),9999)
    ) - 1
)))</f>
        <v>Andradina</v>
      </c>
      <c r="D36" s="102" t="str">
        <f>TRIM(Helexia!F35)</f>
        <v>SP</v>
      </c>
      <c r="E36" s="97" t="s">
        <v>186</v>
      </c>
      <c r="F36" s="100" t="str">
        <f>CONCATENATE(Helexia!J35," ",Helexia!K35)</f>
        <v>4x2 Localiza</v>
      </c>
      <c r="G36" s="97"/>
      <c r="H36" s="98"/>
      <c r="I36" s="99"/>
      <c r="J36" s="96"/>
      <c r="K36" s="100"/>
      <c r="L36" s="97"/>
    </row>
    <row r="37" spans="1:12" ht="15" customHeight="1" x14ac:dyDescent="0.25">
      <c r="A37" s="87"/>
      <c r="B37" s="101" t="str">
        <f>IF(Helexia!C36="","",LEFT(Helexia!C36,FIND(" ",Helexia!C36&amp;" ")-1)
&amp;" "&amp;
LEFT(
    MID(
        Helexia!C36,
        FIND(" ",Helexia!C36)+1,
        FIND(" ",Helexia!C36&amp;" ",FIND(" ",Helexia!C36)+1)-FIND(" ",Helexia!C36)-1
    ),
1
)&amp;".")</f>
        <v>Pedro H.</v>
      </c>
      <c r="C37" s="97" t="str">
        <f>TRIM(IF(Helexia!E36="", "",
LEFT(
    Helexia!E36,
    MIN(
        IFERROR(FIND(" /",Helexia!E36),9999),
        IFERROR(FIND("'-",Helexia!E36),9999),
        IFERROR(FIND("/",Helexia!E36),9999),
        IFERROR(FIND(" '- ",Helexia!E36),9999)
    ) - 1
)))</f>
        <v>Munhoz de Melo</v>
      </c>
      <c r="D37" s="102" t="str">
        <f>TRIM(Helexia!F36)</f>
        <v>PR</v>
      </c>
      <c r="E37" s="97" t="s">
        <v>186</v>
      </c>
      <c r="F37" s="100" t="str">
        <f>CONCATENATE(Helexia!J36," ",Helexia!K36)</f>
        <v xml:space="preserve"> </v>
      </c>
      <c r="G37" s="97"/>
      <c r="H37" s="98"/>
      <c r="I37" s="99"/>
      <c r="J37" s="96"/>
      <c r="K37" s="100"/>
      <c r="L37" s="97"/>
    </row>
    <row r="38" spans="1:12" ht="15" customHeight="1" x14ac:dyDescent="0.25">
      <c r="A38" s="87"/>
      <c r="B38" s="101" t="str">
        <f>IF(Helexia!C37="","",LEFT(Helexia!C37,FIND(" ",Helexia!C37&amp;" ")-1)
&amp;" "&amp;
LEFT(
    MID(
        Helexia!C37,
        FIND(" ",Helexia!C37)+1,
        FIND(" ",Helexia!C37&amp;" ",FIND(" ",Helexia!C37)+1)-FIND(" ",Helexia!C37)-1
    ),
1
)&amp;".")</f>
        <v>Sofia M.</v>
      </c>
      <c r="C38" s="97" t="str">
        <f>TRIM(IF(Helexia!E37="", "",
LEFT(
    Helexia!E37,
    MIN(
        IFERROR(FIND(" /",Helexia!E37),9999),
        IFERROR(FIND("'-",Helexia!E37),9999),
        IFERROR(FIND("/",Helexia!E37),9999),
        IFERROR(FIND(" '- ",Helexia!E37),9999)
    ) - 1
)))</f>
        <v>Euclides da Cunha Paulista</v>
      </c>
      <c r="D38" s="102" t="str">
        <f>TRIM(Helexia!F37)</f>
        <v>SP</v>
      </c>
      <c r="E38" s="97" t="s">
        <v>186</v>
      </c>
      <c r="F38" s="100" t="str">
        <f>CONCATENATE(Helexia!J37," ",Helexia!K37)</f>
        <v>4x2 Localiza</v>
      </c>
      <c r="G38" s="97"/>
      <c r="H38" s="98"/>
      <c r="I38" s="99"/>
      <c r="J38" s="96"/>
      <c r="K38" s="100"/>
      <c r="L38" s="97"/>
    </row>
    <row r="39" spans="1:12" ht="15" customHeight="1" x14ac:dyDescent="0.25">
      <c r="A39" s="87"/>
      <c r="B39" s="101" t="str">
        <f>IF(Helexia!C38="","",LEFT(Helexia!C38,FIND(" ",Helexia!C38&amp;" ")-1)
&amp;" "&amp;
LEFT(
    MID(
        Helexia!C38,
        FIND(" ",Helexia!C38)+1,
        FIND(" ",Helexia!C38&amp;" ",FIND(" ",Helexia!C38)+1)-FIND(" ",Helexia!C38)-1
    ),
1
)&amp;".")</f>
        <v/>
      </c>
      <c r="C39" s="97" t="str">
        <f>TRIM(IF(Helexia!E38="", "",
LEFT(
    Helexia!E38,
    MIN(
        IFERROR(FIND(" /",Helexia!E38),9999),
        IFERROR(FIND("'-",Helexia!E38),9999),
        IFERROR(FIND("/",Helexia!E38),9999),
        IFERROR(FIND(" '- ",Helexia!E38),9999)
    ) - 1
)))</f>
        <v/>
      </c>
      <c r="D39" s="102" t="str">
        <f>TRIM(Helexia!F38)</f>
        <v/>
      </c>
      <c r="E39" s="97" t="s">
        <v>186</v>
      </c>
      <c r="F39" s="100" t="str">
        <f>CONCATENATE(Helexia!J38," ",Helexia!K38)</f>
        <v xml:space="preserve"> </v>
      </c>
      <c r="G39" s="97"/>
      <c r="H39" s="98"/>
      <c r="I39" s="99"/>
      <c r="J39" s="96"/>
      <c r="K39" s="100"/>
      <c r="L39" s="97"/>
    </row>
    <row r="40" spans="1:12" ht="15" customHeight="1" x14ac:dyDescent="0.25">
      <c r="A40" s="87"/>
      <c r="B40" s="101" t="str">
        <f>IF(Helexia!C39="","",LEFT(Helexia!C39,FIND(" ",Helexia!C39&amp;" ")-1)
&amp;" "&amp;
LEFT(
    MID(
        Helexia!C39,
        FIND(" ",Helexia!C39)+1,
        FIND(" ",Helexia!C39&amp;" ",FIND(" ",Helexia!C39)+1)-FIND(" ",Helexia!C39)-1
    ),
1
)&amp;".")</f>
        <v/>
      </c>
      <c r="C40" s="97" t="str">
        <f>TRIM(IF(Helexia!E39="", "",
LEFT(
    Helexia!E39,
    MIN(
        IFERROR(FIND(" /",Helexia!E39),9999),
        IFERROR(FIND("'-",Helexia!E39),9999),
        IFERROR(FIND("/",Helexia!E39),9999),
        IFERROR(FIND(" '- ",Helexia!E39),9999)
    ) - 1
)))</f>
        <v/>
      </c>
      <c r="D40" s="102" t="str">
        <f>TRIM(Helexia!F39)</f>
        <v/>
      </c>
      <c r="E40" s="97" t="s">
        <v>186</v>
      </c>
      <c r="F40" s="100" t="str">
        <f>CONCATENATE(Helexia!J39," ",Helexia!K39)</f>
        <v xml:space="preserve"> </v>
      </c>
      <c r="G40" s="97"/>
      <c r="H40" s="98"/>
      <c r="I40" s="99"/>
      <c r="J40" s="96"/>
      <c r="K40" s="100"/>
      <c r="L40" s="97"/>
    </row>
    <row r="41" spans="1:12" ht="15" customHeight="1" x14ac:dyDescent="0.25">
      <c r="A41" s="87"/>
      <c r="B41" s="101" t="str">
        <f>IF(Helexia!C40="","",LEFT(Helexia!C40,FIND(" ",Helexia!C40&amp;" ")-1)
&amp;" "&amp;
LEFT(
    MID(
        Helexia!C40,
        FIND(" ",Helexia!C40)+1,
        FIND(" ",Helexia!C40&amp;" ",FIND(" ",Helexia!C40)+1)-FIND(" ",Helexia!C40)-1
    ),
1
)&amp;".")</f>
        <v/>
      </c>
      <c r="C41" s="97" t="str">
        <f>TRIM(IF(Helexia!E40="", "",
LEFT(
    Helexia!E40,
    MIN(
        IFERROR(FIND(" /",Helexia!E40),9999),
        IFERROR(FIND("'-",Helexia!E40),9999),
        IFERROR(FIND("/",Helexia!E40),9999),
        IFERROR(FIND(" '- ",Helexia!E40),9999)
    ) - 1
)))</f>
        <v/>
      </c>
      <c r="D41" s="102" t="str">
        <f>TRIM(Helexia!F40)</f>
        <v/>
      </c>
      <c r="E41" s="97" t="s">
        <v>186</v>
      </c>
      <c r="F41" s="100" t="str">
        <f>CONCATENATE(Helexia!J40," ",Helexia!K40)</f>
        <v xml:space="preserve"> </v>
      </c>
      <c r="G41" s="97"/>
      <c r="H41" s="98"/>
      <c r="I41" s="99"/>
      <c r="J41" s="96"/>
      <c r="K41" s="100"/>
      <c r="L41" s="97"/>
    </row>
    <row r="42" spans="1:12" ht="15" customHeight="1" x14ac:dyDescent="0.25">
      <c r="A42" s="87"/>
      <c r="B42" s="101" t="str">
        <f>IF(Helexia!C41="","",LEFT(Helexia!C41,FIND(" ",Helexia!C41&amp;" ")-1)
&amp;" "&amp;
LEFT(
    MID(
        Helexia!C41,
        FIND(" ",Helexia!C41)+1,
        FIND(" ",Helexia!C41&amp;" ",FIND(" ",Helexia!C41)+1)-FIND(" ",Helexia!C41)-1
    ),
1
)&amp;".")</f>
        <v/>
      </c>
      <c r="C42" s="97" t="str">
        <f>TRIM(IF(Helexia!E41="", "",
LEFT(
    Helexia!E41,
    MIN(
        IFERROR(FIND(" /",Helexia!E41),9999),
        IFERROR(FIND("'-",Helexia!E41),9999),
        IFERROR(FIND("/",Helexia!E41),9999),
        IFERROR(FIND(" '- ",Helexia!E41),9999)
    ) - 1
)))</f>
        <v/>
      </c>
      <c r="D42" s="102" t="str">
        <f>TRIM(Helexia!F41)</f>
        <v/>
      </c>
      <c r="E42" s="97" t="s">
        <v>186</v>
      </c>
      <c r="F42" s="100" t="str">
        <f>CONCATENATE(Helexia!J41," ",Helexia!K41)</f>
        <v xml:space="preserve"> </v>
      </c>
      <c r="G42" s="97"/>
      <c r="H42" s="98"/>
      <c r="I42" s="99"/>
      <c r="J42" s="96"/>
      <c r="K42" s="100"/>
      <c r="L42" s="97"/>
    </row>
    <row r="43" spans="1:12" ht="15" customHeight="1" x14ac:dyDescent="0.25">
      <c r="A43" s="87"/>
      <c r="B43" s="101" t="str">
        <f>IF(Helexia!C42="","",LEFT(Helexia!C42,FIND(" ",Helexia!C42&amp;" ")-1)
&amp;" "&amp;
LEFT(
    MID(
        Helexia!C42,
        FIND(" ",Helexia!C42)+1,
        FIND(" ",Helexia!C42&amp;" ",FIND(" ",Helexia!C42)+1)-FIND(" ",Helexia!C42)-1
    ),
1
)&amp;".")</f>
        <v/>
      </c>
      <c r="C43" s="97" t="str">
        <f>TRIM(IF(Helexia!E42="", "",
LEFT(
    Helexia!E42,
    MIN(
        IFERROR(FIND(" /",Helexia!E42),9999),
        IFERROR(FIND("'-",Helexia!E42),9999),
        IFERROR(FIND("/",Helexia!E42),9999),
        IFERROR(FIND(" '- ",Helexia!E42),9999)
    ) - 1
)))</f>
        <v/>
      </c>
      <c r="D43" s="102" t="str">
        <f>TRIM(Helexia!F42)</f>
        <v/>
      </c>
      <c r="E43" s="97" t="s">
        <v>186</v>
      </c>
      <c r="F43" s="100" t="str">
        <f>CONCATENATE(Helexia!J42," ",Helexia!K42)</f>
        <v xml:space="preserve"> </v>
      </c>
      <c r="G43" s="97"/>
      <c r="H43" s="98"/>
      <c r="I43" s="99"/>
      <c r="J43" s="96"/>
      <c r="K43" s="100"/>
      <c r="L43" s="97"/>
    </row>
    <row r="44" spans="1:12" ht="15" customHeight="1" x14ac:dyDescent="0.25">
      <c r="A44" s="87"/>
      <c r="B44" s="101" t="str">
        <f>IF(Helexia!C43="","",LEFT(Helexia!C43,FIND(" ",Helexia!C43&amp;" ")-1)
&amp;" "&amp;
LEFT(
    MID(
        Helexia!C43,
        FIND(" ",Helexia!C43)+1,
        FIND(" ",Helexia!C43&amp;" ",FIND(" ",Helexia!C43)+1)-FIND(" ",Helexia!C43)-1
    ),
1
)&amp;".")</f>
        <v/>
      </c>
      <c r="C44" s="97" t="str">
        <f>TRIM(IF(Helexia!E43="", "",
LEFT(
    Helexia!E43,
    MIN(
        IFERROR(FIND(" /",Helexia!E43),9999),
        IFERROR(FIND("'-",Helexia!E43),9999),
        IFERROR(FIND("/",Helexia!E43),9999),
        IFERROR(FIND(" '- ",Helexia!E43),9999)
    ) - 1
)))</f>
        <v/>
      </c>
      <c r="D44" s="102" t="str">
        <f>TRIM(Helexia!F43)</f>
        <v/>
      </c>
      <c r="E44" s="97" t="s">
        <v>186</v>
      </c>
      <c r="F44" s="100" t="str">
        <f>CONCATENATE(Helexia!J43," ",Helexia!K43)</f>
        <v xml:space="preserve"> </v>
      </c>
      <c r="G44" s="100"/>
      <c r="H44" s="98"/>
      <c r="I44" s="99"/>
      <c r="J44" s="96"/>
      <c r="K44" s="100"/>
      <c r="L44" s="100"/>
    </row>
    <row r="45" spans="1:12" x14ac:dyDescent="0.25">
      <c r="A45" s="87"/>
      <c r="B45" s="101" t="str">
        <f>IF(Helexia!C44="","",LEFT(Helexia!C44,FIND(" ",Helexia!C44&amp;" ")-1)
&amp;" "&amp;
LEFT(
    MID(
        Helexia!C44,
        FIND(" ",Helexia!C44)+1,
        FIND(" ",Helexia!C44&amp;" ",FIND(" ",Helexia!C44)+1)-FIND(" ",Helexia!C44)-1
    ),
1
)&amp;".")</f>
        <v/>
      </c>
      <c r="C45" s="97" t="str">
        <f>TRIM(IF(Helexia!E44="", "",
LEFT(
    Helexia!E44,
    MIN(
        IFERROR(FIND(" /",Helexia!E44),9999),
        IFERROR(FIND("'-",Helexia!E44),9999),
        IFERROR(FIND("/",Helexia!E44),9999),
        IFERROR(FIND(" '- ",Helexia!E44),9999)
    ) - 1
)))</f>
        <v/>
      </c>
      <c r="D45" s="102" t="str">
        <f>TRIM(Helexia!F44)</f>
        <v/>
      </c>
      <c r="E45" s="97" t="s">
        <v>186</v>
      </c>
      <c r="F45" s="100" t="str">
        <f>CONCATENATE(Helexia!J44," ",Helexia!K44)</f>
        <v xml:space="preserve"> </v>
      </c>
      <c r="G45" s="100"/>
      <c r="H45" s="98"/>
      <c r="I45" s="99"/>
      <c r="J45" s="87"/>
      <c r="K45" s="100"/>
      <c r="L45" s="100"/>
    </row>
    <row r="46" spans="1:12" x14ac:dyDescent="0.25">
      <c r="A46" s="87"/>
      <c r="B46" s="101" t="str">
        <f>IF(Helexia!C45="","",LEFT(Helexia!C45,FIND(" ",Helexia!C45&amp;" ")-1)
&amp;" "&amp;
LEFT(
    MID(
        Helexia!C45,
        FIND(" ",Helexia!C45)+1,
        FIND(" ",Helexia!C45&amp;" ",FIND(" ",Helexia!C45)+1)-FIND(" ",Helexia!C45)-1
    ),
1
)&amp;".")</f>
        <v/>
      </c>
      <c r="C46" s="97" t="str">
        <f>TRIM(IF(Helexia!E45="", "",
LEFT(
    Helexia!E45,
    MIN(
        IFERROR(FIND(" /",Helexia!E45),9999),
        IFERROR(FIND("'-",Helexia!E45),9999),
        IFERROR(FIND("/",Helexia!E45),9999),
        IFERROR(FIND(" '- ",Helexia!E45),9999)
    ) - 1
)))</f>
        <v/>
      </c>
      <c r="D46" s="102" t="str">
        <f>TRIM(Helexia!F45)</f>
        <v/>
      </c>
      <c r="E46" s="97" t="s">
        <v>186</v>
      </c>
      <c r="F46" s="100" t="str">
        <f>CONCATENATE(Helexia!J45," ",Helexia!K45)</f>
        <v xml:space="preserve"> </v>
      </c>
      <c r="G46" s="100"/>
      <c r="H46" s="98"/>
      <c r="I46" s="99"/>
      <c r="J46" s="87"/>
      <c r="K46" s="100"/>
      <c r="L46" s="100"/>
    </row>
    <row r="47" spans="1:12" x14ac:dyDescent="0.25">
      <c r="A47" s="87"/>
      <c r="B47" s="101" t="str">
        <f>IF(Helexia!C46="","",LEFT(Helexia!C46,FIND(" ",Helexia!C46&amp;" ")-1)
&amp;" "&amp;
LEFT(
    MID(
        Helexia!C46,
        FIND(" ",Helexia!C46)+1,
        FIND(" ",Helexia!C46&amp;" ",FIND(" ",Helexia!C46)+1)-FIND(" ",Helexia!C46)-1
    ),
1
)&amp;".")</f>
        <v/>
      </c>
      <c r="C47" s="97" t="str">
        <f>TRIM(IF(Helexia!E46="", "",
LEFT(
    Helexia!E46,
    MIN(
        IFERROR(FIND(" /",Helexia!E46),9999),
        IFERROR(FIND("'-",Helexia!E46),9999),
        IFERROR(FIND("/",Helexia!E46),9999),
        IFERROR(FIND(" '- ",Helexia!E46),9999)
    ) - 1
)))</f>
        <v/>
      </c>
      <c r="D47" s="102" t="str">
        <f>TRIM(Helexia!F46)</f>
        <v/>
      </c>
      <c r="E47" s="97" t="s">
        <v>186</v>
      </c>
      <c r="F47" s="100" t="str">
        <f>CONCATENATE(Helexia!J46," ",Helexia!K46)</f>
        <v xml:space="preserve"> </v>
      </c>
      <c r="G47" s="100"/>
      <c r="H47" s="98"/>
      <c r="I47" s="99"/>
      <c r="J47" s="87"/>
      <c r="K47" s="100"/>
      <c r="L47" s="100"/>
    </row>
    <row r="48" spans="1:12" x14ac:dyDescent="0.25">
      <c r="A48" s="87"/>
      <c r="B48" s="101" t="str">
        <f>IF(Helexia!C47="","",LEFT(Helexia!C47,FIND(" ",Helexia!C47&amp;" ")-1)
&amp;" "&amp;
LEFT(
    MID(
        Helexia!C47,
        FIND(" ",Helexia!C47)+1,
        FIND(" ",Helexia!C47&amp;" ",FIND(" ",Helexia!C47)+1)-FIND(" ",Helexia!C47)-1
    ),
1
)&amp;".")</f>
        <v/>
      </c>
      <c r="C48" s="97" t="str">
        <f>TRIM(IF(Helexia!E47="", "",
LEFT(
    Helexia!E47,
    MIN(
        IFERROR(FIND(" /",Helexia!E47),9999),
        IFERROR(FIND("'-",Helexia!E47),9999),
        IFERROR(FIND("/",Helexia!E47),9999),
        IFERROR(FIND(" '- ",Helexia!E47),9999)
    ) - 1
)))</f>
        <v/>
      </c>
      <c r="D48" s="102" t="str">
        <f>TRIM(Helexia!F47)</f>
        <v/>
      </c>
      <c r="E48" s="97" t="s">
        <v>186</v>
      </c>
      <c r="F48" s="100" t="str">
        <f>CONCATENATE(Helexia!J47," ",Helexia!K47)</f>
        <v xml:space="preserve"> </v>
      </c>
      <c r="G48" s="100"/>
      <c r="H48" s="98"/>
      <c r="I48" s="99"/>
      <c r="J48" s="87"/>
      <c r="K48" s="100"/>
      <c r="L48" s="100"/>
    </row>
    <row r="49" spans="1:12" ht="15" customHeight="1" x14ac:dyDescent="0.25">
      <c r="A49" s="87"/>
      <c r="B49" s="101" t="str">
        <f>IF(Helexia!C48="","",LEFT(Helexia!C48,FIND(" ",Helexia!C48&amp;" ")-1)
&amp;" "&amp;
LEFT(
    MID(
        Helexia!C48,
        FIND(" ",Helexia!C48)+1,
        FIND(" ",Helexia!C48&amp;" ",FIND(" ",Helexia!C48)+1)-FIND(" ",Helexia!C48)-1
    ),
1
)&amp;".")</f>
        <v/>
      </c>
      <c r="C49" s="97" t="str">
        <f>TRIM(IF(Helexia!E48="", "",
LEFT(
    Helexia!E48,
    MIN(
        IFERROR(FIND(" /",Helexia!E48),9999),
        IFERROR(FIND("'-",Helexia!E48),9999),
        IFERROR(FIND("/",Helexia!E48),9999),
        IFERROR(FIND(" '- ",Helexia!E48),9999)
    ) - 1
)))</f>
        <v/>
      </c>
      <c r="D49" s="102" t="str">
        <f>TRIM(Helexia!F48)</f>
        <v/>
      </c>
      <c r="E49" s="97" t="s">
        <v>186</v>
      </c>
      <c r="F49" s="100" t="str">
        <f>CONCATENATE(Helexia!J48," ",Helexia!K48)</f>
        <v xml:space="preserve"> </v>
      </c>
      <c r="G49" s="100"/>
      <c r="H49" s="98"/>
      <c r="I49" s="99"/>
      <c r="J49" s="87"/>
      <c r="K49" s="100"/>
      <c r="L49" s="100"/>
    </row>
    <row r="50" spans="1:12" ht="15" customHeight="1" x14ac:dyDescent="0.25">
      <c r="A50" s="87"/>
      <c r="B50" s="101" t="str">
        <f>IF(Helexia!C49="","",LEFT(Helexia!C49,FIND(" ",Helexia!C49&amp;" ")-1)
&amp;" "&amp;
LEFT(
    MID(
        Helexia!C49,
        FIND(" ",Helexia!C49)+1,
        FIND(" ",Helexia!C49&amp;" ",FIND(" ",Helexia!C49)+1)-FIND(" ",Helexia!C49)-1
    ),
1
)&amp;".")</f>
        <v/>
      </c>
      <c r="C50" s="97" t="str">
        <f>TRIM(IF(Helexia!E49="", "",
LEFT(
    Helexia!E49,
    MIN(
        IFERROR(FIND(" /",Helexia!E49),9999),
        IFERROR(FIND("'-",Helexia!E49),9999),
        IFERROR(FIND("/",Helexia!E49),9999),
        IFERROR(FIND(" '- ",Helexia!E49),9999)
    ) - 1
)))</f>
        <v/>
      </c>
      <c r="D50" s="102" t="str">
        <f>TRIM(Helexia!F49)</f>
        <v/>
      </c>
      <c r="E50" s="97" t="s">
        <v>186</v>
      </c>
      <c r="F50" s="100" t="str">
        <f>CONCATENATE(Helexia!J49," ",Helexia!K49)</f>
        <v xml:space="preserve"> </v>
      </c>
      <c r="G50" s="100"/>
      <c r="H50" s="98"/>
      <c r="I50" s="99"/>
      <c r="J50" s="87"/>
      <c r="K50" s="100"/>
      <c r="L50" s="100"/>
    </row>
    <row r="51" spans="1:12" ht="15" customHeight="1" x14ac:dyDescent="0.25">
      <c r="A51" s="87"/>
      <c r="B51" s="101" t="str">
        <f>IF(Helexia!C50="","",LEFT(Helexia!C50,FIND(" ",Helexia!C50&amp;" ")-1)
&amp;" "&amp;
LEFT(
    MID(
        Helexia!C50,
        FIND(" ",Helexia!C50)+1,
        FIND(" ",Helexia!C50&amp;" ",FIND(" ",Helexia!C50)+1)-FIND(" ",Helexia!C50)-1
    ),
1
)&amp;".")</f>
        <v/>
      </c>
      <c r="C51" s="97" t="str">
        <f>TRIM(IF(Helexia!E50="", "",
LEFT(
    Helexia!E50,
    MIN(
        IFERROR(FIND(" /",Helexia!E50),9999),
        IFERROR(FIND("'-",Helexia!E50),9999),
        IFERROR(FIND("/",Helexia!E50),9999),
        IFERROR(FIND(" '- ",Helexia!E50),9999)
    ) - 1
)))</f>
        <v/>
      </c>
      <c r="D51" s="102" t="str">
        <f>TRIM(Helexia!F50)</f>
        <v/>
      </c>
      <c r="E51" s="97" t="s">
        <v>186</v>
      </c>
      <c r="F51" s="100" t="str">
        <f>CONCATENATE(Helexia!J50," ",Helexia!K50)</f>
        <v xml:space="preserve"> </v>
      </c>
      <c r="G51" s="100"/>
      <c r="H51" s="98"/>
      <c r="I51" s="99"/>
      <c r="J51" s="87"/>
      <c r="K51" s="100"/>
      <c r="L51" s="100"/>
    </row>
    <row r="52" spans="1:12" ht="15" customHeight="1" x14ac:dyDescent="0.25">
      <c r="A52" s="87"/>
      <c r="B52" s="101" t="str">
        <f>IF(Helexia!C51="","",LEFT(Helexia!C51,FIND(" ",Helexia!C51&amp;" ")-1)
&amp;" "&amp;
LEFT(
    MID(
        Helexia!C51,
        FIND(" ",Helexia!C51)+1,
        FIND(" ",Helexia!C51&amp;" ",FIND(" ",Helexia!C51)+1)-FIND(" ",Helexia!C51)-1
    ),
1
)&amp;".")</f>
        <v/>
      </c>
      <c r="C52" s="97" t="str">
        <f>TRIM(IF(Helexia!E51="", "",
LEFT(
    Helexia!E51,
    MIN(
        IFERROR(FIND(" /",Helexia!E51),9999),
        IFERROR(FIND("'-",Helexia!E51),9999),
        IFERROR(FIND("/",Helexia!E51),9999),
        IFERROR(FIND(" '- ",Helexia!E51),9999)
    ) - 1
)))</f>
        <v/>
      </c>
      <c r="D52" s="102" t="str">
        <f>TRIM(Helexia!F51)</f>
        <v/>
      </c>
      <c r="E52" s="97" t="s">
        <v>186</v>
      </c>
      <c r="F52" s="100" t="str">
        <f>CONCATENATE(Helexia!J51," ",Helexia!K51)</f>
        <v xml:space="preserve"> </v>
      </c>
      <c r="G52" s="100"/>
      <c r="H52" s="98"/>
      <c r="I52" s="99"/>
      <c r="J52" s="87"/>
      <c r="K52" s="100"/>
      <c r="L52" s="100"/>
    </row>
    <row r="53" spans="1:12" x14ac:dyDescent="0.25">
      <c r="A53" s="87"/>
      <c r="B53" s="101"/>
      <c r="C53" s="97"/>
      <c r="D53" s="97"/>
      <c r="E53" s="97"/>
      <c r="F53" s="100"/>
      <c r="G53" s="87"/>
      <c r="H53" s="98"/>
      <c r="I53" s="99"/>
      <c r="J53" s="87"/>
      <c r="K53" s="103"/>
      <c r="L53" s="87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</vt:i4>
      </vt:variant>
    </vt:vector>
  </HeadingPairs>
  <TitlesOfParts>
    <vt:vector size="21" baseType="lpstr">
      <vt:lpstr>Capa</vt:lpstr>
      <vt:lpstr>Mapa</vt:lpstr>
      <vt:lpstr>Helexia</vt:lpstr>
      <vt:lpstr>TI</vt:lpstr>
      <vt:lpstr>Equipamentos</vt:lpstr>
      <vt:lpstr>HSE-Jurídico</vt:lpstr>
      <vt:lpstr>Faturamento</vt:lpstr>
      <vt:lpstr>Gráficos</vt:lpstr>
      <vt:lpstr>Pontos de Atenção</vt:lpstr>
      <vt:lpstr>MWp</vt:lpstr>
      <vt:lpstr>Salários</vt:lpstr>
      <vt:lpstr>Source</vt:lpstr>
      <vt:lpstr>Capa!Area_de_impressao</vt:lpstr>
      <vt:lpstr>Equipamentos!Area_de_impressao</vt:lpstr>
      <vt:lpstr>Faturamento!Area_de_impressao</vt:lpstr>
      <vt:lpstr>Gráficos!Area_de_impressao</vt:lpstr>
      <vt:lpstr>Helexia!Area_de_impressao</vt:lpstr>
      <vt:lpstr>'HSE-Jurídico'!Area_de_impressao</vt:lpstr>
      <vt:lpstr>Mapa!Area_de_impressao</vt:lpstr>
      <vt:lpstr>'Pontos de Atenção'!Area_de_impressao</vt:lpstr>
      <vt:lpstr>TI!Area_de_impressao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Windcraft</dc:creator>
  <cp:lastModifiedBy>Windcraft</cp:lastModifiedBy>
  <cp:lastPrinted>2026-01-22T17:32:20Z</cp:lastPrinted>
  <dcterms:created xsi:type="dcterms:W3CDTF">2015-06-05T18:19:34Z</dcterms:created>
  <dcterms:modified xsi:type="dcterms:W3CDTF">2026-02-23T15:43:38Z</dcterms:modified>
</cp:coreProperties>
</file>