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never" codeName="EstaPastaDeTrabalho"/>
  <mc:AlternateContent xmlns:mc="http://schemas.openxmlformats.org/markup-compatibility/2006">
    <mc:Choice Requires="x15">
      <x15ac:absPath xmlns:x15ac="http://schemas.microsoft.com/office/spreadsheetml/2010/11/ac" url="C:\Users\Windcraft\Desktop\"/>
    </mc:Choice>
  </mc:AlternateContent>
  <xr:revisionPtr revIDLastSave="0" documentId="13_ncr:1_{5C61ED66-2037-40F1-BF1F-8E03DC918D80}" xr6:coauthVersionLast="47" xr6:coauthVersionMax="47" xr10:uidLastSave="{00000000-0000-0000-0000-000000000000}"/>
  <bookViews>
    <workbookView xWindow="20370" yWindow="-120" windowWidth="24240" windowHeight="13020" tabRatio="790" activeTab="6" xr2:uid="{00000000-000D-0000-FFFF-FFFF00000000}"/>
  </bookViews>
  <sheets>
    <sheet name="Capa" sheetId="1" r:id="rId1"/>
    <sheet name="Mapa" sheetId="5" r:id="rId2"/>
    <sheet name="Helexia" sheetId="4" r:id="rId3"/>
    <sheet name="TI" sheetId="8" r:id="rId4"/>
    <sheet name="Equipamentos" sheetId="18" r:id="rId5"/>
    <sheet name="HSE-Jurídico" sheetId="13" r:id="rId6"/>
    <sheet name="Faturamento" sheetId="16" r:id="rId7"/>
    <sheet name="Gráficos" sheetId="6" r:id="rId8"/>
    <sheet name="Pontos de Atenção" sheetId="11" r:id="rId9"/>
    <sheet name="MWp" sheetId="3" r:id="rId10"/>
    <sheet name="Salários" sheetId="17" r:id="rId11"/>
    <sheet name="Source" sheetId="7" r:id="rId12"/>
  </sheets>
  <definedNames>
    <definedName name="_xlnm._FilterDatabase" localSheetId="6" hidden="1">Faturamento!$A$6:$M$14</definedName>
    <definedName name="_xlnm._FilterDatabase" localSheetId="2" hidden="1">Helexia!$C$2:$L$65</definedName>
    <definedName name="_xlnm._FilterDatabase" localSheetId="10" hidden="1">Salários!$A$2:$D$62</definedName>
    <definedName name="_xlchart.v5.0" hidden="1">Source!$B$3:$D$3</definedName>
    <definedName name="_xlchart.v5.1" hidden="1">Source!$B$4:$D$52</definedName>
    <definedName name="_xlchart.v5.2" hidden="1">Source!$E$3</definedName>
    <definedName name="_xlchart.v5.3" hidden="1">Source!$E$4:$E$52</definedName>
    <definedName name="Abr" localSheetId="6">Faturamento!DaysAndWeeks+DATE(Faturamento!CalendárioYear,4,1)-WEEKDAY(DATE(Faturamento!CalendárioYear,4,1),Faturamento!OpçãodeDiadaSemana)+1</definedName>
    <definedName name="Abr" localSheetId="2">Helexia!DaysAndWeeks+DATE(CalendárioYear,4,1)-WEEKDAY(DATE(CalendárioYear,4,1),Helexia!OpçãodeDiadaSemana)+1</definedName>
    <definedName name="Abr" localSheetId="1">Mapa!DaysAndWeeks+DATE(CalendárioYear,4,1)-WEEKDAY(DATE(CalendárioYear,4,1),Mapa!OpçãodeDiadaSemana)+1</definedName>
    <definedName name="Abr" localSheetId="9">MWp!DaysAndWeeks+DATE(MWp!CalendárioYear,4,1)-WEEKDAY(DATE(MWp!CalendárioYear,4,1),MWp!OpçãodeDiadaSemana)+1</definedName>
    <definedName name="Abr" localSheetId="10">Salários!DaysAndWeeks+DATE(Salários!CalendárioYear,4,1)-WEEKDAY(DATE(Salários!CalendárioYear,4,1),Salários!OpçãodeDiadaSemana)+1</definedName>
    <definedName name="Abr" localSheetId="11">Source!DaysAndWeeks+DATE(CalendárioYear,4,1)-WEEKDAY(DATE(CalendárioYear,4,1),Source!OpçãodeDiadaSemana)+1</definedName>
    <definedName name="Abr">DaysAndWeeks+DATE(CalendárioYear,4,1)-WEEKDAY(DATE(CalendárioYear,4,1),OpçãodeDiadaSemana)+1</definedName>
    <definedName name="Ago" localSheetId="6">Faturamento!DaysAndWeeks+DATE(Faturamento!CalendárioYear,8,1)-WEEKDAY(DATE(Faturamento!CalendárioYear,8,1),Faturamento!OpçãodeDiadaSemana)+1</definedName>
    <definedName name="Ago" localSheetId="2">Helexia!DaysAndWeeks+DATE(CalendárioYear,8,1)-WEEKDAY(DATE(CalendárioYear,8,1),Helexia!OpçãodeDiadaSemana)+1</definedName>
    <definedName name="Ago" localSheetId="1">Mapa!DaysAndWeeks+DATE(CalendárioYear,8,1)-WEEKDAY(DATE(CalendárioYear,8,1),Mapa!OpçãodeDiadaSemana)+1</definedName>
    <definedName name="Ago" localSheetId="9">MWp!DaysAndWeeks+DATE(MWp!CalendárioYear,8,1)-WEEKDAY(DATE(MWp!CalendárioYear,8,1),MWp!OpçãodeDiadaSemana)+1</definedName>
    <definedName name="Ago" localSheetId="10">Salários!DaysAndWeeks+DATE(Salários!CalendárioYear,8,1)-WEEKDAY(DATE(Salários!CalendárioYear,8,1),Salários!OpçãodeDiadaSemana)+1</definedName>
    <definedName name="Ago" localSheetId="11">Source!DaysAndWeeks+DATE(CalendárioYear,8,1)-WEEKDAY(DATE(CalendárioYear,8,1),Source!OpçãodeDiadaSemana)+1</definedName>
    <definedName name="Ago">DaysAndWeeks+DATE(CalendárioYear,8,1)-WEEKDAY(DATE(CalendárioYear,8,1),OpçãodeDiadaSemana)+1</definedName>
    <definedName name="_xlnm.Print_Area" localSheetId="0">Capa!$A$1:$Q$40</definedName>
    <definedName name="_xlnm.Print_Area" localSheetId="4">Equipamentos!$A$1:$AB$27</definedName>
    <definedName name="_xlnm.Print_Area" localSheetId="6">Faturamento!$A$1:$AA$27</definedName>
    <definedName name="_xlnm.Print_Area" localSheetId="7">Gráficos!$A$1:$N$17</definedName>
    <definedName name="_xlnm.Print_Area" localSheetId="2">Helexia!$C$1:$N$65</definedName>
    <definedName name="_xlnm.Print_Area" localSheetId="5">'HSE-Jurídico'!$A$1:$N$54</definedName>
    <definedName name="_xlnm.Print_Area" localSheetId="1">Mapa!$A$1:$O$38</definedName>
    <definedName name="_xlnm.Print_Area" localSheetId="8">'Pontos de Atenção'!$A$1:$H$30</definedName>
    <definedName name="_xlnm.Print_Area" localSheetId="3">TI!$A$1:$G$38</definedName>
    <definedName name="CabeçalhosdeDia" localSheetId="6">LEFT(TEXT(#REF!,"ddd"),1)</definedName>
    <definedName name="CabeçalhosdeDia" localSheetId="9">LEFT(TEXT(#REF!,"ddd"),1)</definedName>
    <definedName name="CabeçalhosdeDia" localSheetId="10">LEFT(TEXT(#REF!,"ddd"),1)</definedName>
    <definedName name="CabeçalhosdeDia">LEFT(TEXT(#REF!,"ddd"),1)</definedName>
    <definedName name="CabeçalhosdeMês" localSheetId="6">UPPER(TEXT(#REF!,"mmmm"))</definedName>
    <definedName name="CabeçalhosdeMês" localSheetId="9">UPPER(TEXT(#REF!,"mmmm"))</definedName>
    <definedName name="CabeçalhosdeMês" localSheetId="10">UPPER(TEXT(#REF!,"mmmm"))</definedName>
    <definedName name="CabeçalhosdeMês">UPPER(TEXT(#REF!,"mmmm"))</definedName>
    <definedName name="Calendário" localSheetId="6">Faturamento!DaysAndWeeks + DateOfFirst - WEEKDAY(DateOfFirst,2)</definedName>
    <definedName name="Calendário" localSheetId="2">Helexia!DaysAndWeeks + DateOfFirst - WEEKDAY(DateOfFirst,2)</definedName>
    <definedName name="Calendário" localSheetId="1">Mapa!DaysAndWeeks + DateOfFirst - WEEKDAY(DateOfFirst,2)</definedName>
    <definedName name="Calendário" localSheetId="9">MWp!DaysAndWeeks + DateOfFirst - WEEKDAY(DateOfFirst,2)</definedName>
    <definedName name="Calendário" localSheetId="10">Salários!DaysAndWeeks + DateOfFirst - WEEKDAY(DateOfFirst,2)</definedName>
    <definedName name="Calendário" localSheetId="11">Source!DaysAndWeeks + DateOfFirst - WEEKDAY(DateOfFirst,2)</definedName>
    <definedName name="Calendário">DaysAndWeeks + DateOfFirst - WEEKDAY(DateOfFirst,2)</definedName>
    <definedName name="CalendárioYear" localSheetId="6">#REF!</definedName>
    <definedName name="CalendárioYear" localSheetId="9">#REF!</definedName>
    <definedName name="CalendárioYear" localSheetId="10">#REF!</definedName>
    <definedName name="CalendárioYear">#REF!</definedName>
    <definedName name="Contrato" localSheetId="6">#REF!</definedName>
    <definedName name="Contrato" localSheetId="10">#REF!</definedName>
    <definedName name="Contrato">#REF!</definedName>
    <definedName name="DaysAndWeeks" localSheetId="6">{0,1,2,3,4,5,6} + {0;1;2;3;4;5}*7</definedName>
    <definedName name="DaysAndWeeks" localSheetId="2">{0,1,2,3,4,5,6} + {0;1;2;3;4;5}*7</definedName>
    <definedName name="DaysAndWeeks" localSheetId="1">{0,1,2,3,4,5,6} + {0;1;2;3;4;5}*7</definedName>
    <definedName name="DaysAndWeeks" localSheetId="9">{0,1,2,3,4,5,6} + {0;1;2;3;4;5}*7</definedName>
    <definedName name="DaysAndWeeks" localSheetId="10">{0,1,2,3,4,5,6} + {0;1;2;3;4;5}*7</definedName>
    <definedName name="DaysAndWeeks" localSheetId="11">{0,1,2,3,4,5,6} + {0;1;2;3;4;5}*7</definedName>
    <definedName name="DaysAndWeeks">{0,1,2,3,4,5,6} + {0;1;2;3;4;5}*7</definedName>
    <definedName name="Dez" localSheetId="6">Faturamento!DaysAndWeeks+DATE(Faturamento!CalendárioYear,12,1)-WEEKDAY(DATE(Faturamento!CalendárioYear,12,1),Faturamento!OpçãodeDiadaSemana)+1</definedName>
    <definedName name="Dez" localSheetId="2">Helexia!DaysAndWeeks+DATE(CalendárioYear,12,1)-WEEKDAY(DATE(CalendárioYear,12,1),Helexia!OpçãodeDiadaSemana)+1</definedName>
    <definedName name="Dez" localSheetId="1">Mapa!DaysAndWeeks+DATE(CalendárioYear,12,1)-WEEKDAY(DATE(CalendárioYear,12,1),Mapa!OpçãodeDiadaSemana)+1</definedName>
    <definedName name="Dez" localSheetId="9">MWp!DaysAndWeeks+DATE(MWp!CalendárioYear,12,1)-WEEKDAY(DATE(MWp!CalendárioYear,12,1),MWp!OpçãodeDiadaSemana)+1</definedName>
    <definedName name="Dez" localSheetId="10">Salários!DaysAndWeeks+DATE(Salários!CalendárioYear,12,1)-WEEKDAY(DATE(Salários!CalendárioYear,12,1),Salários!OpçãodeDiadaSemana)+1</definedName>
    <definedName name="Dez" localSheetId="11">Source!DaysAndWeeks+DATE(CalendárioYear,12,1)-WEEKDAY(DATE(CalendárioYear,12,1),Source!OpçãodeDiadaSemana)+1</definedName>
    <definedName name="Dez">DaysAndWeeks+DATE(CalendárioYear,12,1)-WEEKDAY(DATE(CalendárioYear,12,1),OpçãodeDiadaSemana)+1</definedName>
    <definedName name="DiasÚteis" localSheetId="6">{"segunda-feira","terça-feira","quarta-feira","quinta-feira","sexta-feira","sábado","domingo"}</definedName>
    <definedName name="DiasÚteis" localSheetId="2">{"segunda-feira","terça-feira","quarta-feira","quinta-feira","sexta-feira","sábado","domingo"}</definedName>
    <definedName name="DiasÚteis" localSheetId="1">{"segunda-feira","terça-feira","quarta-feira","quinta-feira","sexta-feira","sábado","domingo"}</definedName>
    <definedName name="DiasÚteis" localSheetId="9">{"segunda-feira","terça-feira","quarta-feira","quinta-feira","sexta-feira","sábado","domingo"}</definedName>
    <definedName name="DiasÚteis" localSheetId="10">{"segunda-feira","terça-feira","quarta-feira","quinta-feira","sexta-feira","sábado","domingo"}</definedName>
    <definedName name="DiasÚteis" localSheetId="11">{"segunda-feira","terça-feira","quarta-feira","quinta-feira","sexta-feira","sábado","domingo"}</definedName>
    <definedName name="DiasÚteis">{"segunda-feira","terça-feira","quarta-feira","quinta-feira","sexta-feira","sábado","domingo"}</definedName>
    <definedName name="Fev" localSheetId="6">Faturamento!DaysAndWeeks+DATE(Faturamento!CalendárioYear,2,1)-WEEKDAY(DATE(Faturamento!CalendárioYear,2,1),Faturamento!OpçãodeDiadaSemana)+1</definedName>
    <definedName name="Fev" localSheetId="2">Helexia!DaysAndWeeks+DATE(CalendárioYear,2,1)-WEEKDAY(DATE(CalendárioYear,2,1),Helexia!OpçãodeDiadaSemana)+1</definedName>
    <definedName name="Fev" localSheetId="1">Mapa!DaysAndWeeks+DATE(CalendárioYear,2,1)-WEEKDAY(DATE(CalendárioYear,2,1),Mapa!OpçãodeDiadaSemana)+1</definedName>
    <definedName name="Fev" localSheetId="9">MWp!DaysAndWeeks+DATE(MWp!CalendárioYear,2,1)-WEEKDAY(DATE(MWp!CalendárioYear,2,1),MWp!OpçãodeDiadaSemana)+1</definedName>
    <definedName name="Fev" localSheetId="10">Salários!DaysAndWeeks+DATE(Salários!CalendárioYear,2,1)-WEEKDAY(DATE(Salários!CalendárioYear,2,1),Salários!OpçãodeDiadaSemana)+1</definedName>
    <definedName name="Fev" localSheetId="11">Source!DaysAndWeeks+DATE(CalendárioYear,2,1)-WEEKDAY(DATE(CalendárioYear,2,1),Source!OpçãodeDiadaSemana)+1</definedName>
    <definedName name="Fev">DaysAndWeeks+DATE(CalendárioYear,2,1)-WEEKDAY(DATE(CalendárioYear,2,1),OpçãodeDiadaSemana)+1</definedName>
    <definedName name="Filtro_Val">#REF!</definedName>
    <definedName name="IníciodaSemana" localSheetId="6">#REF!</definedName>
    <definedName name="IníciodaSemana" localSheetId="9">#REF!</definedName>
    <definedName name="IníciodaSemana" localSheetId="10">#REF!</definedName>
    <definedName name="IníciodaSemana">#REF!</definedName>
    <definedName name="IR">#REF!</definedName>
    <definedName name="Jan" localSheetId="6">Faturamento!DaysAndWeeks+DATE(Faturamento!CalendárioYear,1,1)-WEEKDAY(DATE(Faturamento!CalendárioYear,1,1),Faturamento!OpçãodeDiadaSemana)+1</definedName>
    <definedName name="Jan" localSheetId="2">Helexia!DaysAndWeeks+DATE(CalendárioYear,1,1)-WEEKDAY(DATE(CalendárioYear,1,1),Helexia!OpçãodeDiadaSemana)+1</definedName>
    <definedName name="Jan" localSheetId="1">Mapa!DaysAndWeeks+DATE(CalendárioYear,1,1)-WEEKDAY(DATE(CalendárioYear,1,1),Mapa!OpçãodeDiadaSemana)+1</definedName>
    <definedName name="Jan" localSheetId="9">MWp!DaysAndWeeks+DATE(MWp!CalendárioYear,1,1)-WEEKDAY(DATE(MWp!CalendárioYear,1,1),MWp!OpçãodeDiadaSemana)+1</definedName>
    <definedName name="Jan" localSheetId="10">Salários!DaysAndWeeks+DATE(Salários!CalendárioYear,1,1)-WEEKDAY(DATE(Salários!CalendárioYear,1,1),Salários!OpçãodeDiadaSemana)+1</definedName>
    <definedName name="Jan" localSheetId="11">Source!DaysAndWeeks+DATE(CalendárioYear,1,1)-WEEKDAY(DATE(CalendárioYear,1,1),Source!OpçãodeDiadaSemana)+1</definedName>
    <definedName name="Jan">DaysAndWeeks+DATE(CalendárioYear,1,1)-WEEKDAY(DATE(CalendárioYear,1,1),OpçãodeDiadaSemana)+1</definedName>
    <definedName name="Jul" localSheetId="6">Faturamento!DaysAndWeeks+DATE(Faturamento!CalendárioYear,7,1)-WEEKDAY(DATE(Faturamento!CalendárioYear,7,1),Faturamento!OpçãodeDiadaSemana)+1</definedName>
    <definedName name="Jul" localSheetId="2">Helexia!DaysAndWeeks+DATE(CalendárioYear,7,1)-WEEKDAY(DATE(CalendárioYear,7,1),Helexia!OpçãodeDiadaSemana)+1</definedName>
    <definedName name="Jul" localSheetId="1">Mapa!DaysAndWeeks+DATE(CalendárioYear,7,1)-WEEKDAY(DATE(CalendárioYear,7,1),Mapa!OpçãodeDiadaSemana)+1</definedName>
    <definedName name="Jul" localSheetId="9">MWp!DaysAndWeeks+DATE(MWp!CalendárioYear,7,1)-WEEKDAY(DATE(MWp!CalendárioYear,7,1),MWp!OpçãodeDiadaSemana)+1</definedName>
    <definedName name="Jul" localSheetId="10">Salários!DaysAndWeeks+DATE(Salários!CalendárioYear,7,1)-WEEKDAY(DATE(Salários!CalendárioYear,7,1),Salários!OpçãodeDiadaSemana)+1</definedName>
    <definedName name="Jul" localSheetId="11">Source!DaysAndWeeks+DATE(CalendárioYear,7,1)-WEEKDAY(DATE(CalendárioYear,7,1),Source!OpçãodeDiadaSemana)+1</definedName>
    <definedName name="Jul">DaysAndWeeks+DATE(CalendárioYear,7,1)-WEEKDAY(DATE(CalendárioYear,7,1),OpçãodeDiadaSemana)+1</definedName>
    <definedName name="Jun" localSheetId="6">Faturamento!DaysAndWeeks+DATE(Faturamento!CalendárioYear,6,1)-WEEKDAY(DATE(Faturamento!CalendárioYear,6,1),Faturamento!OpçãodeDiadaSemana)+1</definedName>
    <definedName name="Jun" localSheetId="2">Helexia!DaysAndWeeks+DATE(CalendárioYear,6,1)-WEEKDAY(DATE(CalendárioYear,6,1),Helexia!OpçãodeDiadaSemana)+1</definedName>
    <definedName name="Jun" localSheetId="1">Mapa!DaysAndWeeks+DATE(CalendárioYear,6,1)-WEEKDAY(DATE(CalendárioYear,6,1),Mapa!OpçãodeDiadaSemana)+1</definedName>
    <definedName name="Jun" localSheetId="9">MWp!DaysAndWeeks+DATE(MWp!CalendárioYear,6,1)-WEEKDAY(DATE(MWp!CalendárioYear,6,1),MWp!OpçãodeDiadaSemana)+1</definedName>
    <definedName name="Jun" localSheetId="10">Salários!DaysAndWeeks+DATE(Salários!CalendárioYear,6,1)-WEEKDAY(DATE(Salários!CalendárioYear,6,1),Salários!OpçãodeDiadaSemana)+1</definedName>
    <definedName name="Jun" localSheetId="11">Source!DaysAndWeeks+DATE(CalendárioYear,6,1)-WEEKDAY(DATE(CalendárioYear,6,1),Source!OpçãodeDiadaSemana)+1</definedName>
    <definedName name="Jun">DaysAndWeeks+DATE(CalendárioYear,6,1)-WEEKDAY(DATE(CalendárioYear,6,1),OpçãodeDiadaSemana)+1</definedName>
    <definedName name="Maio" localSheetId="6">Faturamento!DaysAndWeeks+DATE(Faturamento!CalendárioYear,5,1)-WEEKDAY(DATE(Faturamento!CalendárioYear,5,1),Faturamento!OpçãodeDiadaSemana)+1</definedName>
    <definedName name="Maio" localSheetId="2">Helexia!DaysAndWeeks+DATE(CalendárioYear,5,1)-WEEKDAY(DATE(CalendárioYear,5,1),Helexia!OpçãodeDiadaSemana)+1</definedName>
    <definedName name="Maio" localSheetId="1">Mapa!DaysAndWeeks+DATE(CalendárioYear,5,1)-WEEKDAY(DATE(CalendárioYear,5,1),Mapa!OpçãodeDiadaSemana)+1</definedName>
    <definedName name="Maio" localSheetId="9">MWp!DaysAndWeeks+DATE(MWp!CalendárioYear,5,1)-WEEKDAY(DATE(MWp!CalendárioYear,5,1),MWp!OpçãodeDiadaSemana)+1</definedName>
    <definedName name="Maio" localSheetId="10">Salários!DaysAndWeeks+DATE(Salários!CalendárioYear,5,1)-WEEKDAY(DATE(Salários!CalendárioYear,5,1),Salários!OpçãodeDiadaSemana)+1</definedName>
    <definedName name="Maio" localSheetId="11">Source!DaysAndWeeks+DATE(CalendárioYear,5,1)-WEEKDAY(DATE(CalendárioYear,5,1),Source!OpçãodeDiadaSemana)+1</definedName>
    <definedName name="Maio">DaysAndWeeks+DATE(CalendárioYear,5,1)-WEEKDAY(DATE(CalendárioYear,5,1),OpçãodeDiadaSemana)+1</definedName>
    <definedName name="Mar" localSheetId="6">Faturamento!DaysAndWeeks+DATE(Faturamento!CalendárioYear,3,1)-WEEKDAY(DATE(Faturamento!CalendárioYear,3,1),Faturamento!OpçãodeDiadaSemana)+1</definedName>
    <definedName name="Mar" localSheetId="2">Helexia!DaysAndWeeks+DATE(CalendárioYear,3,1)-WEEKDAY(DATE(CalendárioYear,3,1),Helexia!OpçãodeDiadaSemana)+1</definedName>
    <definedName name="Mar" localSheetId="1">Mapa!DaysAndWeeks+DATE(CalendárioYear,3,1)-WEEKDAY(DATE(CalendárioYear,3,1),Mapa!OpçãodeDiadaSemana)+1</definedName>
    <definedName name="Mar" localSheetId="9">MWp!DaysAndWeeks+DATE(MWp!CalendárioYear,3,1)-WEEKDAY(DATE(MWp!CalendárioYear,3,1),MWp!OpçãodeDiadaSemana)+1</definedName>
    <definedName name="Mar" localSheetId="10">Salários!DaysAndWeeks+DATE(Salários!CalendárioYear,3,1)-WEEKDAY(DATE(Salários!CalendárioYear,3,1),Salários!OpçãodeDiadaSemana)+1</definedName>
    <definedName name="Mar" localSheetId="11">Source!DaysAndWeeks+DATE(CalendárioYear,3,1)-WEEKDAY(DATE(CalendárioYear,3,1),Source!OpçãodeDiadaSemana)+1</definedName>
    <definedName name="Mar">DaysAndWeeks+DATE(CalendárioYear,3,1)-WEEKDAY(DATE(CalendárioYear,3,1),OpçãodeDiadaSemana)+1</definedName>
    <definedName name="Nov" localSheetId="6">Faturamento!DaysAndWeeks+DATE(Faturamento!CalendárioYear,11,1)-WEEKDAY(DATE(Faturamento!CalendárioYear,11,1),Faturamento!OpçãodeDiadaSemana)+1</definedName>
    <definedName name="Nov" localSheetId="2">Helexia!DaysAndWeeks+DATE(CalendárioYear,11,1)-WEEKDAY(DATE(CalendárioYear,11,1),Helexia!OpçãodeDiadaSemana)+1</definedName>
    <definedName name="Nov" localSheetId="1">Mapa!DaysAndWeeks+DATE(CalendárioYear,11,1)-WEEKDAY(DATE(CalendárioYear,11,1),Mapa!OpçãodeDiadaSemana)+1</definedName>
    <definedName name="Nov" localSheetId="9">MWp!DaysAndWeeks+DATE(MWp!CalendárioYear,11,1)-WEEKDAY(DATE(MWp!CalendárioYear,11,1),MWp!OpçãodeDiadaSemana)+1</definedName>
    <definedName name="Nov" localSheetId="10">Salários!DaysAndWeeks+DATE(Salários!CalendárioYear,11,1)-WEEKDAY(DATE(Salários!CalendárioYear,11,1),Salários!OpçãodeDiadaSemana)+1</definedName>
    <definedName name="Nov" localSheetId="11">Source!DaysAndWeeks+DATE(CalendárioYear,11,1)-WEEKDAY(DATE(CalendárioYear,11,1),Source!OpçãodeDiadaSemana)+1</definedName>
    <definedName name="Nov">DaysAndWeeks+DATE(CalendárioYear,11,1)-WEEKDAY(DATE(CalendárioYear,11,1),OpçãodeDiadaSemana)+1</definedName>
    <definedName name="OpçãodeDiadaSemana" localSheetId="6">MATCH(Faturamento!IníciodaSemana,Faturamento!DiasÚteis,0)+10</definedName>
    <definedName name="OpçãodeDiadaSemana" localSheetId="2">MATCH(IníciodaSemana,Helexia!DiasÚteis,0)+10</definedName>
    <definedName name="OpçãodeDiadaSemana" localSheetId="1">MATCH(IníciodaSemana,Mapa!DiasÚteis,0)+10</definedName>
    <definedName name="OpçãodeDiadaSemana" localSheetId="9">MATCH(MWp!IníciodaSemana,MWp!DiasÚteis,0)+10</definedName>
    <definedName name="OpçãodeDiadaSemana" localSheetId="10">MATCH(Salários!IníciodaSemana,Salários!DiasÚteis,0)+10</definedName>
    <definedName name="OpçãodeDiadaSemana" localSheetId="11">MATCH(IníciodaSemana,Source!DiasÚteis,0)+10</definedName>
    <definedName name="OpçãodeDiadaSemana">MATCH(IníciodaSemana,DiasÚteis,0)+10</definedName>
    <definedName name="Out" localSheetId="6">Faturamento!DaysAndWeeks+DATE(Faturamento!CalendárioYear,10,1)-WEEKDAY(DATE(Faturamento!CalendárioYear,10,1),Faturamento!OpçãodeDiadaSemana)+1</definedName>
    <definedName name="Out" localSheetId="2">Helexia!DaysAndWeeks+DATE(CalendárioYear,10,1)-WEEKDAY(DATE(CalendárioYear,10,1),Helexia!OpçãodeDiadaSemana)+1</definedName>
    <definedName name="Out" localSheetId="1">Mapa!DaysAndWeeks+DATE(CalendárioYear,10,1)-WEEKDAY(DATE(CalendárioYear,10,1),Mapa!OpçãodeDiadaSemana)+1</definedName>
    <definedName name="Out" localSheetId="9">MWp!DaysAndWeeks+DATE(MWp!CalendárioYear,10,1)-WEEKDAY(DATE(MWp!CalendárioYear,10,1),MWp!OpçãodeDiadaSemana)+1</definedName>
    <definedName name="Out" localSheetId="10">Salários!DaysAndWeeks+DATE(Salários!CalendárioYear,10,1)-WEEKDAY(DATE(Salários!CalendárioYear,10,1),Salários!OpçãodeDiadaSemana)+1</definedName>
    <definedName name="Out" localSheetId="11">Source!DaysAndWeeks+DATE(CalendárioYear,10,1)-WEEKDAY(DATE(CalendárioYear,10,1),Source!OpçãodeDiadaSemana)+1</definedName>
    <definedName name="Out">DaysAndWeeks+DATE(CalendárioYear,10,1)-WEEKDAY(DATE(CalendárioYear,10,1),OpçãodeDiadaSemana)+1</definedName>
    <definedName name="Set" localSheetId="6">Faturamento!DaysAndWeeks+DATE(Faturamento!CalendárioYear,9,1)-WEEKDAY(DATE(Faturamento!CalendárioYear,9,1),Faturamento!OpçãodeDiadaSemana)+1</definedName>
    <definedName name="Set" localSheetId="2">Helexia!DaysAndWeeks+DATE(CalendárioYear,9,1)-WEEKDAY(DATE(CalendárioYear,9,1),Helexia!OpçãodeDiadaSemana)+1</definedName>
    <definedName name="Set" localSheetId="1">Mapa!DaysAndWeeks+DATE(CalendárioYear,9,1)-WEEKDAY(DATE(CalendárioYear,9,1),Mapa!OpçãodeDiadaSemana)+1</definedName>
    <definedName name="Set" localSheetId="9">MWp!DaysAndWeeks+DATE(MWp!CalendárioYear,9,1)-WEEKDAY(DATE(MWp!CalendárioYear,9,1),MWp!OpçãodeDiadaSemana)+1</definedName>
    <definedName name="Set" localSheetId="10">Salários!DaysAndWeeks+DATE(Salários!CalendárioYear,9,1)-WEEKDAY(DATE(Salários!CalendárioYear,9,1),Salários!OpçãodeDiadaSemana)+1</definedName>
    <definedName name="Set" localSheetId="11">Source!DaysAndWeeks+DATE(CalendárioYear,9,1)-WEEKDAY(DATE(CalendárioYear,9,1),Source!OpçãodeDiadaSemana)+1</definedName>
    <definedName name="Set">DaysAndWeeks+DATE(CalendárioYear,9,1)-WEEKDAY(DATE(CalendárioYear,9,1),OpçãodeDiadaSemana)+1</definedName>
    <definedName name="teste" localSheetId="6">OFFSET(#REF!,0,0,1,COUNTIFS(#REF!,"&gt;0"))</definedName>
    <definedName name="teste" localSheetId="10">OFFSET(#REF!,0,0,1,COUNTIFS(#REF!,"&gt;0"))</definedName>
    <definedName name="teste">OFFSET(#REF!,0,0,1,COUNTIFS(#REF!,"&gt;0"))</definedName>
    <definedName name="TIPO">#REF!</definedName>
    <definedName name="wrn.PENDENCIAS." localSheetId="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" i="17" l="1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3" i="17"/>
  <c r="Q7" i="6"/>
  <c r="U2" i="6" a="1"/>
  <c r="U2" i="6" s="1"/>
  <c r="I15" i="16"/>
  <c r="E14" i="16"/>
  <c r="F14" i="16"/>
  <c r="G14" i="16"/>
  <c r="H14" i="16"/>
  <c r="I14" i="16"/>
  <c r="J14" i="16"/>
  <c r="K14" i="16"/>
  <c r="L14" i="16"/>
  <c r="L15" i="16" s="1"/>
  <c r="M14" i="16"/>
  <c r="M15" i="16" s="1"/>
  <c r="N14" i="16"/>
  <c r="O14" i="16"/>
  <c r="P14" i="16"/>
  <c r="Q14" i="16"/>
  <c r="Q15" i="16" s="1"/>
  <c r="R14" i="16"/>
  <c r="S14" i="16"/>
  <c r="T14" i="16"/>
  <c r="U14" i="16"/>
  <c r="U15" i="16" s="1"/>
  <c r="V14" i="16"/>
  <c r="W14" i="16"/>
  <c r="X14" i="16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4" i="8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4" i="7"/>
  <c r="Z9" i="16"/>
  <c r="Z14" i="16" s="1"/>
  <c r="AA9" i="16"/>
  <c r="AA14" i="16" s="1"/>
  <c r="Y9" i="16"/>
  <c r="Y14" i="16" s="1"/>
  <c r="Y15" i="16" s="1"/>
  <c r="X15" i="16" l="1"/>
  <c r="P15" i="16"/>
  <c r="H15" i="16"/>
  <c r="V15" i="16"/>
  <c r="N15" i="16"/>
  <c r="T15" i="16"/>
  <c r="F15" i="16"/>
  <c r="R15" i="16"/>
  <c r="J15" i="16"/>
  <c r="AA15" i="16"/>
  <c r="W15" i="16"/>
  <c r="O15" i="16"/>
  <c r="G15" i="16"/>
  <c r="Z15" i="16"/>
  <c r="S15" i="16"/>
  <c r="K15" i="16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9" i="7"/>
  <c r="D40" i="7"/>
  <c r="D41" i="7"/>
  <c r="D42" i="7"/>
  <c r="D43" i="7"/>
  <c r="D44" i="7"/>
  <c r="D45" i="7"/>
  <c r="D46" i="7"/>
  <c r="D47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H65" i="4" l="1" a="1"/>
  <c r="H65" i="4" s="1"/>
  <c r="Q2" i="6" a="1"/>
  <c r="Q2" i="6" s="1"/>
  <c r="C5" i="17" l="1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I37" i="4" s="1"/>
  <c r="C38" i="17"/>
  <c r="I38" i="4" s="1"/>
  <c r="C39" i="17"/>
  <c r="I39" i="4" s="1"/>
  <c r="C40" i="17"/>
  <c r="I40" i="4" s="1"/>
  <c r="C41" i="17"/>
  <c r="I41" i="4" s="1"/>
  <c r="C42" i="17"/>
  <c r="I42" i="4" s="1"/>
  <c r="C43" i="17"/>
  <c r="I43" i="4" s="1"/>
  <c r="C44" i="17"/>
  <c r="I44" i="4" s="1"/>
  <c r="C45" i="17"/>
  <c r="I45" i="4" s="1"/>
  <c r="C46" i="17"/>
  <c r="I46" i="4" s="1"/>
  <c r="C47" i="17"/>
  <c r="I47" i="4" s="1"/>
  <c r="C48" i="17"/>
  <c r="I48" i="4" s="1"/>
  <c r="C49" i="17"/>
  <c r="I49" i="4" s="1"/>
  <c r="C50" i="17"/>
  <c r="I50" i="4" s="1"/>
  <c r="C51" i="17"/>
  <c r="I51" i="4" s="1"/>
  <c r="C52" i="17"/>
  <c r="I52" i="4" s="1"/>
  <c r="C53" i="17"/>
  <c r="I53" i="4" s="1"/>
  <c r="C54" i="17"/>
  <c r="C55" i="17"/>
  <c r="I55" i="4" s="1"/>
  <c r="C56" i="17"/>
  <c r="I56" i="4" s="1"/>
  <c r="C57" i="17"/>
  <c r="I57" i="4" s="1"/>
  <c r="C58" i="17"/>
  <c r="C59" i="17"/>
  <c r="C60" i="17"/>
  <c r="I60" i="4" s="1"/>
  <c r="C61" i="17"/>
  <c r="I61" i="4" s="1"/>
  <c r="C62" i="17"/>
  <c r="I62" i="4" s="1"/>
  <c r="C63" i="17"/>
  <c r="I63" i="4" s="1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AE51" i="17"/>
  <c r="AD51" i="17"/>
  <c r="AC51" i="17"/>
  <c r="AB51" i="17"/>
  <c r="AA51" i="17"/>
  <c r="Z51" i="17"/>
  <c r="Y51" i="17"/>
  <c r="X51" i="17"/>
  <c r="W51" i="17"/>
  <c r="K51" i="17"/>
  <c r="L51" i="17" s="1"/>
  <c r="M51" i="17" s="1"/>
  <c r="P51" i="17" s="1"/>
  <c r="BA51" i="17" l="1"/>
  <c r="AG51" i="17"/>
  <c r="R51" i="17"/>
  <c r="N51" i="17"/>
  <c r="O51" i="17"/>
  <c r="Q51" i="17" s="1"/>
  <c r="S51" i="17" l="1"/>
  <c r="V51" i="17" s="1"/>
  <c r="AH51" i="17" s="1"/>
  <c r="AR51" i="17" l="1"/>
  <c r="AN51" i="17"/>
  <c r="AJ51" i="17"/>
  <c r="AZ51" i="17"/>
  <c r="AY51" i="17"/>
  <c r="AX51" i="17" l="1"/>
  <c r="AT51" i="17"/>
  <c r="AP51" i="17"/>
  <c r="AL51" i="17"/>
  <c r="AV51" i="17"/>
  <c r="L65" i="4" l="1" a="1"/>
  <c r="L65" i="4" s="1"/>
  <c r="A64" i="17" l="1"/>
  <c r="A65" i="17"/>
  <c r="A66" i="17"/>
  <c r="A67" i="17"/>
  <c r="A68" i="17"/>
  <c r="C66" i="17"/>
  <c r="C64" i="17"/>
  <c r="C65" i="17"/>
  <c r="B64" i="17"/>
  <c r="B65" i="17"/>
  <c r="C67" i="17"/>
  <c r="C68" i="17"/>
  <c r="F63" i="4"/>
  <c r="D14" i="16" l="1"/>
  <c r="C14" i="16"/>
  <c r="B14" i="16"/>
  <c r="E15" i="16" l="1"/>
  <c r="D15" i="16"/>
  <c r="B16" i="16"/>
  <c r="C15" i="16"/>
  <c r="Q4" i="6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D19" i="7" s="1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D38" i="7" s="1"/>
  <c r="F47" i="4"/>
  <c r="D48" i="7" s="1"/>
  <c r="F48" i="4"/>
  <c r="D49" i="7" s="1"/>
  <c r="F3" i="3" l="1"/>
  <c r="F2" i="3"/>
  <c r="K4" i="17" l="1"/>
  <c r="K5" i="17"/>
  <c r="L5" i="17" s="1"/>
  <c r="M5" i="17" s="1"/>
  <c r="K6" i="17"/>
  <c r="L6" i="17" s="1"/>
  <c r="M6" i="17" s="1"/>
  <c r="K7" i="17"/>
  <c r="K8" i="17"/>
  <c r="L8" i="17" s="1"/>
  <c r="M8" i="17" s="1"/>
  <c r="P8" i="17" s="1"/>
  <c r="K9" i="17"/>
  <c r="L9" i="17" s="1"/>
  <c r="M9" i="17" s="1"/>
  <c r="K10" i="17"/>
  <c r="L10" i="17" s="1"/>
  <c r="M10" i="17" s="1"/>
  <c r="K11" i="17"/>
  <c r="L11" i="17" s="1"/>
  <c r="M11" i="17" s="1"/>
  <c r="K12" i="17"/>
  <c r="K13" i="17"/>
  <c r="K14" i="17"/>
  <c r="L14" i="17" s="1"/>
  <c r="M14" i="17" s="1"/>
  <c r="K15" i="17"/>
  <c r="L15" i="17" s="1"/>
  <c r="M15" i="17" s="1"/>
  <c r="K16" i="17"/>
  <c r="L16" i="17" s="1"/>
  <c r="M16" i="17" s="1"/>
  <c r="K17" i="17"/>
  <c r="L17" i="17" s="1"/>
  <c r="M17" i="17" s="1"/>
  <c r="K18" i="17"/>
  <c r="L18" i="17" s="1"/>
  <c r="M18" i="17" s="1"/>
  <c r="K19" i="17"/>
  <c r="L19" i="17" s="1"/>
  <c r="M19" i="17" s="1"/>
  <c r="K20" i="17"/>
  <c r="K21" i="17"/>
  <c r="L21" i="17" s="1"/>
  <c r="M21" i="17" s="1"/>
  <c r="K22" i="17"/>
  <c r="L22" i="17" s="1"/>
  <c r="M22" i="17" s="1"/>
  <c r="K23" i="17"/>
  <c r="K24" i="17"/>
  <c r="L24" i="17" s="1"/>
  <c r="M24" i="17" s="1"/>
  <c r="K25" i="17"/>
  <c r="L25" i="17" s="1"/>
  <c r="M25" i="17" s="1"/>
  <c r="K26" i="17"/>
  <c r="L26" i="17" s="1"/>
  <c r="M26" i="17" s="1"/>
  <c r="K27" i="17"/>
  <c r="L27" i="17" s="1"/>
  <c r="M27" i="17" s="1"/>
  <c r="K28" i="17"/>
  <c r="L28" i="17" s="1"/>
  <c r="M28" i="17" s="1"/>
  <c r="K29" i="17"/>
  <c r="L29" i="17" s="1"/>
  <c r="M29" i="17" s="1"/>
  <c r="K30" i="17"/>
  <c r="L30" i="17" s="1"/>
  <c r="M30" i="17" s="1"/>
  <c r="K31" i="17"/>
  <c r="L31" i="17" s="1"/>
  <c r="M31" i="17" s="1"/>
  <c r="K32" i="17"/>
  <c r="L32" i="17" s="1"/>
  <c r="M32" i="17" s="1"/>
  <c r="K33" i="17"/>
  <c r="L33" i="17" s="1"/>
  <c r="M33" i="17" s="1"/>
  <c r="K34" i="17"/>
  <c r="L34" i="17" s="1"/>
  <c r="M34" i="17" s="1"/>
  <c r="K35" i="17"/>
  <c r="L35" i="17" s="1"/>
  <c r="M35" i="17" s="1"/>
  <c r="K36" i="17"/>
  <c r="L36" i="17" s="1"/>
  <c r="M36" i="17" s="1"/>
  <c r="K37" i="17"/>
  <c r="L37" i="17" s="1"/>
  <c r="M37" i="17" s="1"/>
  <c r="K38" i="17"/>
  <c r="K39" i="17"/>
  <c r="L39" i="17" s="1"/>
  <c r="M39" i="17" s="1"/>
  <c r="K40" i="17"/>
  <c r="L40" i="17" s="1"/>
  <c r="M40" i="17" s="1"/>
  <c r="K41" i="17"/>
  <c r="L41" i="17" s="1"/>
  <c r="M41" i="17" s="1"/>
  <c r="K42" i="17"/>
  <c r="L42" i="17" s="1"/>
  <c r="M42" i="17" s="1"/>
  <c r="K43" i="17"/>
  <c r="L43" i="17" s="1"/>
  <c r="M43" i="17" s="1"/>
  <c r="K44" i="17"/>
  <c r="L44" i="17" s="1"/>
  <c r="M44" i="17" s="1"/>
  <c r="K45" i="17"/>
  <c r="L45" i="17" s="1"/>
  <c r="M45" i="17" s="1"/>
  <c r="K46" i="17"/>
  <c r="L46" i="17" s="1"/>
  <c r="M46" i="17" s="1"/>
  <c r="K47" i="17"/>
  <c r="L47" i="17" s="1"/>
  <c r="M47" i="17" s="1"/>
  <c r="K48" i="17"/>
  <c r="L48" i="17" s="1"/>
  <c r="M48" i="17" s="1"/>
  <c r="K49" i="17"/>
  <c r="L49" i="17" s="1"/>
  <c r="M49" i="17" s="1"/>
  <c r="K50" i="17"/>
  <c r="L50" i="17" s="1"/>
  <c r="M50" i="17" s="1"/>
  <c r="P50" i="17" s="1"/>
  <c r="K52" i="17"/>
  <c r="L52" i="17" s="1"/>
  <c r="M52" i="17" s="1"/>
  <c r="K53" i="17"/>
  <c r="L53" i="17" s="1"/>
  <c r="M53" i="17" s="1"/>
  <c r="K54" i="17"/>
  <c r="L54" i="17" s="1"/>
  <c r="M54" i="17" s="1"/>
  <c r="K55" i="17"/>
  <c r="L55" i="17" s="1"/>
  <c r="M55" i="17" s="1"/>
  <c r="K56" i="17"/>
  <c r="L56" i="17" s="1"/>
  <c r="M56" i="17" s="1"/>
  <c r="K57" i="17"/>
  <c r="L57" i="17" s="1"/>
  <c r="M57" i="17" s="1"/>
  <c r="K58" i="17"/>
  <c r="L58" i="17" s="1"/>
  <c r="M58" i="17" s="1"/>
  <c r="K59" i="17"/>
  <c r="L59" i="17" s="1"/>
  <c r="M59" i="17" s="1"/>
  <c r="K60" i="17"/>
  <c r="L60" i="17" s="1"/>
  <c r="M60" i="17" s="1"/>
  <c r="K61" i="17"/>
  <c r="L61" i="17" s="1"/>
  <c r="M61" i="17" s="1"/>
  <c r="K62" i="17"/>
  <c r="L62" i="17" s="1"/>
  <c r="M62" i="17" s="1"/>
  <c r="K63" i="17"/>
  <c r="L63" i="17" s="1"/>
  <c r="M63" i="17" s="1"/>
  <c r="R63" i="17" s="1"/>
  <c r="K64" i="17"/>
  <c r="L64" i="17" s="1"/>
  <c r="M64" i="17" s="1"/>
  <c r="K65" i="17"/>
  <c r="L65" i="17" s="1"/>
  <c r="M65" i="17" s="1"/>
  <c r="P65" i="17" s="1"/>
  <c r="K66" i="17"/>
  <c r="L66" i="17" s="1"/>
  <c r="M66" i="17" s="1"/>
  <c r="K67" i="17"/>
  <c r="L67" i="17" s="1"/>
  <c r="M67" i="17" s="1"/>
  <c r="K68" i="17"/>
  <c r="L68" i="17" s="1"/>
  <c r="M68" i="17" s="1"/>
  <c r="K69" i="17"/>
  <c r="L69" i="17" s="1"/>
  <c r="M69" i="17" s="1"/>
  <c r="K70" i="17"/>
  <c r="L70" i="17" s="1"/>
  <c r="M70" i="17" s="1"/>
  <c r="K71" i="17"/>
  <c r="L71" i="17" s="1"/>
  <c r="M71" i="17" s="1"/>
  <c r="K72" i="17"/>
  <c r="L72" i="17" s="1"/>
  <c r="M72" i="17" s="1"/>
  <c r="K73" i="17"/>
  <c r="L73" i="17" s="1"/>
  <c r="M73" i="17" s="1"/>
  <c r="K74" i="17"/>
  <c r="L74" i="17" s="1"/>
  <c r="M74" i="17" s="1"/>
  <c r="K75" i="17"/>
  <c r="L75" i="17" s="1"/>
  <c r="M75" i="17" s="1"/>
  <c r="K76" i="17"/>
  <c r="L76" i="17" s="1"/>
  <c r="M76" i="17" s="1"/>
  <c r="K77" i="17"/>
  <c r="K78" i="17"/>
  <c r="L78" i="17" s="1"/>
  <c r="M78" i="17" s="1"/>
  <c r="K79" i="17"/>
  <c r="L79" i="17" s="1"/>
  <c r="M79" i="17" s="1"/>
  <c r="K80" i="17"/>
  <c r="L80" i="17" s="1"/>
  <c r="M80" i="17" s="1"/>
  <c r="K81" i="17"/>
  <c r="L81" i="17" s="1"/>
  <c r="M81" i="17" s="1"/>
  <c r="K82" i="17"/>
  <c r="L82" i="17" s="1"/>
  <c r="M82" i="17" s="1"/>
  <c r="K3" i="17"/>
  <c r="L3" i="17" s="1"/>
  <c r="M3" i="17" s="1"/>
  <c r="C4" i="17"/>
  <c r="C3" i="17"/>
  <c r="AE3" i="17"/>
  <c r="AD3" i="17"/>
  <c r="AC3" i="17"/>
  <c r="AB3" i="17"/>
  <c r="AA3" i="17"/>
  <c r="Z3" i="17"/>
  <c r="Y3" i="17"/>
  <c r="X3" i="17"/>
  <c r="W3" i="17"/>
  <c r="AE82" i="17"/>
  <c r="AD82" i="17"/>
  <c r="AC82" i="17"/>
  <c r="AB82" i="17"/>
  <c r="AA82" i="17"/>
  <c r="Z82" i="17"/>
  <c r="Y82" i="17"/>
  <c r="X82" i="17"/>
  <c r="W82" i="17"/>
  <c r="AE81" i="17"/>
  <c r="AD81" i="17"/>
  <c r="AC81" i="17"/>
  <c r="AB81" i="17"/>
  <c r="AA81" i="17"/>
  <c r="Z81" i="17"/>
  <c r="Y81" i="17"/>
  <c r="X81" i="17"/>
  <c r="W81" i="17"/>
  <c r="AE80" i="17"/>
  <c r="AD80" i="17"/>
  <c r="AC80" i="17"/>
  <c r="AB80" i="17"/>
  <c r="AA80" i="17"/>
  <c r="Z80" i="17"/>
  <c r="Y80" i="17"/>
  <c r="X80" i="17"/>
  <c r="W80" i="17"/>
  <c r="AE79" i="17"/>
  <c r="AD79" i="17"/>
  <c r="AC79" i="17"/>
  <c r="AB79" i="17"/>
  <c r="AA79" i="17"/>
  <c r="Z79" i="17"/>
  <c r="Y79" i="17"/>
  <c r="X79" i="17"/>
  <c r="W79" i="17"/>
  <c r="AE78" i="17"/>
  <c r="AD78" i="17"/>
  <c r="AC78" i="17"/>
  <c r="AB78" i="17"/>
  <c r="AA78" i="17"/>
  <c r="Z78" i="17"/>
  <c r="Y78" i="17"/>
  <c r="X78" i="17"/>
  <c r="W78" i="17"/>
  <c r="BA78" i="17" s="1"/>
  <c r="AE77" i="17"/>
  <c r="AD77" i="17"/>
  <c r="AC77" i="17"/>
  <c r="AB77" i="17"/>
  <c r="AA77" i="17"/>
  <c r="Z77" i="17"/>
  <c r="Y77" i="17"/>
  <c r="X77" i="17"/>
  <c r="W77" i="17"/>
  <c r="L77" i="17"/>
  <c r="M77" i="17" s="1"/>
  <c r="AE76" i="17"/>
  <c r="AD76" i="17"/>
  <c r="AC76" i="17"/>
  <c r="AB76" i="17"/>
  <c r="AA76" i="17"/>
  <c r="Z76" i="17"/>
  <c r="Y76" i="17"/>
  <c r="X76" i="17"/>
  <c r="W76" i="17"/>
  <c r="AE75" i="17"/>
  <c r="AD75" i="17"/>
  <c r="AC75" i="17"/>
  <c r="AB75" i="17"/>
  <c r="AA75" i="17"/>
  <c r="Z75" i="17"/>
  <c r="Y75" i="17"/>
  <c r="X75" i="17"/>
  <c r="W75" i="17"/>
  <c r="AE74" i="17"/>
  <c r="AD74" i="17"/>
  <c r="AC74" i="17"/>
  <c r="AB74" i="17"/>
  <c r="AA74" i="17"/>
  <c r="Z74" i="17"/>
  <c r="Y74" i="17"/>
  <c r="X74" i="17"/>
  <c r="W74" i="17"/>
  <c r="AE73" i="17"/>
  <c r="AD73" i="17"/>
  <c r="AC73" i="17"/>
  <c r="AB73" i="17"/>
  <c r="AA73" i="17"/>
  <c r="Z73" i="17"/>
  <c r="Y73" i="17"/>
  <c r="X73" i="17"/>
  <c r="W73" i="17"/>
  <c r="AE72" i="17"/>
  <c r="AD72" i="17"/>
  <c r="AC72" i="17"/>
  <c r="AB72" i="17"/>
  <c r="AA72" i="17"/>
  <c r="Z72" i="17"/>
  <c r="Y72" i="17"/>
  <c r="X72" i="17"/>
  <c r="W72" i="17"/>
  <c r="AE71" i="17"/>
  <c r="AD71" i="17"/>
  <c r="AC71" i="17"/>
  <c r="AB71" i="17"/>
  <c r="AA71" i="17"/>
  <c r="Z71" i="17"/>
  <c r="Y71" i="17"/>
  <c r="X71" i="17"/>
  <c r="W71" i="17"/>
  <c r="BA71" i="17" s="1"/>
  <c r="AE70" i="17"/>
  <c r="AD70" i="17"/>
  <c r="AC70" i="17"/>
  <c r="AB70" i="17"/>
  <c r="AA70" i="17"/>
  <c r="Z70" i="17"/>
  <c r="Y70" i="17"/>
  <c r="X70" i="17"/>
  <c r="W70" i="17"/>
  <c r="AE69" i="17"/>
  <c r="AD69" i="17"/>
  <c r="AC69" i="17"/>
  <c r="AB69" i="17"/>
  <c r="AA69" i="17"/>
  <c r="Z69" i="17"/>
  <c r="Y69" i="17"/>
  <c r="X69" i="17"/>
  <c r="W69" i="17"/>
  <c r="AE68" i="17"/>
  <c r="AD68" i="17"/>
  <c r="AC68" i="17"/>
  <c r="AB68" i="17"/>
  <c r="AA68" i="17"/>
  <c r="Z68" i="17"/>
  <c r="Y68" i="17"/>
  <c r="X68" i="17"/>
  <c r="W68" i="17"/>
  <c r="AE67" i="17"/>
  <c r="AD67" i="17"/>
  <c r="AC67" i="17"/>
  <c r="AB67" i="17"/>
  <c r="AA67" i="17"/>
  <c r="Z67" i="17"/>
  <c r="Y67" i="17"/>
  <c r="X67" i="17"/>
  <c r="W67" i="17"/>
  <c r="AE65" i="17"/>
  <c r="AD65" i="17"/>
  <c r="AC65" i="17"/>
  <c r="AB65" i="17"/>
  <c r="AA65" i="17"/>
  <c r="Z65" i="17"/>
  <c r="Y65" i="17"/>
  <c r="X65" i="17"/>
  <c r="W65" i="17"/>
  <c r="AE64" i="17"/>
  <c r="AD64" i="17"/>
  <c r="AC64" i="17"/>
  <c r="AB64" i="17"/>
  <c r="AA64" i="17"/>
  <c r="Z64" i="17"/>
  <c r="Y64" i="17"/>
  <c r="X64" i="17"/>
  <c r="W64" i="17"/>
  <c r="AE63" i="17"/>
  <c r="AD63" i="17"/>
  <c r="AC63" i="17"/>
  <c r="AB63" i="17"/>
  <c r="AA63" i="17"/>
  <c r="Z63" i="17"/>
  <c r="Y63" i="17"/>
  <c r="X63" i="17"/>
  <c r="W63" i="17"/>
  <c r="AE62" i="17"/>
  <c r="AD62" i="17"/>
  <c r="AC62" i="17"/>
  <c r="AB62" i="17"/>
  <c r="AA62" i="17"/>
  <c r="Z62" i="17"/>
  <c r="Y62" i="17"/>
  <c r="X62" i="17"/>
  <c r="W62" i="17"/>
  <c r="AE61" i="17"/>
  <c r="AD61" i="17"/>
  <c r="AC61" i="17"/>
  <c r="AB61" i="17"/>
  <c r="AA61" i="17"/>
  <c r="Z61" i="17"/>
  <c r="Y61" i="17"/>
  <c r="X61" i="17"/>
  <c r="W61" i="17"/>
  <c r="AE60" i="17"/>
  <c r="AD60" i="17"/>
  <c r="AC60" i="17"/>
  <c r="AB60" i="17"/>
  <c r="AA60" i="17"/>
  <c r="Z60" i="17"/>
  <c r="Y60" i="17"/>
  <c r="X60" i="17"/>
  <c r="W60" i="17"/>
  <c r="AE66" i="17"/>
  <c r="AD66" i="17"/>
  <c r="AC66" i="17"/>
  <c r="AB66" i="17"/>
  <c r="AA66" i="17"/>
  <c r="Z66" i="17"/>
  <c r="Y66" i="17"/>
  <c r="X66" i="17"/>
  <c r="W66" i="17"/>
  <c r="AE59" i="17"/>
  <c r="AD59" i="17"/>
  <c r="AC59" i="17"/>
  <c r="AB59" i="17"/>
  <c r="AA59" i="17"/>
  <c r="Z59" i="17"/>
  <c r="Y59" i="17"/>
  <c r="X59" i="17"/>
  <c r="W59" i="17"/>
  <c r="AE58" i="17"/>
  <c r="AD58" i="17"/>
  <c r="AC58" i="17"/>
  <c r="AB58" i="17"/>
  <c r="AA58" i="17"/>
  <c r="Z58" i="17"/>
  <c r="Y58" i="17"/>
  <c r="X58" i="17"/>
  <c r="W58" i="17"/>
  <c r="AE57" i="17"/>
  <c r="AD57" i="17"/>
  <c r="AC57" i="17"/>
  <c r="AB57" i="17"/>
  <c r="AA57" i="17"/>
  <c r="Z57" i="17"/>
  <c r="Y57" i="17"/>
  <c r="X57" i="17"/>
  <c r="W57" i="17"/>
  <c r="AE56" i="17"/>
  <c r="AD56" i="17"/>
  <c r="AC56" i="17"/>
  <c r="AB56" i="17"/>
  <c r="AA56" i="17"/>
  <c r="Z56" i="17"/>
  <c r="Y56" i="17"/>
  <c r="X56" i="17"/>
  <c r="W56" i="17"/>
  <c r="AE55" i="17"/>
  <c r="AD55" i="17"/>
  <c r="AC55" i="17"/>
  <c r="AB55" i="17"/>
  <c r="AA55" i="17"/>
  <c r="Z55" i="17"/>
  <c r="Y55" i="17"/>
  <c r="X55" i="17"/>
  <c r="W55" i="17"/>
  <c r="AE54" i="17"/>
  <c r="AD54" i="17"/>
  <c r="AC54" i="17"/>
  <c r="AB54" i="17"/>
  <c r="AA54" i="17"/>
  <c r="Z54" i="17"/>
  <c r="Y54" i="17"/>
  <c r="X54" i="17"/>
  <c r="W54" i="17"/>
  <c r="AE53" i="17"/>
  <c r="AD53" i="17"/>
  <c r="AC53" i="17"/>
  <c r="AB53" i="17"/>
  <c r="AA53" i="17"/>
  <c r="Z53" i="17"/>
  <c r="Y53" i="17"/>
  <c r="X53" i="17"/>
  <c r="W53" i="17"/>
  <c r="AE52" i="17"/>
  <c r="AD52" i="17"/>
  <c r="AC52" i="17"/>
  <c r="AB52" i="17"/>
  <c r="AA52" i="17"/>
  <c r="Z52" i="17"/>
  <c r="Y52" i="17"/>
  <c r="X52" i="17"/>
  <c r="W52" i="17"/>
  <c r="AE50" i="17"/>
  <c r="AD50" i="17"/>
  <c r="AC50" i="17"/>
  <c r="AB50" i="17"/>
  <c r="AA50" i="17"/>
  <c r="Z50" i="17"/>
  <c r="Y50" i="17"/>
  <c r="X50" i="17"/>
  <c r="W50" i="17"/>
  <c r="AE49" i="17"/>
  <c r="AD49" i="17"/>
  <c r="AC49" i="17"/>
  <c r="AB49" i="17"/>
  <c r="AA49" i="17"/>
  <c r="Z49" i="17"/>
  <c r="Y49" i="17"/>
  <c r="X49" i="17"/>
  <c r="W49" i="17"/>
  <c r="AE48" i="17"/>
  <c r="AD48" i="17"/>
  <c r="AC48" i="17"/>
  <c r="AB48" i="17"/>
  <c r="AA48" i="17"/>
  <c r="Z48" i="17"/>
  <c r="Y48" i="17"/>
  <c r="X48" i="17"/>
  <c r="W48" i="17"/>
  <c r="AE47" i="17"/>
  <c r="AD47" i="17"/>
  <c r="AC47" i="17"/>
  <c r="AB47" i="17"/>
  <c r="AA47" i="17"/>
  <c r="Z47" i="17"/>
  <c r="Y47" i="17"/>
  <c r="X47" i="17"/>
  <c r="W47" i="17"/>
  <c r="AE46" i="17"/>
  <c r="AD46" i="17"/>
  <c r="AC46" i="17"/>
  <c r="AB46" i="17"/>
  <c r="AA46" i="17"/>
  <c r="Z46" i="17"/>
  <c r="Y46" i="17"/>
  <c r="X46" i="17"/>
  <c r="W46" i="17"/>
  <c r="AE45" i="17"/>
  <c r="AD45" i="17"/>
  <c r="AC45" i="17"/>
  <c r="AB45" i="17"/>
  <c r="AA45" i="17"/>
  <c r="Z45" i="17"/>
  <c r="Y45" i="17"/>
  <c r="X45" i="17"/>
  <c r="W45" i="17"/>
  <c r="AE44" i="17"/>
  <c r="AD44" i="17"/>
  <c r="AC44" i="17"/>
  <c r="AB44" i="17"/>
  <c r="AA44" i="17"/>
  <c r="Z44" i="17"/>
  <c r="Y44" i="17"/>
  <c r="X44" i="17"/>
  <c r="W44" i="17"/>
  <c r="AE43" i="17"/>
  <c r="AD43" i="17"/>
  <c r="AC43" i="17"/>
  <c r="AB43" i="17"/>
  <c r="AA43" i="17"/>
  <c r="Z43" i="17"/>
  <c r="Y43" i="17"/>
  <c r="X43" i="17"/>
  <c r="W43" i="17"/>
  <c r="AE42" i="17"/>
  <c r="AD42" i="17"/>
  <c r="AC42" i="17"/>
  <c r="AB42" i="17"/>
  <c r="AA42" i="17"/>
  <c r="Z42" i="17"/>
  <c r="Y42" i="17"/>
  <c r="X42" i="17"/>
  <c r="W42" i="17"/>
  <c r="AE41" i="17"/>
  <c r="AD41" i="17"/>
  <c r="AC41" i="17"/>
  <c r="AB41" i="17"/>
  <c r="AA41" i="17"/>
  <c r="Z41" i="17"/>
  <c r="Y41" i="17"/>
  <c r="X41" i="17"/>
  <c r="W41" i="17"/>
  <c r="AE40" i="17"/>
  <c r="AD40" i="17"/>
  <c r="AC40" i="17"/>
  <c r="AB40" i="17"/>
  <c r="AA40" i="17"/>
  <c r="Z40" i="17"/>
  <c r="Y40" i="17"/>
  <c r="X40" i="17"/>
  <c r="W40" i="17"/>
  <c r="AE39" i="17"/>
  <c r="AD39" i="17"/>
  <c r="AC39" i="17"/>
  <c r="AB39" i="17"/>
  <c r="AA39" i="17"/>
  <c r="Z39" i="17"/>
  <c r="Y39" i="17"/>
  <c r="X39" i="17"/>
  <c r="W39" i="17"/>
  <c r="AE38" i="17"/>
  <c r="AD38" i="17"/>
  <c r="AC38" i="17"/>
  <c r="AB38" i="17"/>
  <c r="AA38" i="17"/>
  <c r="Z38" i="17"/>
  <c r="Y38" i="17"/>
  <c r="X38" i="17"/>
  <c r="W38" i="17"/>
  <c r="L38" i="17"/>
  <c r="M38" i="17" s="1"/>
  <c r="AE37" i="17"/>
  <c r="AD37" i="17"/>
  <c r="AC37" i="17"/>
  <c r="AB37" i="17"/>
  <c r="AA37" i="17"/>
  <c r="Z37" i="17"/>
  <c r="Y37" i="17"/>
  <c r="X37" i="17"/>
  <c r="W37" i="17"/>
  <c r="AE36" i="17"/>
  <c r="AD36" i="17"/>
  <c r="AC36" i="17"/>
  <c r="AB36" i="17"/>
  <c r="AA36" i="17"/>
  <c r="Z36" i="17"/>
  <c r="Y36" i="17"/>
  <c r="X36" i="17"/>
  <c r="W36" i="17"/>
  <c r="AE35" i="17"/>
  <c r="AD35" i="17"/>
  <c r="AC35" i="17"/>
  <c r="AB35" i="17"/>
  <c r="AA35" i="17"/>
  <c r="Z35" i="17"/>
  <c r="Y35" i="17"/>
  <c r="X35" i="17"/>
  <c r="W35" i="17"/>
  <c r="AE34" i="17"/>
  <c r="AD34" i="17"/>
  <c r="AC34" i="17"/>
  <c r="AB34" i="17"/>
  <c r="AA34" i="17"/>
  <c r="Z34" i="17"/>
  <c r="Y34" i="17"/>
  <c r="X34" i="17"/>
  <c r="W34" i="17"/>
  <c r="AE33" i="17"/>
  <c r="AD33" i="17"/>
  <c r="AC33" i="17"/>
  <c r="AB33" i="17"/>
  <c r="AA33" i="17"/>
  <c r="Z33" i="17"/>
  <c r="Y33" i="17"/>
  <c r="X33" i="17"/>
  <c r="W33" i="17"/>
  <c r="AE32" i="17"/>
  <c r="AD32" i="17"/>
  <c r="AC32" i="17"/>
  <c r="AB32" i="17"/>
  <c r="AA32" i="17"/>
  <c r="Z32" i="17"/>
  <c r="Y32" i="17"/>
  <c r="X32" i="17"/>
  <c r="W32" i="17"/>
  <c r="AE31" i="17"/>
  <c r="AD31" i="17"/>
  <c r="AC31" i="17"/>
  <c r="AB31" i="17"/>
  <c r="AA31" i="17"/>
  <c r="Z31" i="17"/>
  <c r="Y31" i="17"/>
  <c r="X31" i="17"/>
  <c r="W31" i="17"/>
  <c r="AE30" i="17"/>
  <c r="AD30" i="17"/>
  <c r="AC30" i="17"/>
  <c r="AB30" i="17"/>
  <c r="AA30" i="17"/>
  <c r="Z30" i="17"/>
  <c r="Y30" i="17"/>
  <c r="X30" i="17"/>
  <c r="W30" i="17"/>
  <c r="AE29" i="17"/>
  <c r="AD29" i="17"/>
  <c r="AC29" i="17"/>
  <c r="AB29" i="17"/>
  <c r="AA29" i="17"/>
  <c r="Z29" i="17"/>
  <c r="Y29" i="17"/>
  <c r="X29" i="17"/>
  <c r="W29" i="17"/>
  <c r="AE28" i="17"/>
  <c r="AD28" i="17"/>
  <c r="AC28" i="17"/>
  <c r="AB28" i="17"/>
  <c r="AA28" i="17"/>
  <c r="Z28" i="17"/>
  <c r="Y28" i="17"/>
  <c r="X28" i="17"/>
  <c r="W28" i="17"/>
  <c r="AE27" i="17"/>
  <c r="AD27" i="17"/>
  <c r="AC27" i="17"/>
  <c r="AB27" i="17"/>
  <c r="AA27" i="17"/>
  <c r="Z27" i="17"/>
  <c r="Y27" i="17"/>
  <c r="X27" i="17"/>
  <c r="W27" i="17"/>
  <c r="AE26" i="17"/>
  <c r="AD26" i="17"/>
  <c r="AC26" i="17"/>
  <c r="AB26" i="17"/>
  <c r="AA26" i="17"/>
  <c r="Z26" i="17"/>
  <c r="Y26" i="17"/>
  <c r="X26" i="17"/>
  <c r="W26" i="17"/>
  <c r="AE25" i="17"/>
  <c r="AD25" i="17"/>
  <c r="AC25" i="17"/>
  <c r="AB25" i="17"/>
  <c r="AA25" i="17"/>
  <c r="Z25" i="17"/>
  <c r="Y25" i="17"/>
  <c r="X25" i="17"/>
  <c r="W25" i="17"/>
  <c r="AE24" i="17"/>
  <c r="AD24" i="17"/>
  <c r="AC24" i="17"/>
  <c r="AB24" i="17"/>
  <c r="AA24" i="17"/>
  <c r="Z24" i="17"/>
  <c r="Y24" i="17"/>
  <c r="X24" i="17"/>
  <c r="W24" i="17"/>
  <c r="AE23" i="17"/>
  <c r="AD23" i="17"/>
  <c r="AC23" i="17"/>
  <c r="AB23" i="17"/>
  <c r="AA23" i="17"/>
  <c r="Z23" i="17"/>
  <c r="Y23" i="17"/>
  <c r="X23" i="17"/>
  <c r="W23" i="17"/>
  <c r="L23" i="17"/>
  <c r="M23" i="17" s="1"/>
  <c r="AE22" i="17"/>
  <c r="AD22" i="17"/>
  <c r="AC22" i="17"/>
  <c r="AB22" i="17"/>
  <c r="AA22" i="17"/>
  <c r="Z22" i="17"/>
  <c r="Y22" i="17"/>
  <c r="X22" i="17"/>
  <c r="W22" i="17"/>
  <c r="AE21" i="17"/>
  <c r="AD21" i="17"/>
  <c r="AC21" i="17"/>
  <c r="AB21" i="17"/>
  <c r="AA21" i="17"/>
  <c r="Z21" i="17"/>
  <c r="Y21" i="17"/>
  <c r="X21" i="17"/>
  <c r="W21" i="17"/>
  <c r="AE20" i="17"/>
  <c r="AD20" i="17"/>
  <c r="AC20" i="17"/>
  <c r="AB20" i="17"/>
  <c r="AA20" i="17"/>
  <c r="Z20" i="17"/>
  <c r="Y20" i="17"/>
  <c r="X20" i="17"/>
  <c r="W20" i="17"/>
  <c r="L20" i="17"/>
  <c r="M20" i="17" s="1"/>
  <c r="AE19" i="17"/>
  <c r="AD19" i="17"/>
  <c r="AC19" i="17"/>
  <c r="AB19" i="17"/>
  <c r="AA19" i="17"/>
  <c r="Z19" i="17"/>
  <c r="Y19" i="17"/>
  <c r="X19" i="17"/>
  <c r="W19" i="17"/>
  <c r="AE18" i="17"/>
  <c r="AD18" i="17"/>
  <c r="AC18" i="17"/>
  <c r="AB18" i="17"/>
  <c r="AA18" i="17"/>
  <c r="Z18" i="17"/>
  <c r="Y18" i="17"/>
  <c r="X18" i="17"/>
  <c r="W18" i="17"/>
  <c r="AE17" i="17"/>
  <c r="AD17" i="17"/>
  <c r="AC17" i="17"/>
  <c r="AB17" i="17"/>
  <c r="AA17" i="17"/>
  <c r="Z17" i="17"/>
  <c r="Y17" i="17"/>
  <c r="X17" i="17"/>
  <c r="W17" i="17"/>
  <c r="AE16" i="17"/>
  <c r="AD16" i="17"/>
  <c r="AC16" i="17"/>
  <c r="AB16" i="17"/>
  <c r="AA16" i="17"/>
  <c r="Z16" i="17"/>
  <c r="Y16" i="17"/>
  <c r="X16" i="17"/>
  <c r="W16" i="17"/>
  <c r="AE15" i="17"/>
  <c r="AD15" i="17"/>
  <c r="AC15" i="17"/>
  <c r="AB15" i="17"/>
  <c r="AA15" i="17"/>
  <c r="Z15" i="17"/>
  <c r="Y15" i="17"/>
  <c r="X15" i="17"/>
  <c r="W15" i="17"/>
  <c r="AE14" i="17"/>
  <c r="AD14" i="17"/>
  <c r="AC14" i="17"/>
  <c r="AB14" i="17"/>
  <c r="AA14" i="17"/>
  <c r="Z14" i="17"/>
  <c r="Y14" i="17"/>
  <c r="X14" i="17"/>
  <c r="W14" i="17"/>
  <c r="AE13" i="17"/>
  <c r="AD13" i="17"/>
  <c r="AC13" i="17"/>
  <c r="AB13" i="17"/>
  <c r="AA13" i="17"/>
  <c r="Z13" i="17"/>
  <c r="Y13" i="17"/>
  <c r="X13" i="17"/>
  <c r="W13" i="17"/>
  <c r="L13" i="17"/>
  <c r="M13" i="17" s="1"/>
  <c r="AE12" i="17"/>
  <c r="AD12" i="17"/>
  <c r="AC12" i="17"/>
  <c r="AB12" i="17"/>
  <c r="AA12" i="17"/>
  <c r="Z12" i="17"/>
  <c r="Y12" i="17"/>
  <c r="X12" i="17"/>
  <c r="W12" i="17"/>
  <c r="L12" i="17"/>
  <c r="M12" i="17" s="1"/>
  <c r="AE11" i="17"/>
  <c r="AD11" i="17"/>
  <c r="AC11" i="17"/>
  <c r="AB11" i="17"/>
  <c r="AA11" i="17"/>
  <c r="Z11" i="17"/>
  <c r="Y11" i="17"/>
  <c r="X11" i="17"/>
  <c r="W11" i="17"/>
  <c r="AE10" i="17"/>
  <c r="AD10" i="17"/>
  <c r="AC10" i="17"/>
  <c r="AB10" i="17"/>
  <c r="AA10" i="17"/>
  <c r="Z10" i="17"/>
  <c r="Y10" i="17"/>
  <c r="X10" i="17"/>
  <c r="W10" i="17"/>
  <c r="AE9" i="17"/>
  <c r="AD9" i="17"/>
  <c r="AC9" i="17"/>
  <c r="AB9" i="17"/>
  <c r="AA9" i="17"/>
  <c r="Z9" i="17"/>
  <c r="Y9" i="17"/>
  <c r="X9" i="17"/>
  <c r="W9" i="17"/>
  <c r="AE8" i="17"/>
  <c r="AD8" i="17"/>
  <c r="AC8" i="17"/>
  <c r="AB8" i="17"/>
  <c r="AA8" i="17"/>
  <c r="Z8" i="17"/>
  <c r="Y8" i="17"/>
  <c r="X8" i="17"/>
  <c r="W8" i="17"/>
  <c r="AE7" i="17"/>
  <c r="AD7" i="17"/>
  <c r="AC7" i="17"/>
  <c r="AB7" i="17"/>
  <c r="AA7" i="17"/>
  <c r="Z7" i="17"/>
  <c r="Y7" i="17"/>
  <c r="X7" i="17"/>
  <c r="W7" i="17"/>
  <c r="L7" i="17"/>
  <c r="M7" i="17" s="1"/>
  <c r="AE6" i="17"/>
  <c r="AD6" i="17"/>
  <c r="AC6" i="17"/>
  <c r="AB6" i="17"/>
  <c r="AA6" i="17"/>
  <c r="Z6" i="17"/>
  <c r="Y6" i="17"/>
  <c r="X6" i="17"/>
  <c r="W6" i="17"/>
  <c r="AE5" i="17"/>
  <c r="AD5" i="17"/>
  <c r="AC5" i="17"/>
  <c r="AB5" i="17"/>
  <c r="AA5" i="17"/>
  <c r="Z5" i="17"/>
  <c r="Y5" i="17"/>
  <c r="X5" i="17"/>
  <c r="W5" i="17"/>
  <c r="B4" i="17"/>
  <c r="B3" i="17"/>
  <c r="BA56" i="17" l="1"/>
  <c r="BA41" i="17"/>
  <c r="BA26" i="17"/>
  <c r="BA34" i="17"/>
  <c r="BA48" i="17"/>
  <c r="BA66" i="17"/>
  <c r="BA11" i="17"/>
  <c r="BA6" i="17"/>
  <c r="BA12" i="17"/>
  <c r="BA19" i="17"/>
  <c r="BA25" i="17"/>
  <c r="BA33" i="17"/>
  <c r="BA40" i="17"/>
  <c r="BA47" i="17"/>
  <c r="BA55" i="17"/>
  <c r="BA62" i="17"/>
  <c r="BA77" i="17"/>
  <c r="BA63" i="17"/>
  <c r="BA7" i="17"/>
  <c r="BA13" i="17"/>
  <c r="BA27" i="17"/>
  <c r="BA35" i="17"/>
  <c r="BA42" i="17"/>
  <c r="BA49" i="17"/>
  <c r="BA57" i="17"/>
  <c r="BA64" i="17"/>
  <c r="BA72" i="17"/>
  <c r="BA79" i="17"/>
  <c r="BA20" i="17"/>
  <c r="BA8" i="17"/>
  <c r="BA14" i="17"/>
  <c r="BA21" i="17"/>
  <c r="BA28" i="17"/>
  <c r="BA36" i="17"/>
  <c r="BA43" i="17"/>
  <c r="BA50" i="17"/>
  <c r="BA58" i="17"/>
  <c r="BA65" i="17"/>
  <c r="BA73" i="17"/>
  <c r="BA80" i="17"/>
  <c r="BA9" i="17"/>
  <c r="BA15" i="17"/>
  <c r="BA22" i="17"/>
  <c r="BA29" i="17"/>
  <c r="BA37" i="17"/>
  <c r="BA44" i="17"/>
  <c r="BA52" i="17"/>
  <c r="BA59" i="17"/>
  <c r="BA67" i="17"/>
  <c r="BA74" i="17"/>
  <c r="BA81" i="17"/>
  <c r="BA53" i="17"/>
  <c r="BA68" i="17"/>
  <c r="BA75" i="17"/>
  <c r="BA82" i="17"/>
  <c r="BA10" i="17"/>
  <c r="BA30" i="17"/>
  <c r="BA23" i="17"/>
  <c r="BA38" i="17"/>
  <c r="BA54" i="17"/>
  <c r="BA60" i="17"/>
  <c r="BA69" i="17"/>
  <c r="BA76" i="17"/>
  <c r="BA3" i="17"/>
  <c r="BA16" i="17"/>
  <c r="BA45" i="17"/>
  <c r="BA17" i="17"/>
  <c r="BA31" i="17"/>
  <c r="BA5" i="17"/>
  <c r="BA18" i="17"/>
  <c r="BA24" i="17"/>
  <c r="BA32" i="17"/>
  <c r="BA39" i="17"/>
  <c r="BA46" i="17"/>
  <c r="BA61" i="17"/>
  <c r="BA70" i="17"/>
  <c r="AG3" i="17"/>
  <c r="P3" i="17"/>
  <c r="O3" i="17"/>
  <c r="N3" i="17"/>
  <c r="R3" i="17"/>
  <c r="AG72" i="17"/>
  <c r="AG79" i="17"/>
  <c r="AG64" i="17"/>
  <c r="AG68" i="17"/>
  <c r="AG76" i="17"/>
  <c r="AG80" i="17"/>
  <c r="AG66" i="17"/>
  <c r="AG56" i="17"/>
  <c r="AG53" i="17"/>
  <c r="AG13" i="17"/>
  <c r="AG17" i="17"/>
  <c r="AG21" i="17"/>
  <c r="AG57" i="17"/>
  <c r="AG6" i="17"/>
  <c r="AG24" i="17"/>
  <c r="AG28" i="17"/>
  <c r="AG32" i="17"/>
  <c r="AG36" i="17"/>
  <c r="AG40" i="17"/>
  <c r="AG44" i="17"/>
  <c r="AG48" i="17"/>
  <c r="AG10" i="17"/>
  <c r="AG14" i="17"/>
  <c r="AG18" i="17"/>
  <c r="AG60" i="17"/>
  <c r="AG69" i="17"/>
  <c r="AG7" i="17"/>
  <c r="AG11" i="17"/>
  <c r="AG19" i="17"/>
  <c r="AG22" i="17"/>
  <c r="AG25" i="17"/>
  <c r="AG29" i="17"/>
  <c r="AG33" i="17"/>
  <c r="AG37" i="17"/>
  <c r="AG41" i="17"/>
  <c r="AG45" i="17"/>
  <c r="AG49" i="17"/>
  <c r="AG62" i="17"/>
  <c r="AG70" i="17"/>
  <c r="AG73" i="17"/>
  <c r="AG15" i="17"/>
  <c r="AG16" i="17"/>
  <c r="AG26" i="17"/>
  <c r="AG30" i="17"/>
  <c r="AG34" i="17"/>
  <c r="AG46" i="17"/>
  <c r="AG50" i="17"/>
  <c r="AG54" i="17"/>
  <c r="AG65" i="17"/>
  <c r="AG74" i="17"/>
  <c r="AG77" i="17"/>
  <c r="AG8" i="17"/>
  <c r="AG23" i="17"/>
  <c r="AG38" i="17"/>
  <c r="AG42" i="17"/>
  <c r="AG58" i="17"/>
  <c r="AG78" i="17"/>
  <c r="AG81" i="17"/>
  <c r="AG12" i="17"/>
  <c r="AG20" i="17"/>
  <c r="AG55" i="17"/>
  <c r="AG59" i="17"/>
  <c r="AG67" i="17"/>
  <c r="AG71" i="17"/>
  <c r="AG82" i="17"/>
  <c r="AG5" i="17"/>
  <c r="AG9" i="17"/>
  <c r="AG27" i="17"/>
  <c r="AG31" i="17"/>
  <c r="AG35" i="17"/>
  <c r="AG39" i="17"/>
  <c r="AG43" i="17"/>
  <c r="AG47" i="17"/>
  <c r="AG52" i="17"/>
  <c r="AG61" i="17"/>
  <c r="AG63" i="17"/>
  <c r="AG75" i="17"/>
  <c r="P46" i="17"/>
  <c r="R46" i="17"/>
  <c r="R78" i="17"/>
  <c r="P78" i="17"/>
  <c r="P30" i="17"/>
  <c r="R30" i="17"/>
  <c r="P82" i="17"/>
  <c r="R82" i="17"/>
  <c r="R50" i="17"/>
  <c r="N63" i="17"/>
  <c r="N65" i="17"/>
  <c r="O63" i="17"/>
  <c r="O65" i="17"/>
  <c r="S65" i="17" s="1"/>
  <c r="R65" i="17"/>
  <c r="R75" i="17"/>
  <c r="P75" i="17"/>
  <c r="O75" i="17"/>
  <c r="N75" i="17"/>
  <c r="O81" i="17"/>
  <c r="P81" i="17"/>
  <c r="N81" i="17"/>
  <c r="R81" i="17"/>
  <c r="R76" i="17"/>
  <c r="N76" i="17"/>
  <c r="P76" i="17"/>
  <c r="O76" i="17"/>
  <c r="R79" i="17"/>
  <c r="P79" i="17"/>
  <c r="O79" i="17"/>
  <c r="N79" i="17"/>
  <c r="O77" i="17"/>
  <c r="P77" i="17"/>
  <c r="N77" i="17"/>
  <c r="R77" i="17"/>
  <c r="N80" i="17"/>
  <c r="R80" i="17"/>
  <c r="P80" i="17"/>
  <c r="O80" i="17"/>
  <c r="N78" i="17"/>
  <c r="N82" i="17"/>
  <c r="O78" i="17"/>
  <c r="O82" i="17"/>
  <c r="N68" i="17"/>
  <c r="R68" i="17"/>
  <c r="P68" i="17"/>
  <c r="O68" i="17"/>
  <c r="N72" i="17"/>
  <c r="R72" i="17"/>
  <c r="P72" i="17"/>
  <c r="O72" i="17"/>
  <c r="O69" i="17"/>
  <c r="N69" i="17"/>
  <c r="P69" i="17"/>
  <c r="R69" i="17"/>
  <c r="O73" i="17"/>
  <c r="P73" i="17"/>
  <c r="N73" i="17"/>
  <c r="R73" i="17"/>
  <c r="P70" i="17"/>
  <c r="O70" i="17"/>
  <c r="N70" i="17"/>
  <c r="R70" i="17"/>
  <c r="P74" i="17"/>
  <c r="O74" i="17"/>
  <c r="N74" i="17"/>
  <c r="R74" i="17"/>
  <c r="R67" i="17"/>
  <c r="P67" i="17"/>
  <c r="O67" i="17"/>
  <c r="N67" i="17"/>
  <c r="R71" i="17"/>
  <c r="P71" i="17"/>
  <c r="O71" i="17"/>
  <c r="N71" i="17"/>
  <c r="O61" i="17"/>
  <c r="N61" i="17"/>
  <c r="P61" i="17"/>
  <c r="R61" i="17"/>
  <c r="R62" i="17"/>
  <c r="P62" i="17"/>
  <c r="O62" i="17"/>
  <c r="N62" i="17"/>
  <c r="O64" i="17"/>
  <c r="P64" i="17"/>
  <c r="N64" i="17"/>
  <c r="R64" i="17"/>
  <c r="R60" i="17"/>
  <c r="P60" i="17"/>
  <c r="O60" i="17"/>
  <c r="N60" i="17"/>
  <c r="P63" i="17"/>
  <c r="P66" i="17"/>
  <c r="O66" i="17"/>
  <c r="N66" i="17"/>
  <c r="R66" i="17"/>
  <c r="R57" i="17"/>
  <c r="N57" i="17"/>
  <c r="P57" i="17"/>
  <c r="O57" i="17"/>
  <c r="R53" i="17"/>
  <c r="N53" i="17"/>
  <c r="P53" i="17"/>
  <c r="O53" i="17"/>
  <c r="O54" i="17"/>
  <c r="N54" i="17"/>
  <c r="P54" i="17"/>
  <c r="R54" i="17"/>
  <c r="O58" i="17"/>
  <c r="N58" i="17"/>
  <c r="P58" i="17"/>
  <c r="R58" i="17"/>
  <c r="P55" i="17"/>
  <c r="O55" i="17"/>
  <c r="N55" i="17"/>
  <c r="R55" i="17"/>
  <c r="R52" i="17"/>
  <c r="P52" i="17"/>
  <c r="O52" i="17"/>
  <c r="N52" i="17"/>
  <c r="P59" i="17"/>
  <c r="O59" i="17"/>
  <c r="N59" i="17"/>
  <c r="R59" i="17"/>
  <c r="R56" i="17"/>
  <c r="P56" i="17"/>
  <c r="O56" i="17"/>
  <c r="N56" i="17"/>
  <c r="O45" i="17"/>
  <c r="N45" i="17"/>
  <c r="P45" i="17"/>
  <c r="R45" i="17"/>
  <c r="N48" i="17"/>
  <c r="R48" i="17"/>
  <c r="P48" i="17"/>
  <c r="O48" i="17"/>
  <c r="O49" i="17"/>
  <c r="P49" i="17"/>
  <c r="N49" i="17"/>
  <c r="R49" i="17"/>
  <c r="R43" i="17"/>
  <c r="P43" i="17"/>
  <c r="O43" i="17"/>
  <c r="N43" i="17"/>
  <c r="R44" i="17"/>
  <c r="P44" i="17"/>
  <c r="O44" i="17"/>
  <c r="N44" i="17"/>
  <c r="R47" i="17"/>
  <c r="P47" i="17"/>
  <c r="O47" i="17"/>
  <c r="N47" i="17"/>
  <c r="N46" i="17"/>
  <c r="N50" i="17"/>
  <c r="O46" i="17"/>
  <c r="O50" i="17"/>
  <c r="Q50" i="17" s="1"/>
  <c r="R35" i="17"/>
  <c r="P35" i="17"/>
  <c r="O35" i="17"/>
  <c r="N35" i="17"/>
  <c r="R39" i="17"/>
  <c r="P39" i="17"/>
  <c r="O39" i="17"/>
  <c r="N39" i="17"/>
  <c r="R36" i="17"/>
  <c r="P36" i="17"/>
  <c r="O36" i="17"/>
  <c r="N36" i="17"/>
  <c r="R40" i="17"/>
  <c r="P40" i="17"/>
  <c r="O40" i="17"/>
  <c r="N40" i="17"/>
  <c r="O37" i="17"/>
  <c r="N37" i="17"/>
  <c r="R37" i="17"/>
  <c r="P37" i="17"/>
  <c r="O41" i="17"/>
  <c r="N41" i="17"/>
  <c r="R41" i="17"/>
  <c r="P41" i="17"/>
  <c r="P42" i="17"/>
  <c r="O42" i="17"/>
  <c r="N42" i="17"/>
  <c r="R42" i="17"/>
  <c r="P38" i="17"/>
  <c r="O38" i="17"/>
  <c r="N38" i="17"/>
  <c r="R38" i="17"/>
  <c r="N28" i="17"/>
  <c r="R28" i="17"/>
  <c r="P28" i="17"/>
  <c r="O28" i="17"/>
  <c r="R31" i="17"/>
  <c r="P31" i="17"/>
  <c r="O31" i="17"/>
  <c r="N31" i="17"/>
  <c r="O29" i="17"/>
  <c r="N29" i="17"/>
  <c r="P29" i="17"/>
  <c r="R29" i="17"/>
  <c r="R32" i="17"/>
  <c r="P32" i="17"/>
  <c r="O32" i="17"/>
  <c r="N32" i="17"/>
  <c r="O33" i="17"/>
  <c r="N33" i="17"/>
  <c r="P33" i="17"/>
  <c r="R33" i="17"/>
  <c r="R27" i="17"/>
  <c r="P27" i="17"/>
  <c r="O27" i="17"/>
  <c r="N27" i="17"/>
  <c r="R34" i="17"/>
  <c r="P34" i="17"/>
  <c r="O34" i="17"/>
  <c r="N34" i="17"/>
  <c r="N30" i="17"/>
  <c r="O30" i="17"/>
  <c r="N21" i="17"/>
  <c r="R21" i="17"/>
  <c r="P21" i="17"/>
  <c r="O21" i="17"/>
  <c r="R24" i="17"/>
  <c r="P24" i="17"/>
  <c r="O24" i="17"/>
  <c r="N24" i="17"/>
  <c r="O22" i="17"/>
  <c r="N22" i="17"/>
  <c r="P22" i="17"/>
  <c r="R22" i="17"/>
  <c r="O25" i="17"/>
  <c r="N25" i="17"/>
  <c r="P25" i="17"/>
  <c r="R25" i="17"/>
  <c r="P23" i="17"/>
  <c r="O23" i="17"/>
  <c r="N23" i="17"/>
  <c r="R23" i="17"/>
  <c r="P26" i="17"/>
  <c r="O26" i="17"/>
  <c r="N26" i="17"/>
  <c r="R26" i="17"/>
  <c r="R20" i="17"/>
  <c r="P20" i="17"/>
  <c r="O20" i="17"/>
  <c r="N20" i="17"/>
  <c r="R12" i="17"/>
  <c r="P12" i="17"/>
  <c r="N12" i="17"/>
  <c r="O12" i="17"/>
  <c r="R16" i="17"/>
  <c r="P16" i="17"/>
  <c r="O16" i="17"/>
  <c r="N16" i="17"/>
  <c r="R13" i="17"/>
  <c r="P13" i="17"/>
  <c r="O13" i="17"/>
  <c r="N13" i="17"/>
  <c r="R17" i="17"/>
  <c r="P17" i="17"/>
  <c r="O17" i="17"/>
  <c r="N17" i="17"/>
  <c r="O14" i="17"/>
  <c r="N14" i="17"/>
  <c r="R14" i="17"/>
  <c r="P14" i="17"/>
  <c r="O18" i="17"/>
  <c r="N18" i="17"/>
  <c r="R18" i="17"/>
  <c r="P18" i="17"/>
  <c r="P15" i="17"/>
  <c r="O15" i="17"/>
  <c r="N15" i="17"/>
  <c r="R15" i="17"/>
  <c r="P19" i="17"/>
  <c r="O19" i="17"/>
  <c r="N19" i="17"/>
  <c r="R19" i="17"/>
  <c r="O10" i="17"/>
  <c r="P10" i="17"/>
  <c r="N10" i="17"/>
  <c r="R10" i="17"/>
  <c r="P11" i="17"/>
  <c r="O11" i="17"/>
  <c r="N11" i="17"/>
  <c r="R11" i="17"/>
  <c r="P9" i="17"/>
  <c r="O9" i="17"/>
  <c r="N9" i="17"/>
  <c r="R9" i="17"/>
  <c r="R8" i="17"/>
  <c r="N8" i="17"/>
  <c r="O8" i="17"/>
  <c r="Q8" i="17" s="1"/>
  <c r="P7" i="17"/>
  <c r="O7" i="17"/>
  <c r="N7" i="17"/>
  <c r="R7" i="17"/>
  <c r="O6" i="17"/>
  <c r="N6" i="17"/>
  <c r="P6" i="17"/>
  <c r="R6" i="17"/>
  <c r="N5" i="17"/>
  <c r="P5" i="17"/>
  <c r="O5" i="17"/>
  <c r="R5" i="17"/>
  <c r="Q30" i="17" l="1"/>
  <c r="S66" i="17"/>
  <c r="Q80" i="17"/>
  <c r="S76" i="17"/>
  <c r="Q13" i="17"/>
  <c r="Q37" i="17"/>
  <c r="S17" i="17"/>
  <c r="Q16" i="17"/>
  <c r="S3" i="17"/>
  <c r="Q3" i="17"/>
  <c r="S35" i="17"/>
  <c r="Q7" i="17"/>
  <c r="Q82" i="17"/>
  <c r="Q23" i="17"/>
  <c r="S71" i="17"/>
  <c r="S18" i="17"/>
  <c r="S15" i="17"/>
  <c r="S26" i="17"/>
  <c r="Q38" i="17"/>
  <c r="S39" i="17"/>
  <c r="S59" i="17"/>
  <c r="S80" i="17"/>
  <c r="S46" i="17"/>
  <c r="Q22" i="17"/>
  <c r="Q74" i="17"/>
  <c r="Q75" i="17"/>
  <c r="Q25" i="17"/>
  <c r="S6" i="17"/>
  <c r="Q11" i="17"/>
  <c r="S19" i="17"/>
  <c r="Q46" i="17"/>
  <c r="Q63" i="17"/>
  <c r="S73" i="17"/>
  <c r="S77" i="17"/>
  <c r="S22" i="17"/>
  <c r="S41" i="17"/>
  <c r="Q65" i="17"/>
  <c r="S69" i="17"/>
  <c r="S5" i="17"/>
  <c r="S42" i="17"/>
  <c r="Q49" i="17"/>
  <c r="Q45" i="17"/>
  <c r="S54" i="17"/>
  <c r="Q60" i="17"/>
  <c r="Q61" i="17"/>
  <c r="Q70" i="17"/>
  <c r="Q79" i="17"/>
  <c r="S34" i="17"/>
  <c r="S52" i="17"/>
  <c r="S72" i="17"/>
  <c r="S48" i="17"/>
  <c r="Q10" i="17"/>
  <c r="S24" i="17"/>
  <c r="S31" i="17"/>
  <c r="Q14" i="17"/>
  <c r="S12" i="17"/>
  <c r="Q21" i="17"/>
  <c r="Q28" i="17"/>
  <c r="S47" i="17"/>
  <c r="S58" i="17"/>
  <c r="S53" i="17"/>
  <c r="Q67" i="17"/>
  <c r="Q68" i="17"/>
  <c r="S81" i="17"/>
  <c r="S21" i="17"/>
  <c r="Q33" i="17"/>
  <c r="Q29" i="17"/>
  <c r="S28" i="17"/>
  <c r="Q44" i="17"/>
  <c r="Q57" i="17"/>
  <c r="S62" i="17"/>
  <c r="Q71" i="17"/>
  <c r="S68" i="17"/>
  <c r="S82" i="17"/>
  <c r="Q41" i="17"/>
  <c r="Q18" i="17"/>
  <c r="Q36" i="17"/>
  <c r="Q35" i="17"/>
  <c r="S50" i="17"/>
  <c r="V50" i="17" s="1"/>
  <c r="S9" i="17"/>
  <c r="S27" i="17"/>
  <c r="S55" i="17"/>
  <c r="Q78" i="17"/>
  <c r="S78" i="17"/>
  <c r="S79" i="17"/>
  <c r="Q77" i="17"/>
  <c r="Q76" i="17"/>
  <c r="Q81" i="17"/>
  <c r="V81" i="17" s="1"/>
  <c r="S75" i="17"/>
  <c r="S70" i="17"/>
  <c r="Q69" i="17"/>
  <c r="S67" i="17"/>
  <c r="S74" i="17"/>
  <c r="Q73" i="17"/>
  <c r="Q72" i="17"/>
  <c r="S63" i="17"/>
  <c r="Q64" i="17"/>
  <c r="S60" i="17"/>
  <c r="Q62" i="17"/>
  <c r="S61" i="17"/>
  <c r="S64" i="17"/>
  <c r="Q66" i="17"/>
  <c r="S57" i="17"/>
  <c r="Q56" i="17"/>
  <c r="Q59" i="17"/>
  <c r="Q54" i="17"/>
  <c r="Q58" i="17"/>
  <c r="Q53" i="17"/>
  <c r="S56" i="17"/>
  <c r="Q52" i="17"/>
  <c r="Q55" i="17"/>
  <c r="Q43" i="17"/>
  <c r="V43" i="17" s="1"/>
  <c r="Q48" i="17"/>
  <c r="V48" i="17" s="1"/>
  <c r="S45" i="17"/>
  <c r="Q47" i="17"/>
  <c r="V47" i="17" s="1"/>
  <c r="S43" i="17"/>
  <c r="S44" i="17"/>
  <c r="S49" i="17"/>
  <c r="S38" i="17"/>
  <c r="Q42" i="17"/>
  <c r="V42" i="17" s="1"/>
  <c r="Q40" i="17"/>
  <c r="S36" i="17"/>
  <c r="S37" i="17"/>
  <c r="S40" i="17"/>
  <c r="Q39" i="17"/>
  <c r="S29" i="17"/>
  <c r="Q34" i="17"/>
  <c r="Q32" i="17"/>
  <c r="V32" i="17" s="1"/>
  <c r="S33" i="17"/>
  <c r="S30" i="17"/>
  <c r="Q27" i="17"/>
  <c r="S32" i="17"/>
  <c r="Q31" i="17"/>
  <c r="Q20" i="17"/>
  <c r="Q26" i="17"/>
  <c r="S25" i="17"/>
  <c r="S20" i="17"/>
  <c r="S23" i="17"/>
  <c r="Q24" i="17"/>
  <c r="Q15" i="17"/>
  <c r="Q17" i="17"/>
  <c r="S16" i="17"/>
  <c r="Q12" i="17"/>
  <c r="Q19" i="17"/>
  <c r="S13" i="17"/>
  <c r="S14" i="17"/>
  <c r="S10" i="17"/>
  <c r="S11" i="17"/>
  <c r="S8" i="17"/>
  <c r="Q9" i="17"/>
  <c r="Q6" i="17"/>
  <c r="V6" i="17" s="1"/>
  <c r="S7" i="17"/>
  <c r="Q5" i="17"/>
  <c r="V22" i="17" l="1"/>
  <c r="V73" i="17"/>
  <c r="V54" i="17"/>
  <c r="V3" i="17"/>
  <c r="V19" i="17"/>
  <c r="AH19" i="17" s="1"/>
  <c r="AR19" i="17" s="1"/>
  <c r="V56" i="17"/>
  <c r="AH56" i="17" s="1"/>
  <c r="AZ56" i="17" s="1"/>
  <c r="V55" i="17"/>
  <c r="V70" i="17"/>
  <c r="V66" i="17"/>
  <c r="AH66" i="17" s="1"/>
  <c r="AY66" i="17" s="1"/>
  <c r="V77" i="17"/>
  <c r="AH77" i="17" s="1"/>
  <c r="AZ77" i="17" s="1"/>
  <c r="V74" i="17"/>
  <c r="V15" i="17"/>
  <c r="V17" i="17"/>
  <c r="V71" i="17"/>
  <c r="AH71" i="17" s="1"/>
  <c r="AN71" i="17" s="1"/>
  <c r="V53" i="17"/>
  <c r="V67" i="17"/>
  <c r="V34" i="17"/>
  <c r="AH34" i="17" s="1"/>
  <c r="AJ34" i="17" s="1"/>
  <c r="V76" i="17"/>
  <c r="AH76" i="17" s="1"/>
  <c r="V14" i="17"/>
  <c r="V31" i="17"/>
  <c r="V39" i="17"/>
  <c r="AH39" i="17" s="1"/>
  <c r="AN39" i="17" s="1"/>
  <c r="V69" i="17"/>
  <c r="AH69" i="17" s="1"/>
  <c r="AJ69" i="17" s="1"/>
  <c r="V41" i="17"/>
  <c r="AH41" i="17" s="1"/>
  <c r="AN41" i="17" s="1"/>
  <c r="V16" i="17"/>
  <c r="AH16" i="17" s="1"/>
  <c r="AN16" i="17" s="1"/>
  <c r="V18" i="17"/>
  <c r="AH18" i="17" s="1"/>
  <c r="AJ18" i="17" s="1"/>
  <c r="V58" i="17"/>
  <c r="AH58" i="17" s="1"/>
  <c r="AZ58" i="17" s="1"/>
  <c r="I58" i="4" s="1"/>
  <c r="V59" i="17"/>
  <c r="AH59" i="17" s="1"/>
  <c r="AR59" i="17" s="1"/>
  <c r="V63" i="17"/>
  <c r="V57" i="17"/>
  <c r="AH57" i="17" s="1"/>
  <c r="AZ57" i="17" s="1"/>
  <c r="V79" i="17"/>
  <c r="AH79" i="17" s="1"/>
  <c r="AN79" i="17" s="1"/>
  <c r="V36" i="17"/>
  <c r="V82" i="17"/>
  <c r="V10" i="17"/>
  <c r="V60" i="17"/>
  <c r="AH60" i="17" s="1"/>
  <c r="AZ60" i="17" s="1"/>
  <c r="V25" i="17"/>
  <c r="V38" i="17"/>
  <c r="AH38" i="17" s="1"/>
  <c r="V80" i="17"/>
  <c r="AH80" i="17" s="1"/>
  <c r="V72" i="17"/>
  <c r="AH72" i="17" s="1"/>
  <c r="AJ72" i="17" s="1"/>
  <c r="V45" i="17"/>
  <c r="AH45" i="17" s="1"/>
  <c r="AR45" i="17" s="1"/>
  <c r="V5" i="17"/>
  <c r="V20" i="17"/>
  <c r="AH20" i="17" s="1"/>
  <c r="AJ20" i="17" s="1"/>
  <c r="V40" i="17"/>
  <c r="AH40" i="17" s="1"/>
  <c r="AR40" i="17" s="1"/>
  <c r="V64" i="17"/>
  <c r="V21" i="17"/>
  <c r="V49" i="17"/>
  <c r="AH49" i="17" s="1"/>
  <c r="AY49" i="17" s="1"/>
  <c r="V68" i="17"/>
  <c r="AH68" i="17" s="1"/>
  <c r="AZ68" i="17" s="1"/>
  <c r="V75" i="17"/>
  <c r="AH75" i="17" s="1"/>
  <c r="AZ75" i="17" s="1"/>
  <c r="V12" i="17"/>
  <c r="V52" i="17"/>
  <c r="AH52" i="17" s="1"/>
  <c r="AZ52" i="17" s="1"/>
  <c r="V35" i="17"/>
  <c r="AH35" i="17" s="1"/>
  <c r="AZ35" i="17" s="1"/>
  <c r="I35" i="4" s="1"/>
  <c r="V44" i="17"/>
  <c r="AH44" i="17" s="1"/>
  <c r="AN44" i="17" s="1"/>
  <c r="V61" i="17"/>
  <c r="AH61" i="17" s="1"/>
  <c r="AJ61" i="17" s="1"/>
  <c r="V23" i="17"/>
  <c r="AH23" i="17" s="1"/>
  <c r="AJ23" i="17" s="1"/>
  <c r="V37" i="17"/>
  <c r="AH37" i="17" s="1"/>
  <c r="AN37" i="17" s="1"/>
  <c r="V26" i="17"/>
  <c r="AH26" i="17" s="1"/>
  <c r="AJ26" i="17" s="1"/>
  <c r="V24" i="17"/>
  <c r="AH24" i="17" s="1"/>
  <c r="AZ24" i="17" s="1"/>
  <c r="I24" i="4" s="1"/>
  <c r="V62" i="17"/>
  <c r="V78" i="17"/>
  <c r="AH78" i="17" s="1"/>
  <c r="AZ78" i="17" s="1"/>
  <c r="V29" i="17"/>
  <c r="AH29" i="17" s="1"/>
  <c r="AY29" i="17" s="1"/>
  <c r="V11" i="17"/>
  <c r="AH11" i="17" s="1"/>
  <c r="AY11" i="17" s="1"/>
  <c r="V13" i="17"/>
  <c r="AH13" i="17" s="1"/>
  <c r="V9" i="17"/>
  <c r="AH9" i="17" s="1"/>
  <c r="AR9" i="17" s="1"/>
  <c r="V27" i="17"/>
  <c r="AH27" i="17" s="1"/>
  <c r="AN27" i="17" s="1"/>
  <c r="V30" i="17"/>
  <c r="AH30" i="17" s="1"/>
  <c r="AR30" i="17" s="1"/>
  <c r="V33" i="17"/>
  <c r="AH33" i="17" s="1"/>
  <c r="AR33" i="17" s="1"/>
  <c r="V28" i="17"/>
  <c r="AH28" i="17" s="1"/>
  <c r="AN28" i="17" s="1"/>
  <c r="V7" i="17"/>
  <c r="AH7" i="17" s="1"/>
  <c r="AN7" i="17" s="1"/>
  <c r="V8" i="17"/>
  <c r="AH8" i="17" s="1"/>
  <c r="AZ8" i="17" s="1"/>
  <c r="I8" i="4" s="1"/>
  <c r="V46" i="17"/>
  <c r="AH46" i="17" s="1"/>
  <c r="AH50" i="17"/>
  <c r="AZ50" i="17" s="1"/>
  <c r="V65" i="17"/>
  <c r="AH65" i="17" s="1"/>
  <c r="AH5" i="17"/>
  <c r="AJ5" i="17" s="1"/>
  <c r="AH3" i="17"/>
  <c r="AR3" i="17" s="1"/>
  <c r="AH17" i="17"/>
  <c r="AZ17" i="17" s="1"/>
  <c r="I17" i="4" s="1"/>
  <c r="AH15" i="17"/>
  <c r="AJ15" i="17" s="1"/>
  <c r="AH55" i="17"/>
  <c r="AJ55" i="17" s="1"/>
  <c r="AH73" i="17"/>
  <c r="AR73" i="17" s="1"/>
  <c r="AH10" i="17"/>
  <c r="AY10" i="17" s="1"/>
  <c r="AH82" i="17"/>
  <c r="AY82" i="17" s="1"/>
  <c r="AH53" i="17"/>
  <c r="AZ53" i="17" s="1"/>
  <c r="AH21" i="17"/>
  <c r="AN21" i="17" s="1"/>
  <c r="AH62" i="17"/>
  <c r="AR62" i="17" s="1"/>
  <c r="AH42" i="17"/>
  <c r="AR42" i="17" s="1"/>
  <c r="AH74" i="17"/>
  <c r="AJ74" i="17" s="1"/>
  <c r="AH63" i="17"/>
  <c r="AR63" i="17" s="1"/>
  <c r="AH22" i="17"/>
  <c r="AR22" i="17" s="1"/>
  <c r="AH70" i="17"/>
  <c r="AJ70" i="17" s="1"/>
  <c r="AH36" i="17"/>
  <c r="AY36" i="17" s="1"/>
  <c r="AH43" i="17"/>
  <c r="AN43" i="17" s="1"/>
  <c r="AH54" i="17"/>
  <c r="AY54" i="17" s="1"/>
  <c r="AH67" i="17"/>
  <c r="AR67" i="17" s="1"/>
  <c r="AH6" i="17"/>
  <c r="AJ6" i="17" s="1"/>
  <c r="AH25" i="17"/>
  <c r="AR25" i="17" s="1"/>
  <c r="AH47" i="17"/>
  <c r="AZ47" i="17" s="1"/>
  <c r="AH31" i="17"/>
  <c r="AR31" i="17" s="1"/>
  <c r="AH48" i="17"/>
  <c r="AN48" i="17" s="1"/>
  <c r="AH64" i="17"/>
  <c r="AR64" i="17" s="1"/>
  <c r="AH12" i="17"/>
  <c r="AZ12" i="17" s="1"/>
  <c r="I12" i="4" s="1"/>
  <c r="AH14" i="17"/>
  <c r="AY14" i="17" s="1"/>
  <c r="AH32" i="17"/>
  <c r="AN32" i="17" s="1"/>
  <c r="AH81" i="17"/>
  <c r="AR81" i="17" s="1"/>
  <c r="AZ45" i="17" l="1"/>
  <c r="AY76" i="17"/>
  <c r="AR76" i="17"/>
  <c r="AR38" i="17"/>
  <c r="AZ38" i="17"/>
  <c r="AY38" i="17"/>
  <c r="AJ45" i="17"/>
  <c r="AZ80" i="17"/>
  <c r="AN80" i="17"/>
  <c r="AR41" i="17"/>
  <c r="AY41" i="17"/>
  <c r="AZ41" i="17"/>
  <c r="AR13" i="17"/>
  <c r="AN13" i="17"/>
  <c r="AZ13" i="17"/>
  <c r="I13" i="4" s="1"/>
  <c r="AY13" i="17"/>
  <c r="AJ13" i="17"/>
  <c r="AR16" i="17"/>
  <c r="AR80" i="17"/>
  <c r="AN8" i="17"/>
  <c r="AY16" i="17"/>
  <c r="AZ16" i="17"/>
  <c r="AJ16" i="17"/>
  <c r="AJ80" i="17"/>
  <c r="AY80" i="17"/>
  <c r="AJ41" i="17"/>
  <c r="AN46" i="17"/>
  <c r="AR46" i="17"/>
  <c r="AZ46" i="17"/>
  <c r="AY46" i="17"/>
  <c r="AJ46" i="17"/>
  <c r="AR65" i="17"/>
  <c r="AN65" i="17"/>
  <c r="AZ65" i="17"/>
  <c r="AJ65" i="17"/>
  <c r="AY65" i="17"/>
  <c r="AN45" i="17"/>
  <c r="AJ8" i="17"/>
  <c r="AY45" i="17"/>
  <c r="AR8" i="17"/>
  <c r="AY8" i="17"/>
  <c r="AJ50" i="17"/>
  <c r="AN52" i="17"/>
  <c r="AN38" i="17"/>
  <c r="AY50" i="17"/>
  <c r="AV50" i="17" s="1"/>
  <c r="AN50" i="17"/>
  <c r="AR50" i="17"/>
  <c r="AJ38" i="17"/>
  <c r="AN75" i="17"/>
  <c r="AJ66" i="17"/>
  <c r="AY37" i="17"/>
  <c r="AZ49" i="17"/>
  <c r="AT49" i="17" s="1"/>
  <c r="AR57" i="17"/>
  <c r="AR36" i="17"/>
  <c r="AY42" i="17"/>
  <c r="AN30" i="17"/>
  <c r="AJ30" i="17"/>
  <c r="AY30" i="17"/>
  <c r="AZ30" i="17"/>
  <c r="AR23" i="17"/>
  <c r="AZ18" i="17"/>
  <c r="I18" i="4" s="1"/>
  <c r="AY17" i="17"/>
  <c r="AN11" i="17"/>
  <c r="AZ11" i="17"/>
  <c r="AZ5" i="17"/>
  <c r="I5" i="4" s="1"/>
  <c r="AN5" i="17"/>
  <c r="AR5" i="17"/>
  <c r="AY5" i="17"/>
  <c r="AY75" i="17"/>
  <c r="AJ76" i="17"/>
  <c r="AZ76" i="17"/>
  <c r="AL76" i="17" s="1"/>
  <c r="AN76" i="17"/>
  <c r="AN19" i="17"/>
  <c r="AN57" i="17"/>
  <c r="AJ75" i="17"/>
  <c r="AJ10" i="17"/>
  <c r="AN42" i="17"/>
  <c r="AZ48" i="17"/>
  <c r="AL48" i="17" s="1"/>
  <c r="AR48" i="17"/>
  <c r="AR35" i="17"/>
  <c r="AR14" i="17"/>
  <c r="AZ39" i="17"/>
  <c r="AZ66" i="17"/>
  <c r="AJ73" i="17"/>
  <c r="AJ27" i="17"/>
  <c r="AR53" i="17"/>
  <c r="AY62" i="17"/>
  <c r="AN10" i="17"/>
  <c r="AN14" i="17"/>
  <c r="AN53" i="17"/>
  <c r="AZ63" i="17"/>
  <c r="AN35" i="17"/>
  <c r="AZ42" i="17"/>
  <c r="AP42" i="17" s="1"/>
  <c r="AJ52" i="17"/>
  <c r="AN60" i="17"/>
  <c r="AR17" i="17"/>
  <c r="AY28" i="17"/>
  <c r="AJ49" i="17"/>
  <c r="AR52" i="17"/>
  <c r="AV29" i="17"/>
  <c r="AV10" i="17"/>
  <c r="AV41" i="17"/>
  <c r="AV38" i="17"/>
  <c r="AY70" i="17"/>
  <c r="AV14" i="17"/>
  <c r="AV82" i="17"/>
  <c r="AV66" i="17"/>
  <c r="AJ19" i="17"/>
  <c r="AV49" i="17"/>
  <c r="AZ19" i="17"/>
  <c r="I19" i="4" s="1"/>
  <c r="AJ17" i="17"/>
  <c r="AY25" i="17"/>
  <c r="AV76" i="17"/>
  <c r="AV36" i="17"/>
  <c r="AV11" i="17"/>
  <c r="AV54" i="17"/>
  <c r="AV16" i="17"/>
  <c r="AN17" i="17"/>
  <c r="AJ37" i="17"/>
  <c r="AR60" i="17"/>
  <c r="AY15" i="17"/>
  <c r="AZ15" i="17"/>
  <c r="I15" i="4" s="1"/>
  <c r="AN24" i="17"/>
  <c r="AN59" i="17"/>
  <c r="AY64" i="17"/>
  <c r="AN25" i="17"/>
  <c r="AR37" i="17"/>
  <c r="AJ42" i="17"/>
  <c r="AZ59" i="17"/>
  <c r="AJ60" i="17"/>
  <c r="AZ73" i="17"/>
  <c r="AJ35" i="17"/>
  <c r="AJ39" i="17"/>
  <c r="AN66" i="17"/>
  <c r="AY72" i="17"/>
  <c r="AZ82" i="17"/>
  <c r="AR11" i="17"/>
  <c r="AY19" i="17"/>
  <c r="AY35" i="17"/>
  <c r="AY39" i="17"/>
  <c r="AY52" i="17"/>
  <c r="AR66" i="17"/>
  <c r="AJ62" i="17"/>
  <c r="AR75" i="17"/>
  <c r="AN3" i="17"/>
  <c r="AJ3" i="17"/>
  <c r="AZ3" i="17"/>
  <c r="AY3" i="17"/>
  <c r="AZ28" i="17"/>
  <c r="I28" i="4" s="1"/>
  <c r="AJ14" i="17"/>
  <c r="AZ32" i="17"/>
  <c r="I32" i="4" s="1"/>
  <c r="AZ14" i="17"/>
  <c r="I14" i="4" s="1"/>
  <c r="AR28" i="17"/>
  <c r="AR39" i="17"/>
  <c r="AY53" i="17"/>
  <c r="AY60" i="17"/>
  <c r="AN63" i="17"/>
  <c r="AZ72" i="17"/>
  <c r="AY22" i="17"/>
  <c r="AR24" i="17"/>
  <c r="AR55" i="17"/>
  <c r="AN15" i="17"/>
  <c r="AZ20" i="17"/>
  <c r="I20" i="4" s="1"/>
  <c r="AJ56" i="17"/>
  <c r="AY55" i="17"/>
  <c r="AN73" i="17"/>
  <c r="AY9" i="17"/>
  <c r="AY18" i="17"/>
  <c r="AR15" i="17"/>
  <c r="AZ25" i="17"/>
  <c r="I25" i="4" s="1"/>
  <c r="AJ28" i="17"/>
  <c r="AY56" i="17"/>
  <c r="AZ55" i="17"/>
  <c r="AY73" i="17"/>
  <c r="AN82" i="17"/>
  <c r="AN26" i="17"/>
  <c r="AN22" i="17"/>
  <c r="AY20" i="17"/>
  <c r="AZ36" i="17"/>
  <c r="I36" i="4" s="1"/>
  <c r="AJ48" i="17"/>
  <c r="AZ70" i="17"/>
  <c r="AZ22" i="17"/>
  <c r="I22" i="4" s="1"/>
  <c r="AZ6" i="17"/>
  <c r="I6" i="4" s="1"/>
  <c r="AY48" i="17"/>
  <c r="AJ71" i="17"/>
  <c r="AN6" i="17"/>
  <c r="AY71" i="17"/>
  <c r="AR47" i="17"/>
  <c r="AY44" i="17"/>
  <c r="AY47" i="17"/>
  <c r="AJ63" i="17"/>
  <c r="AJ77" i="17"/>
  <c r="AR82" i="17"/>
  <c r="AY63" i="17"/>
  <c r="AJ44" i="17"/>
  <c r="AY27" i="17"/>
  <c r="AJ11" i="17"/>
  <c r="AN18" i="17"/>
  <c r="AY26" i="17"/>
  <c r="AJ25" i="17"/>
  <c r="AZ34" i="17"/>
  <c r="I34" i="4" s="1"/>
  <c r="AR27" i="17"/>
  <c r="AR49" i="17"/>
  <c r="AZ61" i="17"/>
  <c r="AY67" i="17"/>
  <c r="AJ9" i="17"/>
  <c r="AR18" i="17"/>
  <c r="AZ26" i="17"/>
  <c r="I26" i="4" s="1"/>
  <c r="AR29" i="17"/>
  <c r="AR56" i="17"/>
  <c r="AJ59" i="17"/>
  <c r="AZ62" i="17"/>
  <c r="AR61" i="17"/>
  <c r="AR71" i="17"/>
  <c r="AN74" i="17"/>
  <c r="AY21" i="17"/>
  <c r="AJ57" i="17"/>
  <c r="AZ37" i="17"/>
  <c r="AN56" i="17"/>
  <c r="AN55" i="17"/>
  <c r="AY57" i="17"/>
  <c r="AZ71" i="17"/>
  <c r="AR10" i="17"/>
  <c r="AN36" i="17"/>
  <c r="AN47" i="17"/>
  <c r="AJ53" i="17"/>
  <c r="AN58" i="17"/>
  <c r="AY6" i="17"/>
  <c r="AN68" i="17"/>
  <c r="AN72" i="17"/>
  <c r="AN49" i="17"/>
  <c r="AR44" i="17"/>
  <c r="AY59" i="17"/>
  <c r="AR21" i="17"/>
  <c r="AN70" i="17"/>
  <c r="AY74" i="17"/>
  <c r="AN23" i="17"/>
  <c r="AN34" i="17"/>
  <c r="AN33" i="17"/>
  <c r="AJ36" i="17"/>
  <c r="AY58" i="17"/>
  <c r="AJ54" i="17"/>
  <c r="AZ69" i="17"/>
  <c r="AR70" i="17"/>
  <c r="AZ74" i="17"/>
  <c r="AZ81" i="17"/>
  <c r="AJ82" i="17"/>
  <c r="AZ21" i="17"/>
  <c r="I21" i="4" s="1"/>
  <c r="AN54" i="17"/>
  <c r="AR7" i="17"/>
  <c r="AJ7" i="17"/>
  <c r="AZ23" i="17"/>
  <c r="I23" i="4" s="1"/>
  <c r="AJ24" i="17"/>
  <c r="AY34" i="17"/>
  <c r="AY33" i="17"/>
  <c r="AN69" i="17"/>
  <c r="AY7" i="17"/>
  <c r="AZ9" i="17"/>
  <c r="I9" i="4" s="1"/>
  <c r="AY24" i="17"/>
  <c r="AN20" i="17"/>
  <c r="AJ29" i="17"/>
  <c r="AZ44" i="17"/>
  <c r="AR58" i="17"/>
  <c r="AN61" i="17"/>
  <c r="AR69" i="17"/>
  <c r="AR74" i="17"/>
  <c r="AZ7" i="17"/>
  <c r="I7" i="4" s="1"/>
  <c r="AZ10" i="17"/>
  <c r="I10" i="4" s="1"/>
  <c r="AY23" i="17"/>
  <c r="AJ33" i="17"/>
  <c r="AJ58" i="17"/>
  <c r="AZ54" i="17"/>
  <c r="I54" i="4" s="1"/>
  <c r="AN62" i="17"/>
  <c r="AY61" i="17"/>
  <c r="AY69" i="17"/>
  <c r="AN77" i="17"/>
  <c r="AJ21" i="17"/>
  <c r="AR77" i="17"/>
  <c r="AJ81" i="17"/>
  <c r="AN9" i="17"/>
  <c r="AR20" i="17"/>
  <c r="AZ27" i="17"/>
  <c r="I27" i="4" s="1"/>
  <c r="AR6" i="17"/>
  <c r="AR26" i="17"/>
  <c r="AR34" i="17"/>
  <c r="AR54" i="17"/>
  <c r="AY77" i="17"/>
  <c r="AY78" i="17"/>
  <c r="AZ33" i="17"/>
  <c r="I33" i="4" s="1"/>
  <c r="AR72" i="17"/>
  <c r="AJ22" i="17"/>
  <c r="AR12" i="17"/>
  <c r="AR68" i="17"/>
  <c r="AJ43" i="17"/>
  <c r="AY43" i="17"/>
  <c r="AJ67" i="17"/>
  <c r="AR43" i="17"/>
  <c r="AJ68" i="17"/>
  <c r="AZ43" i="17"/>
  <c r="AY68" i="17"/>
  <c r="AN67" i="17"/>
  <c r="AL5" i="17"/>
  <c r="AJ32" i="17"/>
  <c r="AP5" i="17"/>
  <c r="AJ31" i="17"/>
  <c r="AN64" i="17"/>
  <c r="AZ67" i="17"/>
  <c r="AR78" i="17"/>
  <c r="AR32" i="17"/>
  <c r="AZ29" i="17"/>
  <c r="I29" i="4" s="1"/>
  <c r="AY31" i="17"/>
  <c r="AZ40" i="17"/>
  <c r="AN78" i="17"/>
  <c r="AN12" i="17"/>
  <c r="AN29" i="17"/>
  <c r="AZ31" i="17"/>
  <c r="I31" i="4" s="1"/>
  <c r="AN40" i="17"/>
  <c r="AJ47" i="17"/>
  <c r="AZ64" i="17"/>
  <c r="AJ78" i="17"/>
  <c r="AR79" i="17"/>
  <c r="AJ79" i="17"/>
  <c r="AY32" i="17"/>
  <c r="AY79" i="17"/>
  <c r="AZ79" i="17"/>
  <c r="AJ40" i="17"/>
  <c r="AN31" i="17"/>
  <c r="AY40" i="17"/>
  <c r="AY12" i="17"/>
  <c r="AJ64" i="17"/>
  <c r="AY81" i="17"/>
  <c r="AJ12" i="17"/>
  <c r="AN81" i="17"/>
  <c r="AL78" i="17"/>
  <c r="AX78" i="17"/>
  <c r="AT78" i="17"/>
  <c r="AP78" i="17"/>
  <c r="AP75" i="17"/>
  <c r="AL75" i="17"/>
  <c r="AX75" i="17"/>
  <c r="AT75" i="17"/>
  <c r="AT80" i="17"/>
  <c r="AP80" i="17"/>
  <c r="AL80" i="17"/>
  <c r="AX80" i="17"/>
  <c r="AX77" i="17"/>
  <c r="AT77" i="17"/>
  <c r="AP77" i="17"/>
  <c r="AL77" i="17"/>
  <c r="AT76" i="17"/>
  <c r="AP76" i="17"/>
  <c r="AT68" i="17"/>
  <c r="AP68" i="17"/>
  <c r="AL68" i="17"/>
  <c r="AX68" i="17"/>
  <c r="AP60" i="17"/>
  <c r="AL60" i="17"/>
  <c r="AX60" i="17"/>
  <c r="AT60" i="17"/>
  <c r="AP56" i="17"/>
  <c r="AL56" i="17"/>
  <c r="AX56" i="17"/>
  <c r="AT56" i="17"/>
  <c r="AX58" i="17"/>
  <c r="AT58" i="17"/>
  <c r="AP58" i="17"/>
  <c r="AL58" i="17"/>
  <c r="AT53" i="17"/>
  <c r="AP53" i="17"/>
  <c r="AL53" i="17"/>
  <c r="AX53" i="17"/>
  <c r="AP52" i="17"/>
  <c r="AL52" i="17"/>
  <c r="AX52" i="17"/>
  <c r="AT52" i="17"/>
  <c r="AT57" i="17"/>
  <c r="AP57" i="17"/>
  <c r="AL57" i="17"/>
  <c r="AX57" i="17"/>
  <c r="AX49" i="17"/>
  <c r="AX46" i="17"/>
  <c r="AT46" i="17"/>
  <c r="AP46" i="17"/>
  <c r="AP47" i="17"/>
  <c r="AL47" i="17"/>
  <c r="AX47" i="17"/>
  <c r="AT47" i="17"/>
  <c r="AL50" i="17"/>
  <c r="AX50" i="17"/>
  <c r="AT50" i="17"/>
  <c r="AP50" i="17"/>
  <c r="AX45" i="17"/>
  <c r="AT45" i="17"/>
  <c r="AP45" i="17"/>
  <c r="AL45" i="17"/>
  <c r="AP35" i="17"/>
  <c r="AL35" i="17"/>
  <c r="AX35" i="17"/>
  <c r="AT35" i="17"/>
  <c r="AX41" i="17"/>
  <c r="AT41" i="17"/>
  <c r="AP41" i="17"/>
  <c r="AL41" i="17"/>
  <c r="AL38" i="17"/>
  <c r="AX38" i="17"/>
  <c r="AT38" i="17"/>
  <c r="AP38" i="17"/>
  <c r="AT24" i="17"/>
  <c r="AP24" i="17"/>
  <c r="AL24" i="17"/>
  <c r="AX24" i="17"/>
  <c r="AL13" i="17"/>
  <c r="AX13" i="17"/>
  <c r="AP12" i="17"/>
  <c r="AL12" i="17"/>
  <c r="AX12" i="17"/>
  <c r="AT12" i="17"/>
  <c r="AT17" i="17"/>
  <c r="AP17" i="17"/>
  <c r="AL17" i="17"/>
  <c r="AX17" i="17"/>
  <c r="AL16" i="17"/>
  <c r="AX8" i="17"/>
  <c r="AT8" i="17"/>
  <c r="AP8" i="17"/>
  <c r="AL8" i="17"/>
  <c r="AV80" i="17" l="1"/>
  <c r="AX5" i="17"/>
  <c r="AX16" i="17"/>
  <c r="AT5" i="17"/>
  <c r="AP65" i="17"/>
  <c r="AV13" i="17"/>
  <c r="AP13" i="17"/>
  <c r="AT13" i="17"/>
  <c r="AL46" i="17"/>
  <c r="AL11" i="17"/>
  <c r="I11" i="4"/>
  <c r="AL59" i="17"/>
  <c r="I59" i="4"/>
  <c r="AL30" i="17"/>
  <c r="I30" i="4"/>
  <c r="AT16" i="17"/>
  <c r="I16" i="4"/>
  <c r="AV65" i="17"/>
  <c r="AP16" i="17"/>
  <c r="AT42" i="17"/>
  <c r="AV46" i="17"/>
  <c r="AP11" i="17"/>
  <c r="AT11" i="17"/>
  <c r="AX11" i="17"/>
  <c r="AV75" i="17"/>
  <c r="AL49" i="17"/>
  <c r="AT65" i="17"/>
  <c r="AP49" i="17"/>
  <c r="AL65" i="17"/>
  <c r="AX65" i="17"/>
  <c r="AV8" i="17"/>
  <c r="AV45" i="17"/>
  <c r="AV17" i="17"/>
  <c r="AL69" i="17"/>
  <c r="AP30" i="17"/>
  <c r="AP79" i="17"/>
  <c r="AT30" i="17"/>
  <c r="AV5" i="17"/>
  <c r="AX42" i="17"/>
  <c r="AP69" i="17"/>
  <c r="AL42" i="17"/>
  <c r="AX76" i="17"/>
  <c r="AP70" i="17"/>
  <c r="AV37" i="17"/>
  <c r="AX48" i="17"/>
  <c r="AT73" i="17"/>
  <c r="AT72" i="17"/>
  <c r="AX62" i="17"/>
  <c r="AT61" i="17"/>
  <c r="AL54" i="17"/>
  <c r="AV42" i="17"/>
  <c r="AX30" i="17"/>
  <c r="AV30" i="17"/>
  <c r="AP26" i="17"/>
  <c r="AT22" i="17"/>
  <c r="AP19" i="17"/>
  <c r="AL18" i="17"/>
  <c r="AT18" i="17"/>
  <c r="AP18" i="17"/>
  <c r="AX18" i="17"/>
  <c r="AP15" i="17"/>
  <c r="AL10" i="17"/>
  <c r="AP7" i="17"/>
  <c r="AP3" i="17"/>
  <c r="AX27" i="17"/>
  <c r="AT48" i="17"/>
  <c r="AL19" i="17"/>
  <c r="AP48" i="17"/>
  <c r="AL20" i="17"/>
  <c r="AX39" i="17"/>
  <c r="AX20" i="17"/>
  <c r="AP20" i="17"/>
  <c r="AL39" i="17"/>
  <c r="AP66" i="17"/>
  <c r="AP39" i="17"/>
  <c r="AX70" i="17"/>
  <c r="AX26" i="17"/>
  <c r="AX66" i="17"/>
  <c r="AV62" i="17"/>
  <c r="AT39" i="17"/>
  <c r="AL25" i="17"/>
  <c r="AP25" i="17"/>
  <c r="AT66" i="17"/>
  <c r="AX14" i="17"/>
  <c r="AL66" i="17"/>
  <c r="AL63" i="17"/>
  <c r="AT15" i="17"/>
  <c r="AX63" i="17"/>
  <c r="AP63" i="17"/>
  <c r="AT19" i="17"/>
  <c r="AT63" i="17"/>
  <c r="AX19" i="17"/>
  <c r="AT27" i="17"/>
  <c r="AV77" i="17"/>
  <c r="AP9" i="17"/>
  <c r="AV27" i="17"/>
  <c r="AL61" i="17"/>
  <c r="AV12" i="17"/>
  <c r="AV68" i="17"/>
  <c r="AP54" i="17"/>
  <c r="AV7" i="17"/>
  <c r="AV58" i="17"/>
  <c r="AV59" i="17"/>
  <c r="AV71" i="17"/>
  <c r="AX36" i="17"/>
  <c r="AX55" i="17"/>
  <c r="AV22" i="17"/>
  <c r="AX32" i="17"/>
  <c r="AP82" i="17"/>
  <c r="AP73" i="17"/>
  <c r="AP61" i="17"/>
  <c r="AV20" i="17"/>
  <c r="AV33" i="17"/>
  <c r="AP34" i="17"/>
  <c r="AP28" i="17"/>
  <c r="AV52" i="17"/>
  <c r="AP59" i="17"/>
  <c r="AV15" i="17"/>
  <c r="AV25" i="17"/>
  <c r="AL43" i="17"/>
  <c r="AX37" i="17"/>
  <c r="AX72" i="17"/>
  <c r="AL15" i="17"/>
  <c r="AX44" i="17"/>
  <c r="AX81" i="17"/>
  <c r="AV21" i="17"/>
  <c r="AV32" i="17"/>
  <c r="AP62" i="17"/>
  <c r="AV56" i="17"/>
  <c r="AV72" i="17"/>
  <c r="AV23" i="17"/>
  <c r="AV34" i="17"/>
  <c r="AL26" i="17"/>
  <c r="AV48" i="17"/>
  <c r="AV60" i="17"/>
  <c r="AV39" i="17"/>
  <c r="AL14" i="17"/>
  <c r="AT25" i="17"/>
  <c r="AT28" i="17"/>
  <c r="AL55" i="17"/>
  <c r="AT79" i="17"/>
  <c r="AV31" i="17"/>
  <c r="AV69" i="17"/>
  <c r="AP10" i="17"/>
  <c r="AX74" i="17"/>
  <c r="AV26" i="17"/>
  <c r="AL6" i="17"/>
  <c r="AV53" i="17"/>
  <c r="AV35" i="17"/>
  <c r="AV79" i="17"/>
  <c r="AL29" i="17"/>
  <c r="AL33" i="17"/>
  <c r="AV61" i="17"/>
  <c r="AT7" i="17"/>
  <c r="AL23" i="17"/>
  <c r="AV74" i="17"/>
  <c r="AP71" i="17"/>
  <c r="AV47" i="17"/>
  <c r="AP22" i="17"/>
  <c r="AV18" i="17"/>
  <c r="AV28" i="17"/>
  <c r="AV43" i="17"/>
  <c r="AX61" i="17"/>
  <c r="AV40" i="17"/>
  <c r="AV63" i="17"/>
  <c r="AV55" i="17"/>
  <c r="AP14" i="17"/>
  <c r="AX25" i="17"/>
  <c r="AT59" i="17"/>
  <c r="AT9" i="17"/>
  <c r="AT14" i="17"/>
  <c r="AT20" i="17"/>
  <c r="AX59" i="17"/>
  <c r="AT62" i="17"/>
  <c r="AP72" i="17"/>
  <c r="AL81" i="17"/>
  <c r="AV81" i="17"/>
  <c r="AV78" i="17"/>
  <c r="AV24" i="17"/>
  <c r="AX69" i="17"/>
  <c r="AV6" i="17"/>
  <c r="AV57" i="17"/>
  <c r="AV67" i="17"/>
  <c r="AV44" i="17"/>
  <c r="AT70" i="17"/>
  <c r="AV73" i="17"/>
  <c r="AV9" i="17"/>
  <c r="AV19" i="17"/>
  <c r="AV64" i="17"/>
  <c r="AV70" i="17"/>
  <c r="AL36" i="17"/>
  <c r="AX73" i="17"/>
  <c r="AP29" i="17"/>
  <c r="AT55" i="17"/>
  <c r="AT71" i="17"/>
  <c r="AL72" i="17"/>
  <c r="AL82" i="17"/>
  <c r="AV3" i="17"/>
  <c r="I3" i="4"/>
  <c r="AT81" i="17"/>
  <c r="AT82" i="17"/>
  <c r="AT3" i="17"/>
  <c r="AX22" i="17"/>
  <c r="AX3" i="17"/>
  <c r="AL32" i="17"/>
  <c r="AX82" i="17"/>
  <c r="AX15" i="17"/>
  <c r="AT32" i="17"/>
  <c r="AL73" i="17"/>
  <c r="AL28" i="17"/>
  <c r="AL3" i="17"/>
  <c r="AX7" i="17"/>
  <c r="AT36" i="17"/>
  <c r="AL22" i="17"/>
  <c r="AP32" i="17"/>
  <c r="AP36" i="17"/>
  <c r="AL70" i="17"/>
  <c r="AP81" i="17"/>
  <c r="AX28" i="17"/>
  <c r="AP55" i="17"/>
  <c r="AP6" i="17"/>
  <c r="AP23" i="17"/>
  <c r="AT6" i="17"/>
  <c r="AX29" i="17"/>
  <c r="AX6" i="17"/>
  <c r="AT23" i="17"/>
  <c r="AT34" i="17"/>
  <c r="AT37" i="17"/>
  <c r="AT26" i="17"/>
  <c r="AX34" i="17"/>
  <c r="AL62" i="17"/>
  <c r="AT69" i="17"/>
  <c r="AX43" i="17"/>
  <c r="AP74" i="17"/>
  <c r="AT74" i="17"/>
  <c r="AL34" i="17"/>
  <c r="AL37" i="17"/>
  <c r="AP37" i="17"/>
  <c r="AT43" i="17"/>
  <c r="AL74" i="17"/>
  <c r="AX71" i="17"/>
  <c r="AX23" i="17"/>
  <c r="AL71" i="17"/>
  <c r="AX64" i="17"/>
  <c r="AT21" i="17"/>
  <c r="AX21" i="17"/>
  <c r="AL21" i="17"/>
  <c r="AP21" i="17"/>
  <c r="AT67" i="17"/>
  <c r="AX9" i="17"/>
  <c r="AT10" i="17"/>
  <c r="AL27" i="17"/>
  <c r="AX67" i="17"/>
  <c r="AL9" i="17"/>
  <c r="AX10" i="17"/>
  <c r="AP31" i="17"/>
  <c r="AP27" i="17"/>
  <c r="AP67" i="17"/>
  <c r="AP33" i="17"/>
  <c r="AL44" i="17"/>
  <c r="AT33" i="17"/>
  <c r="AP44" i="17"/>
  <c r="AT54" i="17"/>
  <c r="AL7" i="17"/>
  <c r="AX33" i="17"/>
  <c r="AT44" i="17"/>
  <c r="AP43" i="17"/>
  <c r="AX54" i="17"/>
  <c r="AT40" i="17"/>
  <c r="AP64" i="17"/>
  <c r="AT64" i="17"/>
  <c r="AL64" i="17"/>
  <c r="AT31" i="17"/>
  <c r="AX40" i="17"/>
  <c r="AX31" i="17"/>
  <c r="AL40" i="17"/>
  <c r="AX79" i="17"/>
  <c r="AT29" i="17"/>
  <c r="AL31" i="17"/>
  <c r="AP40" i="17"/>
  <c r="AL67" i="17"/>
  <c r="AL79" i="17"/>
  <c r="F49" i="4" l="1"/>
  <c r="D50" i="7" s="1"/>
  <c r="F50" i="4"/>
  <c r="D51" i="7" s="1"/>
  <c r="F51" i="4"/>
  <c r="D52" i="7" s="1"/>
  <c r="F52" i="4"/>
  <c r="F53" i="4"/>
  <c r="F54" i="4"/>
  <c r="F55" i="4"/>
  <c r="F56" i="4"/>
  <c r="F57" i="4"/>
  <c r="F58" i="4"/>
  <c r="F59" i="4"/>
  <c r="F60" i="4"/>
  <c r="F61" i="4"/>
  <c r="F62" i="4"/>
  <c r="L4" i="17" l="1"/>
  <c r="AE4" i="17" l="1"/>
  <c r="AD4" i="17"/>
  <c r="AC4" i="17"/>
  <c r="AB4" i="17"/>
  <c r="AA4" i="17"/>
  <c r="Z4" i="17"/>
  <c r="Y4" i="17"/>
  <c r="X4" i="17"/>
  <c r="W4" i="17"/>
  <c r="M4" i="17"/>
  <c r="BA4" i="17" l="1"/>
  <c r="AG4" i="17"/>
  <c r="N4" i="17"/>
  <c r="R4" i="17"/>
  <c r="P4" i="17"/>
  <c r="O4" i="17"/>
  <c r="S4" i="17" l="1"/>
  <c r="Q4" i="17"/>
  <c r="V4" i="17" s="1"/>
  <c r="AH4" i="17" l="1"/>
  <c r="AY4" i="17" s="1"/>
  <c r="AV4" i="17" l="1"/>
  <c r="AN4" i="17"/>
  <c r="AZ4" i="17"/>
  <c r="AR4" i="17"/>
  <c r="AJ4" i="17"/>
  <c r="AX4" i="17" l="1"/>
  <c r="AL4" i="17"/>
  <c r="AP4" i="17"/>
  <c r="AT4" i="17"/>
  <c r="I4" i="4" l="1"/>
  <c r="H64" i="4" s="1"/>
  <c r="I64" i="4" l="1"/>
  <c r="F4" i="7"/>
  <c r="C4" i="7"/>
  <c r="AE79" i="4" l="1"/>
  <c r="AD79" i="4"/>
  <c r="AC79" i="4"/>
  <c r="AB79" i="4"/>
  <c r="AA79" i="4"/>
  <c r="Z79" i="4"/>
  <c r="Y79" i="4"/>
  <c r="X79" i="4"/>
  <c r="W79" i="4"/>
  <c r="V79" i="4"/>
  <c r="U79" i="4"/>
  <c r="L64" i="4"/>
  <c r="AA71" i="4"/>
  <c r="AE70" i="4"/>
  <c r="D101" i="3"/>
  <c r="C99" i="3"/>
  <c r="C100" i="3" s="1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G3" i="3"/>
  <c r="E97" i="3" s="1"/>
  <c r="D97" i="3"/>
  <c r="E3" i="3"/>
  <c r="C97" i="3" s="1"/>
  <c r="C98" i="3" s="1"/>
  <c r="G2" i="3"/>
  <c r="E95" i="3" s="1"/>
  <c r="D95" i="3"/>
  <c r="E2" i="3"/>
  <c r="C95" i="3" s="1"/>
  <c r="D2" i="3"/>
  <c r="C101" i="3" s="1"/>
  <c r="E101" i="3" s="1"/>
  <c r="C2" i="3"/>
  <c r="Q8" i="6" l="1"/>
  <c r="Q3" i="6" s="1"/>
  <c r="Q5" i="6" s="1"/>
  <c r="D99" i="3"/>
  <c r="D100" i="3" s="1"/>
  <c r="X68" i="4"/>
  <c r="AA69" i="4"/>
  <c r="X70" i="4"/>
  <c r="AA80" i="4"/>
  <c r="AE77" i="4"/>
  <c r="AB71" i="4"/>
  <c r="T79" i="4"/>
  <c r="AC69" i="4"/>
  <c r="X77" i="4"/>
  <c r="X72" i="4"/>
  <c r="Y77" i="4"/>
  <c r="U80" i="4"/>
  <c r="AE72" i="4"/>
  <c r="AB80" i="4"/>
  <c r="AE68" i="4"/>
  <c r="D4" i="7"/>
  <c r="AA78" i="4"/>
  <c r="AB69" i="4"/>
  <c r="Y68" i="4"/>
  <c r="U71" i="4"/>
  <c r="Z68" i="4"/>
  <c r="V69" i="4"/>
  <c r="AD69" i="4"/>
  <c r="Z70" i="4"/>
  <c r="V71" i="4"/>
  <c r="AD71" i="4"/>
  <c r="Z72" i="4"/>
  <c r="Z77" i="4"/>
  <c r="V78" i="4"/>
  <c r="AD78" i="4"/>
  <c r="V80" i="4"/>
  <c r="AD80" i="4"/>
  <c r="Y70" i="4"/>
  <c r="AC80" i="4"/>
  <c r="AA68" i="4"/>
  <c r="W69" i="4"/>
  <c r="AE69" i="4"/>
  <c r="AA70" i="4"/>
  <c r="W71" i="4"/>
  <c r="AE71" i="4"/>
  <c r="AA72" i="4"/>
  <c r="AA77" i="4"/>
  <c r="W78" i="4"/>
  <c r="AE78" i="4"/>
  <c r="W80" i="4"/>
  <c r="AE80" i="4"/>
  <c r="U69" i="4"/>
  <c r="AB68" i="4"/>
  <c r="X69" i="4"/>
  <c r="AB70" i="4"/>
  <c r="X71" i="4"/>
  <c r="AB72" i="4"/>
  <c r="AB77" i="4"/>
  <c r="X78" i="4"/>
  <c r="X80" i="4"/>
  <c r="AB78" i="4"/>
  <c r="U78" i="4"/>
  <c r="U68" i="4"/>
  <c r="AC68" i="4"/>
  <c r="Y69" i="4"/>
  <c r="U70" i="4"/>
  <c r="AC70" i="4"/>
  <c r="Y71" i="4"/>
  <c r="U72" i="4"/>
  <c r="AC72" i="4"/>
  <c r="U77" i="4"/>
  <c r="AC77" i="4"/>
  <c r="Y78" i="4"/>
  <c r="Y80" i="4"/>
  <c r="Y72" i="4"/>
  <c r="V68" i="4"/>
  <c r="AD68" i="4"/>
  <c r="Z69" i="4"/>
  <c r="V70" i="4"/>
  <c r="AD70" i="4"/>
  <c r="Z71" i="4"/>
  <c r="V72" i="4"/>
  <c r="AD72" i="4"/>
  <c r="V77" i="4"/>
  <c r="AD77" i="4"/>
  <c r="Z78" i="4"/>
  <c r="Z80" i="4"/>
  <c r="AC71" i="4"/>
  <c r="AC78" i="4"/>
  <c r="W68" i="4"/>
  <c r="W70" i="4"/>
  <c r="W72" i="4"/>
  <c r="W77" i="4"/>
  <c r="E98" i="3"/>
  <c r="D98" i="3"/>
  <c r="C106" i="3"/>
  <c r="C96" i="3"/>
  <c r="C104" i="3"/>
  <c r="D96" i="3"/>
  <c r="E96" i="3"/>
  <c r="E99" i="3" l="1"/>
  <c r="E100" i="3" s="1"/>
  <c r="V81" i="4"/>
  <c r="W81" i="4"/>
  <c r="AD81" i="4"/>
  <c r="AD73" i="4"/>
  <c r="X81" i="4"/>
  <c r="Y81" i="4"/>
  <c r="AE81" i="4"/>
  <c r="X73" i="4"/>
  <c r="T72" i="4"/>
  <c r="AE73" i="4"/>
  <c r="T80" i="4"/>
  <c r="AA73" i="4"/>
  <c r="AA81" i="4"/>
  <c r="AC81" i="4"/>
  <c r="AC73" i="4"/>
  <c r="Y73" i="4"/>
  <c r="T68" i="4"/>
  <c r="D103" i="3" s="1"/>
  <c r="U73" i="4"/>
  <c r="U81" i="4"/>
  <c r="T77" i="4"/>
  <c r="T78" i="4"/>
  <c r="AB73" i="4"/>
  <c r="V73" i="4"/>
  <c r="T69" i="4"/>
  <c r="D105" i="3" s="1"/>
  <c r="W73" i="4"/>
  <c r="T70" i="4"/>
  <c r="AB81" i="4"/>
  <c r="Z73" i="4"/>
  <c r="Z81" i="4"/>
  <c r="T71" i="4"/>
  <c r="E103" i="3" l="1"/>
  <c r="D104" i="3"/>
  <c r="E105" i="3"/>
  <c r="D106" i="3"/>
  <c r="T81" i="4"/>
  <c r="T7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<sst xmlns="http://schemas.openxmlformats.org/spreadsheetml/2006/main" count="1390" uniqueCount="659">
  <si>
    <t>WINDCRAFT ENGENHARIA</t>
  </si>
  <si>
    <t>RELATÓRIO GERENCIAL</t>
  </si>
  <si>
    <t>Setor de Operação e Manutenção - Solar</t>
  </si>
  <si>
    <t xml:space="preserve">Cliente: </t>
  </si>
  <si>
    <t xml:space="preserve">Responsável: </t>
  </si>
  <si>
    <t>Igor Medeiros</t>
  </si>
  <si>
    <t>Helexia</t>
  </si>
  <si>
    <t>CIDADES</t>
  </si>
  <si>
    <t>USINA
TOTAIS</t>
  </si>
  <si>
    <t>UF
TOTAL</t>
  </si>
  <si>
    <t>POTÊNCIA 
PICO (MWp)
TOTAL</t>
  </si>
  <si>
    <t>POTÊNCIA 
PICO (MWp)
ATIVAS</t>
  </si>
  <si>
    <t>POTÊNCIA 
PICO (MWp)
OFF</t>
  </si>
  <si>
    <t xml:space="preserve">Aux. </t>
  </si>
  <si>
    <t>Manacapuru</t>
  </si>
  <si>
    <t>AM</t>
  </si>
  <si>
    <t>Iranduba</t>
  </si>
  <si>
    <t>Presidente Figueiredo</t>
  </si>
  <si>
    <t>.</t>
  </si>
  <si>
    <t>Coração de Maria</t>
  </si>
  <si>
    <t>BA</t>
  </si>
  <si>
    <t>Tucano</t>
  </si>
  <si>
    <t>Beberibe</t>
  </si>
  <si>
    <t>Cascavel</t>
  </si>
  <si>
    <t>CE</t>
  </si>
  <si>
    <t>Nova Russas</t>
  </si>
  <si>
    <t>Monsenhor Tabosa</t>
  </si>
  <si>
    <t>Varjota</t>
  </si>
  <si>
    <t>Jaguaruana</t>
  </si>
  <si>
    <t>Santa Quitéria</t>
  </si>
  <si>
    <t>Marco</t>
  </si>
  <si>
    <t>Carnaubal</t>
  </si>
  <si>
    <t>Bela Vista de Goiás</t>
  </si>
  <si>
    <t>Guapó</t>
  </si>
  <si>
    <t>Cezarina</t>
  </si>
  <si>
    <t>Rio Verde</t>
  </si>
  <si>
    <t>Ouro</t>
  </si>
  <si>
    <t>Paranaíba</t>
  </si>
  <si>
    <t>GO</t>
  </si>
  <si>
    <t>Cassilândia</t>
  </si>
  <si>
    <t>Paraíso das Águas</t>
  </si>
  <si>
    <t>Vertentes</t>
  </si>
  <si>
    <t>Afrânio</t>
  </si>
  <si>
    <t>Alto Paraná</t>
  </si>
  <si>
    <t>Amaporã</t>
  </si>
  <si>
    <t>MS</t>
  </si>
  <si>
    <t>Cidade Gaúcha</t>
  </si>
  <si>
    <t>Colorado</t>
  </si>
  <si>
    <t>Paranavaí</t>
  </si>
  <si>
    <t>Iguaraçu</t>
  </si>
  <si>
    <t>Loanda</t>
  </si>
  <si>
    <t>Munhoz de Melo</t>
  </si>
  <si>
    <t>Nova Esperança</t>
  </si>
  <si>
    <t>PE</t>
  </si>
  <si>
    <t>Apucarana</t>
  </si>
  <si>
    <t>Rolândia</t>
  </si>
  <si>
    <t>Governador Dix-Sept Rosado</t>
  </si>
  <si>
    <t>PR</t>
  </si>
  <si>
    <t>Touros</t>
  </si>
  <si>
    <t>Riacho da Cruz</t>
  </si>
  <si>
    <t>Rolim de Moura</t>
  </si>
  <si>
    <t>Tapes</t>
  </si>
  <si>
    <t>Charqueadas</t>
  </si>
  <si>
    <t>São Jerônimo</t>
  </si>
  <si>
    <t>Euclides da Cunha Paulista</t>
  </si>
  <si>
    <t>Presidente Alves</t>
  </si>
  <si>
    <t>Guararapes</t>
  </si>
  <si>
    <t>Santo Antônio do Aracanguá</t>
  </si>
  <si>
    <t>Barretos</t>
  </si>
  <si>
    <t>Presidente Venceslau</t>
  </si>
  <si>
    <t>Lorena</t>
  </si>
  <si>
    <t>RN</t>
  </si>
  <si>
    <t>Cruzeiro</t>
  </si>
  <si>
    <t>Caçapava</t>
  </si>
  <si>
    <t>Taquarituba</t>
  </si>
  <si>
    <t>Cotia</t>
  </si>
  <si>
    <t>Itapevi</t>
  </si>
  <si>
    <t>Embu-Guaçu</t>
  </si>
  <si>
    <t>RO</t>
  </si>
  <si>
    <t>RS</t>
  </si>
  <si>
    <t>SP</t>
  </si>
  <si>
    <t>TOTAL</t>
  </si>
  <si>
    <t>ATIVAS</t>
  </si>
  <si>
    <t>NÃO ATIVAS</t>
  </si>
  <si>
    <t>POTÊNCIA PICO (MWp)</t>
  </si>
  <si>
    <t>USINAS</t>
  </si>
  <si>
    <t>ESTADOS</t>
  </si>
  <si>
    <t>AM, BA, CE, GO, MS, PE, PR, RN, RO, RS, SP</t>
  </si>
  <si>
    <t xml:space="preserve"> CE, GO, MS, PR, 
RN, RO, RS, SP</t>
  </si>
  <si>
    <t>AM, BA, PE</t>
  </si>
  <si>
    <t>TÉCNICOS (Campo)</t>
  </si>
  <si>
    <t>MWp/Técnico</t>
  </si>
  <si>
    <t>-</t>
  </si>
  <si>
    <t>MANTENEDOR (Campo)</t>
  </si>
  <si>
    <t>MWp/Mantenedor</t>
  </si>
  <si>
    <t>Controle de Mobilização</t>
  </si>
  <si>
    <t>FUNCIONÁRIO</t>
  </si>
  <si>
    <t>Função</t>
  </si>
  <si>
    <t>CIDADE BASE</t>
  </si>
  <si>
    <t>UF</t>
  </si>
  <si>
    <t>MODALIDADE</t>
  </si>
  <si>
    <t>CUSTO COM
REMUNERAÇÃO</t>
  </si>
  <si>
    <t>VEÍCULO</t>
  </si>
  <si>
    <t>LOCADORA</t>
  </si>
  <si>
    <t>VALOR
MENSAL</t>
  </si>
  <si>
    <t>Jefferson Willian da Silva</t>
  </si>
  <si>
    <t>Técnico de O&amp;M</t>
  </si>
  <si>
    <t>Mossoró/RN</t>
  </si>
  <si>
    <t>CLT</t>
  </si>
  <si>
    <t>Mantenedor</t>
  </si>
  <si>
    <t>Dioleno Moreira da Silva</t>
  </si>
  <si>
    <t>Beberibe/CE</t>
  </si>
  <si>
    <t>4x4#</t>
  </si>
  <si>
    <t>Flávio Henrique Mente Olivio</t>
  </si>
  <si>
    <t>Euclides da Cunha Paulista/SP</t>
  </si>
  <si>
    <t>Ualas Henrique Melo dos Santos Yoshida</t>
  </si>
  <si>
    <t>Paranaiba/MS</t>
  </si>
  <si>
    <t>Pedro Henrique de Oliveira</t>
  </si>
  <si>
    <t>Lorena/SP</t>
  </si>
  <si>
    <t>Jefferson Henrique de Carvalho Fernandes</t>
  </si>
  <si>
    <t>Guararapes/SP</t>
  </si>
  <si>
    <t>Cassilândia/MS</t>
  </si>
  <si>
    <t>Alisson Martins Raasch</t>
  </si>
  <si>
    <t>Rolim de Moura/RO</t>
  </si>
  <si>
    <t>4x2</t>
  </si>
  <si>
    <t>José Filipe Cândido</t>
  </si>
  <si>
    <t>Munhoz de Melo/PR</t>
  </si>
  <si>
    <t>4x4</t>
  </si>
  <si>
    <t>Luiz Antonio Ribeiro</t>
  </si>
  <si>
    <t>Cidade Gaúcha/PR</t>
  </si>
  <si>
    <t>Anderson Fellipe Rodrigues da Silva</t>
  </si>
  <si>
    <t>Cezarina/GO</t>
  </si>
  <si>
    <t>Celso Gabriel Fernandes dos Santos</t>
  </si>
  <si>
    <t>Paranavaí/PR</t>
  </si>
  <si>
    <t>José Roberto Azevedo Neto</t>
  </si>
  <si>
    <t>Charqueadas/RS</t>
  </si>
  <si>
    <t>Paranaíba/MS</t>
  </si>
  <si>
    <t>Carnaubal/CE</t>
  </si>
  <si>
    <t>Jonatha Teixeira de Oliveira</t>
  </si>
  <si>
    <t>Alvaro Correia Bentes Neto</t>
  </si>
  <si>
    <t>Kevin Franklin Fernandes Rodrigues</t>
  </si>
  <si>
    <t>Técnico - CO</t>
  </si>
  <si>
    <t>Rafael Martins de Araújo Ferreira</t>
  </si>
  <si>
    <t>Coordenador de O&amp;M</t>
  </si>
  <si>
    <t>PJ</t>
  </si>
  <si>
    <t>Andreas Fenner</t>
  </si>
  <si>
    <t>Estagiário</t>
  </si>
  <si>
    <t>Djavan Lucas de Oliveira Freire</t>
  </si>
  <si>
    <t>Miqueas Marcos Silva Bezerra</t>
  </si>
  <si>
    <t>Gabriel Beserra Lima da Silva</t>
  </si>
  <si>
    <t>Estágio</t>
  </si>
  <si>
    <t>Mateus Henrique Batista Ribeiro</t>
  </si>
  <si>
    <t>Custo com Locação Veículos</t>
  </si>
  <si>
    <t>Faturamento Mensal</t>
  </si>
  <si>
    <t>Faturamento com Veículo</t>
  </si>
  <si>
    <t>CONTADOR TOTAL - Colaboradores</t>
  </si>
  <si>
    <t xml:space="preserve">Notas e Instruções das Fórmulas: </t>
  </si>
  <si>
    <t>FUNÇÃO</t>
  </si>
  <si>
    <t>QTD</t>
  </si>
  <si>
    <t>CAMPO</t>
  </si>
  <si>
    <t>CONTADOR TOTAL - Veículos</t>
  </si>
  <si>
    <t>Faturamento Mensal &amp; Veículo</t>
  </si>
  <si>
    <t>Esse faturamento é um valor calculado com Base no BM</t>
  </si>
  <si>
    <t>CENTRO DE OPERAÇÕES</t>
  </si>
  <si>
    <t xml:space="preserve">Calculo Porcentagem </t>
  </si>
  <si>
    <t>Custo de Mão-de-obra em relação ao faturamento</t>
  </si>
  <si>
    <t>O valor resultante tem que ser a porcentagem em relação ao total pelo custo de mão de obra</t>
  </si>
  <si>
    <t xml:space="preserve">Como Achar o BM pra colocar aqui? </t>
  </si>
  <si>
    <t>Insere o BM como copiar\colar</t>
  </si>
  <si>
    <t xml:space="preserve">Como calcular o salário? </t>
  </si>
  <si>
    <t xml:space="preserve">É necessário entrar no contracheque do pessoal e olhar o "salário mensalista"  desscrito em um dos tópicos, não o salário liquido nem bruto! </t>
  </si>
  <si>
    <t xml:space="preserve">Categorização dos gastos reais: </t>
  </si>
  <si>
    <t>● Terceirizados – Gastos retirando às categorias:
VLC, VCB, VMN, VIA</t>
  </si>
  <si>
    <t>● Remuneração – Somente as categorias abaixo:
REM e REE</t>
  </si>
  <si>
    <t>LOCAÇÃO</t>
  </si>
  <si>
    <t>● Veículos – Pode pegar no Relatório Gerencial</t>
  </si>
  <si>
    <t xml:space="preserve">● Hospedagem e viagens não pode criar devido a soma e subitração necessária na clara e no extrato da inter e por ser um valor já  colocado em outra parte do relatório gerencial então não é necessário. </t>
  </si>
  <si>
    <t>FROTA PRÓPRIA</t>
  </si>
  <si>
    <t>4x2#</t>
  </si>
  <si>
    <t xml:space="preserve">Consultar Dados:  </t>
  </si>
  <si>
    <t xml:space="preserve">Rh -por email- com o controle de pessoal; Logística presencialmente para os carros; Igor presencialmente para Potência  (MWP) e cidades; Financeiro para BM, abastecimentos, CDG e extrato; </t>
  </si>
  <si>
    <t>Nome</t>
  </si>
  <si>
    <t>Cidade</t>
  </si>
  <si>
    <t>Estado</t>
  </si>
  <si>
    <t>País</t>
  </si>
  <si>
    <t>Carros</t>
  </si>
  <si>
    <t>BR</t>
  </si>
  <si>
    <t>Fluxo Financeiro Real</t>
  </si>
  <si>
    <t>Faturamento</t>
  </si>
  <si>
    <t>Impostos</t>
  </si>
  <si>
    <t>Lucro</t>
  </si>
  <si>
    <t>Custo Real</t>
  </si>
  <si>
    <t>Automático</t>
  </si>
  <si>
    <t xml:space="preserve">Aluguel Carros </t>
  </si>
  <si>
    <t>Remuneração</t>
  </si>
  <si>
    <t>Terceiros</t>
  </si>
  <si>
    <t>Informações Básicas</t>
  </si>
  <si>
    <t>ANOTAÇÕES DE RESPONSABILIDADE TÉCNICA - CREA</t>
  </si>
  <si>
    <t>#</t>
  </si>
  <si>
    <t>UFV</t>
  </si>
  <si>
    <t>CIDADE</t>
  </si>
  <si>
    <t>CLIENTE</t>
  </si>
  <si>
    <t>CONTRATO</t>
  </si>
  <si>
    <t>RESPONSÁVEL TÉCNICO</t>
  </si>
  <si>
    <t>ART OBRA/SERVIÇO</t>
  </si>
  <si>
    <t>STATUS</t>
  </si>
  <si>
    <t>INICIO</t>
  </si>
  <si>
    <t>TÉRMINO</t>
  </si>
  <si>
    <t>ASSINATURAS</t>
  </si>
  <si>
    <t>HELEXIA</t>
  </si>
  <si>
    <t>Igor José Nunes Medeiros</t>
  </si>
  <si>
    <t>Engenheiro Civil / Engenheiro Eletricista</t>
  </si>
  <si>
    <t>EMITIDO</t>
  </si>
  <si>
    <t>OK</t>
  </si>
  <si>
    <t>PROJETO</t>
  </si>
  <si>
    <t>SEGMENTO</t>
  </si>
  <si>
    <t>INÍCIO</t>
  </si>
  <si>
    <t>NÃO EMITIDA</t>
  </si>
  <si>
    <t>PENDENTE</t>
  </si>
  <si>
    <t>CONTRATO DE PRESTAÇÃO DE SERVIÇOS DE ADMINISTRAÇÃO, OPERAÇÃO E MANUTENÇÃO
DE USINAS FOTOVOLTAICAS - HELEXIA</t>
  </si>
  <si>
    <t>SOLAR</t>
  </si>
  <si>
    <t>Sem contrato</t>
  </si>
  <si>
    <t>REFERENCIA BM-24- Outubro/2025</t>
  </si>
  <si>
    <t>Escopo Atual - Veículos</t>
  </si>
  <si>
    <t>Cezrina</t>
  </si>
  <si>
    <t>Eng. Civil / Eng. Eletricista</t>
  </si>
  <si>
    <t>CONTROLE DE HSE - PGR E PCMSO</t>
  </si>
  <si>
    <t>ESTADO</t>
  </si>
  <si>
    <t>DOCUMENTO</t>
  </si>
  <si>
    <t>RESPONSÁVEL 
TÉCNICO</t>
  </si>
  <si>
    <t xml:space="preserve">REV. </t>
  </si>
  <si>
    <t>EMISSÃO</t>
  </si>
  <si>
    <t>VALIDADE</t>
  </si>
  <si>
    <t>CONTRATO DE PRESTAÇÃO DE SERVIÇOS DE ADMINISTRAÇÃO, OPERAÇÃO E MANUTENÇÃO</t>
  </si>
  <si>
    <t>ART - PGR LTCAT</t>
  </si>
  <si>
    <t>Eng.Segurança</t>
  </si>
  <si>
    <t>RV00</t>
  </si>
  <si>
    <t>PGR</t>
  </si>
  <si>
    <t>RV01</t>
  </si>
  <si>
    <t>LTCAT</t>
  </si>
  <si>
    <t>PCMSO</t>
  </si>
  <si>
    <t>Médico do Trabalho</t>
  </si>
  <si>
    <t>FATURAMENTO BRUTO</t>
  </si>
  <si>
    <t>UFVS CONTRATO</t>
  </si>
  <si>
    <t>UFVS SEM CONTRATO</t>
  </si>
  <si>
    <t>VEÍCULOS</t>
  </si>
  <si>
    <t>HORAS EXTRAS</t>
  </si>
  <si>
    <t>CRESCIMENTO MENSAL</t>
  </si>
  <si>
    <t>Contrato</t>
  </si>
  <si>
    <t>Operacional</t>
  </si>
  <si>
    <t>Administrativo</t>
  </si>
  <si>
    <t>BOM – Estamos atendendo de forma satisfatória</t>
  </si>
  <si>
    <t>REGULAR – Item merece atenção</t>
  </si>
  <si>
    <t>RUIM – Precisamos trabalhar para melhorar</t>
  </si>
  <si>
    <t>ACIONAMENTO EQUIPE DE CAMPO – O Centro de Operações tem se dedicado intensamente ao acionamento das equipes diariamente.
SUPRIMENTOS - Estamos realizando aquisições e enviando equipamentos para garantia de maneira satisfatória. Essa atividade demanda um tempo considerável dos técnicos. Estamos avaliando a possibilidade de transferir essa responsabilidade para a LOGÍSTICA do escritório.</t>
  </si>
  <si>
    <t>PARADAS ANUAIS – Iniciamos as primeiras paradas anuais e estamos aguardando os relatórios de fechamento para dar início às demais paradas. Já temos usinas com atrasos, e estamos planejando retomar as atividades em abril de 2025.
RELATÓRIOS DE ENGENHARIA – Estamos enfrentando atrasos na elaboração dos relatórios de engenharia, uma atividade que era predominantemente realizada pelos estagiários que solicitaram demissão. Para resolver essa situação, iremos mobilizar novos estagiários e designar um dos técnicos para supervisionar esse processo.
ESTUDOS DE EFICIÊNCIA – Devido à alta demanda operacional, o Coordenador de Engenharia não tem conseguido realizar os estudos de eficiência para os clientes. Este item é um diferencial importante, mas requer mão de obra mais técnica e especializada.</t>
  </si>
  <si>
    <t>PREVENTIVAS – Realizamos aproximadamente 263 atividades preventivas por semana, totalizando cerca de 1052 atividades por mês. Além disso, lidamos com outras ordens de serviço para atividades corretivas. Um desafio adicional é a dificuldade técnica da mão de obra, que muitas vezes resulta na necessidade de revisar os relatórios. Estamos em processo de mudança de software, mas essa situação também reflete a escassez de mão de obra para o acompanhamento de várias usinas.
CFTV – O sistema de supervisão atual é ineficiente. Recentemente, enfrentamos alguns roubos em algumas usinas durante a noite. Embora tenhamos iniciado o monitoramento noturno em um regime de 12/36, é impossível assumir toda a responsabilidade patrimonial relacionada a esse item.</t>
  </si>
  <si>
    <t xml:space="preserve">HSE – A quantidade de documentação exigida por nossa contratante é alta, porém estabilizou-se após a divisão com 3 TST´s dando apoio a área. 
Logística – Veiculos: Permanece faltando rastreadores, porém está com o controle muito melhor. </t>
  </si>
  <si>
    <t>RH – FOLHAS DE PONTO – Mensalmente, precisamos verificar todas as horas extras dos funcionários, validar e reunir as horas e sobreavisos para inclusão na medição. Esse processo tem atrasado constantemente nossa medição. A partir de abril de 2025, será solicitado que o RH se reúna com o coordenador e apresente as horas extras e sobreaviso no formato adequado para os Boletins de Medição.
RH – RECRUTAMENTO – Após o estudo sobre o In-Hire, descobriu-se que para os mantenedores de campo ainda se necessita sempre os contatar pois poucos realmente param para usar o Linkedin ou alguma plataforma de recrutamento, portanto, ainda permanece regular. 
JURIDICO – Estamos firmando diversos contratos de serviços com PJ’s independentes, porém na área de ART´s ainda falta a automatização do processo. 
FINANCEIRO – Necessita melhorar cada vez mais a precisão dos gastos e diminuir da entrega de custos.</t>
  </si>
  <si>
    <t>Salário Base</t>
  </si>
  <si>
    <t>Periculosidade</t>
  </si>
  <si>
    <t>Salário Bruto</t>
  </si>
  <si>
    <t>Inss + FGTS</t>
  </si>
  <si>
    <t>Provisão de Férias</t>
  </si>
  <si>
    <t xml:space="preserve">Provisão de 13º </t>
  </si>
  <si>
    <t>Provisão Imposto sobre 13º+Férias</t>
  </si>
  <si>
    <t>Provisão Aviso Rescisão</t>
  </si>
  <si>
    <t>Provisão FGTS Rescisão</t>
  </si>
  <si>
    <t xml:space="preserve">Contra-cheque Diária-Alimentação </t>
  </si>
  <si>
    <t>Encargos</t>
  </si>
  <si>
    <t>Aso ADM</t>
  </si>
  <si>
    <t>Aso PER</t>
  </si>
  <si>
    <t>Aso DEM</t>
  </si>
  <si>
    <t>PPRA/PCMSO</t>
  </si>
  <si>
    <t>NR´s (2025)</t>
  </si>
  <si>
    <t>E.P.I´s (2025)</t>
  </si>
  <si>
    <t xml:space="preserve">Notebook </t>
  </si>
  <si>
    <t>Celulares</t>
  </si>
  <si>
    <t>Seguro de Vida</t>
  </si>
  <si>
    <t xml:space="preserve">Plano de Saúde </t>
  </si>
  <si>
    <t>COMPLEMENTARES</t>
  </si>
  <si>
    <t>Custo Básico</t>
  </si>
  <si>
    <r>
      <t xml:space="preserve">Lucro
</t>
    </r>
    <r>
      <rPr>
        <i/>
        <sz val="10"/>
        <color theme="1"/>
        <rFont val="Calibri"/>
        <family val="2"/>
        <scheme val="minor"/>
      </rPr>
      <t/>
    </r>
  </si>
  <si>
    <t>Salario Base</t>
  </si>
  <si>
    <t>Salário Final</t>
  </si>
  <si>
    <r>
      <t xml:space="preserve">O cálculo para contagem agora é automático então você tem que escrever </t>
    </r>
    <r>
      <rPr>
        <u/>
        <sz val="12"/>
        <color rgb="FF002060"/>
        <rFont val="Times New Roman"/>
        <family val="1"/>
      </rPr>
      <t>exatamente</t>
    </r>
    <r>
      <rPr>
        <sz val="12"/>
        <color rgb="FF002060"/>
        <rFont val="Times New Roman"/>
        <family val="1"/>
      </rPr>
      <t xml:space="preserve"> o nome do tópico caso haja edição (Tipo "Estagiário"). </t>
    </r>
  </si>
  <si>
    <t>Windcraft - Controle de Estoque</t>
  </si>
  <si>
    <t>Funcionário</t>
  </si>
  <si>
    <t>Número de Patrimônio</t>
  </si>
  <si>
    <t>Processador</t>
  </si>
  <si>
    <t>RAM</t>
  </si>
  <si>
    <t>Espaço no SSD</t>
  </si>
  <si>
    <t>Observações</t>
  </si>
  <si>
    <t>Asus 245</t>
  </si>
  <si>
    <t xml:space="preserve">Intel(R) Celeron(R) N4000 CPU @ 1.10GHz, 2 Cores, 4 Threads </t>
  </si>
  <si>
    <t>4Gb</t>
  </si>
  <si>
    <t>240Gb</t>
  </si>
  <si>
    <t>Dell 3</t>
  </si>
  <si>
    <t xml:space="preserve">i3 4th Gen CPU @ 3.4 GHz, 2 Cores, 4 Threads </t>
  </si>
  <si>
    <t xml:space="preserve">Intel Celeron N3350 CPU @ 1.10GHz, 2 Cores, 4 Threads </t>
  </si>
  <si>
    <t>Dell 303</t>
  </si>
  <si>
    <t xml:space="preserve">i5 8350U CPU @ 1.70Ghz, 4 Cores, 8 Threads </t>
  </si>
  <si>
    <t>8Gb</t>
  </si>
  <si>
    <t>256Gb</t>
  </si>
  <si>
    <t>Moto G05 277</t>
  </si>
  <si>
    <t>Lenovo 47</t>
  </si>
  <si>
    <t xml:space="preserve">Intel Celeron(R) N4000 CPU @ 1.10GHz, 2 Cores, 4 Threads </t>
  </si>
  <si>
    <t>Lenovo S145-15IWL</t>
  </si>
  <si>
    <t xml:space="preserve">Core i5 CPU @ 1.80GHz, 4 Cores, 8 Threads </t>
  </si>
  <si>
    <t xml:space="preserve">i5 8265U CPU @ 1.60GHz, 4 Cores, 8 Threads </t>
  </si>
  <si>
    <t>Lenovo 305</t>
  </si>
  <si>
    <t xml:space="preserve">IdeaPad S145 Intel® Celeron N4000 CPU @ 1.10GHz, 2 Cores, 4 Threads </t>
  </si>
  <si>
    <t>500Gb</t>
  </si>
  <si>
    <t>Lenovo 301</t>
  </si>
  <si>
    <t xml:space="preserve">i5 7200U CPU @ 2.5GHz, 2 Cores, 4 Threads </t>
  </si>
  <si>
    <t>A13 Preto</t>
  </si>
  <si>
    <t>Lenovo 48</t>
  </si>
  <si>
    <t xml:space="preserve">Intel® Celeron N4000 CPU @ 1.10GHz, 2 Cores, 4 Threads </t>
  </si>
  <si>
    <t>450Gb</t>
  </si>
  <si>
    <t>A32 Preto 471</t>
  </si>
  <si>
    <t>Acer 119</t>
  </si>
  <si>
    <t xml:space="preserve">i3 1005G1 CPU @ 3.0GHz, 2 Cores, 4 Threads </t>
  </si>
  <si>
    <t>Breno da Silva Rodrigues</t>
  </si>
  <si>
    <t>Lenovo 475</t>
  </si>
  <si>
    <t>A14 Preto 461</t>
  </si>
  <si>
    <t>i5 8th Gen</t>
  </si>
  <si>
    <t>A32 Preto 459</t>
  </si>
  <si>
    <t>Lenovo 250</t>
  </si>
  <si>
    <t xml:space="preserve">Intel® Celeron N4020 CPU @2.6GHZ, 2 Cores, 4 Threads </t>
  </si>
  <si>
    <t>128Gb</t>
  </si>
  <si>
    <t>Dupla do Allison Raasch</t>
  </si>
  <si>
    <t>A32 Preto 474</t>
  </si>
  <si>
    <t>Dell 311</t>
  </si>
  <si>
    <t xml:space="preserve">i3 6006U CPU @ 2.0GHz, 2 Cores, 4 Threads </t>
  </si>
  <si>
    <t>Asus 217</t>
  </si>
  <si>
    <t xml:space="preserve">i3 7020U CPU @ 2.3GHz, 2 Cores, 4 Threads </t>
  </si>
  <si>
    <t xml:space="preserve">i5 7300U CPU @ 2.6GHz, 2 Cores, 4 Threads </t>
  </si>
  <si>
    <t>Jediel Feitosa em posse: A32 Lilas 473</t>
  </si>
  <si>
    <t>Asus 231</t>
  </si>
  <si>
    <t xml:space="preserve">i3 7020 CPU @ 2,3 GHz, 2 Cores, 4 Threads </t>
  </si>
  <si>
    <t>128 Gb</t>
  </si>
  <si>
    <t xml:space="preserve">i5 8350U CPU @1.7GHz, 4Cores, 8 threads </t>
  </si>
  <si>
    <t>8gb</t>
  </si>
  <si>
    <t>240gb</t>
  </si>
  <si>
    <t>Desmobilizado</t>
  </si>
  <si>
    <t>HP 467</t>
  </si>
  <si>
    <t xml:space="preserve">i5 4300U CPU @ 1.9 GHZ, 2 cores, 4 threads </t>
  </si>
  <si>
    <t>Redmi 14C</t>
  </si>
  <si>
    <t>Intel Celeron</t>
  </si>
  <si>
    <t>120 Gb</t>
  </si>
  <si>
    <t>A14 Preto 462</t>
  </si>
  <si>
    <t>Dell 495</t>
  </si>
  <si>
    <t>Intel(R) Celeron(R) N4020</t>
  </si>
  <si>
    <t>4 GB</t>
  </si>
  <si>
    <t>128 GB</t>
  </si>
  <si>
    <t>Lenovo 264</t>
  </si>
  <si>
    <t>i5 7200U CPU @ 2.5 GHz</t>
  </si>
  <si>
    <t>i5-12450H</t>
  </si>
  <si>
    <t>ThinkPad 389</t>
  </si>
  <si>
    <t>i5 8350U</t>
  </si>
  <si>
    <t>16Gb</t>
  </si>
  <si>
    <t>Lenovo 015</t>
  </si>
  <si>
    <t>Core i5 8th Gen</t>
  </si>
  <si>
    <t>256 Gb</t>
  </si>
  <si>
    <t>Asus 225</t>
  </si>
  <si>
    <t>240 Gb</t>
  </si>
  <si>
    <t>Dell 436</t>
  </si>
  <si>
    <t>i5-8365U</t>
  </si>
  <si>
    <t>HP 448</t>
  </si>
  <si>
    <t>i5 8365U</t>
  </si>
  <si>
    <t>N/A</t>
  </si>
  <si>
    <t>Thinkpad 476</t>
  </si>
  <si>
    <t>Marcelo de Freitas Viana</t>
  </si>
  <si>
    <t>Gustavo dos Santos Moura</t>
  </si>
  <si>
    <t>Edson Pereira Barbosa</t>
  </si>
  <si>
    <t>Thiago de Andrade Lima</t>
  </si>
  <si>
    <t>Douglas Rodrigo do Santos Lima</t>
  </si>
  <si>
    <t>Bruno Rocha Pestana</t>
  </si>
  <si>
    <t>Rio Verde-GO</t>
  </si>
  <si>
    <t>Goiânia – GO</t>
  </si>
  <si>
    <t>São Jerônimo - RS</t>
  </si>
  <si>
    <t>Cassilândia – MS</t>
  </si>
  <si>
    <t>Paranavaí – PR</t>
  </si>
  <si>
    <t>Caçapava – SP</t>
  </si>
  <si>
    <t>Iranduba – AM</t>
  </si>
  <si>
    <t>André Silva de Oliveira</t>
  </si>
  <si>
    <t>Rebeca de Andrade Alves</t>
  </si>
  <si>
    <t xml:space="preserve">Hospedagem </t>
  </si>
  <si>
    <t>Modalidade</t>
  </si>
  <si>
    <r>
      <t xml:space="preserve">Taxa Administrativa 
</t>
    </r>
    <r>
      <rPr>
        <i/>
        <sz val="10"/>
        <color theme="1"/>
        <rFont val="Times New Roman"/>
        <family val="1"/>
      </rPr>
      <t xml:space="preserve">(Escritorio e estrutura de suporte, adm e TI)
</t>
    </r>
  </si>
  <si>
    <r>
      <t xml:space="preserve">Taxa de Risco
</t>
    </r>
    <r>
      <rPr>
        <sz val="10"/>
        <color theme="1"/>
        <rFont val="Times New Roman"/>
        <family val="1"/>
      </rPr>
      <t xml:space="preserve">Insegurança no orçamento por falta de especificações
</t>
    </r>
  </si>
  <si>
    <r>
      <t xml:space="preserve">Imposto Nota
</t>
    </r>
    <r>
      <rPr>
        <i/>
        <sz val="10"/>
        <color rgb="FF00B050"/>
        <rFont val="Times New Roman"/>
        <family val="1"/>
      </rPr>
      <t xml:space="preserve">12,68%=
16,33-3,65
</t>
    </r>
    <r>
      <rPr>
        <b/>
        <i/>
        <sz val="10"/>
        <color rgb="FF00B050"/>
        <rFont val="Times New Roman"/>
        <family val="1"/>
      </rPr>
      <t>COM REIDE</t>
    </r>
  </si>
  <si>
    <r>
      <t xml:space="preserve">Imposto Nota
</t>
    </r>
    <r>
      <rPr>
        <i/>
        <sz val="10"/>
        <color theme="1"/>
        <rFont val="Times New Roman"/>
        <family val="1"/>
      </rPr>
      <t xml:space="preserve">16,33
</t>
    </r>
  </si>
  <si>
    <r>
      <t xml:space="preserve">VALOR FINAL </t>
    </r>
    <r>
      <rPr>
        <b/>
        <i/>
        <sz val="10"/>
        <rFont val="Times New Roman"/>
        <family val="1"/>
      </rPr>
      <t>(Mês)  COM REIDE</t>
    </r>
  </si>
  <si>
    <r>
      <t xml:space="preserve">VALOR FINAL </t>
    </r>
    <r>
      <rPr>
        <i/>
        <sz val="10"/>
        <rFont val="Times New Roman"/>
        <family val="1"/>
      </rPr>
      <t>(Mês)  SEM REIDE</t>
    </r>
  </si>
  <si>
    <t>Nomes</t>
  </si>
  <si>
    <t>Jedson Leandro Siqueira</t>
  </si>
  <si>
    <t>Auxiliar para Bater Dados</t>
  </si>
  <si>
    <t>Andradina/SP</t>
  </si>
  <si>
    <t>Frota Própria</t>
  </si>
  <si>
    <t>Localiza</t>
  </si>
  <si>
    <t>Vencida</t>
  </si>
  <si>
    <t>TOTAL GERAL</t>
  </si>
  <si>
    <t>Manual (SEM VLC, VCB, VMN, REE, REM)</t>
  </si>
  <si>
    <t>Automático se Faturamento Completo</t>
  </si>
  <si>
    <t>Notas</t>
  </si>
  <si>
    <t>Manual (REE &amp; REM) (Valor Líquido)</t>
  </si>
  <si>
    <t>Mão de Obra/Faturamento (Bruto)</t>
  </si>
  <si>
    <t>Fernando Lopes de Souza</t>
  </si>
  <si>
    <t>Técnico em O&amp;M</t>
  </si>
  <si>
    <t xml:space="preserve">Ficou com Carro Reserva por um período no nome de José Roberto. </t>
  </si>
  <si>
    <t>Rodando o BR</t>
  </si>
  <si>
    <t>Felipe Veloso</t>
  </si>
  <si>
    <t>Natal/RN</t>
  </si>
  <si>
    <t>Valida</t>
  </si>
  <si>
    <t xml:space="preserve">Damião Eufrasio da Silva </t>
  </si>
  <si>
    <t xml:space="preserve">Allan Raasch Duda </t>
  </si>
  <si>
    <t xml:space="preserve">Francisco Alex Desouza Nepomuceno </t>
  </si>
  <si>
    <t xml:space="preserve">Felipe Catarino Pereira Santana </t>
  </si>
  <si>
    <t xml:space="preserve">Lucas Santos do Nascimento </t>
  </si>
  <si>
    <t xml:space="preserve">João Augusto Teixeira Tavares </t>
  </si>
  <si>
    <t xml:space="preserve">Lúcio André de Souza </t>
  </si>
  <si>
    <t xml:space="preserve"> Marcos Cardoso Vieira</t>
  </si>
  <si>
    <t xml:space="preserve">Rian Carlos dos Santos Moura </t>
  </si>
  <si>
    <t xml:space="preserve">Carlos Daniel Cruz da Silva </t>
  </si>
  <si>
    <t xml:space="preserve"> Wellinton Ferreira dos Santos</t>
  </si>
  <si>
    <t>Devolveu o carro</t>
  </si>
  <si>
    <t>Carro Localiza devolvido dia 19-12-2025</t>
  </si>
  <si>
    <t xml:space="preserve">Retirou um Localiza em Janeiro </t>
  </si>
  <si>
    <t>Cotia-SP</t>
  </si>
  <si>
    <t xml:space="preserve">Rastreador
</t>
  </si>
  <si>
    <t xml:space="preserve">SIM </t>
  </si>
  <si>
    <t>NÃO</t>
  </si>
  <si>
    <t>Sem informações dadas mês 12</t>
  </si>
  <si>
    <t>Kilometragem Extra Exessiva</t>
  </si>
  <si>
    <t xml:space="preserve">Robert Marques Gonçalves </t>
  </si>
  <si>
    <t xml:space="preserve">Manualmente </t>
  </si>
  <si>
    <t>REEMBOLSO MATERIAIS/SERVIÇOS</t>
  </si>
  <si>
    <t>Multilaser 222</t>
  </si>
  <si>
    <t>Dell 437</t>
  </si>
  <si>
    <t>HP 496</t>
  </si>
  <si>
    <t>Lenovo 275</t>
  </si>
  <si>
    <t>ThinkPad 476</t>
  </si>
  <si>
    <t>Asus 229</t>
  </si>
  <si>
    <t>Acer 233</t>
  </si>
  <si>
    <t>Mês Seguinte ficou com carro reserva sem rastreador</t>
  </si>
  <si>
    <t/>
  </si>
  <si>
    <t>Elaboração:</t>
  </si>
  <si>
    <t>Leandro Farias</t>
  </si>
  <si>
    <t>Mônica Teles</t>
  </si>
  <si>
    <t>Rogério Bastos</t>
  </si>
  <si>
    <t>Elaine Pimentel</t>
  </si>
  <si>
    <t>Fábio Cunha</t>
  </si>
  <si>
    <t>Patrícia Andrade Lopes</t>
  </si>
  <si>
    <t>Vinícius Moraes Rangel</t>
  </si>
  <si>
    <t>Cláudia Peixoto Nobre</t>
  </si>
  <si>
    <t>Renato Guedes Paiva</t>
  </si>
  <si>
    <t>Silvia Matos Barreto</t>
  </si>
  <si>
    <t>Daniel Afonso Queiroz Lima</t>
  </si>
  <si>
    <t>Juliane Costa Figueiredo</t>
  </si>
  <si>
    <t>Mauro Silveira Prado</t>
  </si>
  <si>
    <t>Tatiana Borges Nascimento</t>
  </si>
  <si>
    <t>Alex Rocha Pacheco</t>
  </si>
  <si>
    <t>Eduardo Tavares Montenegro</t>
  </si>
  <si>
    <t>Bianca Lacerda Fontes</t>
  </si>
  <si>
    <t>Samuel Torres Maciel</t>
  </si>
  <si>
    <t>Priscila Azevedo Goulart</t>
  </si>
  <si>
    <t>Henrique Vidal Soares</t>
  </si>
  <si>
    <t>André Luiz Falcão Duarte</t>
  </si>
  <si>
    <t>Camila Noronha Brito</t>
  </si>
  <si>
    <t>João Victor Meireles</t>
  </si>
  <si>
    <t>Renata Salgado Motta</t>
  </si>
  <si>
    <t>Igor Valente Cruz</t>
  </si>
  <si>
    <t>Lucas Rafael Monte Verde Santos</t>
  </si>
  <si>
    <t>Ana Beatriz Rocha Diniz</t>
  </si>
  <si>
    <t>Marcelo Augusto Ferraz Pinho</t>
  </si>
  <si>
    <t>Carolina Venturini Paes</t>
  </si>
  <si>
    <t>Felipe Otávio Corrêa Leite</t>
  </si>
  <si>
    <t>Nathalia Freire Sampaio</t>
  </si>
  <si>
    <t>Roberto Caetano Nolasco</t>
  </si>
  <si>
    <t>Luiza Barcellos Antunes</t>
  </si>
  <si>
    <t>Pedro Henrique Alvarenga</t>
  </si>
  <si>
    <t>Sofia Mendes Albuquerque</t>
  </si>
  <si>
    <t>Carlos Eduardo de Almeida Pereira</t>
  </si>
  <si>
    <t>Marina Lopes da Costa Figueiredo</t>
  </si>
  <si>
    <t>Rafael Henrique do Nascimento Barros</t>
  </si>
  <si>
    <t>Ana Paula Ribeiro dos Santos Azevedo</t>
  </si>
  <si>
    <t>Felipe Augusto de Oliveira Cunha</t>
  </si>
  <si>
    <t>Luciana Martins da Rocha Pimentel</t>
  </si>
  <si>
    <t>Bruno César do Carmo Teixeira</t>
  </si>
  <si>
    <t>Patrícia Alves dos Anjos Guimarães</t>
  </si>
  <si>
    <t>Eduardo Vinícius de Azevedo Moreira</t>
  </si>
  <si>
    <t>Renata Cristina da Silva Monteiro</t>
  </si>
  <si>
    <t>Gauaratinguetá/SP</t>
  </si>
  <si>
    <t>Dupla do Samuel Torres Maciel</t>
  </si>
  <si>
    <t>Dupla do Renato Guedes Paiva</t>
  </si>
  <si>
    <t>Entec Technologies</t>
  </si>
  <si>
    <t>CAM 555.242</t>
  </si>
  <si>
    <t>CAM 555.243</t>
  </si>
  <si>
    <t>CAM 555.244</t>
  </si>
  <si>
    <t>CAM 555.245</t>
  </si>
  <si>
    <t>CAM 555.246</t>
  </si>
  <si>
    <t>CAM 555.247</t>
  </si>
  <si>
    <t>CAM 555.248</t>
  </si>
  <si>
    <t>CAM 555.249</t>
  </si>
  <si>
    <t>CAM 555.250</t>
  </si>
  <si>
    <t>CAM 555.251</t>
  </si>
  <si>
    <t>CAM 555.252</t>
  </si>
  <si>
    <t>CAM 555.253</t>
  </si>
  <si>
    <t>CAM 555.254</t>
  </si>
  <si>
    <t>Nº 3902805928201</t>
  </si>
  <si>
    <t>Obra 1</t>
  </si>
  <si>
    <t>Obra 2</t>
  </si>
  <si>
    <t>Obra 3</t>
  </si>
  <si>
    <t>Obra 4</t>
  </si>
  <si>
    <t>Obra 5</t>
  </si>
  <si>
    <t>Obra 6</t>
  </si>
  <si>
    <t>Obra 7</t>
  </si>
  <si>
    <t>Obra 8</t>
  </si>
  <si>
    <t>Obra 9</t>
  </si>
  <si>
    <t>Obra 10</t>
  </si>
  <si>
    <t>Obra 11</t>
  </si>
  <si>
    <t>Obra 12</t>
  </si>
  <si>
    <t>Obra 13</t>
  </si>
  <si>
    <t>Obra 14</t>
  </si>
  <si>
    <t>Obra 15</t>
  </si>
  <si>
    <t>Obra 16</t>
  </si>
  <si>
    <t>Obra 17</t>
  </si>
  <si>
    <t>Obra 18</t>
  </si>
  <si>
    <t>Obra 19</t>
  </si>
  <si>
    <t>Obra 20</t>
  </si>
  <si>
    <t>Obra 21</t>
  </si>
  <si>
    <t>Obra 22</t>
  </si>
  <si>
    <t>Obra 23</t>
  </si>
  <si>
    <t>Obra 24</t>
  </si>
  <si>
    <t>Obra 25</t>
  </si>
  <si>
    <t>Obra 26</t>
  </si>
  <si>
    <t>Obra 27</t>
  </si>
  <si>
    <t>Obra 28</t>
  </si>
  <si>
    <t>Obra 29</t>
  </si>
  <si>
    <t>Obra 30</t>
  </si>
  <si>
    <t>Obra 31</t>
  </si>
  <si>
    <t>Obra 32</t>
  </si>
  <si>
    <t>Obra 33</t>
  </si>
  <si>
    <t>Obra 34</t>
  </si>
  <si>
    <t>Obra 35</t>
  </si>
  <si>
    <t>Obra 36</t>
  </si>
  <si>
    <t>Obra 37</t>
  </si>
  <si>
    <t>Obra 38</t>
  </si>
  <si>
    <t>Dr. Fulano de Tal</t>
  </si>
  <si>
    <t>Adiantamento de Operação</t>
  </si>
  <si>
    <t>Boletim Mensal 1</t>
  </si>
  <si>
    <t>Boletim Mensal 2</t>
  </si>
  <si>
    <t>Boletim Mensal 3</t>
  </si>
  <si>
    <t>Boletim Mensal 4</t>
  </si>
  <si>
    <t>Boletim Mensal 5</t>
  </si>
  <si>
    <t>Boletim Mensal 6</t>
  </si>
  <si>
    <t>Boletim Mensal 7</t>
  </si>
  <si>
    <t>Boletim Mensal 8</t>
  </si>
  <si>
    <t>Boletim Mensal 9</t>
  </si>
  <si>
    <t>Boletim Mensal 10</t>
  </si>
  <si>
    <t>Boletim Mensal 11</t>
  </si>
  <si>
    <t>Boletim Mensal 12</t>
  </si>
  <si>
    <t>Boletim Mensal 13</t>
  </si>
  <si>
    <t>Boletim Mensal 14</t>
  </si>
  <si>
    <t>Boletim Mensal 15</t>
  </si>
  <si>
    <t>Boletim Mensal 16</t>
  </si>
  <si>
    <t>Boletim Mensal 17</t>
  </si>
  <si>
    <t>Boletim Mensal 18</t>
  </si>
  <si>
    <t>Boletim Mensal 19</t>
  </si>
  <si>
    <t>Boletim Mensal 20</t>
  </si>
  <si>
    <t>Boletim Mensal 21</t>
  </si>
  <si>
    <t>Boletim Mensal 22</t>
  </si>
  <si>
    <t>Boletim Mensal 23</t>
  </si>
  <si>
    <t>Boletim Mensal 24</t>
  </si>
  <si>
    <t>Boletim Mensal 25</t>
  </si>
  <si>
    <t>Boletim Mensal 26</t>
  </si>
  <si>
    <t>Automático;</t>
  </si>
  <si>
    <t xml:space="preserve">Cartões Funcionários </t>
  </si>
  <si>
    <t>Manualmente</t>
  </si>
  <si>
    <t>Custo Relatório de Despesas Entec</t>
  </si>
  <si>
    <t>Usina 1</t>
  </si>
  <si>
    <t>Usina 2</t>
  </si>
  <si>
    <t>Usina 3</t>
  </si>
  <si>
    <t>Usina 4</t>
  </si>
  <si>
    <t>Usina 5</t>
  </si>
  <si>
    <t>Usina 6</t>
  </si>
  <si>
    <t>Usina 7</t>
  </si>
  <si>
    <t>Usina 8</t>
  </si>
  <si>
    <t>Usina 9</t>
  </si>
  <si>
    <t>Usina 10</t>
  </si>
  <si>
    <t>Usina 11</t>
  </si>
  <si>
    <t>Usina 12</t>
  </si>
  <si>
    <t>Usina 13</t>
  </si>
  <si>
    <t>Usina 14</t>
  </si>
  <si>
    <t>Usina 15</t>
  </si>
  <si>
    <t>Usina 16</t>
  </si>
  <si>
    <t>Usina 17</t>
  </si>
  <si>
    <t>Usina 18</t>
  </si>
  <si>
    <t>Usina 20</t>
  </si>
  <si>
    <t>Usina 21</t>
  </si>
  <si>
    <t>Usina 22</t>
  </si>
  <si>
    <t>Usina 23</t>
  </si>
  <si>
    <t>Usina 24</t>
  </si>
  <si>
    <t>Usina 26</t>
  </si>
  <si>
    <t>Usina 27</t>
  </si>
  <si>
    <t>Usina 28</t>
  </si>
  <si>
    <t>Usina 29</t>
  </si>
  <si>
    <t>Usina 30</t>
  </si>
  <si>
    <t>Usina 31</t>
  </si>
  <si>
    <t>Usina 33</t>
  </si>
  <si>
    <t>Usina 34</t>
  </si>
  <si>
    <t>Usina 36</t>
  </si>
  <si>
    <t>Usina 37</t>
  </si>
  <si>
    <t>Usina 38</t>
  </si>
  <si>
    <t>Usina 39</t>
  </si>
  <si>
    <t>Usina 40</t>
  </si>
  <si>
    <t>Usina 41</t>
  </si>
  <si>
    <t>Usina 42</t>
  </si>
  <si>
    <t>Usina 43</t>
  </si>
  <si>
    <t>Usina 44</t>
  </si>
  <si>
    <t>Usina 45</t>
  </si>
  <si>
    <t>Usina 46</t>
  </si>
  <si>
    <t>Usina 47</t>
  </si>
  <si>
    <t>Usina 49</t>
  </si>
  <si>
    <t>Usina 50</t>
  </si>
  <si>
    <t>Usina 51</t>
  </si>
  <si>
    <t>Usina 52</t>
  </si>
  <si>
    <t>Usina 53</t>
  </si>
  <si>
    <t>Usina 55</t>
  </si>
  <si>
    <t>Usina 56</t>
  </si>
  <si>
    <t>Usina 58</t>
  </si>
  <si>
    <t>Usina 59</t>
  </si>
  <si>
    <t>Usina 60</t>
  </si>
  <si>
    <t>Usina 62</t>
  </si>
  <si>
    <t>Usina 63</t>
  </si>
  <si>
    <t>Usina 64</t>
  </si>
  <si>
    <t>Usina 65</t>
  </si>
  <si>
    <t>Usina 66</t>
  </si>
  <si>
    <t>Usina 67</t>
  </si>
  <si>
    <t>Usina 68</t>
  </si>
  <si>
    <t>Usina 69</t>
  </si>
  <si>
    <t>Usina 70</t>
  </si>
  <si>
    <t>Usina 71</t>
  </si>
  <si>
    <t>Usina 72</t>
  </si>
  <si>
    <t>Usina 73</t>
  </si>
  <si>
    <t>Usina 74</t>
  </si>
  <si>
    <t>Usina 75</t>
  </si>
  <si>
    <t>Usina 76</t>
  </si>
  <si>
    <t>Usina 77</t>
  </si>
  <si>
    <t>Usina 78</t>
  </si>
  <si>
    <t>Usina 79</t>
  </si>
  <si>
    <t>Usina 80</t>
  </si>
  <si>
    <t>Usina 81</t>
  </si>
  <si>
    <t>Usina 82</t>
  </si>
  <si>
    <t>Usina 83</t>
  </si>
  <si>
    <t>Usina 84</t>
  </si>
  <si>
    <t>Usina 85</t>
  </si>
  <si>
    <t>Valor Final 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</si>
</sst>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"/>
    <numFmt numFmtId="165" formatCode="0.00000"/>
    <numFmt numFmtId="166" formatCode="#,##0.00_ ;\-#,##0.00\ "/>
    <numFmt numFmtId="167" formatCode="&quot;R$&quot;\ #,##0.00"/>
    <numFmt numFmtId="168" formatCode="dd"/>
    <numFmt numFmtId="169" formatCode="dd/mm/yy;@"/>
    <numFmt numFmtId="170" formatCode="\R&quot;R$&quot;\ #,##0.00"/>
    <numFmt numFmtId="171" formatCode="_-&quot;R$&quot;* #,##0.00_-;\-&quot;R$&quot;* #,##0.00_-;_-&quot;R$&quot;* &quot;-&quot;??_-;_-@_-"/>
    <numFmt numFmtId="172" formatCode="[$-416]mmm;@"/>
    <numFmt numFmtId="173" formatCode="0.0"/>
  </numFmts>
  <fonts count="11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22"/>
      <color theme="0"/>
      <name val="Times New Roman"/>
      <family val="1"/>
    </font>
    <font>
      <b/>
      <sz val="22"/>
      <color theme="0"/>
      <name val="Times New Roman"/>
      <family val="1"/>
    </font>
    <font>
      <b/>
      <sz val="14"/>
      <color theme="0"/>
      <name val="Times New Roman"/>
      <family val="1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sz val="11"/>
      <color theme="1"/>
      <name val="Calibri"/>
      <family val="2"/>
      <scheme val="minor"/>
    </font>
    <font>
      <sz val="10"/>
      <color theme="0"/>
      <name val="Times New Roman"/>
      <family val="1"/>
    </font>
    <font>
      <b/>
      <sz val="10"/>
      <color rgb="FFFFFFFF"/>
      <name val="Segoe UI"/>
      <family val="2"/>
    </font>
    <font>
      <b/>
      <sz val="18"/>
      <color theme="0"/>
      <name val="Segoe UI"/>
      <family val="2"/>
    </font>
    <font>
      <b/>
      <sz val="14"/>
      <color rgb="FFFFFFFF"/>
      <name val="Segoe UI"/>
      <family val="2"/>
    </font>
    <font>
      <b/>
      <sz val="18"/>
      <name val="Segoe UI"/>
      <family val="2"/>
    </font>
    <font>
      <i/>
      <sz val="12"/>
      <color theme="2" tint="-9.9978637043366805E-2"/>
      <name val="Segoe UI"/>
      <family val="2"/>
    </font>
    <font>
      <sz val="10"/>
      <color rgb="FF000000"/>
      <name val="Segoe UI"/>
      <family val="2"/>
    </font>
    <font>
      <sz val="10"/>
      <color theme="1"/>
      <name val="Segoe UI"/>
      <family val="2"/>
    </font>
    <font>
      <sz val="10"/>
      <color rgb="FFFFFFFF"/>
      <name val="Segoe UI"/>
      <family val="2"/>
    </font>
    <font>
      <b/>
      <sz val="18"/>
      <color rgb="FFFFFFFF"/>
      <name val="Segoe UI"/>
      <family val="2"/>
    </font>
    <font>
      <b/>
      <sz val="10"/>
      <color theme="0"/>
      <name val="Segoe UI"/>
      <family val="2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i/>
      <sz val="10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i/>
      <sz val="10"/>
      <color theme="0" tint="-4.9989318521683403E-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26"/>
      <color theme="0"/>
      <name val="Times New Roman"/>
      <family val="1"/>
    </font>
    <font>
      <b/>
      <sz val="18"/>
      <color theme="0"/>
      <name val="Arial Black"/>
      <family val="2"/>
    </font>
    <font>
      <b/>
      <sz val="12"/>
      <color theme="0"/>
      <name val="Times New Roman"/>
      <family val="1"/>
    </font>
    <font>
      <sz val="9"/>
      <color theme="1"/>
      <name val="Calibri"/>
      <family val="2"/>
    </font>
    <font>
      <sz val="11"/>
      <color rgb="FF002060"/>
      <name val="Calibri"/>
      <family val="2"/>
      <scheme val="minor"/>
    </font>
    <font>
      <b/>
      <sz val="12"/>
      <color rgb="FF002060"/>
      <name val="Times New Roman"/>
      <family val="1"/>
    </font>
    <font>
      <b/>
      <sz val="11"/>
      <color rgb="FF002060"/>
      <name val="Times New Roman"/>
      <family val="1"/>
    </font>
    <font>
      <b/>
      <i/>
      <sz val="14"/>
      <color rgb="FF002060"/>
      <name val="Times New Roman"/>
      <family val="1"/>
    </font>
    <font>
      <b/>
      <sz val="18"/>
      <color theme="0"/>
      <name val="Times New Roman"/>
      <family val="1"/>
    </font>
    <font>
      <sz val="11"/>
      <color rgb="FF002060"/>
      <name val="Times New Roman"/>
      <family val="1"/>
    </font>
    <font>
      <b/>
      <sz val="12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36"/>
      <color theme="0"/>
      <name val="Times New Roman"/>
      <family val="1"/>
    </font>
    <font>
      <b/>
      <sz val="24"/>
      <color theme="0"/>
      <name val="Times New Roman"/>
      <family val="1"/>
    </font>
    <font>
      <b/>
      <sz val="12"/>
      <name val="Times New Roman"/>
      <family val="1"/>
    </font>
    <font>
      <sz val="11"/>
      <name val="Times New Roman"/>
      <family val="1"/>
    </font>
    <font>
      <i/>
      <sz val="11"/>
      <color theme="2" tint="-0.499984740745262"/>
      <name val="Times New Roman"/>
      <family val="1"/>
    </font>
    <font>
      <b/>
      <i/>
      <sz val="11"/>
      <color theme="2" tint="-0.499984740745262"/>
      <name val="Times New Roman"/>
      <family val="1"/>
    </font>
    <font>
      <b/>
      <sz val="12"/>
      <color theme="1"/>
      <name val="Times New Roman"/>
      <family val="1"/>
    </font>
    <font>
      <b/>
      <sz val="11"/>
      <name val="Times New Roman"/>
      <family val="1"/>
    </font>
    <font>
      <b/>
      <sz val="14"/>
      <color theme="1"/>
      <name val="Times New Roman"/>
      <family val="1"/>
    </font>
    <font>
      <b/>
      <sz val="12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b/>
      <sz val="14"/>
      <name val="Times New Roman"/>
      <family val="1"/>
    </font>
    <font>
      <sz val="8"/>
      <color theme="1"/>
      <name val="Calibri"/>
      <family val="2"/>
      <scheme val="minor"/>
    </font>
    <font>
      <sz val="8"/>
      <color theme="1"/>
      <name val="Times New Roman"/>
      <family val="1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"/>
      <name val="Microsoft JhengHei"/>
      <family val="2"/>
    </font>
    <font>
      <sz val="26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8"/>
      <color rgb="FF002060"/>
      <name val="Calibri"/>
      <family val="2"/>
      <scheme val="minor"/>
    </font>
    <font>
      <sz val="24"/>
      <color theme="0"/>
      <name val="Times New Roman"/>
      <family val="1"/>
    </font>
    <font>
      <sz val="10"/>
      <color theme="1"/>
      <name val="Times New Roman"/>
      <family val="1"/>
    </font>
    <font>
      <b/>
      <sz val="10"/>
      <color theme="0"/>
      <name val="Times New Roman"/>
      <family val="1"/>
    </font>
    <font>
      <i/>
      <sz val="10"/>
      <color theme="1"/>
      <name val="Calibri"/>
      <family val="2"/>
      <scheme val="minor"/>
    </font>
    <font>
      <sz val="12"/>
      <color rgb="FF002060"/>
      <name val="Times New Roman"/>
      <family val="1"/>
    </font>
    <font>
      <u/>
      <sz val="12"/>
      <color rgb="FF002060"/>
      <name val="Times New Roman"/>
      <family val="1"/>
    </font>
    <font>
      <sz val="10"/>
      <color rgb="FF000000"/>
      <name val="Calibri"/>
      <family val="2"/>
      <scheme val="minor"/>
    </font>
    <font>
      <b/>
      <sz val="10"/>
      <color theme="1"/>
      <name val="Times New Roman"/>
      <family val="1"/>
    </font>
    <font>
      <i/>
      <sz val="10"/>
      <color theme="1"/>
      <name val="Times New Roman"/>
      <family val="1"/>
    </font>
    <font>
      <b/>
      <sz val="10"/>
      <color rgb="FF00B050"/>
      <name val="Times New Roman"/>
      <family val="1"/>
    </font>
    <font>
      <i/>
      <sz val="10"/>
      <color rgb="FF00B050"/>
      <name val="Times New Roman"/>
      <family val="1"/>
    </font>
    <font>
      <b/>
      <i/>
      <sz val="10"/>
      <color rgb="FF00B050"/>
      <name val="Times New Roman"/>
      <family val="1"/>
    </font>
    <font>
      <b/>
      <sz val="10"/>
      <name val="Times New Roman"/>
      <family val="1"/>
    </font>
    <font>
      <b/>
      <i/>
      <sz val="10"/>
      <name val="Times New Roman"/>
      <family val="1"/>
    </font>
    <font>
      <i/>
      <sz val="10"/>
      <name val="Times New Roman"/>
      <family val="1"/>
    </font>
    <font>
      <b/>
      <sz val="10"/>
      <color theme="9"/>
      <name val="Times New Roman"/>
      <family val="1"/>
    </font>
    <font>
      <sz val="10"/>
      <name val="Times New Roman"/>
      <family val="1"/>
    </font>
    <font>
      <sz val="10"/>
      <color rgb="FFFF0000"/>
      <name val="Times New Roman"/>
      <family val="1"/>
    </font>
    <font>
      <sz val="8"/>
      <name val="Times New Roman"/>
      <family val="1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color rgb="FF00206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9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0"/>
      <color rgb="FFFFC000"/>
      <name val="Calibri"/>
      <family val="2"/>
      <scheme val="minor"/>
    </font>
    <font>
      <b/>
      <sz val="12"/>
      <color rgb="FF00B050"/>
      <name val="Times New Roman"/>
      <family val="1"/>
    </font>
    <font>
      <b/>
      <sz val="20"/>
      <color theme="0"/>
      <name val="Times New Roman"/>
      <family val="1"/>
    </font>
    <font>
      <b/>
      <sz val="11"/>
      <color rgb="FF00B050"/>
      <name val="Calibri"/>
      <family val="2"/>
      <scheme val="minor"/>
    </font>
    <font>
      <b/>
      <sz val="11"/>
      <color rgb="FFCC0000"/>
      <name val="Calibri"/>
      <family val="2"/>
      <scheme val="minor"/>
    </font>
    <font>
      <b/>
      <sz val="12"/>
      <color theme="9" tint="-0.249977111117893"/>
      <name val="Times New Roman"/>
      <family val="1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4"/>
      <name val="Times New Roman"/>
      <family val="1"/>
    </font>
    <font>
      <sz val="11"/>
      <name val="Sitka Banner Semibold"/>
    </font>
    <font>
      <b/>
      <sz val="11"/>
      <name val="Sitka Banner Semibold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2"/>
      <name val="Times New Roman"/>
      <family val="1"/>
    </font>
    <font>
      <b/>
      <sz val="10"/>
      <color theme="2"/>
      <name val="Times New Roman"/>
      <family val="1"/>
    </font>
    <font>
      <b/>
      <sz val="8"/>
      <color theme="2"/>
      <name val="Times New Roman"/>
      <family val="1"/>
    </font>
    <font>
      <b/>
      <sz val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CFEF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0000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rgb="FF00B0F0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rgb="FF00B0F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90" fillId="0" borderId="0"/>
    <xf numFmtId="171" fontId="8" fillId="0" borderId="0" applyFont="0" applyFill="0" applyBorder="0" applyAlignment="0" applyProtection="0"/>
    <xf numFmtId="0" fontId="24" fillId="16" borderId="20" applyNumberFormat="0" applyAlignment="0" applyProtection="0"/>
    <xf numFmtId="171" fontId="8" fillId="0" borderId="0" applyFont="0" applyFill="0" applyBorder="0" applyAlignment="0" applyProtection="0"/>
    <xf numFmtId="0" fontId="8" fillId="0" borderId="0"/>
  </cellStyleXfs>
  <cellXfs count="522">
    <xf numFmtId="0" fontId="0" fillId="0" borderId="0" xfId="0"/>
    <xf numFmtId="0" fontId="2" fillId="0" borderId="0" xfId="0" applyFont="1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3" fillId="3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0" fontId="0" fillId="3" borderId="0" xfId="0" applyFill="1" applyAlignment="1">
      <alignment vertical="top"/>
    </xf>
    <xf numFmtId="0" fontId="7" fillId="3" borderId="0" xfId="0" applyFont="1" applyFill="1" applyAlignment="1">
      <alignment vertical="top"/>
    </xf>
    <xf numFmtId="0" fontId="10" fillId="2" borderId="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15" fillId="8" borderId="4" xfId="0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7" borderId="4" xfId="0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/>
    <xf numFmtId="0" fontId="15" fillId="8" borderId="6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16" fillId="8" borderId="7" xfId="0" applyFont="1" applyFill="1" applyBorder="1" applyAlignment="1">
      <alignment horizontal="center" vertical="center" wrapText="1"/>
    </xf>
    <xf numFmtId="165" fontId="0" fillId="8" borderId="7" xfId="0" applyNumberFormat="1" applyFill="1" applyBorder="1" applyAlignment="1">
      <alignment horizontal="center" vertical="center"/>
    </xf>
    <xf numFmtId="164" fontId="0" fillId="8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17" fillId="2" borderId="9" xfId="0" applyFont="1" applyFill="1" applyBorder="1" applyAlignment="1">
      <alignment horizontal="center" vertical="center" wrapText="1"/>
    </xf>
    <xf numFmtId="0" fontId="18" fillId="2" borderId="9" xfId="0" applyFont="1" applyFill="1" applyBorder="1" applyAlignment="1">
      <alignment horizontal="center" vertical="center" wrapText="1"/>
    </xf>
    <xf numFmtId="2" fontId="20" fillId="8" borderId="9" xfId="0" applyNumberFormat="1" applyFont="1" applyFill="1" applyBorder="1" applyAlignment="1">
      <alignment horizontal="center" vertical="center"/>
    </xf>
    <xf numFmtId="2" fontId="21" fillId="9" borderId="9" xfId="0" applyNumberFormat="1" applyFont="1" applyFill="1" applyBorder="1" applyAlignment="1">
      <alignment horizontal="center" vertical="center"/>
    </xf>
    <xf numFmtId="2" fontId="20" fillId="10" borderId="9" xfId="0" applyNumberFormat="1" applyFont="1" applyFill="1" applyBorder="1" applyAlignment="1">
      <alignment horizontal="center" vertical="center"/>
    </xf>
    <xf numFmtId="9" fontId="22" fillId="8" borderId="9" xfId="3" applyFont="1" applyFill="1" applyBorder="1" applyAlignment="1">
      <alignment horizontal="center"/>
    </xf>
    <xf numFmtId="9" fontId="23" fillId="9" borderId="9" xfId="3" applyFont="1" applyFill="1" applyBorder="1" applyAlignment="1">
      <alignment horizontal="center"/>
    </xf>
    <xf numFmtId="9" fontId="22" fillId="10" borderId="9" xfId="3" applyFont="1" applyFill="1" applyBorder="1" applyAlignment="1">
      <alignment horizontal="center"/>
    </xf>
    <xf numFmtId="1" fontId="20" fillId="8" borderId="9" xfId="0" applyNumberFormat="1" applyFont="1" applyFill="1" applyBorder="1" applyAlignment="1">
      <alignment horizontal="center" vertical="center"/>
    </xf>
    <xf numFmtId="1" fontId="21" fillId="9" borderId="9" xfId="0" applyNumberFormat="1" applyFont="1" applyFill="1" applyBorder="1" applyAlignment="1">
      <alignment horizontal="center" vertical="center"/>
    </xf>
    <xf numFmtId="1" fontId="20" fillId="10" borderId="9" xfId="0" applyNumberFormat="1" applyFont="1" applyFill="1" applyBorder="1" applyAlignment="1">
      <alignment horizontal="center" vertical="center"/>
    </xf>
    <xf numFmtId="9" fontId="25" fillId="8" borderId="9" xfId="3" applyFont="1" applyFill="1" applyBorder="1" applyAlignment="1">
      <alignment horizontal="center" wrapText="1"/>
    </xf>
    <xf numFmtId="9" fontId="26" fillId="9" borderId="9" xfId="3" applyFont="1" applyFill="1" applyBorder="1" applyAlignment="1">
      <alignment horizontal="center" vertical="center" wrapText="1"/>
    </xf>
    <xf numFmtId="9" fontId="27" fillId="10" borderId="9" xfId="3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 wrapText="1"/>
    </xf>
    <xf numFmtId="0" fontId="28" fillId="2" borderId="12" xfId="0" applyFont="1" applyFill="1" applyBorder="1" applyAlignment="1">
      <alignment horizontal="center" vertical="center"/>
    </xf>
    <xf numFmtId="166" fontId="27" fillId="8" borderId="9" xfId="1" applyNumberFormat="1" applyFont="1" applyFill="1" applyBorder="1" applyAlignment="1">
      <alignment horizontal="center" vertical="center"/>
    </xf>
    <xf numFmtId="166" fontId="29" fillId="9" borderId="9" xfId="1" applyNumberFormat="1" applyFont="1" applyFill="1" applyBorder="1" applyAlignment="1">
      <alignment horizontal="center" vertical="center"/>
    </xf>
    <xf numFmtId="166" fontId="27" fillId="10" borderId="9" xfId="1" applyNumberFormat="1" applyFont="1" applyFill="1" applyBorder="1" applyAlignment="1">
      <alignment horizontal="center" vertical="center"/>
    </xf>
    <xf numFmtId="0" fontId="0" fillId="0" borderId="13" xfId="0" applyBorder="1"/>
    <xf numFmtId="0" fontId="0" fillId="0" borderId="0" xfId="0" applyAlignment="1">
      <alignment horizontal="center"/>
    </xf>
    <xf numFmtId="0" fontId="32" fillId="2" borderId="9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9" xfId="0" applyFont="1" applyFill="1" applyBorder="1" applyAlignment="1">
      <alignment horizontal="left" vertical="center"/>
    </xf>
    <xf numFmtId="0" fontId="32" fillId="2" borderId="9" xfId="0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 wrapText="1"/>
    </xf>
    <xf numFmtId="0" fontId="1" fillId="8" borderId="0" xfId="0" applyFont="1" applyFill="1" applyAlignment="1">
      <alignment horizontal="left" vertical="center"/>
    </xf>
    <xf numFmtId="0" fontId="1" fillId="8" borderId="0" xfId="2" applyNumberFormat="1" applyFont="1" applyFill="1" applyBorder="1" applyAlignment="1">
      <alignment horizontal="left" vertical="center" wrapText="1"/>
    </xf>
    <xf numFmtId="44" fontId="1" fillId="8" borderId="0" xfId="2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0" xfId="2" applyNumberFormat="1" applyFont="1" applyFill="1" applyBorder="1" applyAlignment="1">
      <alignment horizontal="center" vertical="center"/>
    </xf>
    <xf numFmtId="44" fontId="0" fillId="0" borderId="0" xfId="0" applyNumberFormat="1"/>
    <xf numFmtId="0" fontId="1" fillId="8" borderId="0" xfId="2" applyNumberFormat="1" applyFont="1" applyFill="1" applyBorder="1" applyAlignment="1">
      <alignment horizontal="left" vertical="center"/>
    </xf>
    <xf numFmtId="0" fontId="1" fillId="11" borderId="14" xfId="0" applyFont="1" applyFill="1" applyBorder="1" applyAlignment="1">
      <alignment horizontal="left" vertical="center"/>
    </xf>
    <xf numFmtId="0" fontId="1" fillId="11" borderId="14" xfId="0" applyFont="1" applyFill="1" applyBorder="1" applyAlignment="1">
      <alignment horizontal="left" vertical="center" wrapText="1"/>
    </xf>
    <xf numFmtId="0" fontId="1" fillId="11" borderId="14" xfId="0" applyFont="1" applyFill="1" applyBorder="1" applyAlignment="1">
      <alignment horizontal="center" vertical="center"/>
    </xf>
    <xf numFmtId="44" fontId="1" fillId="11" borderId="14" xfId="2" applyFont="1" applyFill="1" applyBorder="1" applyAlignment="1">
      <alignment horizontal="center" vertical="center"/>
    </xf>
    <xf numFmtId="44" fontId="1" fillId="11" borderId="14" xfId="0" applyNumberFormat="1" applyFont="1" applyFill="1" applyBorder="1" applyAlignment="1">
      <alignment horizontal="center" vertical="center"/>
    </xf>
    <xf numFmtId="44" fontId="0" fillId="0" borderId="0" xfId="2" applyFont="1"/>
    <xf numFmtId="0" fontId="1" fillId="11" borderId="0" xfId="0" applyFont="1" applyFill="1" applyAlignment="1">
      <alignment horizontal="left" vertical="center" wrapText="1"/>
    </xf>
    <xf numFmtId="44" fontId="1" fillId="11" borderId="0" xfId="2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44" fontId="1" fillId="11" borderId="0" xfId="0" applyNumberFormat="1" applyFont="1" applyFill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locked="0"/>
    </xf>
    <xf numFmtId="44" fontId="34" fillId="0" borderId="0" xfId="2" applyFont="1" applyAlignment="1" applyProtection="1">
      <alignment horizontal="center"/>
      <protection locked="0"/>
    </xf>
    <xf numFmtId="0" fontId="1" fillId="11" borderId="0" xfId="2" applyNumberFormat="1" applyFont="1" applyFill="1" applyBorder="1" applyAlignment="1">
      <alignment horizontal="left" vertical="center"/>
    </xf>
    <xf numFmtId="0" fontId="1" fillId="11" borderId="15" xfId="0" applyFont="1" applyFill="1" applyBorder="1" applyAlignment="1">
      <alignment horizontal="left" vertical="center"/>
    </xf>
    <xf numFmtId="0" fontId="1" fillId="11" borderId="15" xfId="0" applyFont="1" applyFill="1" applyBorder="1" applyAlignment="1">
      <alignment horizontal="left" vertical="center" wrapText="1"/>
    </xf>
    <xf numFmtId="44" fontId="1" fillId="11" borderId="15" xfId="2" applyFont="1" applyFill="1" applyBorder="1" applyAlignment="1">
      <alignment horizontal="center" vertical="center"/>
    </xf>
    <xf numFmtId="44" fontId="1" fillId="11" borderId="15" xfId="0" applyNumberFormat="1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/>
    <xf numFmtId="0" fontId="36" fillId="0" borderId="0" xfId="0" applyFont="1" applyAlignment="1">
      <alignment horizontal="left"/>
    </xf>
    <xf numFmtId="0" fontId="37" fillId="0" borderId="0" xfId="0" applyFont="1" applyAlignment="1">
      <alignment vertical="center"/>
    </xf>
    <xf numFmtId="0" fontId="38" fillId="2" borderId="1" xfId="0" applyFont="1" applyFill="1" applyBorder="1" applyAlignment="1">
      <alignment vertical="center"/>
    </xf>
    <xf numFmtId="0" fontId="38" fillId="2" borderId="2" xfId="0" applyFont="1" applyFill="1" applyBorder="1" applyAlignment="1">
      <alignment vertical="center"/>
    </xf>
    <xf numFmtId="0" fontId="38" fillId="2" borderId="2" xfId="0" applyFont="1" applyFill="1" applyBorder="1" applyAlignment="1">
      <alignment horizontal="left" vertical="center"/>
    </xf>
    <xf numFmtId="0" fontId="40" fillId="0" borderId="0" xfId="0" applyFont="1"/>
    <xf numFmtId="0" fontId="0" fillId="0" borderId="0" xfId="0" applyAlignment="1">
      <alignment horizontal="left"/>
    </xf>
    <xf numFmtId="0" fontId="0" fillId="8" borderId="0" xfId="0" applyFill="1"/>
    <xf numFmtId="0" fontId="4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6" fillId="2" borderId="0" xfId="0" applyFont="1" applyFill="1" applyAlignment="1">
      <alignment horizontal="left" vertical="top"/>
    </xf>
    <xf numFmtId="0" fontId="6" fillId="2" borderId="0" xfId="0" applyFont="1" applyFill="1" applyAlignment="1">
      <alignment vertical="top" wrapText="1"/>
    </xf>
    <xf numFmtId="0" fontId="6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top" wrapText="1"/>
    </xf>
    <xf numFmtId="0" fontId="0" fillId="8" borderId="0" xfId="0" applyFill="1" applyAlignment="1">
      <alignment horizontal="center" vertical="top"/>
    </xf>
    <xf numFmtId="0" fontId="0" fillId="8" borderId="0" xfId="0" applyFill="1" applyAlignment="1">
      <alignment horizontal="center" vertical="top" wrapText="1"/>
    </xf>
    <xf numFmtId="0" fontId="0" fillId="8" borderId="0" xfId="0" applyFill="1" applyAlignment="1">
      <alignment horizontal="right" vertical="top" wrapText="1"/>
    </xf>
    <xf numFmtId="0" fontId="0" fillId="8" borderId="0" xfId="0" applyFill="1" applyAlignment="1">
      <alignment horizontal="left"/>
    </xf>
    <xf numFmtId="0" fontId="0" fillId="8" borderId="0" xfId="0" applyFill="1" applyAlignment="1">
      <alignment horizontal="right"/>
    </xf>
    <xf numFmtId="0" fontId="0" fillId="8" borderId="0" xfId="0" applyFill="1" applyAlignment="1">
      <alignment vertical="top" wrapText="1"/>
    </xf>
    <xf numFmtId="0" fontId="0" fillId="8" borderId="0" xfId="0" applyFill="1" applyAlignment="1">
      <alignment vertical="top"/>
    </xf>
    <xf numFmtId="44" fontId="0" fillId="8" borderId="0" xfId="0" applyNumberFormat="1" applyFill="1" applyAlignment="1">
      <alignment horizontal="right" vertical="top" wrapText="1"/>
    </xf>
    <xf numFmtId="0" fontId="0" fillId="8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/>
    </xf>
    <xf numFmtId="0" fontId="32" fillId="2" borderId="0" xfId="0" applyFont="1" applyFill="1" applyAlignment="1">
      <alignment horizontal="center" vertical="center"/>
    </xf>
    <xf numFmtId="0" fontId="47" fillId="12" borderId="0" xfId="0" applyFont="1" applyFill="1" applyAlignment="1">
      <alignment horizontal="center"/>
    </xf>
    <xf numFmtId="0" fontId="48" fillId="8" borderId="0" xfId="0" applyFont="1" applyFill="1" applyAlignment="1">
      <alignment horizontal="center" vertical="center"/>
    </xf>
    <xf numFmtId="0" fontId="49" fillId="8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49" fillId="11" borderId="0" xfId="0" applyFont="1" applyFill="1" applyAlignment="1">
      <alignment horizontal="center" vertical="center"/>
    </xf>
    <xf numFmtId="0" fontId="48" fillId="11" borderId="0" xfId="0" applyFont="1" applyFill="1" applyAlignment="1">
      <alignment horizontal="center" vertical="center"/>
    </xf>
    <xf numFmtId="0" fontId="51" fillId="13" borderId="0" xfId="0" applyFont="1" applyFill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47" fillId="4" borderId="0" xfId="0" applyFont="1" applyFill="1" applyAlignment="1">
      <alignment horizontal="center"/>
    </xf>
    <xf numFmtId="0" fontId="51" fillId="15" borderId="0" xfId="0" applyFont="1" applyFill="1" applyAlignment="1">
      <alignment horizontal="center" vertical="center"/>
    </xf>
    <xf numFmtId="0" fontId="55" fillId="12" borderId="0" xfId="0" applyFont="1" applyFill="1" applyAlignment="1">
      <alignment horizontal="center" vertical="center"/>
    </xf>
    <xf numFmtId="0" fontId="52" fillId="4" borderId="0" xfId="0" applyFont="1" applyFill="1" applyAlignment="1">
      <alignment horizontal="center" vertical="center"/>
    </xf>
    <xf numFmtId="0" fontId="55" fillId="13" borderId="0" xfId="0" applyFont="1" applyFill="1" applyAlignment="1">
      <alignment horizontal="center" vertical="center"/>
    </xf>
    <xf numFmtId="44" fontId="56" fillId="8" borderId="0" xfId="2" applyFont="1" applyFill="1"/>
    <xf numFmtId="0" fontId="2" fillId="8" borderId="0" xfId="0" applyFont="1" applyFill="1"/>
    <xf numFmtId="44" fontId="57" fillId="8" borderId="0" xfId="2" applyFont="1" applyFill="1"/>
    <xf numFmtId="0" fontId="0" fillId="7" borderId="0" xfId="0" applyFill="1" applyBorder="1"/>
    <xf numFmtId="0" fontId="63" fillId="0" borderId="19" xfId="0" applyFont="1" applyBorder="1" applyAlignment="1">
      <alignment horizontal="center" vertical="center" wrapText="1"/>
    </xf>
    <xf numFmtId="0" fontId="63" fillId="0" borderId="19" xfId="0" applyFont="1" applyBorder="1" applyAlignment="1">
      <alignment horizontal="center" vertical="center"/>
    </xf>
    <xf numFmtId="0" fontId="58" fillId="0" borderId="19" xfId="0" applyFont="1" applyBorder="1" applyAlignment="1">
      <alignment horizontal="center" vertical="center"/>
    </xf>
    <xf numFmtId="0" fontId="24" fillId="21" borderId="19" xfId="0" applyFont="1" applyFill="1" applyBorder="1" applyAlignment="1">
      <alignment horizontal="center" vertical="center"/>
    </xf>
    <xf numFmtId="169" fontId="0" fillId="0" borderId="19" xfId="0" applyNumberFormat="1" applyBorder="1" applyAlignment="1">
      <alignment horizontal="center" vertical="center"/>
    </xf>
    <xf numFmtId="14" fontId="24" fillId="22" borderId="19" xfId="0" applyNumberFormat="1" applyFont="1" applyFill="1" applyBorder="1" applyAlignment="1">
      <alignment horizontal="center" vertical="center"/>
    </xf>
    <xf numFmtId="14" fontId="61" fillId="6" borderId="19" xfId="0" applyNumberFormat="1" applyFont="1" applyFill="1" applyBorder="1" applyAlignment="1">
      <alignment horizontal="center" vertical="center"/>
    </xf>
    <xf numFmtId="0" fontId="58" fillId="18" borderId="19" xfId="0" applyFont="1" applyFill="1" applyBorder="1" applyAlignment="1">
      <alignment horizontal="center" vertical="center" wrapText="1"/>
    </xf>
    <xf numFmtId="0" fontId="62" fillId="2" borderId="22" xfId="0" applyFont="1" applyFill="1" applyBorder="1" applyAlignment="1">
      <alignment horizontal="center" vertical="center"/>
    </xf>
    <xf numFmtId="0" fontId="0" fillId="0" borderId="29" xfId="0" applyBorder="1"/>
    <xf numFmtId="0" fontId="0" fillId="8" borderId="30" xfId="0" applyFill="1" applyBorder="1"/>
    <xf numFmtId="0" fontId="0" fillId="0" borderId="31" xfId="0" applyBorder="1"/>
    <xf numFmtId="0" fontId="0" fillId="0" borderId="32" xfId="0" applyBorder="1"/>
    <xf numFmtId="0" fontId="64" fillId="2" borderId="0" xfId="0" applyFont="1" applyFill="1" applyAlignment="1">
      <alignment horizontal="centerContinuous" vertical="center"/>
    </xf>
    <xf numFmtId="0" fontId="64" fillId="2" borderId="0" xfId="0" applyFont="1" applyFill="1" applyAlignment="1">
      <alignment vertical="center"/>
    </xf>
    <xf numFmtId="0" fontId="62" fillId="2" borderId="0" xfId="0" applyFont="1" applyFill="1" applyAlignment="1">
      <alignment horizontal="center" vertical="center"/>
    </xf>
    <xf numFmtId="17" fontId="62" fillId="2" borderId="0" xfId="0" applyNumberFormat="1" applyFont="1" applyFill="1" applyAlignment="1">
      <alignment horizontal="center" vertical="center"/>
    </xf>
    <xf numFmtId="0" fontId="59" fillId="8" borderId="33" xfId="0" applyFont="1" applyFill="1" applyBorder="1" applyAlignment="1">
      <alignment horizontal="left" vertical="center"/>
    </xf>
    <xf numFmtId="44" fontId="20" fillId="8" borderId="33" xfId="0" quotePrefix="1" applyNumberFormat="1" applyFont="1" applyFill="1" applyBorder="1" applyAlignment="1">
      <alignment horizontal="center" vertical="center"/>
    </xf>
    <xf numFmtId="0" fontId="59" fillId="10" borderId="33" xfId="0" applyFont="1" applyFill="1" applyBorder="1" applyAlignment="1">
      <alignment horizontal="left" vertical="center"/>
    </xf>
    <xf numFmtId="44" fontId="20" fillId="10" borderId="33" xfId="0" quotePrefix="1" applyNumberFormat="1" applyFont="1" applyFill="1" applyBorder="1" applyAlignment="1">
      <alignment horizontal="center" vertical="center"/>
    </xf>
    <xf numFmtId="44" fontId="61" fillId="10" borderId="33" xfId="0" quotePrefix="1" applyNumberFormat="1" applyFont="1" applyFill="1" applyBorder="1" applyAlignment="1">
      <alignment horizontal="center" vertical="center"/>
    </xf>
    <xf numFmtId="0" fontId="58" fillId="0" borderId="0" xfId="0" applyFont="1"/>
    <xf numFmtId="0" fontId="65" fillId="13" borderId="34" xfId="0" applyFont="1" applyFill="1" applyBorder="1" applyAlignment="1">
      <alignment vertical="center"/>
    </xf>
    <xf numFmtId="44" fontId="66" fillId="12" borderId="33" xfId="0" applyNumberFormat="1" applyFont="1" applyFill="1" applyBorder="1" applyAlignment="1">
      <alignment horizontal="center" vertical="center"/>
    </xf>
    <xf numFmtId="0" fontId="65" fillId="13" borderId="36" xfId="0" applyFont="1" applyFill="1" applyBorder="1" applyAlignment="1">
      <alignment vertical="center"/>
    </xf>
    <xf numFmtId="10" fontId="66" fillId="12" borderId="33" xfId="0" applyNumberFormat="1" applyFont="1" applyFill="1" applyBorder="1" applyAlignment="1">
      <alignment horizontal="right" vertical="center"/>
    </xf>
    <xf numFmtId="10" fontId="66" fillId="12" borderId="37" xfId="0" applyNumberFormat="1" applyFont="1" applyFill="1" applyBorder="1" applyAlignment="1">
      <alignment horizontal="right" vertical="center"/>
    </xf>
    <xf numFmtId="0" fontId="0" fillId="7" borderId="0" xfId="0" applyFill="1"/>
    <xf numFmtId="0" fontId="68" fillId="2" borderId="23" xfId="0" applyFont="1" applyFill="1" applyBorder="1" applyAlignment="1">
      <alignment horizontal="center" vertical="center" wrapText="1"/>
    </xf>
    <xf numFmtId="0" fontId="68" fillId="2" borderId="23" xfId="0" applyFont="1" applyFill="1" applyBorder="1" applyAlignment="1">
      <alignment horizontal="center" vertical="center"/>
    </xf>
    <xf numFmtId="0" fontId="68" fillId="2" borderId="24" xfId="0" applyFont="1" applyFill="1" applyBorder="1" applyAlignment="1">
      <alignment horizontal="center" vertical="center"/>
    </xf>
    <xf numFmtId="0" fontId="62" fillId="7" borderId="0" xfId="0" applyFont="1" applyFill="1" applyBorder="1" applyAlignment="1">
      <alignment horizontal="center" vertical="center"/>
    </xf>
    <xf numFmtId="0" fontId="69" fillId="7" borderId="0" xfId="0" applyFont="1" applyFill="1" applyBorder="1" applyAlignment="1">
      <alignment horizontal="center" vertical="center"/>
    </xf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23" borderId="0" xfId="0" applyFill="1" applyBorder="1"/>
    <xf numFmtId="0" fontId="0" fillId="10" borderId="0" xfId="0" applyFill="1" applyBorder="1"/>
    <xf numFmtId="0" fontId="0" fillId="9" borderId="0" xfId="0" applyFill="1" applyBorder="1"/>
    <xf numFmtId="0" fontId="0" fillId="18" borderId="0" xfId="0" applyFill="1" applyBorder="1"/>
    <xf numFmtId="0" fontId="0" fillId="0" borderId="0" xfId="0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10" fontId="35" fillId="0" borderId="0" xfId="3" applyNumberFormat="1" applyFont="1" applyFill="1" applyBorder="1" applyAlignment="1">
      <alignment horizontal="center"/>
    </xf>
    <xf numFmtId="0" fontId="1" fillId="8" borderId="0" xfId="0" applyFont="1" applyFill="1" applyAlignment="1">
      <alignment horizontal="center" vertical="center" wrapText="1"/>
    </xf>
    <xf numFmtId="0" fontId="74" fillId="0" borderId="42" xfId="0" applyFont="1" applyBorder="1" applyAlignment="1">
      <alignment vertical="center"/>
    </xf>
    <xf numFmtId="0" fontId="74" fillId="0" borderId="44" xfId="0" applyFont="1" applyBorder="1" applyAlignment="1">
      <alignment vertical="center"/>
    </xf>
    <xf numFmtId="0" fontId="74" fillId="0" borderId="46" xfId="0" applyFont="1" applyBorder="1" applyAlignment="1">
      <alignment vertical="center"/>
    </xf>
    <xf numFmtId="9" fontId="39" fillId="0" borderId="16" xfId="3" applyFont="1" applyFill="1" applyBorder="1" applyAlignment="1">
      <alignment vertical="center" wrapText="1"/>
    </xf>
    <xf numFmtId="9" fontId="39" fillId="0" borderId="43" xfId="3" applyFont="1" applyFill="1" applyBorder="1" applyAlignment="1">
      <alignment vertical="center" wrapText="1"/>
    </xf>
    <xf numFmtId="0" fontId="74" fillId="0" borderId="4" xfId="0" applyFont="1" applyBorder="1" applyAlignment="1">
      <alignment vertical="center"/>
    </xf>
    <xf numFmtId="9" fontId="39" fillId="0" borderId="0" xfId="3" applyFont="1" applyFill="1" applyBorder="1" applyAlignment="1">
      <alignment vertical="center" wrapText="1"/>
    </xf>
    <xf numFmtId="9" fontId="39" fillId="0" borderId="5" xfId="3" applyFont="1" applyFill="1" applyBorder="1" applyAlignment="1">
      <alignment vertical="center" wrapText="1"/>
    </xf>
    <xf numFmtId="9" fontId="39" fillId="0" borderId="17" xfId="3" applyFont="1" applyFill="1" applyBorder="1" applyAlignment="1">
      <alignment vertical="center" wrapText="1"/>
    </xf>
    <xf numFmtId="9" fontId="39" fillId="0" borderId="45" xfId="3" applyFont="1" applyFill="1" applyBorder="1" applyAlignment="1">
      <alignment vertical="center" wrapText="1"/>
    </xf>
    <xf numFmtId="0" fontId="74" fillId="14" borderId="48" xfId="0" applyFont="1" applyFill="1" applyBorder="1" applyAlignment="1">
      <alignment vertical="center"/>
    </xf>
    <xf numFmtId="0" fontId="76" fillId="0" borderId="0" xfId="0" applyFont="1"/>
    <xf numFmtId="14" fontId="1" fillId="8" borderId="0" xfId="0" applyNumberFormat="1" applyFont="1" applyFill="1" applyAlignment="1">
      <alignment horizontal="center" vertical="center"/>
    </xf>
    <xf numFmtId="14" fontId="1" fillId="8" borderId="0" xfId="2" applyNumberFormat="1" applyFont="1" applyFill="1" applyBorder="1" applyAlignment="1">
      <alignment horizontal="center" vertical="center"/>
    </xf>
    <xf numFmtId="14" fontId="1" fillId="8" borderId="0" xfId="0" applyNumberFormat="1" applyFont="1" applyFill="1" applyAlignment="1">
      <alignment horizontal="center" vertical="center" wrapText="1"/>
    </xf>
    <xf numFmtId="14" fontId="1" fillId="11" borderId="14" xfId="0" applyNumberFormat="1" applyFont="1" applyFill="1" applyBorder="1" applyAlignment="1">
      <alignment horizontal="center" vertical="center"/>
    </xf>
    <xf numFmtId="14" fontId="1" fillId="11" borderId="0" xfId="0" applyNumberFormat="1" applyFont="1" applyFill="1" applyAlignment="1">
      <alignment horizontal="center" vertical="center"/>
    </xf>
    <xf numFmtId="14" fontId="1" fillId="11" borderId="15" xfId="0" applyNumberFormat="1" applyFont="1" applyFill="1" applyBorder="1" applyAlignment="1">
      <alignment horizontal="center" vertical="center"/>
    </xf>
    <xf numFmtId="0" fontId="0" fillId="12" borderId="0" xfId="0" applyFill="1"/>
    <xf numFmtId="0" fontId="7" fillId="2" borderId="9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>
      <alignment horizontal="left" vertical="center" wrapText="1"/>
    </xf>
    <xf numFmtId="0" fontId="1" fillId="11" borderId="14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>
      <alignment horizontal="center" vertical="center" wrapText="1"/>
    </xf>
    <xf numFmtId="0" fontId="1" fillId="11" borderId="15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0" fontId="82" fillId="30" borderId="0" xfId="0" applyFont="1" applyFill="1" applyAlignment="1">
      <alignment horizontal="left" vertical="top" wrapText="1"/>
    </xf>
    <xf numFmtId="0" fontId="9" fillId="3" borderId="0" xfId="0" applyFont="1" applyFill="1" applyBorder="1" applyAlignment="1">
      <alignment horizontal="centerContinuous" vertical="center"/>
    </xf>
    <xf numFmtId="0" fontId="9" fillId="3" borderId="0" xfId="0" applyFont="1" applyFill="1" applyAlignment="1">
      <alignment horizontal="centerContinuous" vertical="center"/>
    </xf>
    <xf numFmtId="0" fontId="9" fillId="3" borderId="41" xfId="0" applyFont="1" applyFill="1" applyBorder="1" applyAlignment="1">
      <alignment horizontal="centerContinuous" vertical="center"/>
    </xf>
    <xf numFmtId="0" fontId="9" fillId="3" borderId="40" xfId="0" applyFont="1" applyFill="1" applyBorder="1" applyAlignment="1">
      <alignment horizontal="centerContinuous" vertical="center"/>
    </xf>
    <xf numFmtId="0" fontId="71" fillId="0" borderId="0" xfId="0" applyFont="1" applyFill="1"/>
    <xf numFmtId="0" fontId="71" fillId="0" borderId="0" xfId="0" applyFont="1"/>
    <xf numFmtId="0" fontId="72" fillId="3" borderId="0" xfId="0" applyFont="1" applyFill="1" applyBorder="1" applyAlignment="1">
      <alignment horizontal="center" vertical="center"/>
    </xf>
    <xf numFmtId="0" fontId="72" fillId="3" borderId="0" xfId="0" applyFont="1" applyFill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9" fillId="3" borderId="0" xfId="0" applyFont="1" applyFill="1" applyAlignment="1">
      <alignment vertical="center"/>
    </xf>
    <xf numFmtId="0" fontId="9" fillId="3" borderId="41" xfId="0" applyFont="1" applyFill="1" applyBorder="1" applyAlignment="1">
      <alignment vertical="center"/>
    </xf>
    <xf numFmtId="0" fontId="71" fillId="17" borderId="40" xfId="0" applyFont="1" applyFill="1" applyBorder="1" applyAlignment="1">
      <alignment horizontal="center" vertical="center" wrapText="1"/>
    </xf>
    <xf numFmtId="0" fontId="71" fillId="30" borderId="0" xfId="0" applyFont="1" applyFill="1" applyAlignment="1">
      <alignment horizontal="center" vertical="center" wrapText="1"/>
    </xf>
    <xf numFmtId="0" fontId="71" fillId="29" borderId="0" xfId="0" applyFont="1" applyFill="1" applyAlignment="1">
      <alignment horizontal="center" vertical="center" wrapText="1"/>
    </xf>
    <xf numFmtId="0" fontId="71" fillId="29" borderId="0" xfId="0" applyFont="1" applyFill="1" applyAlignment="1">
      <alignment wrapText="1"/>
    </xf>
    <xf numFmtId="0" fontId="71" fillId="17" borderId="0" xfId="0" applyFont="1" applyFill="1" applyAlignment="1">
      <alignment horizontal="center" vertical="center" wrapText="1"/>
    </xf>
    <xf numFmtId="0" fontId="71" fillId="29" borderId="0" xfId="0" applyFont="1" applyFill="1" applyAlignment="1">
      <alignment horizontal="center" vertical="center"/>
    </xf>
    <xf numFmtId="0" fontId="86" fillId="29" borderId="0" xfId="0" applyFont="1" applyFill="1" applyAlignment="1">
      <alignment horizontal="center" vertical="center"/>
    </xf>
    <xf numFmtId="0" fontId="71" fillId="30" borderId="0" xfId="0" applyFont="1" applyFill="1" applyAlignment="1">
      <alignment horizontal="center" vertical="center"/>
    </xf>
    <xf numFmtId="0" fontId="86" fillId="0" borderId="0" xfId="0" applyFont="1" applyFill="1"/>
    <xf numFmtId="0" fontId="71" fillId="0" borderId="0" xfId="0" applyFont="1" applyBorder="1" applyAlignment="1">
      <alignment horizontal="left" wrapText="1"/>
    </xf>
    <xf numFmtId="0" fontId="71" fillId="0" borderId="0" xfId="0" applyFont="1" applyAlignment="1">
      <alignment horizontal="left" wrapText="1"/>
    </xf>
    <xf numFmtId="0" fontId="71" fillId="0" borderId="0" xfId="0" applyFont="1" applyBorder="1" applyAlignment="1">
      <alignment wrapText="1"/>
    </xf>
    <xf numFmtId="0" fontId="71" fillId="0" borderId="0" xfId="0" applyFont="1" applyBorder="1"/>
    <xf numFmtId="44" fontId="71" fillId="0" borderId="0" xfId="2" applyFont="1" applyBorder="1"/>
    <xf numFmtId="0" fontId="71" fillId="0" borderId="0" xfId="0" applyFont="1" applyAlignment="1">
      <alignment wrapText="1"/>
    </xf>
    <xf numFmtId="44" fontId="71" fillId="0" borderId="0" xfId="2" applyFont="1"/>
    <xf numFmtId="44" fontId="71" fillId="0" borderId="41" xfId="2" applyFont="1" applyBorder="1"/>
    <xf numFmtId="167" fontId="71" fillId="0" borderId="40" xfId="2" applyNumberFormat="1" applyFont="1" applyBorder="1"/>
    <xf numFmtId="44" fontId="71" fillId="0" borderId="0" xfId="0" applyNumberFormat="1" applyFont="1"/>
    <xf numFmtId="44" fontId="71" fillId="0" borderId="0" xfId="2" applyFont="1" applyAlignment="1">
      <alignment horizontal="center"/>
    </xf>
    <xf numFmtId="10" fontId="79" fillId="31" borderId="39" xfId="3" applyNumberFormat="1" applyFont="1" applyFill="1" applyBorder="1" applyAlignment="1">
      <alignment horizontal="center" vertical="center"/>
    </xf>
    <xf numFmtId="167" fontId="86" fillId="0" borderId="39" xfId="0" applyNumberFormat="1" applyFont="1" applyBorder="1" applyAlignment="1">
      <alignment horizontal="center" vertical="center"/>
    </xf>
    <xf numFmtId="10" fontId="87" fillId="31" borderId="39" xfId="3" applyNumberFormat="1" applyFont="1" applyFill="1" applyBorder="1" applyAlignment="1">
      <alignment horizontal="center" vertical="center"/>
    </xf>
    <xf numFmtId="167" fontId="87" fillId="0" borderId="39" xfId="0" applyNumberFormat="1" applyFont="1" applyBorder="1" applyAlignment="1">
      <alignment horizontal="center" vertical="center"/>
    </xf>
    <xf numFmtId="167" fontId="79" fillId="0" borderId="39" xfId="0" applyNumberFormat="1" applyFont="1" applyBorder="1" applyAlignment="1">
      <alignment horizontal="center" vertical="center"/>
    </xf>
    <xf numFmtId="0" fontId="71" fillId="0" borderId="0" xfId="0" applyFont="1" applyFill="1" applyBorder="1" applyAlignment="1">
      <alignment vertical="center" wrapText="1"/>
    </xf>
    <xf numFmtId="44" fontId="71" fillId="0" borderId="41" xfId="2" applyFont="1" applyFill="1" applyBorder="1" applyAlignment="1"/>
    <xf numFmtId="170" fontId="71" fillId="0" borderId="41" xfId="2" applyNumberFormat="1" applyFont="1" applyBorder="1"/>
    <xf numFmtId="0" fontId="71" fillId="0" borderId="41" xfId="0" applyFont="1" applyBorder="1"/>
    <xf numFmtId="0" fontId="71" fillId="0" borderId="40" xfId="0" applyFont="1" applyBorder="1"/>
    <xf numFmtId="44" fontId="9" fillId="3" borderId="40" xfId="2" applyFont="1" applyFill="1" applyBorder="1" applyAlignment="1">
      <alignment horizontal="centerContinuous" vertical="center"/>
    </xf>
    <xf numFmtId="44" fontId="71" fillId="29" borderId="40" xfId="2" applyFont="1" applyFill="1" applyBorder="1" applyAlignment="1">
      <alignment horizontal="center" vertical="center" wrapText="1"/>
    </xf>
    <xf numFmtId="44" fontId="71" fillId="0" borderId="40" xfId="2" applyFont="1" applyBorder="1"/>
    <xf numFmtId="0" fontId="9" fillId="3" borderId="0" xfId="0" applyFont="1" applyFill="1" applyBorder="1" applyAlignment="1">
      <alignment horizontal="center" vertical="top"/>
    </xf>
    <xf numFmtId="167" fontId="72" fillId="30" borderId="0" xfId="2" applyNumberFormat="1" applyFont="1" applyFill="1" applyBorder="1" applyAlignment="1">
      <alignment horizontal="center" vertical="top"/>
    </xf>
    <xf numFmtId="0" fontId="72" fillId="30" borderId="0" xfId="0" applyFont="1" applyFill="1" applyBorder="1" applyAlignment="1">
      <alignment horizontal="center" vertical="top"/>
    </xf>
    <xf numFmtId="0" fontId="71" fillId="0" borderId="0" xfId="0" applyFont="1" applyBorder="1" applyAlignment="1">
      <alignment horizontal="center" vertical="top"/>
    </xf>
    <xf numFmtId="0" fontId="71" fillId="0" borderId="0" xfId="0" applyFont="1" applyBorder="1" applyAlignment="1">
      <alignment horizontal="left" vertical="center" wrapText="1"/>
    </xf>
    <xf numFmtId="44" fontId="9" fillId="3" borderId="0" xfId="2" applyFont="1" applyFill="1" applyAlignment="1">
      <alignment horizontal="centerContinuous" vertical="center"/>
    </xf>
    <xf numFmtId="44" fontId="72" fillId="17" borderId="0" xfId="2" applyFont="1" applyFill="1" applyAlignment="1">
      <alignment horizontal="centerContinuous" vertical="center"/>
    </xf>
    <xf numFmtId="0" fontId="2" fillId="0" borderId="0" xfId="0" applyFont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center"/>
    </xf>
    <xf numFmtId="0" fontId="85" fillId="3" borderId="0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8" borderId="0" xfId="0" applyFill="1" applyBorder="1"/>
    <xf numFmtId="44" fontId="66" fillId="8" borderId="33" xfId="0" applyNumberFormat="1" applyFont="1" applyFill="1" applyBorder="1" applyAlignment="1">
      <alignment horizontal="right" vertical="center"/>
    </xf>
    <xf numFmtId="0" fontId="0" fillId="14" borderId="0" xfId="0" applyFill="1"/>
    <xf numFmtId="0" fontId="2" fillId="14" borderId="0" xfId="0" applyFont="1" applyFill="1" applyAlignment="1">
      <alignment horizontal="left" vertical="center"/>
    </xf>
    <xf numFmtId="0" fontId="62" fillId="2" borderId="54" xfId="0" applyFont="1" applyFill="1" applyBorder="1" applyAlignment="1">
      <alignment horizontal="center" vertical="center"/>
    </xf>
    <xf numFmtId="0" fontId="62" fillId="2" borderId="15" xfId="0" applyFont="1" applyFill="1" applyBorder="1" applyAlignment="1">
      <alignment horizontal="center" vertical="center"/>
    </xf>
    <xf numFmtId="0" fontId="62" fillId="2" borderId="55" xfId="0" applyFont="1" applyFill="1" applyBorder="1" applyAlignment="1">
      <alignment horizontal="center" vertical="center"/>
    </xf>
    <xf numFmtId="0" fontId="62" fillId="2" borderId="55" xfId="0" applyFont="1" applyFill="1" applyBorder="1" applyAlignment="1">
      <alignment horizontal="center" vertical="center" wrapText="1"/>
    </xf>
    <xf numFmtId="0" fontId="0" fillId="20" borderId="19" xfId="0" applyFill="1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58" fillId="18" borderId="56" xfId="0" applyFont="1" applyFill="1" applyBorder="1" applyAlignment="1">
      <alignment horizontal="center" vertical="center" wrapText="1"/>
    </xf>
    <xf numFmtId="0" fontId="0" fillId="0" borderId="0" xfId="0" applyFill="1"/>
    <xf numFmtId="0" fontId="62" fillId="2" borderId="61" xfId="0" applyFont="1" applyFill="1" applyBorder="1" applyAlignment="1">
      <alignment horizontal="center" vertical="center"/>
    </xf>
    <xf numFmtId="0" fontId="62" fillId="2" borderId="39" xfId="0" applyFont="1" applyFill="1" applyBorder="1" applyAlignment="1">
      <alignment horizontal="center" vertical="center"/>
    </xf>
    <xf numFmtId="0" fontId="62" fillId="2" borderId="39" xfId="0" applyFont="1" applyFill="1" applyBorder="1" applyAlignment="1">
      <alignment horizontal="center" vertical="center" wrapText="1"/>
    </xf>
    <xf numFmtId="14" fontId="0" fillId="0" borderId="19" xfId="0" applyNumberFormat="1" applyBorder="1" applyAlignment="1">
      <alignment horizontal="center" vertical="center"/>
    </xf>
    <xf numFmtId="10" fontId="92" fillId="2" borderId="35" xfId="0" applyNumberFormat="1" applyFont="1" applyFill="1" applyBorder="1" applyAlignment="1">
      <alignment horizontal="right" vertical="center"/>
    </xf>
    <xf numFmtId="44" fontId="61" fillId="10" borderId="33" xfId="2" quotePrefix="1" applyFont="1" applyFill="1" applyBorder="1" applyAlignment="1">
      <alignment horizontal="center" vertical="center"/>
    </xf>
    <xf numFmtId="0" fontId="96" fillId="12" borderId="0" xfId="0" applyFont="1" applyFill="1" applyAlignment="1">
      <alignment horizontal="center" vertical="center"/>
    </xf>
    <xf numFmtId="0" fontId="2" fillId="0" borderId="0" xfId="0" applyFont="1" applyBorder="1"/>
    <xf numFmtId="0" fontId="0" fillId="0" borderId="0" xfId="0" applyFill="1" applyBorder="1"/>
    <xf numFmtId="0" fontId="0" fillId="0" borderId="0" xfId="0" applyFill="1" applyBorder="1" applyAlignment="1">
      <alignment vertical="center"/>
    </xf>
    <xf numFmtId="44" fontId="35" fillId="12" borderId="0" xfId="2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right" vertical="center"/>
    </xf>
    <xf numFmtId="44" fontId="35" fillId="12" borderId="0" xfId="2" applyFont="1" applyFill="1" applyAlignment="1">
      <alignment horizontal="right" vertical="center"/>
    </xf>
    <xf numFmtId="44" fontId="0" fillId="7" borderId="0" xfId="0" applyNumberFormat="1" applyFill="1"/>
    <xf numFmtId="44" fontId="1" fillId="8" borderId="0" xfId="2" applyFont="1" applyFill="1" applyBorder="1" applyAlignment="1">
      <alignment horizontal="right" vertical="center" wrapText="1"/>
    </xf>
    <xf numFmtId="44" fontId="1" fillId="8" borderId="0" xfId="2" applyFont="1" applyFill="1" applyBorder="1" applyAlignment="1">
      <alignment horizontal="right" vertical="center"/>
    </xf>
    <xf numFmtId="44" fontId="1" fillId="11" borderId="14" xfId="2" applyFont="1" applyFill="1" applyBorder="1" applyAlignment="1">
      <alignment horizontal="right" vertical="center" wrapText="1"/>
    </xf>
    <xf numFmtId="44" fontId="1" fillId="11" borderId="0" xfId="2" applyFont="1" applyFill="1" applyBorder="1" applyAlignment="1">
      <alignment horizontal="right" vertical="center" wrapText="1"/>
    </xf>
    <xf numFmtId="44" fontId="1" fillId="11" borderId="15" xfId="2" applyFont="1" applyFill="1" applyBorder="1" applyAlignment="1">
      <alignment horizontal="right" vertical="center" wrapText="1"/>
    </xf>
    <xf numFmtId="0" fontId="1" fillId="11" borderId="0" xfId="0" applyFont="1" applyFill="1" applyBorder="1" applyAlignment="1">
      <alignment horizontal="left" vertical="center"/>
    </xf>
    <xf numFmtId="0" fontId="1" fillId="11" borderId="0" xfId="0" applyFont="1" applyFill="1" applyBorder="1" applyAlignment="1">
      <alignment horizontal="center" vertical="center"/>
    </xf>
    <xf numFmtId="14" fontId="1" fillId="11" borderId="0" xfId="0" applyNumberFormat="1" applyFont="1" applyFill="1" applyBorder="1" applyAlignment="1">
      <alignment horizontal="center" vertical="center"/>
    </xf>
    <xf numFmtId="44" fontId="1" fillId="11" borderId="0" xfId="0" applyNumberFormat="1" applyFont="1" applyFill="1" applyBorder="1" applyAlignment="1">
      <alignment horizontal="center" vertical="center"/>
    </xf>
    <xf numFmtId="0" fontId="2" fillId="12" borderId="0" xfId="0" applyFont="1" applyFill="1"/>
    <xf numFmtId="0" fontId="2" fillId="14" borderId="0" xfId="0" applyFont="1" applyFill="1"/>
    <xf numFmtId="44" fontId="62" fillId="2" borderId="35" xfId="2" applyFont="1" applyFill="1" applyBorder="1" applyAlignment="1">
      <alignment horizontal="right" vertical="center"/>
    </xf>
    <xf numFmtId="0" fontId="0" fillId="0" borderId="19" xfId="0" applyBorder="1" applyAlignment="1">
      <alignment horizontal="center" vertical="center" wrapText="1"/>
    </xf>
    <xf numFmtId="0" fontId="98" fillId="8" borderId="19" xfId="0" applyFont="1" applyFill="1" applyBorder="1" applyAlignment="1">
      <alignment horizontal="center" vertical="center"/>
    </xf>
    <xf numFmtId="0" fontId="99" fillId="8" borderId="19" xfId="0" applyFont="1" applyFill="1" applyBorder="1" applyAlignment="1">
      <alignment horizontal="center" vertical="center"/>
    </xf>
    <xf numFmtId="44" fontId="100" fillId="12" borderId="0" xfId="2" applyFont="1" applyFill="1" applyAlignment="1">
      <alignment horizontal="center" vertical="center"/>
    </xf>
    <xf numFmtId="44" fontId="61" fillId="8" borderId="37" xfId="2" quotePrefix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top"/>
    </xf>
    <xf numFmtId="168" fontId="71" fillId="19" borderId="0" xfId="0" applyNumberFormat="1" applyFont="1" applyFill="1" applyBorder="1" applyAlignment="1">
      <alignment horizontal="center" vertical="top"/>
    </xf>
    <xf numFmtId="0" fontId="0" fillId="0" borderId="0" xfId="0" applyAlignment="1">
      <alignment horizontal="left" vertical="center"/>
    </xf>
    <xf numFmtId="0" fontId="101" fillId="8" borderId="0" xfId="0" applyFont="1" applyFill="1"/>
    <xf numFmtId="0" fontId="101" fillId="8" borderId="0" xfId="0" applyFont="1" applyFill="1" applyAlignment="1">
      <alignment horizontal="center" vertical="top"/>
    </xf>
    <xf numFmtId="0" fontId="56" fillId="8" borderId="0" xfId="0" applyFont="1" applyFill="1" applyAlignment="1">
      <alignment horizontal="center" vertical="top" wrapText="1"/>
    </xf>
    <xf numFmtId="0" fontId="102" fillId="8" borderId="0" xfId="0" applyFont="1" applyFill="1"/>
    <xf numFmtId="44" fontId="1" fillId="32" borderId="0" xfId="2" applyFont="1" applyFill="1" applyBorder="1" applyAlignment="1">
      <alignment horizontal="center" vertical="center"/>
    </xf>
    <xf numFmtId="9" fontId="41" fillId="0" borderId="0" xfId="3" applyFont="1" applyFill="1" applyBorder="1" applyAlignment="1">
      <alignment horizontal="left" wrapText="1"/>
    </xf>
    <xf numFmtId="44" fontId="100" fillId="12" borderId="0" xfId="2" applyFont="1" applyFill="1" applyAlignment="1">
      <alignment horizontal="center" vertical="center"/>
    </xf>
    <xf numFmtId="0" fontId="0" fillId="0" borderId="0" xfId="0" quotePrefix="1"/>
    <xf numFmtId="0" fontId="0" fillId="0" borderId="0" xfId="0" quotePrefix="1" applyFill="1" applyBorder="1"/>
    <xf numFmtId="0" fontId="32" fillId="2" borderId="0" xfId="0" applyFont="1" applyFill="1" applyBorder="1" applyAlignment="1">
      <alignment horizontal="center" vertical="center"/>
    </xf>
    <xf numFmtId="0" fontId="74" fillId="0" borderId="0" xfId="0" applyFont="1" applyBorder="1" applyAlignment="1">
      <alignment horizontal="center" vertical="center" wrapText="1"/>
    </xf>
    <xf numFmtId="0" fontId="39" fillId="0" borderId="0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 vertical="center" wrapText="1"/>
    </xf>
    <xf numFmtId="9" fontId="39" fillId="14" borderId="0" xfId="3" applyFont="1" applyFill="1" applyBorder="1" applyAlignment="1">
      <alignment horizontal="center" vertical="center" wrapText="1"/>
    </xf>
    <xf numFmtId="10" fontId="35" fillId="12" borderId="0" xfId="2" applyNumberFormat="1" applyFont="1" applyFill="1" applyAlignment="1">
      <alignment horizontal="center" vertical="center"/>
    </xf>
    <xf numFmtId="0" fontId="1" fillId="0" borderId="0" xfId="0" applyFont="1" applyAlignment="1">
      <alignment horizontal="right"/>
    </xf>
    <xf numFmtId="43" fontId="105" fillId="0" borderId="0" xfId="4" applyNumberFormat="1" applyFont="1" applyFill="1" applyBorder="1" applyAlignment="1">
      <alignment horizontal="center" vertical="center"/>
    </xf>
    <xf numFmtId="0" fontId="20" fillId="0" borderId="0" xfId="0" applyFont="1" applyFill="1" applyBorder="1"/>
    <xf numFmtId="168" fontId="86" fillId="0" borderId="0" xfId="0" applyNumberFormat="1" applyFont="1" applyFill="1" applyBorder="1" applyAlignment="1">
      <alignment horizontal="center" vertical="center"/>
    </xf>
    <xf numFmtId="168" fontId="86" fillId="0" borderId="0" xfId="0" applyNumberFormat="1" applyFont="1" applyFill="1" applyBorder="1" applyAlignment="1">
      <alignment horizontal="center" vertical="center" wrapText="1"/>
    </xf>
    <xf numFmtId="168" fontId="86" fillId="0" borderId="0" xfId="0" applyNumberFormat="1" applyFont="1" applyFill="1" applyBorder="1" applyAlignment="1">
      <alignment horizontal="center" vertical="top"/>
    </xf>
    <xf numFmtId="0" fontId="47" fillId="0" borderId="0" xfId="0" applyNumberFormat="1" applyFont="1" applyFill="1" applyBorder="1" applyAlignment="1">
      <alignment horizontal="center" vertical="center"/>
    </xf>
    <xf numFmtId="172" fontId="47" fillId="0" borderId="0" xfId="0" applyNumberFormat="1" applyFont="1" applyFill="1" applyBorder="1" applyAlignment="1">
      <alignment horizontal="center" vertical="center"/>
    </xf>
    <xf numFmtId="172" fontId="103" fillId="0" borderId="0" xfId="0" applyNumberFormat="1" applyFont="1" applyFill="1" applyBorder="1" applyAlignment="1">
      <alignment horizontal="center" vertical="center"/>
    </xf>
    <xf numFmtId="0" fontId="104" fillId="0" borderId="0" xfId="0" applyFont="1" applyFill="1" applyBorder="1" applyAlignment="1">
      <alignment vertical="center"/>
    </xf>
    <xf numFmtId="0" fontId="104" fillId="0" borderId="0" xfId="0" applyFont="1" applyFill="1" applyBorder="1"/>
    <xf numFmtId="0" fontId="88" fillId="0" borderId="0" xfId="0" applyFont="1" applyFill="1" applyBorder="1" applyAlignment="1">
      <alignment horizontal="left"/>
    </xf>
    <xf numFmtId="1" fontId="20" fillId="0" borderId="0" xfId="0" applyNumberFormat="1" applyFont="1" applyFill="1" applyBorder="1" applyAlignment="1">
      <alignment horizontal="center" vertical="center"/>
    </xf>
    <xf numFmtId="0" fontId="106" fillId="0" borderId="0" xfId="0" applyFont="1" applyFill="1" applyBorder="1"/>
    <xf numFmtId="173" fontId="20" fillId="0" borderId="0" xfId="0" applyNumberFormat="1" applyFont="1" applyFill="1" applyBorder="1" applyAlignment="1">
      <alignment horizontal="center" vertical="top"/>
    </xf>
    <xf numFmtId="0" fontId="20" fillId="0" borderId="0" xfId="0" applyFont="1" applyFill="1" applyBorder="1" applyAlignment="1">
      <alignment horizontal="center" vertical="top"/>
    </xf>
    <xf numFmtId="0" fontId="20" fillId="0" borderId="0" xfId="0" applyFont="1" applyFill="1" applyBorder="1" applyAlignment="1">
      <alignment horizontal="left" vertical="center"/>
    </xf>
    <xf numFmtId="2" fontId="20" fillId="0" borderId="0" xfId="0" applyNumberFormat="1" applyFont="1" applyFill="1" applyBorder="1" applyAlignment="1">
      <alignment horizontal="center"/>
    </xf>
    <xf numFmtId="0" fontId="106" fillId="0" borderId="0" xfId="0" applyFont="1" applyFill="1"/>
    <xf numFmtId="0" fontId="20" fillId="0" borderId="0" xfId="0" applyFont="1" applyFill="1"/>
    <xf numFmtId="0" fontId="106" fillId="0" borderId="0" xfId="0" applyFont="1" applyFill="1" applyAlignment="1">
      <alignment wrapText="1"/>
    </xf>
    <xf numFmtId="0" fontId="0" fillId="0" borderId="19" xfId="0" applyBorder="1" applyAlignment="1">
      <alignment horizontal="center" vertical="center"/>
    </xf>
    <xf numFmtId="44" fontId="0" fillId="0" borderId="19" xfId="2" applyNumberFormat="1" applyFont="1" applyBorder="1" applyAlignment="1">
      <alignment vertical="center"/>
    </xf>
    <xf numFmtId="44" fontId="0" fillId="0" borderId="0" xfId="0" applyNumberFormat="1" applyAlignment="1">
      <alignment vertical="center"/>
    </xf>
    <xf numFmtId="44" fontId="20" fillId="0" borderId="19" xfId="2" applyFont="1" applyBorder="1" applyAlignment="1">
      <alignment vertical="center"/>
    </xf>
    <xf numFmtId="44" fontId="20" fillId="0" borderId="19" xfId="2" applyFont="1" applyFill="1" applyBorder="1" applyAlignment="1">
      <alignment horizontal="right" vertical="center"/>
    </xf>
    <xf numFmtId="44" fontId="20" fillId="0" borderId="19" xfId="2" applyFont="1" applyBorder="1" applyAlignment="1">
      <alignment horizontal="center" vertical="center"/>
    </xf>
    <xf numFmtId="0" fontId="91" fillId="0" borderId="19" xfId="0" applyFont="1" applyBorder="1" applyAlignment="1">
      <alignment horizontal="left" vertical="top" wrapText="1"/>
    </xf>
    <xf numFmtId="0" fontId="41" fillId="0" borderId="19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94" fillId="0" borderId="19" xfId="0" applyFont="1" applyBorder="1" applyAlignment="1">
      <alignment horizontal="left" vertical="top" wrapText="1"/>
    </xf>
    <xf numFmtId="0" fontId="95" fillId="0" borderId="19" xfId="0" applyFont="1" applyBorder="1" applyAlignment="1">
      <alignment horizontal="left" vertical="top" wrapText="1"/>
    </xf>
    <xf numFmtId="0" fontId="93" fillId="0" borderId="19" xfId="0" applyFont="1" applyBorder="1" applyAlignment="1">
      <alignment horizontal="left" vertical="top" wrapText="1"/>
    </xf>
    <xf numFmtId="0" fontId="107" fillId="8" borderId="33" xfId="0" applyFont="1" applyFill="1" applyBorder="1" applyAlignment="1">
      <alignment horizontal="left" vertical="center"/>
    </xf>
    <xf numFmtId="44" fontId="29" fillId="8" borderId="33" xfId="0" quotePrefix="1" applyNumberFormat="1" applyFont="1" applyFill="1" applyBorder="1" applyAlignment="1">
      <alignment horizontal="center" vertical="center"/>
    </xf>
    <xf numFmtId="44" fontId="107" fillId="8" borderId="33" xfId="0" quotePrefix="1" applyNumberFormat="1" applyFont="1" applyFill="1" applyBorder="1" applyAlignment="1">
      <alignment horizontal="center" vertical="center"/>
    </xf>
    <xf numFmtId="44" fontId="107" fillId="8" borderId="33" xfId="2" quotePrefix="1" applyFont="1" applyFill="1" applyBorder="1" applyAlignment="1">
      <alignment horizontal="center" vertical="center"/>
    </xf>
    <xf numFmtId="0" fontId="29" fillId="0" borderId="0" xfId="0" applyFont="1"/>
    <xf numFmtId="0" fontId="109" fillId="2" borderId="4" xfId="0" applyFont="1" applyFill="1" applyBorder="1" applyAlignment="1">
      <alignment horizontal="center" vertical="center"/>
    </xf>
    <xf numFmtId="0" fontId="109" fillId="2" borderId="0" xfId="0" applyFont="1" applyFill="1" applyAlignment="1">
      <alignment horizontal="center" vertical="center"/>
    </xf>
    <xf numFmtId="0" fontId="109" fillId="2" borderId="0" xfId="0" applyFont="1" applyFill="1" applyAlignment="1">
      <alignment horizontal="left" vertical="center"/>
    </xf>
    <xf numFmtId="0" fontId="109" fillId="2" borderId="0" xfId="0" applyFont="1" applyFill="1" applyAlignment="1">
      <alignment horizontal="right" vertical="center"/>
    </xf>
    <xf numFmtId="0" fontId="110" fillId="2" borderId="0" xfId="0" applyFont="1" applyFill="1" applyAlignment="1">
      <alignment horizontal="left" vertical="center" wrapText="1"/>
    </xf>
    <xf numFmtId="0" fontId="2" fillId="8" borderId="63" xfId="0" applyFont="1" applyFill="1" applyBorder="1" applyAlignment="1">
      <alignment horizontal="center" vertical="center" wrapText="1"/>
    </xf>
    <xf numFmtId="0" fontId="2" fillId="8" borderId="64" xfId="0" applyFont="1" applyFill="1" applyBorder="1" applyAlignment="1">
      <alignment horizontal="center" vertical="center" wrapText="1"/>
    </xf>
    <xf numFmtId="0" fontId="2" fillId="8" borderId="64" xfId="0" applyFont="1" applyFill="1" applyBorder="1" applyAlignment="1">
      <alignment horizontal="left" vertical="center"/>
    </xf>
    <xf numFmtId="0" fontId="2" fillId="8" borderId="64" xfId="0" applyFont="1" applyFill="1" applyBorder="1" applyAlignment="1">
      <alignment horizontal="right" vertical="center"/>
    </xf>
    <xf numFmtId="0" fontId="2" fillId="8" borderId="64" xfId="0" applyFont="1" applyFill="1" applyBorder="1" applyAlignment="1">
      <alignment horizontal="left" vertical="center" wrapText="1"/>
    </xf>
    <xf numFmtId="0" fontId="2" fillId="8" borderId="64" xfId="0" applyFont="1" applyFill="1" applyBorder="1" applyAlignment="1">
      <alignment horizontal="right" vertical="center" wrapText="1"/>
    </xf>
    <xf numFmtId="44" fontId="1" fillId="24" borderId="0" xfId="2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62" fillId="2" borderId="0" xfId="0" applyFont="1" applyFill="1" applyAlignment="1">
      <alignment horizontal="center" vertical="center" wrapText="1"/>
    </xf>
    <xf numFmtId="44" fontId="111" fillId="12" borderId="33" xfId="0" applyNumberFormat="1" applyFont="1" applyFill="1" applyBorder="1" applyAlignment="1">
      <alignment horizontal="right" vertical="center"/>
    </xf>
    <xf numFmtId="44" fontId="68" fillId="2" borderId="35" xfId="2" applyFont="1" applyFill="1" applyBorder="1" applyAlignment="1">
      <alignment horizontal="right" vertical="center"/>
    </xf>
    <xf numFmtId="44" fontId="0" fillId="0" borderId="0" xfId="0" applyNumberFormat="1" applyAlignment="1">
      <alignment horizontal="left" vertical="center"/>
    </xf>
    <xf numFmtId="0" fontId="12" fillId="2" borderId="0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 vertical="center" wrapText="1"/>
    </xf>
    <xf numFmtId="2" fontId="13" fillId="4" borderId="0" xfId="0" applyNumberFormat="1" applyFont="1" applyFill="1" applyBorder="1" applyAlignment="1">
      <alignment horizontal="center" vertical="center" wrapText="1"/>
    </xf>
    <xf numFmtId="164" fontId="13" fillId="5" borderId="0" xfId="0" applyNumberFormat="1" applyFont="1" applyFill="1" applyBorder="1" applyAlignment="1">
      <alignment horizontal="center" vertical="center" wrapText="1"/>
    </xf>
    <xf numFmtId="2" fontId="13" fillId="6" borderId="0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4" fillId="0" borderId="0" xfId="0" applyFont="1" applyBorder="1" applyAlignment="1">
      <alignment horizontal="center" vertical="center" wrapText="1"/>
    </xf>
    <xf numFmtId="0" fontId="0" fillId="8" borderId="0" xfId="0" applyFill="1" applyBorder="1" applyAlignment="1">
      <alignment horizontal="center"/>
    </xf>
    <xf numFmtId="0" fontId="16" fillId="8" borderId="0" xfId="0" applyFont="1" applyFill="1" applyBorder="1" applyAlignment="1">
      <alignment horizontal="center" vertical="center" wrapText="1"/>
    </xf>
    <xf numFmtId="165" fontId="0" fillId="8" borderId="0" xfId="0" applyNumberFormat="1" applyFill="1" applyBorder="1" applyAlignment="1">
      <alignment horizontal="center" vertical="center"/>
    </xf>
    <xf numFmtId="164" fontId="0" fillId="8" borderId="0" xfId="0" applyNumberFormat="1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164" fontId="0" fillId="5" borderId="0" xfId="0" applyNumberFormat="1" applyFill="1" applyBorder="1" applyAlignment="1">
      <alignment horizontal="center" vertical="center"/>
    </xf>
    <xf numFmtId="0" fontId="0" fillId="7" borderId="0" xfId="0" applyFill="1" applyBorder="1" applyAlignment="1">
      <alignment vertical="center"/>
    </xf>
    <xf numFmtId="165" fontId="0" fillId="7" borderId="0" xfId="0" applyNumberFormat="1" applyFill="1" applyBorder="1" applyAlignment="1">
      <alignment vertical="center"/>
    </xf>
    <xf numFmtId="0" fontId="0" fillId="0" borderId="0" xfId="0" applyBorder="1" applyAlignment="1">
      <alignment vertical="center"/>
    </xf>
    <xf numFmtId="165" fontId="0" fillId="0" borderId="0" xfId="0" applyNumberFormat="1" applyBorder="1" applyAlignment="1">
      <alignment vertical="center"/>
    </xf>
    <xf numFmtId="0" fontId="0" fillId="7" borderId="0" xfId="0" applyFill="1" applyBorder="1" applyAlignment="1">
      <alignment horizontal="center"/>
    </xf>
    <xf numFmtId="167" fontId="87" fillId="0" borderId="0" xfId="0" applyNumberFormat="1" applyFont="1" applyBorder="1" applyAlignment="1">
      <alignment horizontal="center" vertical="center"/>
    </xf>
    <xf numFmtId="0" fontId="82" fillId="30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horizontal="right" vertical="top" wrapText="1"/>
    </xf>
    <xf numFmtId="0" fontId="9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wrapText="1"/>
    </xf>
    <xf numFmtId="0" fontId="4" fillId="3" borderId="0" xfId="0" applyFont="1" applyFill="1" applyAlignment="1">
      <alignment horizontal="center" wrapText="1"/>
    </xf>
    <xf numFmtId="0" fontId="45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9" fontId="41" fillId="0" borderId="0" xfId="3" applyFont="1" applyFill="1" applyBorder="1" applyAlignment="1">
      <alignment horizontal="left" wrapText="1"/>
    </xf>
    <xf numFmtId="0" fontId="51" fillId="13" borderId="0" xfId="0" applyFont="1" applyFill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54" fillId="12" borderId="0" xfId="0" applyFont="1" applyFill="1" applyAlignment="1">
      <alignment horizontal="center" vertical="center" textRotation="90" wrapText="1"/>
    </xf>
    <xf numFmtId="0" fontId="47" fillId="12" borderId="0" xfId="0" applyFont="1" applyFill="1" applyAlignment="1">
      <alignment horizontal="center" vertical="center"/>
    </xf>
    <xf numFmtId="0" fontId="53" fillId="4" borderId="0" xfId="0" applyFont="1" applyFill="1" applyAlignment="1">
      <alignment horizontal="center" vertical="center" textRotation="90" wrapText="1"/>
    </xf>
    <xf numFmtId="0" fontId="2" fillId="4" borderId="0" xfId="0" applyFont="1" applyFill="1" applyAlignment="1">
      <alignment horizontal="center" vertical="center"/>
    </xf>
    <xf numFmtId="9" fontId="39" fillId="0" borderId="17" xfId="3" applyFont="1" applyFill="1" applyBorder="1" applyAlignment="1">
      <alignment horizontal="left" vertical="center" wrapText="1"/>
    </xf>
    <xf numFmtId="9" fontId="39" fillId="14" borderId="49" xfId="3" applyFont="1" applyFill="1" applyBorder="1" applyAlignment="1">
      <alignment horizontal="center" vertical="center" wrapText="1"/>
    </xf>
    <xf numFmtId="9" fontId="39" fillId="14" borderId="50" xfId="3" applyFont="1" applyFill="1" applyBorder="1" applyAlignment="1">
      <alignment horizontal="center" vertical="center" wrapText="1"/>
    </xf>
    <xf numFmtId="9" fontId="39" fillId="0" borderId="16" xfId="3" applyFont="1" applyFill="1" applyBorder="1" applyAlignment="1">
      <alignment horizontal="left" vertical="center" wrapText="1"/>
    </xf>
    <xf numFmtId="9" fontId="39" fillId="0" borderId="0" xfId="3" applyFont="1" applyFill="1" applyBorder="1" applyAlignment="1">
      <alignment horizontal="left" vertical="center" wrapText="1"/>
    </xf>
    <xf numFmtId="0" fontId="39" fillId="0" borderId="18" xfId="0" applyFont="1" applyBorder="1" applyAlignment="1">
      <alignment horizontal="center" vertical="center"/>
    </xf>
    <xf numFmtId="0" fontId="39" fillId="0" borderId="47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 wrapText="1"/>
    </xf>
    <xf numFmtId="0" fontId="39" fillId="0" borderId="47" xfId="0" applyFont="1" applyBorder="1" applyAlignment="1">
      <alignment horizontal="center" vertical="center" wrapText="1"/>
    </xf>
    <xf numFmtId="0" fontId="39" fillId="0" borderId="16" xfId="0" applyFont="1" applyBorder="1" applyAlignment="1">
      <alignment horizontal="center" vertical="center" wrapText="1"/>
    </xf>
    <xf numFmtId="0" fontId="39" fillId="0" borderId="43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  <xf numFmtId="0" fontId="39" fillId="0" borderId="45" xfId="0" applyFont="1" applyBorder="1" applyAlignment="1">
      <alignment horizontal="center" vertical="center" wrapText="1"/>
    </xf>
    <xf numFmtId="0" fontId="50" fillId="4" borderId="0" xfId="0" applyFont="1" applyFill="1" applyAlignment="1">
      <alignment horizontal="center" vertical="center" textRotation="90" wrapText="1"/>
    </xf>
    <xf numFmtId="0" fontId="46" fillId="12" borderId="0" xfId="0" applyFont="1" applyFill="1" applyAlignment="1">
      <alignment horizontal="center" vertical="center" textRotation="90"/>
    </xf>
    <xf numFmtId="0" fontId="2" fillId="0" borderId="17" xfId="0" applyFont="1" applyBorder="1" applyAlignment="1">
      <alignment horizontal="left" vertical="center"/>
    </xf>
    <xf numFmtId="0" fontId="74" fillId="0" borderId="16" xfId="0" applyFont="1" applyBorder="1" applyAlignment="1">
      <alignment horizontal="center" vertical="center" wrapText="1"/>
    </xf>
    <xf numFmtId="0" fontId="74" fillId="0" borderId="43" xfId="0" applyFont="1" applyBorder="1" applyAlignment="1">
      <alignment horizontal="center" vertical="center" wrapText="1"/>
    </xf>
    <xf numFmtId="0" fontId="74" fillId="0" borderId="17" xfId="0" applyFont="1" applyBorder="1" applyAlignment="1">
      <alignment horizontal="center" vertical="center" wrapText="1"/>
    </xf>
    <xf numFmtId="0" fontId="74" fillId="0" borderId="45" xfId="0" applyFont="1" applyBorder="1" applyAlignment="1">
      <alignment horizontal="center" vertical="center" wrapText="1"/>
    </xf>
    <xf numFmtId="0" fontId="36" fillId="12" borderId="0" xfId="0" applyFont="1" applyFill="1" applyBorder="1" applyAlignment="1">
      <alignment horizontal="center" vertical="center" wrapText="1"/>
    </xf>
    <xf numFmtId="0" fontId="96" fillId="12" borderId="0" xfId="0" applyFont="1" applyFill="1" applyAlignment="1">
      <alignment horizontal="center" vertical="center" wrapText="1"/>
    </xf>
    <xf numFmtId="44" fontId="100" fillId="12" borderId="0" xfId="2" applyFont="1" applyFill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39" fillId="0" borderId="43" xfId="0" applyFont="1" applyBorder="1" applyAlignment="1">
      <alignment horizontal="center" vertical="center"/>
    </xf>
    <xf numFmtId="0" fontId="39" fillId="0" borderId="17" xfId="0" applyFont="1" applyBorder="1" applyAlignment="1">
      <alignment horizontal="center" vertical="center"/>
    </xf>
    <xf numFmtId="0" fontId="39" fillId="0" borderId="45" xfId="0" applyFont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39" fillId="0" borderId="17" xfId="0" applyFont="1" applyBorder="1" applyAlignment="1">
      <alignment horizontal="left" vertical="center" wrapText="1"/>
    </xf>
    <xf numFmtId="0" fontId="39" fillId="0" borderId="18" xfId="0" applyFont="1" applyBorder="1" applyAlignment="1">
      <alignment horizontal="left" vertical="center"/>
    </xf>
    <xf numFmtId="0" fontId="39" fillId="0" borderId="16" xfId="0" applyFont="1" applyBorder="1" applyAlignment="1">
      <alignment horizontal="left" vertical="center" wrapText="1"/>
    </xf>
    <xf numFmtId="0" fontId="39" fillId="0" borderId="17" xfId="0" applyFont="1" applyBorder="1" applyAlignment="1">
      <alignment horizontal="left" vertic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10" fontId="35" fillId="0" borderId="0" xfId="3" applyNumberFormat="1" applyFont="1" applyFill="1" applyBorder="1" applyAlignment="1">
      <alignment horizontal="center"/>
    </xf>
    <xf numFmtId="0" fontId="108" fillId="2" borderId="1" xfId="0" applyFont="1" applyFill="1" applyBorder="1" applyAlignment="1">
      <alignment horizontal="center" vertical="center"/>
    </xf>
    <xf numFmtId="0" fontId="108" fillId="2" borderId="2" xfId="0" applyFont="1" applyFill="1" applyBorder="1" applyAlignment="1">
      <alignment horizontal="center" vertical="center"/>
    </xf>
    <xf numFmtId="0" fontId="108" fillId="2" borderId="4" xfId="0" applyFont="1" applyFill="1" applyBorder="1" applyAlignment="1">
      <alignment horizontal="center" vertical="center"/>
    </xf>
    <xf numFmtId="0" fontId="108" fillId="2" borderId="0" xfId="0" applyFont="1" applyFill="1" applyAlignment="1">
      <alignment horizontal="center" vertical="center"/>
    </xf>
    <xf numFmtId="0" fontId="31" fillId="2" borderId="51" xfId="0" applyFont="1" applyFill="1" applyBorder="1" applyAlignment="1">
      <alignment horizontal="center" vertical="center"/>
    </xf>
    <xf numFmtId="0" fontId="31" fillId="2" borderId="52" xfId="0" applyFont="1" applyFill="1" applyBorder="1" applyAlignment="1">
      <alignment horizontal="center" vertical="center"/>
    </xf>
    <xf numFmtId="0" fontId="31" fillId="2" borderId="53" xfId="0" applyFont="1" applyFill="1" applyBorder="1" applyAlignment="1">
      <alignment horizontal="center" vertical="center"/>
    </xf>
    <xf numFmtId="0" fontId="31" fillId="2" borderId="57" xfId="0" applyFont="1" applyFill="1" applyBorder="1" applyAlignment="1">
      <alignment horizontal="center" vertical="center"/>
    </xf>
    <xf numFmtId="0" fontId="31" fillId="2" borderId="58" xfId="0" applyFont="1" applyFill="1" applyBorder="1" applyAlignment="1">
      <alignment horizontal="center" vertical="center"/>
    </xf>
    <xf numFmtId="0" fontId="31" fillId="2" borderId="59" xfId="0" applyFont="1" applyFill="1" applyBorder="1" applyAlignment="1">
      <alignment horizontal="center" vertical="center"/>
    </xf>
    <xf numFmtId="0" fontId="31" fillId="2" borderId="60" xfId="0" applyFont="1" applyFill="1" applyBorder="1" applyAlignment="1">
      <alignment horizontal="center" vertical="center"/>
    </xf>
    <xf numFmtId="0" fontId="0" fillId="20" borderId="56" xfId="0" applyFill="1" applyBorder="1" applyAlignment="1">
      <alignment horizontal="center" vertical="center"/>
    </xf>
    <xf numFmtId="0" fontId="0" fillId="20" borderId="62" xfId="0" applyFill="1" applyBorder="1" applyAlignment="1">
      <alignment horizontal="center" vertical="center"/>
    </xf>
    <xf numFmtId="0" fontId="0" fillId="20" borderId="21" xfId="0" applyFill="1" applyBorder="1" applyAlignment="1">
      <alignment horizontal="center" vertical="center"/>
    </xf>
    <xf numFmtId="0" fontId="0" fillId="20" borderId="56" xfId="0" applyFill="1" applyBorder="1" applyAlignment="1">
      <alignment horizontal="left" vertical="center" wrapText="1"/>
    </xf>
    <xf numFmtId="0" fontId="0" fillId="20" borderId="62" xfId="0" applyFill="1" applyBorder="1" applyAlignment="1">
      <alignment horizontal="left" vertical="center" wrapText="1"/>
    </xf>
    <xf numFmtId="0" fontId="0" fillId="20" borderId="21" xfId="0" applyFill="1" applyBorder="1" applyAlignment="1">
      <alignment horizontal="left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20" borderId="25" xfId="0" applyFill="1" applyBorder="1" applyAlignment="1">
      <alignment horizontal="center" vertical="center"/>
    </xf>
    <xf numFmtId="0" fontId="0" fillId="20" borderId="27" xfId="0" applyFill="1" applyBorder="1" applyAlignment="1">
      <alignment horizontal="center" vertical="center"/>
    </xf>
    <xf numFmtId="0" fontId="0" fillId="20" borderId="19" xfId="0" applyFill="1" applyBorder="1" applyAlignment="1">
      <alignment horizontal="left" vertical="center"/>
    </xf>
    <xf numFmtId="0" fontId="0" fillId="0" borderId="19" xfId="0" applyBorder="1" applyAlignment="1">
      <alignment horizontal="center" vertical="center" wrapText="1"/>
    </xf>
    <xf numFmtId="44" fontId="60" fillId="0" borderId="21" xfId="2" applyFont="1" applyBorder="1" applyAlignment="1">
      <alignment horizontal="center" vertical="center"/>
    </xf>
    <xf numFmtId="44" fontId="60" fillId="0" borderId="19" xfId="2" applyFont="1" applyBorder="1" applyAlignment="1">
      <alignment horizontal="center" vertical="center"/>
    </xf>
    <xf numFmtId="167" fontId="67" fillId="12" borderId="37" xfId="0" applyNumberFormat="1" applyFont="1" applyFill="1" applyBorder="1" applyAlignment="1">
      <alignment horizontal="right" vertical="center"/>
    </xf>
    <xf numFmtId="167" fontId="67" fillId="12" borderId="38" xfId="0" applyNumberFormat="1" applyFont="1" applyFill="1" applyBorder="1" applyAlignment="1">
      <alignment horizontal="right" vertical="center"/>
    </xf>
    <xf numFmtId="0" fontId="61" fillId="0" borderId="0" xfId="0" applyFont="1" applyFill="1" applyBorder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wrapText="1"/>
    </xf>
    <xf numFmtId="0" fontId="97" fillId="2" borderId="0" xfId="0" applyFont="1" applyFill="1" applyAlignment="1">
      <alignment horizontal="center" vertical="center"/>
    </xf>
    <xf numFmtId="0" fontId="61" fillId="0" borderId="4" xfId="0" applyFont="1" applyBorder="1" applyAlignment="1">
      <alignment horizontal="center" vertical="center" textRotation="90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70" fillId="2" borderId="0" xfId="0" applyFont="1" applyFill="1" applyBorder="1" applyAlignment="1">
      <alignment horizontal="center" vertical="center"/>
    </xf>
    <xf numFmtId="0" fontId="72" fillId="22" borderId="4" xfId="0" applyFont="1" applyFill="1" applyBorder="1" applyAlignment="1">
      <alignment horizontal="center" vertical="center"/>
    </xf>
    <xf numFmtId="0" fontId="72" fillId="22" borderId="0" xfId="0" applyFont="1" applyFill="1" applyBorder="1" applyAlignment="1">
      <alignment horizontal="center" vertical="center"/>
    </xf>
    <xf numFmtId="0" fontId="72" fillId="22" borderId="5" xfId="0" applyFont="1" applyFill="1" applyBorder="1" applyAlignment="1">
      <alignment horizontal="center" vertical="center"/>
    </xf>
    <xf numFmtId="0" fontId="0" fillId="28" borderId="4" xfId="0" applyFill="1" applyBorder="1" applyAlignment="1">
      <alignment horizontal="center" wrapText="1"/>
    </xf>
    <xf numFmtId="0" fontId="0" fillId="28" borderId="0" xfId="0" applyFill="1" applyBorder="1" applyAlignment="1">
      <alignment horizontal="center"/>
    </xf>
    <xf numFmtId="0" fontId="0" fillId="28" borderId="5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72" fillId="25" borderId="4" xfId="0" applyFont="1" applyFill="1" applyBorder="1" applyAlignment="1">
      <alignment horizontal="center"/>
    </xf>
    <xf numFmtId="0" fontId="72" fillId="25" borderId="0" xfId="0" applyFont="1" applyFill="1" applyBorder="1" applyAlignment="1">
      <alignment horizontal="center"/>
    </xf>
    <xf numFmtId="0" fontId="72" fillId="25" borderId="5" xfId="0" applyFont="1" applyFill="1" applyBorder="1" applyAlignment="1">
      <alignment horizontal="center"/>
    </xf>
    <xf numFmtId="0" fontId="71" fillId="24" borderId="4" xfId="0" applyFont="1" applyFill="1" applyBorder="1" applyAlignment="1">
      <alignment horizontal="left" vertical="center" wrapText="1"/>
    </xf>
    <xf numFmtId="0" fontId="71" fillId="24" borderId="0" xfId="0" applyFont="1" applyFill="1" applyBorder="1" applyAlignment="1">
      <alignment horizontal="left" vertical="center" wrapText="1"/>
    </xf>
    <xf numFmtId="0" fontId="71" fillId="24" borderId="5" xfId="0" applyFont="1" applyFill="1" applyBorder="1" applyAlignment="1">
      <alignment horizontal="left" vertical="center" wrapText="1"/>
    </xf>
    <xf numFmtId="0" fontId="72" fillId="26" borderId="4" xfId="0" applyFont="1" applyFill="1" applyBorder="1" applyAlignment="1">
      <alignment horizontal="center" vertical="center" wrapText="1"/>
    </xf>
    <xf numFmtId="0" fontId="72" fillId="26" borderId="0" xfId="0" applyFont="1" applyFill="1" applyBorder="1" applyAlignment="1">
      <alignment horizontal="center" vertical="center" wrapText="1"/>
    </xf>
    <xf numFmtId="0" fontId="72" fillId="26" borderId="5" xfId="0" applyFont="1" applyFill="1" applyBorder="1" applyAlignment="1">
      <alignment horizontal="center" vertical="center" wrapText="1"/>
    </xf>
    <xf numFmtId="0" fontId="71" fillId="27" borderId="4" xfId="0" applyFont="1" applyFill="1" applyBorder="1" applyAlignment="1">
      <alignment horizontal="left" vertical="center" wrapText="1"/>
    </xf>
    <xf numFmtId="0" fontId="71" fillId="27" borderId="0" xfId="0" applyFont="1" applyFill="1" applyBorder="1" applyAlignment="1">
      <alignment horizontal="left" vertical="center" wrapText="1"/>
    </xf>
    <xf numFmtId="0" fontId="71" fillId="27" borderId="5" xfId="0" applyFont="1" applyFill="1" applyBorder="1" applyAlignment="1">
      <alignment horizontal="left" vertical="center" wrapText="1"/>
    </xf>
    <xf numFmtId="0" fontId="24" fillId="2" borderId="10" xfId="0" applyFont="1" applyFill="1" applyBorder="1" applyAlignment="1">
      <alignment horizontal="center" vertical="center"/>
    </xf>
    <xf numFmtId="0" fontId="24" fillId="2" borderId="1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2" fontId="13" fillId="7" borderId="0" xfId="0" applyNumberFormat="1" applyFont="1" applyFill="1" applyBorder="1" applyAlignment="1">
      <alignment horizontal="center" vertical="center" wrapText="1"/>
    </xf>
    <xf numFmtId="2" fontId="13" fillId="7" borderId="5" xfId="0" applyNumberFormat="1" applyFont="1" applyFill="1" applyBorder="1" applyAlignment="1">
      <alignment horizontal="center" vertical="center" wrapText="1"/>
    </xf>
    <xf numFmtId="0" fontId="14" fillId="7" borderId="0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9" fillId="2" borderId="10" xfId="0" applyFont="1" applyFill="1" applyBorder="1" applyAlignment="1">
      <alignment horizontal="center" vertical="center" wrapText="1"/>
    </xf>
    <xf numFmtId="0" fontId="19" fillId="2" borderId="11" xfId="0" applyFont="1" applyFill="1" applyBorder="1" applyAlignment="1">
      <alignment horizontal="center" vertical="center" wrapText="1"/>
    </xf>
    <xf numFmtId="0" fontId="24" fillId="2" borderId="12" xfId="0" applyFont="1" applyFill="1" applyBorder="1" applyAlignment="1">
      <alignment horizontal="center" vertical="center"/>
    </xf>
    <xf numFmtId="0" fontId="79" fillId="29" borderId="0" xfId="0" applyFont="1" applyFill="1" applyAlignment="1">
      <alignment horizontal="center" vertical="top" wrapText="1"/>
    </xf>
    <xf numFmtId="0" fontId="77" fillId="29" borderId="0" xfId="0" applyFont="1" applyFill="1" applyAlignment="1">
      <alignment horizontal="center" vertical="top" wrapText="1"/>
    </xf>
    <xf numFmtId="0" fontId="77" fillId="30" borderId="0" xfId="0" applyFont="1" applyFill="1" applyAlignment="1">
      <alignment horizontal="center" vertical="top" wrapText="1"/>
    </xf>
    <xf numFmtId="0" fontId="77" fillId="29" borderId="0" xfId="0" applyFont="1" applyFill="1" applyAlignment="1">
      <alignment horizontal="center" vertical="center" wrapText="1"/>
    </xf>
  </cellXfs>
  <cellStyles count="10">
    <cellStyle name="Check Cell 2" xfId="7" xr:uid="{C101956E-E8E4-45B1-BFE3-062A96D770E9}"/>
    <cellStyle name="Currency 2" xfId="8" xr:uid="{B88F32E3-CDB4-4289-9D85-A5983EAA5B9E}"/>
    <cellStyle name="Moeda" xfId="2" builtinId="4"/>
    <cellStyle name="Moeda 2" xfId="4" xr:uid="{E7E8CF33-7C7F-4B89-B651-342BF0302260}"/>
    <cellStyle name="Moeda 3" xfId="6" xr:uid="{F405D770-16A8-4CF4-A37F-B1C066E64BD8}"/>
    <cellStyle name="Normal" xfId="0" builtinId="0"/>
    <cellStyle name="Normal 2" xfId="5" xr:uid="{2D952492-7749-4C9C-B79A-45990C153466}"/>
    <cellStyle name="Normal 2 2" xfId="9" xr:uid="{5A4112FB-8D58-4697-B6B8-47794F455B31}"/>
    <cellStyle name="Porcentagem" xfId="3" builtinId="5"/>
    <cellStyle name="Vírgula" xfId="1" builtinId="3"/>
  </cellStyles>
  <dxfs count="103">
    <dxf>
      <numFmt numFmtId="0" formatCode="General"/>
      <fill>
        <patternFill patternType="solid">
          <fgColor indexed="64"/>
          <bgColor theme="0" tint="-4.9989318521683403E-2"/>
        </patternFill>
      </fill>
      <alignment horizontal="general" vertical="top" textRotation="0" wrapText="1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right" vertical="top" textRotation="0" wrapText="1" indent="0" justifyLastLine="0" shrinkToFit="0" readingOrder="0"/>
    </dxf>
    <dxf>
      <numFmt numFmtId="34" formatCode="_-&quot;R$&quot;\ * #,##0.00_-;\-&quot;R$&quot;\ * #,##0.00_-;_-&quot;R$&quot;\ * &quot;-&quot;??_-;_-@_-"/>
      <fill>
        <patternFill patternType="solid">
          <fgColor indexed="64"/>
          <bgColor theme="0" tint="-4.9989318521683403E-2"/>
        </patternFill>
      </fill>
      <alignment horizontal="right" vertical="top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right" vertical="top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general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rgb="FFC00000"/>
      </font>
    </dxf>
    <dxf>
      <font>
        <color rgb="FFC00000"/>
      </font>
    </dxf>
    <dxf>
      <font>
        <strike/>
      </font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 patternType="solid">
          <fgColor auto="1"/>
          <bgColor rgb="FFC00000"/>
        </patternFill>
      </fill>
    </dxf>
    <dxf>
      <font>
        <color theme="0"/>
      </font>
      <fill>
        <patternFill patternType="solid">
          <fgColor auto="1"/>
          <bgColor rgb="FFC00000"/>
        </patternFill>
      </fill>
    </dxf>
    <dxf>
      <font>
        <color theme="0"/>
      </font>
      <fill>
        <patternFill patternType="solid">
          <fgColor auto="1"/>
          <bgColor rgb="FFC00000"/>
        </patternFill>
      </fill>
    </dxf>
  </dxfs>
  <tableStyles count="0" defaultTableStyle="TableStyleMedium2" defaultPivotStyle="PivotStyleLight16"/>
  <colors>
    <mruColors>
      <color rgb="FFCC0000"/>
      <color rgb="FFFF4F4F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solidFill>
                  <a:schemeClr val="tx2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Fluxo de Caixa O&amp;M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3799260098885281E-2"/>
                  <c:y val="-2.31481481481481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837-4C5A-9618-A21DA6F466BE}"/>
                </c:ext>
              </c:extLst>
            </c:dLbl>
            <c:dLbl>
              <c:idx val="1"/>
              <c:layout>
                <c:manualLayout>
                  <c:x val="8.2795560593311186E-3"/>
                  <c:y val="-2.31481481481481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837-4C5A-9618-A21DA6F466BE}"/>
                </c:ext>
              </c:extLst>
            </c:dLbl>
            <c:dLbl>
              <c:idx val="2"/>
              <c:layout>
                <c:manualLayout>
                  <c:x val="1.1039408079108123E-2"/>
                  <c:y val="-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37-4C5A-9618-A21DA6F466BE}"/>
                </c:ext>
              </c:extLst>
            </c:dLbl>
            <c:dLbl>
              <c:idx val="3"/>
              <c:layout>
                <c:manualLayout>
                  <c:x val="8.2795560593310665E-3"/>
                  <c:y val="-1.38888888888889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837-4C5A-9618-A21DA6F466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Gráficos!$P$2:$P$5</c:f>
              <c:strCache>
                <c:ptCount val="4"/>
                <c:pt idx="0">
                  <c:v>Faturamento</c:v>
                </c:pt>
                <c:pt idx="1">
                  <c:v>Custo Real</c:v>
                </c:pt>
                <c:pt idx="2">
                  <c:v>Impostos</c:v>
                </c:pt>
                <c:pt idx="3">
                  <c:v>Lucro</c:v>
                </c:pt>
              </c:strCache>
            </c:strRef>
          </c:cat>
          <c:val>
            <c:numRef>
              <c:f>Gráficos!$Q$2:$Q$5</c:f>
              <c:numCache>
                <c:formatCode>_("R$"* #,##0.00_);_("R$"* \(#,##0.00\);_("R$"* "-"??_);_(@_)</c:formatCode>
                <c:ptCount val="4"/>
                <c:pt idx="0">
                  <c:v>602159.09708099533</c:v>
                </c:pt>
                <c:pt idx="1">
                  <c:v>434643.71490000002</c:v>
                </c:pt>
                <c:pt idx="2">
                  <c:v>116999.51256283739</c:v>
                </c:pt>
                <c:pt idx="3">
                  <c:v>50515.869618157914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37-4C5A-9618-A21DA6F466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1527722144"/>
        <c:axId val="1527723104"/>
        <c:axId val="0"/>
      </c:bar3DChart>
      <c:catAx>
        <c:axId val="152772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27723104"/>
        <c:crosses val="autoZero"/>
        <c:auto val="1"/>
        <c:lblAlgn val="ctr"/>
        <c:lblOffset val="100"/>
        <c:noMultiLvlLbl val="0"/>
      </c:catAx>
      <c:valAx>
        <c:axId val="152772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772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"/>
          <c:y val="0.23313073749267674"/>
          <c:w val="1"/>
          <c:h val="0.63849346991336009"/>
        </c:manualLayout>
      </c:layout>
      <c:ofPieChart>
        <c:ofPieType val="pie"/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CA8-4A04-B2D9-34B107E93F2A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CA8-4A04-B2D9-34B107E93F2A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8CA8-4A04-B2D9-34B107E93F2A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CA8-4A04-B2D9-34B107E93F2A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8CA8-4A04-B2D9-34B107E93F2A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6-8CA8-4A04-B2D9-34B107E93F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Gráficos!$P$7:$P$11</c:f>
              <c:strCache>
                <c:ptCount val="5"/>
                <c:pt idx="0">
                  <c:v>Custo Relatório de Despesas Entec</c:v>
                </c:pt>
                <c:pt idx="1">
                  <c:v>Aluguel Carros </c:v>
                </c:pt>
                <c:pt idx="2">
                  <c:v>Cartões Funcionários </c:v>
                </c:pt>
                <c:pt idx="3">
                  <c:v>Remuneração</c:v>
                </c:pt>
                <c:pt idx="4">
                  <c:v>Terceiros</c:v>
                </c:pt>
              </c:strCache>
            </c:strRef>
          </c:cat>
          <c:val>
            <c:numRef>
              <c:f>Gráficos!$Q$7:$Q$11</c:f>
              <c:numCache>
                <c:formatCode>_("R$"* #,##0.00_);_("R$"* \(#,##0.00\);_("R$"* "-"??_);_(@_)</c:formatCode>
                <c:ptCount val="5"/>
                <c:pt idx="0">
                  <c:v>48928.584900000002</c:v>
                </c:pt>
                <c:pt idx="1">
                  <c:v>60715.130000000012</c:v>
                </c:pt>
                <c:pt idx="2">
                  <c:v>65000</c:v>
                </c:pt>
                <c:pt idx="3">
                  <c:v>200000</c:v>
                </c:pt>
                <c:pt idx="4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8-4A04-B2D9-34B107E93F2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os"/>
        <c:splitPos val="4"/>
        <c:secondPieSize val="75"/>
        <c:serLines>
          <c:spPr>
            <a:ln w="9525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olorStr">
        <cx:f>_xlchart.v5.3</cx:f>
        <cx:nf>_xlchart.v5.2</cx:nf>
      </cx:strDim>
      <cx:strDim type="cat">
        <cx:f>_xlchart.v5.1</cx:f>
        <cx:nf>_xlchart.v5.0</cx:nf>
      </cx:strDim>
    </cx:data>
  </cx:chartData>
  <cx:chart>
    <cx:title pos="t" align="ctr" overlay="0">
      <cx:tx>
        <cx:txData>
          <cx:v>Estados Ativos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t-B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Estados Ativos</a:t>
          </a:r>
        </a:p>
      </cx:txPr>
    </cx:title>
    <cx:plotArea>
      <cx:plotAreaRegion>
        <cx:series layoutId="regionMap" uniqueId="{2FC22F0C-6F07-4320-A4C2-7AE12A6C0B69}">
          <cx:tx>
            <cx:txData>
              <cx:f>_xlchart.v5.2</cx:f>
              <cx:v>País</cx:v>
            </cx:txData>
          </cx:tx>
          <cx:dataId val="0"/>
          <cx:layoutPr>
            <cx:geography cultureLanguage="pt-BR" cultureRegion="BR" attribution="Da plataforma Bing">
              <cx:geoCache provider="{E9337A44-BEBE-4D9F-B70C-5C5E7DAFC167}">
                <cx:binary>1HxZktxGsu1WaPx+oAIxR1vrmjWArImDOEqifmDVJIU5AvO0m2t3C28HvbF3QA1dicqufCXT/RDN
KJmEyvL02f24O/7+af7bp/LLbftkrkrb/e3T/O3TtO/rv33zTfcp/VLdds+q7FPrOvdz/+yTq75x
P/+cffryzef2dsps8g0lPv/mU3rb9l/mp//1d/y25It74T7d9pmzb4Yv7fL2SzeUfffAs5OPntx+
rjIbZV3fZp96/9unT4K3T54++WL7rF/eL/WXb58e/cTTJ9/819+/+Y/0T9L45audfHSf/Ovz5I+p
32P5SQmp9MNnfHWPimecEa4M4eaXP0+flM4mvz3n5hnVXPi+kL8//4X3V7cVfsHr2/bW/uu/HxLI
V75uP39uv3Qd2Pn67zsfPJIe/v/bp08+ucH2m8YSKO/bp0F722Xl0ydZ58JfnoRu+/IBfvS+sO9J
H/z/b+rj5buz5vAYfZBnkDaHOsgvf/xjfQj+TPrS9w3Tvz+/q4+Xt717cgk/6dyTz+7JuwFy+8+2
elo1p37HTksv3/3FtPT21Z+pJfFME2EQc/xfnUIda4mJZ9QnghOlTmrpbbYp6dZ+/rIp6ZVD1Hq8
mk7+kp2e3r76i+kpPPyZemLPlGYMShKnvYnpZ0JrQ3xBf5P/L2EtRCb6I1Htt8/t1BAe/mJqePf6
z1QDZc8EY0Ya/e+gdZRk5DNJtZaa/OpO+lgb7/71P+7J69uhdL/9/1OJ93Qwu/vZnVbevf6LaeXt
d3+mVvQzJX0Nif8H55DsmSH4CW3k6SDm7Od//V+b3T5eKW///dGdTt5+9xfTyeWfqhMfnmAIU0T8
KnPEpSNPQTkmNHI/tPL1z85TLl32r//uHq+Q3z6308blX00bb//UYoyRZ4QZQQ2kfFcLwkd6l4bh
4S+escsex5n5D9VgJ37FTjdv/2ol2D9e/pnRiz3zKaXwAf/X1L7zFAnd+VxSX7GTOvpHdbs6e/sH
fOXfn9xp5B8v/2Kx66w+/sS+6T/0dHd7k6Mf+draPaJx8skz9vUP2RmCYM/oVwtQ/w6pdzum37rL
//xNThcWv33u6Fv/bzer/1khv3f50W1/e/iKTpyCPU4+/cog8JLdw6PG8YjN3xLM9edvnzLIG134
L6rafsOvH/ulkP5NSr9I97ef/3Lb9Rv4oJ9priTXkhKJdkmap0+mL18fKRQfmhHKhVG+VKgdnz6x
6JPSb5+it5JGKBSTCvHXZxLNV+eG7ZHHUPEDrEBMUMijnBr1Oxj02pVL4uzvcvr1v5/YoXrtMtt3
+M1Pn9S//NT2RYXcumwD+lxR5mtu0IvXn27fAm/CD/v/h3mJzWnSLkEj+pKFKwCr9nIYLHc3ySry
/uKOZP6/yHHOtA9SlHHfp+DrLrnaU/FQ9HwO/KJbxOe5LPy1DGycefxdwk27fnqYHr/HHheAfjQ4
FMB4NjnepUcyW7RL2cxB4xH7tldMvm8ymV8+hopkGoLTCMNSUol2WG3f4o4Qx3U1CRlsF2jqjdHS
12OoGO/RMf1uVSdkJ494+ZUKo/j1KGmRGJCx71JxcVfHmlVdENvcHOLBE0Fr5/KnZF6bKCuMh0b5
IXrHstvoCbJlHo0kozks8Zhe6a9KmFm3wdAafpHpab5Iy9EPHk+FCaWU9uEjguy48ged5S2J2yDn
Kf2BZE113dfzGj1M5b7sxFbmCAVrhx1ouNpd2bVNSdJemTaYC56qMDWzG4KiFWIInFlcF/jNlL5/
mOaxa32VHwASQVHJwmHpFrTv0jSWNXU1Lm3gGktviNeIaOyK/CUZtDzD3glSCDFwKCOYomg0j0nR
uiKuGgqQKsc6GI1dL+psqMMur8qbh7k6IUnJDedUQYwKIeiYlKil1Z6t2mDMuvx6yHJ5JREnXnDH
zHdT69TVw/ROWOFdeooc01t6tzo5gl5r/bW+qvy49g75KLMzdE6JUFDfACcBe+jjj+nElV6XzIkm
MGWTjmGer/kS9dmw/sSSsTlD7JQQhZKAZZAAtNDb8zsBwzSt1F2+NEGy0CIaxpa+SqWMQ8H1EslZ
8/BhIZ5kTjMlKfxMSLlz5ZEPse4z2gR+OfBAmJwesp6qIMnW5Iw/nyIlCWcK3uwLRXcJxfeEKLyZ
NMHSkjLqaSlfdflKA1Ml7RkH24L3v3PXVweTd0ntHGxcVd12PrgSq/suTVVyqYul+V75jL+YeNF8
3+rhx4cFecoa75K8J8jMm6fChyBTUoW8jcUFxirJGXc+SQWVvZYCkwuxt8XO1Gm7emkb1JkZXheu
zkNPW4ZO9pHxHQkLMxHOJRdK7zwrFjFvUqOawHVVFrDZyYtsdPJMbjxl6lIzjurHN8qYHZXWqKzN
GtkEXmuYDLUpi5tSVvHPVd2l7w3iVX/GuU5aIJA2DlCUSc53FHMvLdtMsiboUZhdluPwUXD+T9pQ
dXi8ABWmGHTLXJqq7Yvc8WIpSJpMAiEjjT0VTlWnI176/RmH8jePOTbzbRjCNdBFuSWSXcRNPZ0N
pbBt0LCWBZ1lUyjWND/UdZ1c2smxoJbiMo6L4pKJfvKCZrRDsBKenoki981SwnUkoVT4X8uRY35N
VpFxHJFlfNuX8o3teNpdp2youjMa9Dc32rPMJGodyrQQ6G+PKc1dolN/dm2QZmlxQ0o6XjRNzd67
sX2ZSG++abvaHdrC+QED/XBeijSEDnq/N9fD4jVnSqH7kcYgucIjDcp1AqD3+PtMC+ojb5yboCZ6
YsGUmEoGtJ8SFk0koXWQtaN82w19NZ/R/n2ZgzLVyO7asPvl0ULZXA0+MsXMnA5blxfhygZ7RrMn
+btDZWdiy1ibNWkQtKfUH6MhKWk4NbF3WfEkWMxHl0/No0Mc+IKCITipfGJ2sVuryTJUlE3AFt2G
npl5OPLenpHe/eADKhLoiJbMR/u1y7PW0bjoVN8ERWLkW6eX5sCKLr8kQ5n/s8/a9eLhiHBKjjDZ
rQsHunkvIsSFW7NSICPJfOJ1NDbae05jkoRaV91LOi6mj+YEVeAZPs/R3fEph2RuGseboKxs+zyf
nLuu02F9mQ9e+3zQgoekyP0z4e+UcLdqkwAkFIqzXfiba101ZWsh3MwXP/beMA8Hasb8crKG1EFq
vf6Hh8W7/cbjsGC2zpcxtEBIi/tacGDJZEWXNMEYdzaSTdNGrMrHwLPz48tOlNKoYCTD6EAKsfOI
gq9rMUleB8s0lAdSrMPF3IvHF9NGcB8FCQpBuqEDx3HFLp1znC514Kl6umQFr4IiV29IU4igbMkZ
6zwRS46obVZ0J19NCZXdLBGtSFbGfsgyVcgwpu26nLEMfV9PSgkFkJ+idif+9vwOIfhxVqbpWgfl
SLqbVHvVpbMVuXGV0IdayfH9PHleEVTLlE6PdwUg1oBFUF+jIWc7JlUx67Xokf1XrzfvykbQ73xC
h7Cmorl2rVzzoE5jcYbjE5aJWflXNFZJ2M0uQaAnkT3zJ5SifjwENTNlUPt5GmRk9B4fq83XXhn7
KmhTxPZV7ghX193S8aRGQZW68bkcmuG6Yr24ybihV32s+jQom244I9YTKgXEAdwBhYgWlG62dYdq
mzZ0xS4T4vUgaRKUWaajKXPdjXBseDVzlwdWmy5ssjE7Q/qe2W5JV3JGfU6RMsROoyKebN00iChJ
ruuAEssugMWMQKofqobvaRBUgD6YrSdDubWPLW08s3ZaYbNr1vsu6IZ8jdDillesVvbFw7ROcYTo
gvJTK2A5/q5CLXjGM1H3dVAYO9dBM3jrT6NHS3XGVE7yxBmDyoAMyH0Qy9a81hMZalhlsURdvfDn
pByq62YeujOx5RQpBfsnDLs7BNDlsX30U2ydqyqQapIuAOzhRfW6fEwdWc4Uh6eEh1oILuALYny1
Cy5NpdNspnUdtJxkh9ZDrZtOaXN4tIq2NIPUCOFhx2XXxnaJSk2TZQhhYp0DIrs0aFylH68gFNQb
ngcamu7R18VPapp3sQsmMaK4RKA6uFnnb+ImWT8+zNAJBTGglIIj4wCLFrsIpWjVpF5S1AFvhvii
L/ouLNiYh4BEnj9M6YSCjihtz++ECuuWJl6XvA6MHL/XyrKDpXF9xt62zHhUCmCEDHhyi3+Iu8CS
j4n4/dxUzvdc4EtHXjT53Lyr2OSuTSL4Grhpni8f5sqnpyhiIGcY5z6o7ix8bcq8nBpQ5ImBABs/
jWZrizA2Iy2DVMTplZ3H5LBkwlxa0tCfvcW76YStL1I2FW8f/jqnhAxFSgEonfjA7o/5T2xZDTqG
5SgzrpFXe/kBEMGXxxNRAhiBwkAedrOzGdlMa9bVwgVz1tIsXKZc9lFHTC3P+MEpbSrDARtRg/hh
NuO9YzIxLyxhC4zT5nYO85TJgEzehS/GK9t7yxlqp2SnJUYfWnGp4ObH1Ia5k3M1ujpQvYifF+PS
XNeIotHjhacBeHDUQKgj98C2KlXLlgQRMe+q9oUb0uowC5adgWNP8AKxoYlCRNzAnJ3kCuu8wmTp
Vqeq9FU5GR76mUgfCxVty5pAIBA20Ntotunvjn70Onq9t9l+kbHqZbXMNKpjqw8PS+w+0rGRwSBK
KMxS0LltzN4hU8nVCVIpF+RDnL3wFs0u/Ka8cZMwgSTjKz2Jt7VH4kOTqvg58O4baer6TH7ZtL+L
LPBvn2FMALRF7wuBtSGD6ZMShYAcqX/o57Szr/ksyPhCDNPEwnkyZXbdjoaeg2lPuAG6AQz9KJNY
2tuXdp5LBRkq44KlylkRpkQu0VRnLxhPeDh0Mf75sMRPWc82ioNKGUZk+6w9UDVXK0EU4WmaBVPH
2gtVrec8YbPBY4n6UCkQMlgQdqz37QAw52RuFdQq0ywJS63c9WJXdc1jk54xofsSBCnNUCai/6Bk
31AhVkrSCkjQFSLzosWVjQ7ImvofTMfE53SqpviMn29xf88dPG9DGhG+OMaxR0abFo2Yk4a5oLaV
F3HTiO+bYVr/2QyqjHzf0n8CBpmf1ylzV1VLu58eVuF9c/UZABSKTgeVJKLaMfnKNiQZp8EFpGyT
qJTqc9mqn4QFQNUYWwUDP1dV3jeajSKaVkzTgLKynZd2U5Zn1G9cYD2KprUZhiu4ij2jyXsNh/E5
B34LR6Bb7tmVeTTvmeCud0Gbe+0aaptlPzbrUvGorWP+uinGNQsKnQIzUmXZncsRJ2xWEIlyFjUg
0KP9oLpda1VYNbrAK+PmQiTF0ocm9tP3rmtZfsYNTwQ+jErQKmNbETgKeoJjJTLqFXzqCRxfdq8R
F4v3fmyKaORt6Ue8S8W7glVoled46voLGsexCryuaz6kLbf1mX7rhOQxj8UyAHZV/W074fjL0BJ3
ImszIdg3Kdx1HPp/ThL1vCWzCcolLl52+nu/SdJHpzIIAWN0IGdYDBByZ1ekMqVoaliyWHjpwj6J
2XppRj/rzoj7lG7ReGHZgaGd9Pn2/G6asTaPseLggqQb4g/jkjN1WHwTP+8zPqjLh/3zFDHsn2JE
AJAHf3fS7DmlqdcXLliBrN/UvhteTVZ50Sjd9P5hUieCn9xIEAwUFYZ97JgvP+ZiURZ8qVzFn/Pe
Xz7oXo2XhS3LKww00x8epneCNWD0WG8RQAQ0VgWO6ZXcy6phcYjrTunISzHAbNsEE3V85vEq0xg5
IyWCNaDFO9vIZFUnXZ+7wCy8TQI+D0OMsZ9l1z61wAIfZuxETNWoqfgW5XAA8XU8ccdA8tnKMhk8
G/hVlYexS7s88BoM/sJYd/Rzv7QjuWyQa850TqfobpvKoPh1mWRnK0M/+SVlCnQnCwRnHjL+ii4Y
NLY2Sz9MjrsXeky9M8XdCTViQQElgNqOOQTZucOoRl71XoJQ1wMliC28vC4aFyrVyTOh5YSFasQ5
gQ0goMbYfjq2mJVNgxqnygVxt65hOaz0cpGjvhraOI8mm3hngJZTrKGt3sYnwIvRLB7TayaVNLM2
FiNOLq+pt9KoSoR7u+qsPGOhmwXuygCNKgqzBoW9LSTIY1JcNrRPltgGJMnKV7wFfJRzkV48bJkn
qSDvCiowDTRfE8kdyyRVXVRSIJo0edkcmpjo56mXTo/GwrASL4FIaIC4gqqtFb5DpUsxepNLDSql
mFWIzbZyueI55mrRIjRpzoTIU1YBhGrrY1BUcL0THSGrbIcMccvr+3djv76pXDMFEvVUoJq8OaOo
U9SA8W0rVICJ0dcdM1fbLpeshnO3S5Pc2KxlF12RqGsyz/XzdVqHM9ydUBkiMpBoQxRoil2ULBSt
pxnbZ8E01jXmsimhY5Q4Pz5XRZwwdpDYgDFgtJyY7Yvc0dpccz/tM/jxPI6qiirsDkSqcDoLsixu
3z1siCekCCFiNIklBSwo74nFsz/bPtE2kCYVNsLXaT7Zlos4iD0AuUD+efr46IiMDbQUNQlWIvdp
e3W6mtOZ2iAfszgsvCTiNM6A1ArvwON2DubZn6KH2TwlUxTVYoOgN5xpE8MdmaZ97tWVx1FjduUN
xTTxUFYsCQpOzwHs5yhtueEOJVljLQxbQTaohz4brxGq+/Jgl2Ksw6yoocqHGTuRasy2No7lT6wU
oFg4Jlf1rS7TzrdBP6/95boI7/UqYxM1omsO3myWG9Vk8Q9/gKjcwgrcAd3SjmhbmcnPNLNBN0GI
GVZBPlSL/JBK214Q2bCLqUv5GZon2jMEflTVOGXE2gLfybXTq+ty1toAnZIfJKm9MfVc/rDEaY4b
bFb9JCrSRsIj7TWd5upMsLlfS29TIYRQVNRY8N07P+FOzazMbDCo2X8zULsEZdomt17cDC9X7cWH
Lm66l17dncl896POZq7wFNTRABT26cj23GQ98MkgplgcwkgjOeQsp28eVuj9KICuUwGHxFoZcLR9
fh2VHbKMpgBs4iH9KVnTMY16HLjbCx7P7qd+EMntwxTvC3TrcwGpKYkcKPZxJ+0rLyUtKoiqz6op
aDIrXpthLZKgxVjlQjArAmUTMgZxHefnthZOUf9axftiuycX2/M7Tjp6jmQ+RxlK6jotI+XBMYHd
u3QKzVRmfpDZeJ2ieiZ1cQWw2P/yMPf3gwRDDsFCOMYSjAIpPaYvMZFAmYwgQeeCXePvbVHz6ZKm
Wl88mhIgUiBDGOV8BdiPKaF3oGYtkSVtbJSN7KqnJTAFZvoXchRLeiYc3fdSBjvSiOuo0xAYdoLt
cq/I575DOqFl8xkJJCqmvIj8IgYC11t3mVRL87GeVH2ZL4x//zCz950F1AGlY+GZKB+A2I7ZQcpi
6EAdm2P5c7+WJBC5pY92yY2KxqAf0x6smO4KAXiIxpb2hApx8sxNvvBXo5696z/Aiqab12Pb0+z3
ajrs+nnYSoMgp7V+jaX0eMEQmozndsFOeD7AbQqoUhmsDu7HSZifimqygw0SwkVkGuzUG79KrrHv
N99o3XuPLkmxj062YYfCycK9jbAuoYtrNhV5Xs4O5ajLVwK416FKZv76YRGeskVsXpJfAEvspR9b
Q5VnBP3Wgpyvpu6a5A0PASZUEV2m8rruWnLTYN7+RrR5/TFVaX3GFU7EGJRxEClQJyzE73eDRVmM
WP1A8R3PiUeDBojia65LBRxzVu17Sj0xBoJnzXueJUt7hvn7dQEqLNxKYNgDBFzuN6act9ZUAH4J
/NWRj1BGJgNL4YzhkCZlh1XHonibeLP4AwEHhLFfACUj7Oyx/z7LuiYZ0QQsftOFHr7h9ajX9Edf
DcWZ2nXn7vA8g40eX6EBQAxHZXes4HhMbWX4kkVk6kTk67K79N2Yn4mge1DvVzIa8YwwOP2+V8P9
UkUyxrIox4yiN+UQjcnqHRzJvbCRHXmFeaK9KZj3Op7j+aLBtPNNPPSPNOd7X2MX3HhNph7FbRZl
bVsFs1DtJQrD6dKpikWFWQ9Osj6ANwN4wzLj4WFn2mWsr9Sx4IeNFR9IKhCcY1m3LnNZroYs0kky
3IhGLgeSDOOFy8ZzY4ZTar1LavPrO8lZrkwtohqzaDAmO/Ss1BGdO3dGrbvA95UhswHDGtUcGp/t
+R0q3pgWIs3yNIqzVk03BFuwcdgtddFesyU35J2q+/iR1dxGFJv08EYcM+EFAnpXxLKFN61wJomm
OE1eCqw3RRtydaZYPcGaAp5HcQaBexy1L5UHHIvEHgCmyMyLrp4PfsmKq55Vil7hLqzDDZCqEfEf
NpBdwPnKGkaX26YWaKMZOZani1WcZgvPomomeYwBcD1ka6jWbvLboJjVbMJep+N0mQwNpu0PE79n
MtuBLUAANAgSfO9X4NuxV9yLLQ9F0ydXpI2XUGLx9QyVXUTnEig6oSijMKZlmAXvEv9QZjhgcdQP
k2xJxnBhpfsub2Zz8OTsHboF2bqytb1gdE3OhPN77gfSGsNn7MNRjFP4LtSZ3JG4yCsW+sSl/msq
6rH5Put76vEAOy5df2YadYre9rIFQHxotnDUeKzNdOUljb2ahkvBx6CcVh3hvrAMxbC20cO6O0EK
2L0BhI8FJ/jhjrUaF11tgZWaMEbXcYgbu0Yz8jJCWtOeUeCuItgUiC0IjNjxVwkkp2Ou8kI2/jxM
4Koj7nka2/rSi9cqpJ5K3vYjZvzxNORhXs3sxcTEdEaJ9/xyI4/RCIo6bO7AUo/JU88Y1MApDWGk
+tJbexpw2QKYJh5DfeDIm4cle98r8EIZzKCRiDHTxJ7EMb06mYs4jxHWaFnwq6K046HJ0v6MUO9z
dUSF7ryiMMx4TcHiEBN9FSZaurCcsXnnp+bNODJxJs6cIgd0dlvOxiEF+DtmSlhgp5mWSYQgRmx+
UfN2ydIwFSUrh0BbvlB7WPoy4xePlyYTmI4AU8WUhO2kmQJqxA4/9UKmnfyYFhhjuu6R60BQEs5q
sRQNRAcTIHj8MXelW8oU757h4QJ2PhribIQpRn0GgbtvGDiAwPtStrMMhVp8J8N8HONkyk0eUYqp
j9CZO3hZ5l8/VmCgsmFEGIkCmNpDU51jU1prL49qTlGZ4eT1IiPdOXu4Hz4kQiJaXJxoYuIqt+d3
8jig+nhhjc4jb1xckKYE6W3y86s5xrD+YYbupbhtowk1Fd5ponAstE9xrduubLOsiBqcin1ai6F6
L0TSXDS5mKNOO+8mAYh6xt5P8YdNCIb5LdYCcPp6zF+7QsBJAynmWdpgZIxV9o5aFcyeP53x5FOk
4FHIL+hXgIvszEKU6Zjh9AsTnJX139Wpq0I3av8jx4Lho51pu97DDhIQ9Q3W29k5WZtsqQddRPW0
ukvTlT+3TJ5bPbivL9gDxhHY+9/S5j7edszHiTouW2GAavkwuHWNVo+nL3D32r0kaV2+tKvXnpuN
3XeuY6q7OBHLxeFkK84i5o/r1Vhn/aXrRnr1sC3er0Uw1ASChrSJE3TMN4/NQsxLVjQemhJPD9nr
qhjWYFGzDSte0+d+msdVkE0xu+JpH98+TPoUg0hi6GwpaiAsWh+Tnteu9rx5Rj8k5RzJgRYvip6c
Q5JOUgGojek+0F4crB1TEfmAddtYZJGi43jBaldgh8w/h+veN3n0NAiEbHtFA2Zxu6bKKVJZv0/z
iAxrPFy6qe7oxZq3RXXVVLTvz4TEzazvDBfBBsjhIAVvakAXhW7ymKkxsbxpVp5H8drwy6Ro1jdW
ZGWUtxtWZYbRnDGTEy4A1A8rOBtujvJ4p6u059wb1ZRHWqHa6HsfMyvlOX2FRqW/GLFX/mJUXVcd
HjaRE2JFPMbSDahK5Myd8npvK76aMY8SJJ8LYfP1Os4GQLoOzfy5o/kTQkXxLzGSg+Ohq9oJ1Viy
KJM0edT1feJwfobSL8T2gZZhJk2XXhXcZdWjwzKARrxxbEtweB+F3tVyXE1T1w1DFVkMQ0NgS/F7
OfXsamVu/PSwME94AgZXcHMAxRjn7jeo+kFhCpCOVYQ9ehWO/ijCcjWf/wgRINHAOXAKtm+HiV8n
2OfrqwgL0NMhtYREdjLrmQx6zy4AnyCNYe4HzGZbdD22/xnNG4aLuYtwW968KQG7R6Rrp8t08eUP
DzN0L0DC3sU2EEOViIPP/XabbW27LVc3Ue4Eex9jMyu+ztYFR66Ri1tiImTuSachn+qm+CmfBsPO
mAhGqPdUh/4Jq5IokLdNEBzTH/OLdq7A0WfRHBZBCtyBeysrafl6LNcuKUJZ8a5aA5lVa2kC3E92
eRkQXRFZhD5Gd3FzMBnxK//dWrElvc0K7GLw66nUtfd9qiwQih/ipchtfqW8sfM+2yr3Yh16GYm9
PMiK0Rb5gUwJiVmYLnZsSNSPGPfml73JW/Z+nGvjuVCm6bT9fLo27GOj0qr/2e9JPf2w0lWyV22l
2upzU/B+COmwZP4h91zW5EHu93l1M9R5dkNULnMMx/Jx+XFObY8BuR2SNlcXlGd2CBe/GCcTYMKm
25ek3N6WkLO01N8D3qH8ucQtJflsOtw+fSjQELI8cDiL8m0IyVQqGksvHyy+vJvjm7rNqz7E5NZO
7/zFkziXdH0ex1GFIXkR5ktv2g8zZ23+XeuEx65KY2IAhODFiY9NuQxsjVgzzUpctc2arOzQj/ns
9WFJSsPVVZt23nTZV1i1CjrU/HN68JdM45i2Mo2pgmWpYxK5NGbLWzesvv1c1lbS7LLHK2l+aDq0
s2NUtq72XmFf1sWv+sysWHYe/C5DozJ2+KoSmyU/+kNCcNTKVmvXd7WssdNqErw64jB3pOnDQYky
f9Nt76GpIo95g/lBxIvqfqqHtkyHECCTHd51LgfoGow2L9sUrWxs/KuU0X5+K7O5L9BFJOvQYF6Z
E4/nQUnbYf1BzqpMPmRCj413gTcITGN5XQ7jkL5R6VCPY4CzGc3fTJNy5RT0ZTItebhNZVFjZ4uc
3Q+twsU++i5bm/77dWFTPAfZKFbvje5YUn7iyNg0CSvP00kXrVObU42JPxHDOydTIr7QdeVJAVC6
a1ISpsmo8jTM9Nj6XbgMDV6wFCXGTQnIw5HN+zxeKuysD7XU6+WSCGs/alGQvAiwL5EuyC3loKaf
ECtHSoJ+4MX6uhk01iAvvc4sHQtobluRhEXSs6ENMr3S+EvXWipgyrHscLbgLYtPftR8WTvcrPN5
bccwyb1m+VinZvVvJlrz9QO37ZC8Yybu7Xtct85lJEzsTSHOIlYVaNLHNhpdtpCXlU5iHPwDjF+/
Lz1sj/SRGySIt1OjXixLLvn3fa6H9ULHDhEoxNpdl5IIp0R+4l01S4nJa2AbviwfLa/gqBcVWfCa
hkAVZMWKiM0925LnrKVVbcJtBG5IlPZe2o0HkmrAgMFKC8wCng8eLjlN6I/VsH4WqYcpVhSnHbaA
At8txPELrAhZjYs531sXP8jJaqeP2LD08iTAVXlsX1CaeNhSxXt+sJYcLE4nxa1o2rnOQpWQlbyV
aY2XJ+BqZ4lNHqw9VmSGAAFWDJ+qfMnTNPBoYtoh3PYhuu5G+WXD+1eFI6Jsr9u+TOvhsp1xGtyF
I5oCJaOayVi8sCyX1YB3F2WpTa97ROscO9K+6euA4R02IqTc8+oizIZJ1/R6ZRXC14e4FMswvLUF
awpz6KxRk/+hjR16H1R3WrB8m0l66uX8/zi6ju46dTX6i7QWRbQpcM5xjUscx86EZec6CFQBocKv
f9tvdgfXsQHxld2wRwi3NURDW3Yy40F965u4p6dti4gF6hvi5/VRzktcrhbkeUwzFIVW87lFIqNv
/qtlBs7jbOdY/rNm8tVtmvAt+VNN2aZfZAVHPlR/ECtBeAgjqf4vy1GT28xhWuh8mJy7TUpTDS8R
C/L+mli9iosQY5ndbjXyqDqUr+SzshIBR9MezfU6HOLiiyFFSIRfxrQtRz/el0PGHho4D86ZaPgD
eDUDvkdWzVa81FMh+Qlw0xqyFqS3Zg+lcR7mXZMvlLxlObDvv7imKX+z5bwBFtgJaS74s0A5pIzv
sYMOQeQXyK0TcbtFNRR96TGmd3xusuUt37OaJC2RcjF3pOCNeM74JJa7FB14eFzoFOId6p15O2ga
2euommX4Wx1TLZ9mTurqyS7J0bxBC7To86bJVPUsNS5eMKtG27qgIBo9LUQOX7rZ0vURstVJnsM4
heYTR1bjzA0p5C5Pa5kp9V8z0LmEsXDFfTjpw63510Qd0OmW6DXDqcYZScJTkUvQU0RFW/5U8ViO
G0ZmCms/DYPgr8NY20RdUb+VW3VOinUM6VXAojCE7vD1vP5zdfTJl+N0Ub5lNqU76TZLaPaZrSHs
ORz0KpRHD4eG20SHJKRxDG3TsKmAV0Ozb1XqyvIlbF0Z1aK+ql0miWh1vWxwy7Ixs83HQufEvFYT
lRMmBo2Dzloow44y67iOeQFlSrpLq1BI67Be6toJeNDBeyz3Eyl83kIog8igWgfUc0gPtv1dQhe6
tvBQTTtKY8rTjkMHAo1lqgmIpKAnyIoSPtH6NYwgTl8HT+R/ozJzDbRSOA402KSvKQFi1uU4i3lX
LeMq/277UT9D4IWO3ciEhadS+XA14v0a7jjLmepQfZa3OgXxiwbr+PsGUc+ziHr+r5wKK6+MDvmT
8b58gvF0tP9vC+9jna4BPsetvFF+YftPTAo1IGlWNPKyHAi3uCDQZLCnpBpo6HLdrMXVsSWQtUDu
K191WuFhxYNcr2tM0h7YKEtaZpB40EGIhziCYhFiPs9lMdxhu4myNVIcHxNB/742NlvoybDNQ4Jt
rTytS8rPZR1TeqaJGi9YPpAaYiI3CURtw8J6I5VOOgfReL+CvdgvHu3tPYcWU3TLgB7TFdzhoUxR
IBnIQdVqu7j6nV9vk6tiS10N7RjS4poRCULBu36KZAs3I2IvYjvPqrricrUBkTW+TvuEoA216fev
6nadcWg+0n2g3ZrqkvR5yEIKkd3InlHust9brpVrs9hsv+hcjb+KMQz/GJidp3RF/AnuCCHJmU0a
PFJSrQneBz03vm3qDcMqgmNMeWcGGfiT1ofaLhndZnMdNDw65z23WfjF4TRferpUZGrnYvOggTSO
Zrk1kp6GWCe6m/EzD9/PAUh45Np1dhiyrMOMoqueHphFoEuMEk1krqRrS7VnH40v5O2Y6yP0UDZP
uIYk2PwykWOBq/yY5j8aj2bqJi/IOYfzu8BfqyApKgqjIPuTPOuw7MjzTAX+EzAsZvCR14q1+ZyO
ryuf5+GKjoPP2gqTCiQYc93orkmFeeCirNm5ymZk2jTbXtpzrrcElH5z8KbVx6ZjxxyUvS0pUkbx
6sukOB27NM++2mTxU/JxTjtfktm2MlRmazlbQrgvqtHAaj3mzdip0Vdpr/E8zY/lSLIrPc6yuNa5
CAN+iFBMl9WeHm0OZ5BrbWVRzLZjouKspCMPGaRV+jPVPLakRs1slzLsY8/GBf9szquGn1zjMPGV
1VSMUIqr6rYRc0UvmHFrsreiUfyLH3nwXyWCV96kMOgnM5umvFdb06xne4wJriXdVIdpiSL60UPu
cTOEtXjNirjVN2qAD6BjuRufj2pUSWugvL8NbsBw6bzHkOcO02R9qekYOgRPNYhdZGF6jEuW/dlo
w+4moSVtbZKPFsWwmadODQ6F0R8p/bVmSfxDNB+aljg6pc/ZbhFZUEDiIN/4ujhgY3yzu/qB1zIe
CFsM6HzlMCXkkWGufTl2gmiXRGfTrU6Lvek0IiYx8HPNx34cWZ1f4VEV7nzszG84qqp5drCbzKch
THZoR3DU7GryZCnPHFId3jrYmKrzYAfAwQcZJGuZDukb9eRbEAU353wGCLmdmtxBDToENlyOzCXI
ISrGUV4I5mnzm825b01d8anbxh21C8xGxWXrYZGUVyv8ro/A3jLRgz9y6fVS2RQOMYKdBe9XORF3
QZJmmK8UrVdzi1kFWxvHY5kR79fg30nmvdj6LVDY4WFgYb9B68uvLD3G/5jR/j/Ev7APP3Jxpwpo
8845tvTHY975ixqICH2CA/W25yrZLgnP1cvKSYKaKdMjP1ehFBgKkqEhfYGBIr+UaUj5dS7k9gKe
vRiPDvs+trfDqvx5hccunuBAMj0b5hK9gKBrdZDxIh9rELSeMAwqLKhO5OUjWHmEUxwwMzVnaPST
9UyqtQq/ZtXU/NpSjnHYuqQ6HcKhD7XbpHJ7Msirm9qSEPY+j3DOtxCtJfJl3qPfeieXIb+gFOt7
iCgGWHzzo4TtZm/Klh4zsgIgpGj+JWsW/iWWNP82WmCzdfOwxG5P9gKkZb2hn0FgJybsITI7DQXW
c+hevgMjQyqXD+89nC4jyyVvt+bI/4IswQ5km5RjRCbrr3qo9KdUkeQ3OdzplzQp66kDnL0uyOIA
CnyGc4Wbbi4GaE8YW9JXpweH10Uf459SGf+jPOjw0dhInvY8258a0nh+MZh4IJ+0BVzFlQTpdJrm
eTl7Krfp1KShHlq2T/HeLyIkZ0F9+KwQScrbgkT7d86Rk4CkF5WX/RCy6iKS1SUAbsbjY0uog1Xe
1CpcOb7ln97TvYKnJ+oPg+JxnKq9nu+zOUv+Zbv0PxwBDn7Ol638cKOYX1iBlAxYGsV2s5cjRqQC
ZIprIzQ+7kpAhBv7xU/yX1gS8qm2MGeobzH+nLRFLMumD8Ee5mmhoE2lU1+p2NbY+dhwfoqECgHl
pthviQxmxYIQl39jSYc/MTfj044W/lgKZt+ZLWrZOty1v9Vi19sglxSzvsIzb5HBEtJOcII5UAj2
bdulG2QLCY0CobeM7T+aFWt4OwdusVVF9r0m1MX0mGYyqLNJpgKIfIpEo7PbotvbeZmK6gLmMn0v
LS9K5JNs5IGuBV73DLbLCkAVdvg+wNa+trQKFbZSKAlqsE0kNiefB1g4eAj65gDnS88+w2J/yhYL
2tNSay/VjHvdNlbastN7to/tvlU4ZIOj9GFYavYK5YV48dkOHAiL3761uWmWpB2QwFC2sqzDMxdj
8eV0I+79Nm3jTWAkp6emxhBzXoOsbcf3b0YlGdLxOl0qYc8hNM0LerqeeldM6naGw9ter1qUf7TL
yX2YyVGc05qx3yMG1v2mGtfmmTVDDPA+cngMgLEUQxfZspzqNFT8akmpmruRGvpfveQBIiA1iFt6
rMcr9bux3VpspULkUSS+jXgyFwkq0p+dY8fbMIYY7lAtCnluMp6dJK2t7xZIJjDOmhHL3YCLx92J
TXzD0p2/FDwff/IVRt92skuRtSPBDNBnPCb/xDTLW9j9vks40KvyvLrJVB1cNPaxstEhvBfZDrgB
hy+7A7asB+S65aFj5ihV62pSLqcRY3vREUGT68J5XGYDEwSyIKWvqhbvM/0Lhm/4lRi6/aaQ0/8B
TRBvR7HPobNMNL9r7/R/QALF47ob+TkXR36tcZlrB5Yc628AS4S0DGj+oYPzzXCdq03U+L17xIki
g/WnIcld1qZ0WHBnUTOAg2TF9iwQ7oFlP4MqAtWzWh4dtlTfIsh3Tm9NJMUfF7fivirn9UNMnP7O
K1Bo7UaF/eQbkqfaIIB/dpvUpUTZm0XWrvtWf4BhxpC8s2a8O4olrG3ETbxHanQywVoV9juzjxhS
knRP+zhUQsPWtZCyjdg73gmkWe/1VFL83ZmBJQTCDX2hZh54G90asALBVorl/5j0chkk8fdD/Z1A
XYKKte3CsmrsNqbr/YSpKaqObsf8Bpn+8JjtpXetxH50dHL8ntoW6vSVKpFJ2DpTVrobcxj2b+o1
rh+Zi/SlPBqK2k0O9aSVrX8XY57G64aP/MXYWf+1kFjfIz5Cx/NUTk1oNVIw3pIAILXN0IFh/p+W
9Fk4hRYwMERnosSW1VNQSfV7zw1WOaiI6StzDq3D6wjXT7nyIG5sMue3YsOSjNk313ufq5S8TbVG
NB12hgELaU0R5rRharmTB5LDW0PF4lq84uUnIV6MJ7Z4hB/N2Ig7MXL+oHLsE8CBwClfxDLMd+uB
oITLQJr0ut549TVKqm6gX8cUIxxGjNTW4QXIcrX0kCEPvgs1qVlfFwYCegFADHGZ8M3fTyCb/nph
m/Jsrc7ORekw0Ss7H1OXrev2niy+eSwh7oPWXiGSpOWFFGvXIP/xFlSmLloQb9PPUXJrOmNVJhDK
6jB71QiOylubj/Ln3pDKd9Kb/OgsTcMdrcfYoBXa6blGEm/VSmOn6pzXe3rGMzYHJjdYnWW2kXeI
i2B3h+k92/pCFNudgDvOX3GwRC8V8Su7QXIkmiPDWM1a1CJy1bAkuEsymqrq16KGS70YUWQowLKb
IRXHw2bF0pyOwPhtVHEtsIAVMW8bEreHyZfoaqoaQWOKfVVXUwWi6HRAefhWDOb4WJqQLD2eIb/b
g83SvvEbDrfgg/xtCTefjRR07EpMKH9BMsT7ufKW9diZ1Q8bIhGPCaIY7PjcGIDAfdC5RQT8sE/r
e5pHibFj2un+gw7ZWPa1qpf4yQ+SbK3iFm8BqS2eQoJRHZvhlvP88i0AgMV5Wpu/ZTGt6rSs2+Hf
/bCnP2sQh1fRJQwvzuH2Ny1981fuWrBznSr1ivB0+nvXZF47nxP5nkzoum2CjfvXQeYGwUtlo8/p
WuKUNuXuxYlse1Ofwj6Y6WoF1r21maLpcTeKBjPLgbX4Z0k3wItpyJAMkAPAFv1keB1axJXqcKrr
WXPAHLn8yQOCExCffijShpWFd0tnjKFZlarqJAX+mF67Bb861Eu19ckRwz2G5wW7bBRx6SQQvekE
d76UwNTM8kGiK+vxrzi+IYWYLMtTPZO6PmWI68Gw4Zfou2MqFJCpardJR2I4NJqKWU2nwWn/y2KV
IPoXz2HKrorGmz/LsCPpdKj2Je+AMWOtiVW+A+khpTY3G82IQExnngMdQrgeUOLVMNmp4yge99nz
O5cQr/pgPVah8YBsr2NhRZA8W63x5yzDjAEFzAgZsDRy5SBognqe1z1L8L87/SPNZ8xtcT4SeT6A
+tKuVFP5JAVUA22IuwHixmX1A7F0edVaU+7/wRAf9hZgSGL6Eo/Z9HIlDICVacZHFxGM0wIo4cnF
QbXr+yIgoRM4dFOvODoZvRfDsD2DVJHY7aNW6Xf5Fh9ToDvKNDLc8OMTpumWDKl7yQ7aPBgZbLhA
rj8/bmpMs75ARsSTbRDgiExvi9R3VfoMdFXKdkwCyZal5Lw3gIxeJZtHaDzm0aWd1mo67jnlWNUK
tEHZ1nYvwskcBOGdRBxe3E5rnV6txljXGvD/LwynykJZI2oGrILqEcV4wgs1QSsztgFyLyyiZTFe
9jGvjx7hxAZU5jDbsa0RPD505T6ED6qETS4MW+o1MNX8QVe+/Mfyhu6oW6ON3YYDVLWFEEdy5sfI
j34dMvfiCyJJm6ZT3JCNQUUFEmaqZGekgeA7Ihsr1BBd5IcHzAs9LP/hkaFWdOBp/YJp39f3IInW
XwMkcgkIf0AhyLP1B1C/1IIImPxykC4OG/Sj6YTeJFIqPgmbDoCStOEvAxh6c5IVaWJHsB88NmHG
5AR30craJNkO4MxR8Oshz+DrtQG0TFsgmUH1FSbXtdvB8Uk8yUNjAQi0WLtiNvRns6bYq1OYLp9B
+aSAMJZ0xyC077y1vAYnFStrHvcJI2+PTG5+LTnDjOFG4pbeeeY+syEmAvOeN3czlyK9zuxAXtaD
5k/Q/h6yLezQAGFN1LqeJNi++0MXAMDYWNhf/ycZ2sY15ivb1/BA1GBfyaAXcWrWZf4qco52alw4
Pn0k60MeFftaNCI8sBzkw4OJqkQJGnT26gRFZq8D+nRVZTr7O+woebhUnDHwosfe70GtfypFAMwf
h0Pi1l4zAUsyolyQ1zYXJ/Q5+gAGbXvGqnqYLh+L+AaRNPmjwEygkTUsbK3YUzLfI7EUfNJoF/fT
xJpF6P0PfPrAZNX6tSbIbMG0Xn4RBDkmHZbR+keW+RlI7xq2XyRITNbM7sm9mL8rTWBseFJon7bz
NnW3IEfgvoWQuSLtMG1peR+Kg5agZqR4CmnEvItfqR6yQEpEGzr0u7pyKFYrPl7zvNRqXm63ocoC
CCbpin6sBGBKxGjX2dW+UERlFUhYKXqbqvgPd+i7WGHU5J0BnPqaegawlO/YttqCAvYYEU1SXKEJ
psC15QAiPDukfuLfSQPnRmXxDmUvV1g/MN63ZU30v4FISjsV2IJV2OX6eQ7N5jvw5dN2bqhC6EsW
pvRpxQiSdCVUPo8bxv8V5aBmIJ9gH9nhjA/JiiF7DEiAH6RxLUetgz3JTVW8pnAEftXFPNNWpjuV
HQ5JfHP7TF7GdF4nUMErvp3JB6C1Dl8t4e0enHksEU/6d0XneQDSnD4is1dnjwu08AMgO8nx+Y1v
hjjMKl1/D0D+ksucx/1RJukmb4fSHke74PUqzzAjgv+byXfo8Xfe8EluG2b5vJ6aCWqejUwdJLbs
U3FgszBRrlhoyco5aCLD2WMGN+x+Wq1bT+OwgeIPkPLh/sYMQ8UqkvKJp5wvuNUjZgUNNehnwkFM
n9SGUtzFOeDE1jqp/tk8ic807m67NXWJlhPhuUm7yhXhAzh4RbsNIuRLiehbdj1RyOO/2xwyMY3R
OcY/PQK3QwxNNnSAdY+3Obj0PXJRp63LOLmF6V1/lZUH8IygZwSuzqCAf++iclUrEgkOvxir5Vpu
BP+yXN2CkZZWougWXhf/wHsUYDugIvgmiyU8V4puWLMQHJ/8BXYCWFyhqLmOgz7M7uIqk1+C0CU7
EXwcZ+r8JOpvHHkAGV8x4L89suT0M/d5/AxQcr3jgvCVFiwbQp0quEPKji5usxeP/PQbAD6JbzWO
0E9MS0r0Yz6QpNP1QfJLTG3+nhRqeoVKlf3Zgc2+I84zZRfw1PJ1mafiaz00Cy2GngSYP7i5T6MX
eh+aevHrqXBN+hfCcXO02TAjBABfo6D8OuHC/1bHuBY3GVPD2luoQXCQYez8h/cxLEAPF/DEkxMR
Ix6UN8up5ISZ07ZO9HZD2gTopqDo15BLIAGproeerb7052o6oCac9iIh2Bg02cb7sZglrhnMAOkC
zms8633PRSfx7G5UqhNwyTBkfnHj7ZNRB4ZaMmxD0UXA1fmpUEWYO5OIPLk9BrEOLYKJineSBTBC
aqwze56xwD5XnKSmawpC4vW0suwFclgkAyQpw2xQaWS4aJsCnRm/54B2HAbzIFRuBIq7Vz/JCnoM
XRpf/GiP1FRPyVa68eyJlX8qg+momxTA6laQsUA/y4R5sUso/oPnAviM4ruu2tUqmC/eKJIM0/s8
xuy44yudSJvzAWiTG4vqAVpdw/saffgA1V4vKEqk2GGvc0iHOI/4gIu4DGKp5tsM5QPIM1tsesJH
kaaXmY8RcE/hyXTS0CVRwHkZYGVjy6PL4g71cMoP/gpfVylbiTyLET++Hn2pssO2aJHgOHZ0mq8N
Ibq0B+OT3pReDhwZlk15U/KaBAD6PvxkuJWv5jhgMg5zM+mOcNS+zrGMIXJY6cWcAQmNjxv7zucQ
vkxfScL23/B74PVT+wABSpQmbD2j9Ua7kRhIMehQZ9fbjPfvAzoBFEhaKRBdWY5iyzFm4eVU2Wra
dALEgHATiCORm7hhiZ3KxeLbQDLNL8Ii9w3doBpONGCJaCmPzVk5S+a7IvqhbOuQhKkdHZKJOqEA
qF7VsSy+TLGw3wolheEmVPu1TjES9TU0UPT54GK/izTR0x2ms/LOm6RSl8IpN3VFISGqweQAtCZN
Xbr20mUEAMwx4vCwotDvLu64kCWfxieJpet3wE4Aiw/RCDg4ajP84vVoItyUR1V1AP5BA4DqXW+N
wZhylsDUeSdMXHfYZ/P1R7p7/ZcIUky3ISuLK7iv97+lE8Upydi+/AB0D87LwhQZUZSW8l/j5PRf
BLf6JYC+vlJTQjoxGCT6dDkfMb3ZBaN5PzlDHyzkHlCIgYNFjpKLAZSDo7yLGWLIEbrp149q1iiC
OwNajk5iq7Wb+bThUfgKR9/WRtFWsY2+NpAefTCRhtdkqeq9lZkKHwoh0Wk/M0eeME8cUKgs+OOr
Wv6idF9fedBJ06JWpzM8UNCdQDlGVwwtcTQTIo9KdWB3OzbbTgiAAdSABHnAXKZa6zbdA/0oUkt/
5Um1P1GCBbXdarf9zZJRYR7BEmT6AbTmtcQFYqQb9vx2wkhadmJym4ZmBbnVCPvMEUzrDEQWePWl
uaAXss+K+sIiXjoeOXKelqnsKSmqqR9wA9MOstwK7+qAc9BNWT5BtozMMPDnBoKt9rsmw7SCB0zb
FZ+VulM14E4wcty8ImBK/MeDWzVU+Id4UAKT5ym60YDWAr0r+2Z2NJzDDFp7CaVculhxiisb4BI9
HQMaDLjxOvwxPOEfWAjg454kOV6yNCZwrZDFv9Axzs9ZdClAo9SDhUP70KaDXgPMtKitfnB2WH5I
muW/VoVN/wmwU067BcqrPxHOuvdRR/lzKzlGbCjAZ2jCpiF/ZUXUcODHKf9BQHOzK63G5YM5/a1A
xA7CW48YN3vZE8VJ6/YG/YLEfQadBDLxpSwhapkZYi5bvyj75WC4+FNiBR0xb+R4P3MMCZgmwHE1
J136yXbLdoy/UptCTGTA6Hx/VYOBrii0x32eJOKn233P0qeQ+/Ak8XEyA+iSzh9Q1GEJidb9F6As
li3bvk/xttFJXx2GqzcNQhgHuhFh6giAgaQFd8CaFqAToKij5OyeWaOqbqXZij7s8UPnhdGd4fMe
DOC4SEgUV1QOEA5tY7BP4zZAYjF/C+1bSj2L0KPt5A27uXjIC0DduPMzeTCrHR9hp0F47pAqep2l
Fhjw+i1RwgtXFAiI5Hqv+wqg2itARfOejD4rTlUigMu6dUp/QDOpyg6+EgBX2NdKsNJzWsUOdRbi
DYxe6inu+ERMT5YcD5xZUMk9XgG4PEYo9t4Iy03ocxaTK09Av6OGj+GjNsXwUmCKwX0qyf6Z5gdY
fiR4TvjMTFpELOrEs9d0mIrhBpGs/kEtSIw541VAYYM0D71SF/joHhhYt4yY3PMVeJM0JVpF1Osd
oagtbWVHy3sr6HK0pIzDA/wW7tlltf101NL1KkVmyK0SoOIxuekBtCQtPoDjeZS/ah2vdA6HPbDY
SV8Sv0DZEygxt7jUDdKGKmOsi7BcfU04P/gNyHA/b4ks/xnKRHkiq1Mf3+UBWxo4D2R5Y5K4roYg
EWsIvvR9qX0KvwPLR4UORWrAM8AofogV5gLIY8rhx1EJfNHvABAHLQI7tOubQY8GIxGdbo5CAcE2
A3TqADCg/jgvJPIfvNFonnKRPsPxWfMbXoBzQuZNogV2qJI/JzbMf70+qj8MenAIMlme/N6OBUtR
IZC6QwOD2mbMEngMxz0ZMJaXLv+NUzjfQYr/NwybWLpcGUx71YT5vDrqDImQSiRXc2agZwoHSE4U
7Hlhp7nGyN46gk20nUHXQWzU+OwaohxWn5B0h28zlYrkHwpiOFSrHG14Vi65YtuCVwLAf/O4ZSZ/
NECgVT/43L8vGbomDh/1n5nC54bamc/lrdug/WpVo6dXH0GXAZPyxT082B4nHOJKdtoh7FuRDWUo
tvmKg8Uo1zS5wYNbodXggbzwJowQsn0LEHWBLw5d3OImFNxBva8wkb75fNM/VDKF/GoWJjkrEiy9
oLguvKustoxCNQFIEJ8DAp4g3A1X4D/TbyYRmrq6reAodVehKST4BjmVGypQBrAXH0qB0QFZ+aC3
Xc7xPuEhDCt0TLYoQXy4+p77CV8023LA4/cwlQE9UIGXFb4ts0KfC1gCaAX6BrMnZyqRn/GlIEDa
856vb3rO/JdX6EFI5ALj3M82Lj+rJiXiDkLf6XZGtZBd5b+3KnDM+CMgl5nGtsLs9YYcUnIL1yJo
7Orw8wdl1H+B48NvXfnGmx64lagfVioBCOMLhwf2AeTfgnVVdbH+hg/OFLes0NMviA6sxcDlzA7J
zESgGQmwsvBuNVBgXY2A1LY72Gm3eweh+d7VgLuOK3wh0UzsAVxryF6gsDg+MXg56OFDRYft1Y4c
VpDTigiu6pqAyv9Ayrd/C2Me9gs4+Vr3DbZiaCx2gnRI7NcAt8fqIO8NItEQ21WXzQ+284ZBDcZq
DNda/9xA40NYlUzJJ4E8QvXHxIvhBHFIA2kUVlPZ0w0aITDd3y8A3SPCCjNVu6Wr0VNKTNgVlGZg
+poXq5f66dhzn4CsPHCZcCgvFyht/f3htgPw24HK0IMY2Z9HiKZ38EMpX4Bp1vx1QjxC3u9ar0j9
gQoQQyaXEVjxVqDkrCnH0l9DGJJCMmathS6FMA6KgeDYgL9FjCM3RzVcLcCWJ4QUYcDtdJKBMgQF
p8ozYscMspkQpVafgdxz9KY8AzVHISNHZtx6YF1Wq8tAWuFjrT8xPHp3YkhQvUGYTAqEJVGEYDne
cHx9SJCqsMwyDi2PKO/gEQH4XCMVHMs0BCcVtF3HnH4UPOPwDyvEaCJt1fHQy9zR//7H2Xk1R64k
WfqvtN139EKLtel5gEhFJpOqqlh8gbEUREJr4NfvB97enUowLXOr5053V12KyIjw8PBwP+d4OGX4
QCGiG40tKCk5WisGA2y3OOvHKimTTwATlcLjVT987oIwDbcCgTe1jahQHoxARmFrkAosstGzRqJq
KEn7nuDmrYw78wm5YAvwEd2KfC+xJiidkyI3d5UZya9hLhuaG8eDuJ20IC8OlZVXD/2YaSLYDRME
ez6H9qmvHCtHFVtQYUTkAszrTK+/ZGHCOzdGFhQnD4jTd8mMqw+4A2pIcMyA5CpZIgiA34T2Hjc1
dY4SH8E4FjGKRn35fg+ojdXZuZg3e1wjdWJwRP4LTIxkM6KsOrgAHigPAvMpv47w42q3BPBW7uib
Iv4KhsxU1qJAjs8hTSBxlYg6HSRxLoLpSb3C8xP18+ZHGsh1T0B9DD6jsds9jGHVccMUevBWNuP4
KzCA2a2OlXX8ZnFJV57OwaISUcZmiQRNbIALHQk5HSyeYrcaCpwbWAwEfjy9j9/J0WdveWFEvS0h
Df+ZKi45mr5uxn2e99Yb2i+geagYayVVgCkGsqwI5o8kTqdvEW8rZiUlYNra1OhUJ45irZnLeVrn
iJGRvEZou9K4R5qg26tk6qh6RjOno+4swKJZPqWAT0SRzQ8o2+3qfpQbWzTkXuMcqEIIyigOKs8s
LGDX3C20VDIDdQocCrLlHZ3HxNE1RF281YKMZgOR1Cf5mvjx+KXM8coEcUCPWrnA9QN4TL8DN43v
4bU24AwjORU8EOH+fYN/Ch3CfIlnWpS3TzJY8U8FtZtnTaeOoHI73qZ5ojzGiaJmD2Xct0jtWFE3
bmSzG57qsK6RQZ0qBRmgImn89Zgr8WNbKDWZp36EtDKKE9lGYhdEUyfZPJoeryRB9yI157k41KVe
uXLDqfGCJhrwj1ZfZdtMHeQWOm6vmha5VQ3/oCkNXw6h83wvoqkQHLTWchQNYmmMv5k5wIk1Ehmd
v+944wDoMvzucQA391PlacBWS7OYSxaQa/fVEDjZCAIGeEMjJt/6avCffSL9H4hCzWnWcehVHAEx
oAcVR/kKHwSkRwo96GsZDVzkVSNZ6zLpj1RZYQilmwF85yNvlYLGxrFcA5/XIAf10lRKTp3ARLSP
spwkIExIkri+D02GONIw7slNE21qsAJu4gr4nRvRYtKkeNByPQGuUT7LYxl9G0yQvU6SGES5sP+q
0ilF07/PYhWcEZE/QS5l1/C4ypVUfxJSGSBPi2jIfS1IzeSUpt/2NvQ30EyFIebPRyMaX81Wl550
ClqiJ/mTKLihZVGcoDdUEDnHKiU0TQQle5DMxnyke2P+VRRqDcBSngeygz8kfUh3uOwWSpqQwWuu
lDf05AF8AsdNtxXEq86T0H1vHD6P+OzDed5NU5+DESGB+qM+RsFXmWwaiNpySCMqsZiYLSupMIIU
7GbcJQA3wAFA4L/42RiqLoikiTK8YRZrEPb8pAK2Lufeo/pGcAwk324VdNK8oGqMuybWhAFXnUga
ub84fqmKY/Rs+UfrnrIhGZfe9ydhTnANuW3qAtSWIVIJ90c82xtBA08NGZSl3eSQHWyIVf43PSRV
saqtMlbdESyEBc6rGXfqpKdoXYjzDROLZRJ5aheSlk1AdCielJrGYX53ajiVdtrWeR1Ujt925PbQ
b5Jv625SPwVHvJiNwGVEByKeJSuzKghnEG+ufvUQ/m6jMm1kt6tE6uWRCauAlcYgHa0pg8TuplF4
gYDIHg8jkuhmNEnPymAg1VKCu5RJjRGi2f0xlyHeHDProTn6k2bzWA8JGnxJ4kCIsvCpj5Tpkx91
rQQgfM4zIwbXvqlxrZTO1JOHcSY6UPizruBIwY2c0X06FoEAfJZntT0qhrSHLlbdmVYA4NiQUiL7
QDUamkVZRT/g6SnPy/VIqXcajr2/AiiqBptEqq0HIQtR0bAsKvY3StdTzaAcXrs+br+GYsFdv5Vj
1RLsuqGXcpNVAm/RhrK7x2M1i6Ehxnn+II8SsAAwYzUkGl+k3gVHrvXKIRwLtxIHSXXMCQq0M4ht
+9YpvdB7fVtJ8coKrSNnKrR0Ii0AqBPwuSCIXYmUYPRjCEjMeO0kSJ2T5hDgCczGI5ALq5SjHfpj
Vrrvu8i816JjUrpKNyXQtHIwdgcoPxS1W3gKLEappD+kYybVqzGc/MEdB1JWqyAkMHYlVrFyJ5w4
sUVMlYqFTQpBIisk+49RaRBLlLS+EAB6dgQhI2f1Z5INNFSP4H085s2IwsvcBmBPQ4TmBcysShEy
r/V9qVF3dpRpLIAWm0WMFqPqSyBv8Vy2QCHlTvIlIC8DmVSQeD2wbDeBP/Qj94vxU55I8UEFlS7O
gEFyx2RjDR6iefHL9Dsef+R1yRWSPSTiijUKNo2RiK9EfH3j8ETJCEG7yjxIhVJKa181p9dA6MU9
FNNOvIFMpvzoNUmZkzMJ8Ex6CQVbEsPhRH1UzA6QCxQJDL/ShpTZaXDgAALiRBlDLD6END04Orkq
smGdKGrPbV1RVi5bnfLuUayt7SgETb/u2e+niRt82KhkM7Yx2ZOHRunIIaFx1t4CiOCWzEGf3BEd
cF0kYp139lSTxFibUVmRwJJhEzyRk0wIQfJOBi+VHc0HPc0Bw3LdBIcyAUlsd6zyFxDq3WF+6AHF
ERP4YIKQ1/fwJP3vx4IMstMpAy8MdTATYCK0VPlqhSOHOSjC0QCflZCuSGOEdT3U8NTvCck2lGHl
InwO1azh5Sta5Vd0hvSEJFuWfA+ksgIF4R9JKcHmTgow6VnxLOUgAHCy4C9UDc1jO6ppSu5yisdX
a9SnjjheAQvSk6rVQOEQNoKTVpNHNYLL4FCF0r9pZmU8cAfVyir3A+rcmG7liU1QEeJXhVI4s3ce
V3JMcseLh4Y0tmZOACNDMz3MGNTRDYdy2BO5ZLW+Cahoj16oSmaJtFwp7OuOW3NzzHNla5ITkW0T
gXme8PlQSIcaMuCPyhengw5btLF7gBXtppnIv93DPfPRNhWMnLUJVS336OLVGLdToyfFZ94FwmfB
IjFKGagQwefrMVFu0xfS1ySbVJEYkOfRdyuIO8Hm+QVG0ZcgTa2LEtT4F4OuoRYlFyvTcBIKqTFw
tgFJeABA0fgJdGlHvw0L6tJKKeDy2Hk70ov2MuN61hL4XdyA5gFIfyLXICJyRhZyQe5OpFGzSoA/
FIRV+VVoc99uj2W7No79cC8ICWKvgh+wdU3rJsdWWl8efkn4noenVyt0fBMZW6pgp1xrOKxVA2wl
taFe8RxKgDK3GxGUoAK7szhQo7DsSVODm2pIgAVfHnzZVYwGc4wuiyJVR0Wf9VNOR6dPmK5Rusvs
o8+V61WSz0FKaQvoHXlVRMCayKIFMLOpn0e8qOCIescMtAlBDAnvUm9ernyiJfd8+YkWEisAnv2y
StmOIFfxw5Qw3TiwZIdQ6XNJKIzjoRZewUbzkqbX0Pcyx3WWkQGQ+wBo+EjKATyJdWWllhIA7x+L
Joaz6q2kfFAWKwc8dKvyJM7SgHQr3LkAYEdCNvJY53ruXl6FpTbEPNqs8GHM6qZgYhYyKUWvZrR5
BwkCHNj8pkaGAjwOuhRh4aAN32j0K18R0TlnhkjuSbo226CkLaQvAEjW+bGmDg8dUL7XgZkQ5kpg
cRtx2IKes9ZFBnc7V/Q/a/8wtzjUQRrrswUyvrSwQDOHgQj+hXIfQnhQrkj/RsWnVOUu2JIJorR9
eWk/TvR0vIV9jboAMaUoIB5mYs+Lth/3I+PegMdQwIqXjVuaZfloaUmwujzyR8tmZMRnNESNDfpR
zZ/sN8mnetRyKVKxbDokibsAbCsXb5H/oVbL+3rSJBCzgZFBEud0FIaOFKvkRCu91Oy0GfpmptKO
onz/ZIC3vmI3H88F6tu4D6rHFATZzdPhTNXyrVTAUquG26whNeyQcfwCuUbaXF6+j2dCRWfDoBs5
5R70fefl/W35oHJV1RBxN/ilXG6JYOBiQR+OHACesJIr0rlX2q6fHVFBiAkGPNSEpXqhxAu7TFvO
fBEK/Xd/JNFlNfGcSazC4z1qjeYVnZFzFkLrBBMihIn801JdvKcjhErlFm9ctbxXrKmoC7cw6i77
D0yRFkRowkuqyq4t1jICTE5EwVpOpVGCdW4sMEdDeWWUc+uHXLkEeIouKGDiT3esN8DpHkNGaUAI
6FALrWkTh3LlDeRYqeCTC7tsIueM0RIt0AOEZXizxQnT80oLRnM2EamzHvoMYRBnCAJD8NqEoOaK
J1mKFM0nzVIMkVVUUY1YtinJrTYhBoZ5XElB+hZR0AMfegS6MhW3Zp3NLYmFpvt8eYpn3BcXAyJk
Er6STs/y6ZpOvjkpGiBRG00BGJ2S4a/rkXyrksarMvFNshCKulYVAI9XpntmNxGBpdqMJhPORV0E
Kp0c5aFZctJrvzW/yhCvY+5iqdvQrKxdBfCjvctTPXMa5oCM1iyKxJW0dC11bzVg7BJqWcBDXQ1l
y1UrKNe6kp/ZRUNG0U2XUClC+nkxLeRqgjibz5wvH6UB1PuxjtdKXUviSspE0MhRLI4HCfxveMWh
nR2ZiwAKG80C0Us/3Uof3P/QpPRIiM2WdzRkGN/1a84GSZJa+oZvB+zaQ+X0rwx85pgwnkh0gdg1
+Lb5g/3mSSso7wYMUxb2WAy7OhM7DyVY4cEig3LFo52ZI/J/Cg1MOCpzu/DTocpElKdeS2Hnw/1z
hQpo2aBVEG8jCkgPBTDll6NkXdMrPjNBa9aGp3+QRgZFXOwphGk0mDsOSSQhoCNWwJGgtvjrQISl
8MdGaoH5sOiyQdsbRDBPJxhDOiefxAR9BIFcqwHH1JfaNb23j0dh7rgg0mRVQ/FNX0oCip1JF4+S
PjACAgKHY38EzxfG3ZVQ7MwoszYe/+A9kdBfuM8WvkqaaRbFaAOMaCFlGmidUP/jY00UzZGT0VCU
RdTPTldsEMNuIHwHZAFoJD1UiOvkbl4JzbXzdWY6OGYJNXuRSw5LOB2IipIaZORP7alHmTRK5coB
sHhFcfijV3xvKYpeFi3iCX8Ws5EJWPohI8nJdI87nGc0elEN/qMYYP17MKyL8eufmhxivDRrBKKu
za1VFn4jAtZN/oCIWVEKnmyhWayKcRjcy6OcmZhh4hdVkctN5513uno9+q1BdSx5ilslJcMkNG5p
JlOvTKMNnWIIrjXnOT8eTwAamRLfLVXxO1lsDYO8DhAEoab+RztRqqt+ANMmFuP8oR0q5fvlKZ4x
EKZIGzNuGTT/Pzy90ceHtcJCjmEWwdzNqS7kzfTn9o4mD4kxTZm9rrUQGrZqHY47pAO7TUT/3hwg
PNXxcbzSvfJjXEAqSuMqMbgrocQvzq6vh8hNzfKZCq3tQGqjygJrpn8Csm+trd6Eg3sMBkp4dZOu
Ly/jmZ0j3EIvUKNXoUQu5dRSukiMypKGJXauq8ELFCDtBWqeWq+SHNkOWz8CKVpdHvLjtUJjCpZy
ruRwey4v7bCXM6uni7btK9m01kBlvSYCFclbQeZ5fu/D4JXsvAzJ514e+IzJmMh6mhxAk/O31Jql
7yUBLHqDdoda1V2sqaldF0X/x3Es07PQvZQhXCH5vbi/8mKAy28C/LISM1vDa/QReRMyg6OQJKl2
xUDPmQ5XM9nAeUUBzZ3uX6vQEgucKu9Sc4jWaHuBrUsiAVV634j36BGOe42k3VohuH7+8+U0WEa6
jZiYjzab1m+RiBGRuw50DfQ/YKZ7Cc0nL0dT8cob9ZyBGjJvYmJIjafqImZG86lQUJwHmawfDbsG
sPCqDKh6gr8tN/BE6s1/MCue0gjd8uzBVZ/OakJOJYciiHWqeRG5sNwLHZgXIllXrPHsxHjlz8EH
/20u3vooUwELRaEBBRcfDgGdgSmY1Lk1JJtjqon14wTz51om7Mygc5MU3j0sJlf44mKYZGDKxQTP
ZqRjGzUqKFwjOPgcXZsgTd3LS/kxksM4eKFqvFO5FZSFb0n7IyxbZHWgRDWQi5xoGsrkBe6XUQ4w
xMdevvaqe++LcpoPnlum8LIyWVeih8XuDakVBjqlCdvi2KVe1DXivh9QELOiJtv4JqUjKSrrdQgy
kh6AAuUpOxgNCoIpGnlXTPeMv7EQPsGlKzq+fRlehj3ITLpD5WBrqsCjkS4QvgCl+MurfH7Ovw0z
b8Nv5zDWm6QTfbrf+NM06HbVzuJatIpUNSdVrOagpaGwFXvqa2aCYm2RUIpGuNykK08sXulTdc6+
2PG/GyvgGRanNUdMzjdUphyAHXdU0Ko/lao8AgkTg11X80a7PPlzS0zym7uEm3Nu6nY6d1Wf6E2B
LKNtaEqJ7hoMImNM+yuzOmfIBo3EJcTxFfZynvVvKwwyWE2GlncCEnrlVz8OqCOWcvBG4+1rocDZ
CfHmmhXKwfaKiwVEHRmAgETAUdFE3PUrEIEUasIrAcfZUSCV4HjIfeC/TycEr8kvZNqm0iY4iMwV
MkVq6/LSggF9eX/OrRzte7haSbyTfFiE8RXBvQmplYGERlwJINNdI++MhwLG8NN/MhTCz9YcWNMD
/HROaT3UjSWwScXQFAfTb0IqnCYwXtBEffzpPxiMblek4AixpeUrHDmbEHVoAt6OAsyqbRsaX4IQ
d7smSVeXhzq3V4RoXIDIMXPDL+YFhknV65TUjaJo6QNSFuadbnbmFV81/5al40Qk2ZjTQ9wQSy3m
LOn0MZqwu6wGN2m3YEW3OMf+c0iGalW0sH0uT+ucZZDsA6IIWoka1uL6UxpI46lO6Qw9rcyJJ+hx
VUyTMOL68MpmfZwb2RIVo+DiI5OxnFuvSlZSg6me2dTVOvTLh9ysdkDl9I1YRd2ViZ0ZzUR3mfYJ
9HyZ4Wandti3ikC3ccrrWi/ouyC1hGdaO0HdkdrpHok+/0q8+dE+yKxLNM4hjpBhui7OciTqAPaF
HFI7NfavhTSN5Nzk/vHydp0dhS6HHGNSGdQ8T2clCJ0+TKgzgWhDgVXtguoOCOe1nkpn1m6OhSi0
8Dgg6Tx//TdHS7oedpQJrj7rxu5ekvwZMgHrd6emvf5FLv3k1x9PCxMkySSjVk+FZzEtRU+qKAh5
EqAwRrCeyj+izPjDHtUkFngPqLglHDqXxzKklAXEJrKp43mXK6jo1mjHkF1WMwcoBgQ1kT27cpo/
7hZ+XaP9Jm9KQsxlQbDsChg4nQWeLynbW2OK/b3Y9kr/x94dSoVo0LncwLvL5sK7myl4HwAgR5Qx
mtxLj+nPaYaaVXp8rQ3WhwnpisQL3BB5Ist0L18cKpR+K6EVISJK5Rh9TXOh8I5N+Mf5eUbhaUo4
MTdLYEKn5gcQFLS3gdxwBQ23tI+ZiRROP/ZHZd+1BbC9uLYA0cGT5/CjdFlerZOdm+fsNniR40Go
OJ5+goSXzkz4Bb1UJWBlokoJb9VIS//0/uc6mXtscTFzM+MaT4cRkYdv1TmNBy3MdC2l/5kBMt5c
PltzrH1ypZDxnNuFzLVwa/7/00GqKKurptZfWzjCRS486NEmFY1VLsk2HW8IcCB90a/hik1+yC7M
o0I2Iq2rzoJBiz0ES4ha76C/Du3OCs3btPPk3HcSPXan6eXyBJdDkTsWqT7QJIeMKwzohfOI0JWY
gIbCCtaH4A61E99p+7S7EdBb90QdnhqZvdC7POjSQt4HpcZPTVMmxFim9mJUh7Q+H0Ib/Y7jA/yA
xJvM0XQvj7K8nf8exSTmVZS5sd7ivFGEDpADZmohNKceUIkwp2JRUXLglV8DTJwZbG4WAg+Nijct
MhZev8pz2pRpMxox9BmrL8xHLjRuzKHx/9DwmdfJUAvD13TfN6aSoeAm9pAYUn+NuMqfhmzzKGR+
6I1BXg1PsvCLbSuFIO9RZ8TJaOueqjHFtslYXd6jj5ZAdRYWBH6KbBP5kdPzBeNgijUdcqIfFQWv
2DpEYTH5U89L5edklMUp5kGCJsDA4xFBUN9GN+ureJS+Xp7JRwMgHYE0K8055mqTsdiVIREaOZiQ
UqNpkf5DGtBzSCDozroSxrVWSe+m+7tbIsBgMFIEVEuoLy071PVoJKhjRxWLKjoqMsSMAmRto76t
hLS8A3ybrxq9bTeIv8rOEMXyFpXc5Ipv/LB3vJHpeSKB3jJnDudixmmJwnoaGi9WBAOgRGbRGfTj
tWjq7CAgPFhTKja6uBwE2RdkhIOvx7FMLU8pFW2X0avOWv/R7s2IGJWHECUUBqL/ycJXtEkyWKE+
9DbN8EKQy4X5Cd0UKKRqHF554y1m9PdQRLm0aqWGTTvDU5NXfCM6ZgS3tp5C/q6ZoNsmgnTNSYin
41DQpbjFsqkKG8QtuSwu8K8kQQqlh5vtYXXYuKuVba9u9quV6672Dn/fu/y36zr2hj+5+5vV1t7y
Pfs9f925Ll/buDu+5u34I9+92m4P7oav7vnhLd/qOFt+22pt8yv59fO3rHJ+fvu8Omy3/DabX2d7
85dX25XzyrfwEWxn/jf8mb94tu1snA3j8r38xvv1gV9/47r8qlf+zdazPY/f+OLu7e322d56Dj/j
eZ7jOY4zf5vHz/P75l/m3PKHPTPhEz3Ow683zu6zt5u/1dttbc+5c1z+zKw365zJO3y6lbe5dZzV
dr+aPyifbc1PPjpv/NYN37q7e9psnuZlYqHmn3b3+9Seh31y+NeXbfA9cfk/p/rDji0LNWlc1Sqw
pYf96vC6XT0zKc95czY75+nKSO/JnksjLZx7U1eJ3GAbK/fh5dshsA+29/XOEe0r4yjzsbk0ziK6
qMu6gL/MOGzRy/bxkX12WG+2ZHOzd28c50q1f5FH/LiEixe5LzVljJL6w959fcZa2KfLewTC5cqU
5mP32/MOfDb8I9SR9g83q5vZoFf793/438PrirNxwFb3r/vV6/5Q2hyc/esre2nfrjGs7eN6u16v
vfX61r7DwnbOzQZz/np7+26Ot7Zzt2G/OXkcC9d5uHFszqe3e3BubrC+3eaKC79qCPOt9ttsVJGW
ljHr5b64z5wbVuyaVb+H+5dsYOHvkNqBxMgQN6vXQ+BxLDnuh/nAs2yP/N/WXvOn+VQHNjPc/dqg
5Wn/cjebza/efni6ZiLvFfFLH2h5pTSmEqezUR62z4eV82uzjezVejUv+n6Fj3Of9rObZGPYCM/G
BzrzX93D6tl93j7u3Zcc37a2X26+rfgFTOWwttfP9x3L5+JFHrdr7M7bYeeF7d29xfbuia12Xdl2
HzCIV8v+5N3hSVauvXG9B/zQbj87mMum+v5AvjTPRWx1zIVBkbBUHPbefsHndjaf++t6ZT/+7ZmZ
Hk70xnFvVnwID797+RMo73HIpY+wCLwmpA3Hfl7qF9z7nlXYz35t/+QeXOdmu8Vbb145LThrPD63
xNrzStzrasWac/Vs5lvAfWFzVq/u9nDAYWM3h8fAtr9gRSv2hFvC23EKX/DaO/vdl23X28P28ec2
sH8+zr/02/PhNbKfJ/tbYG9xdvihwyN//fkTa8Tnb5y7J3ws//uwefKeNr8cXP7myX7mFhlsO7DX
HNUvt3d3X+52G+/Tdrf58fTATeE8cB04nvfk2m+3XESbhxv3iSNqe7vdLT57t2HpXVb1fZmZ+S+W
m8uVEblbNnvu5f2Ns/HuOOrv3/j5iX89O4Un9+bh5QVDdH5c2ZHL3ovI7fS801YpFwyuGG7JG/6D
7a73LlceR9923N3fl5xzxQ5oVXfRadLM7nTYY2cYXc6wjMly7A+cf47aPOp8e5c2p8j+Nt/1uEvO
xdbmG/EOq8f5Vmaj2Xj+9MgPbO07AoIVf5p/drtd3/G/mycWzd05D++BDcu6mm9NTtQdJ3f7Hi5s
djsO5Gzqq9kGD6vZnYb2BhNi+fHWKxd/fDNvo7t52RPpuJuDy89c3oD5dvifA6G/B38gct5jTDqT
LwGiU56j7pmFEKBDGWFchGpuFXG6hqNasir+HgbQx9wTmSqCtthm5Aw7YE0C7MZOqzbxUI63iPu2
d1obaOuQOgaE+0FDHwNafX+ktx36NW2w1ZDTc4i0r72/Fm+j94+jg9CYX0bkKT+Uic1MRtkYBa98
HBK7Vo/JzYDK1CpCcmB/eYHf4frLFYa9IBPPg6kkZXlqaqqa0pFjJLwO4+q5hXONoqmynvzjhk4S
Gy2vXtuof20luhqq/lOmtS8DwMCRZFzZHLe0C7pWPprd7OIDkV8xybNYMuyGJYgb5itiKSadi0Sp
spSfKbL8x11WAz67R9I8O66O0ZTKj0j1Rt+niCYhV0DkZxZf13VFBEEOjhVN5NMF8atJblFl72wQ
+7RW0PPchdZVuGUYJ1cO+hnrPhlqEU2U0iiH42x2YaML2yMGcUuOsL0Sg50fxeLpBMFgTlGcTqhC
bcTPEs5QOwXhSrYGYVXISIBeNqSzo5DtlkBmgQ3RF3Zk0fwqQREXO8rj+BWxmvpO6AT98fIo54wD
BC5HgrIVkLpFcAQONii6FLGbYyTF6y4lXIaoKwVeoAbNrVggtiW3RbFTurj79OdDmzIGAY5b/nhQ
ULzJpD5F8UGhZrofJK1/o12VsEWBR7tPEftF0VbX73mSX6NsfFxa+IykwUGRk+PEJZxuoNCDuBGq
GFk1Uy338THLN6FVXwPBfFxaE2AWWyeaInn3JYwiFMtOF4t0tFFLeBR17a1TzWd/0ncdwnpI6Tcb
Q62uBJdz6Hh61ikUy4g4Uf2WYU4tQkto4T3VkGxEEAQNqReroF/LppCUSHdQ/i9CpLTrAGwMyunx
58vbeXqzzzeLKZFOAGYKKgak82JoMM1w/I8Mberw5JTBj728CEuPFpRwUJvqWkHo3FRVcCoQpgDT
ks443cRRmnw1kJEprHtUqOQhjb8kQeCvoL/FaE4YxYYWEdfaMn/0ZTNKC+Q4bB8sZwliCGkBjV4N
stfoTArOUcwF96jW1qpA9tS9vJ5nh6KUgjYHEtPc2KfzQz93oo022n8IOvcyF4h4FD3firJ0JcWT
pG8uD/fhTNAKGYyrrmKyM4RycWMLA5I2pgYxVhuQVBMqZEeLI/1sL4/ywUhmAiFDzMgMjU7185n5
7bln+bygJ6RB0S9OzdojNo8zN9FD7QeUfROJ2iJWV5eH/LCOiyGX65igy2DSaMpBgaNwJfX4Mzak
xk3LpLsyuQ9L+M6OBHlKdAWcUF/cC+E0hiJKlZETjGW7RUIudaBsZ1fs4uMolJsAR4I/40qlpc7p
EiL23sVGiXiMdaw1rwy7CSFNfVpfXrXl6SJ24VRxrrBy2UQg/nQUCPMSrTgBILe+Lz4OVkcvy6Dd
jorR2fSFHB67fLySMfwwJCtGPnlm081kumUqPpEMZVBq+K1RXUnuQFsZzbHyRriXELw8WGYzywiP
jXd5ovP2/+4xqVWSnoRk836myUmeTjQZ+rYTj/TnbFaR3Tq9l6+VvexeqzgtEkM6TuN0nMWdQ7TY
6mXCOIX7+jlzaYlm/9jdv12ezHua+NJslNPZDHodIsjAKPIanKdNizVPukN9z6UtnaN5IKLsm8re
0dXIHr9cHntZE/gww9lwfz/b1TFRq7nTqbBRnd6Bm2h/N/bG7k/v1eVKzgf+t3GGJEOmK2Mc9cFf
l6gdfYZntvOv2MXy9l6OsrheUEmKE2GezbSiZZuDnrOTOcWVs/zhnbQcZT4Tv81FiSpJjef92pfe
t6Pz/FNbv31+utbQXJq3/ZJZLNwu/LJklCKGKT3YQA6yUPZnNNAPk2N8QlZ9e8USZlu+NNzC5Vo0
Esd9MFzvfEOL3/6e2btfztPnK8OccRi/H91lzSSts9pAoX2eFcKkDjU8h1aOjunq7tv6a+1+QsLx
2oZdcRdLXjqpu8IK5zE7l4cdByzyvkz29093oX1fu2+8CezQjq9cLNf2b8l5VNBOk5N5/0bn27QS
1zQq9epVeBdtfTtZt/aVhT3Nmn/wVfLCixxVpC1QfZgnGTop/6g2Quyk56/Z//JuXpj/EkmtCnSI
DAGU2TPR0O58GKp51e66o3FtTtdsZeE0TCOuzWw+aKb20vqbiBYWhUwP2uyIQtw1HOAi7fhxARfO
IzYFWUMH9u8FTA60z3KNFa15nU+RG7lklUccsWj/ujbLRTr948ALf9IHKS2eSgZWnuRd/Tm/K3fK
N/+eKjDdUIq38TnbRQflXnu+YjHXlnfhYIJmiPR8thgFm0EQC/vsNkR5jm8bTuFlXuCajunoV5z0
h2TL0oAWnmaUs2NSzwcDXNgq2kjuc+qQWPXtguXNV7J99R4/5wDAacGtnEUMoNedeuz6aKaZOJts
6dECk/OhuBaRg+pYN6lDZ+WH+p5GI+tqrd5a2yurfM6v/j72YpWR+RsTcCvEKm7v6Z+TVbjqV6N7
XNVbeXMtZ3ZuS4F5gCWB6wBWcfEgiOkfEo9VUdsVTXlECVEUVEPV8WebVW48PVye2tIRzIUzeEwy
wEi4l2BJT1dVbyLZDxN1cgSlUVbIVtLsQqoiWt+O0xUXri4uJ4aCcAP+Emq4aSBXejpUYsr6IHc0
NPURD7rJrSyDpqUkV3zocvXmUVSARbwGZhGTZV5FlUb6MdWoUDaIpRzQAjd2VZfUjjjK6SEu0vQT
DHPp/o9XkQwOzyqCdrBp+mw/v0UTOfpVVV3QQps+4IWHXD4+VW3SB7oIJddscXZhv9/xTJA3HIkb
+JEarPjFOaBJYjVZhjA6RtZlloMkWf0JTV6kLSstV47PidQ16PCnRtHbAA5qwUayOr1P4tH/rDVZ
k6Pr1HXdtkx1+QGQb0nrxyoqTLsQaWd5eV0+BN9A4YAsgUEAZW4pQIpOF0alt1nWGAa9xaWuoxWc
kAQj3pBWAqE71LoPgUXXuiFe0Xi+e6sAhH0PaiswXQnQ1rSKC0W/Jjy0jC/nj6RgH6COUOCnveTp
RxLQzoxEqRgcOl8d6f+gyDY9wtKv4DE0hGSLztyNhcy1G3XDFa/58bApbBqsAfLBZOjfK8y/mQkC
+0I/Qtp1qsZ8LcHUfmrQhDwghH6NvHNmpJngrIOOJKsAxPp0kkE9dyK25AmV41gH4QoF3c3HGBF3
4EM/L2/yx3NNCpOcF2pOUGjFJVIyMMQhzVEYdQwUCr2mGui7WQZX3qgfHjlsG2IXCkwZcH1cAfOM
f1u7gOKEEk9t5/hC6NsDjd7tOA0UG4NKd1E75Z6R+Ikni7G6B2SZ/NTSUbriwT4ePT4DcOiZRA76
f5lpG6euD/KS02XSYkP3gtwXntSjCFXDapAo3NJVAoW9P17d2Y/BuwaBLZGpP513qoWpkic++kd1
jjDhqB5XaWoomz8fBc7ZXCwACoqAyekoQd9RmxrjDvU92qwjUEnzh3wU/3j9VFFhIhKZtRmetDh6
x1E5Gg14XSfqi2yfqLXkRgKigD2i7m7aDv7qT2c1Q2khulABwXLUhc3Io1gnk9zQtmeKgl2cC9PW
p1XelUfCR4diyhpSGkyKktsHLghiLJT0RrN2DCHKXFFEljChd85GNDXBM1OtR7B/qLutL9T/Rsr/
r+/D/w5+5vd/u/36v/+Lv3/P0eCc0fyLv/73Pvpesfe/mv+af+z/fdvpD/33oftZNW318x/7t6L+
x6rNfrw1UZ4tf+bkVzDSvz+J+9a8nfzFy5qoGR/an9X4+LNuk+Z9OD7z/J3/v1/8x8/33/I8Fj//
9dfbj5TVieqmir43f/37S9sf//oLk5wLPf/r9xH+/eW7t5SffPpZBVGB0/r71/32Mz/f6uZffwmK
/k8SuTAXSJUDBwV7/Nc/+p9/f8n8p4w7JlYg4QvLc0bvZnnVhPyY9U+on6jjciJwo8CxMR/O2PvX
JOmfGl6Veja6GNwkovbX//18J7v2P7v4j6xN7/OIhrL/+ms+Xb9d6dyMJyjVZcT3H6FUr42xSLf9
h3jbv3nTy7nMyHwTRCwY7yUnZc6DGdMYkwI7JtncE8fKVSDmmfAjy830ta0KEYHSNKi+qkakwxkW
e2hNySA3NO8IQokm1QiACht07tN8H1NXFHa1Tv8DmfbCsa1Vyf9h78xy5EayNb2V2gATnIdXJ+lj
zKNCL4QUkozzZEYayd3ctdyN9edZlbcyC6iHQgMNdKPfBClc4U4n7Uz/+b/qVxQxcHzixB3WdGF5
9Um3swM7pcKmvP0o9RaKE94R9pZEYuiGG13V+Pi2EY7tYld4BkalRhH2Dm6YmMjH3eBV76wfhbgN
W2PjHVCKy+iocxPwE++lsuLB6IYpxmscbyNSMrXsxtxz6qPlNGrcwRUtp9SF/76xV7G5uFmP7GBP
LGNg4lMp74VVoD7fOaO1UB0BjLUvM9cOS1owzT9MAU6FBahRp6Mei8eSfRGcq1gYAbIaWNMYr8I1
3tnay7Z41ds8HMM8bLdz6+PyhNNxI6BnVzgZY3Qp52U3ddvAZ4/0tp7motRfukgXSzy0ofFstqI8
2R5GnjvY4tEtdq/+EGsL1T8w4bA5zX2lwAU40nmz+n7EJhXHgC5tZwl5YM1F/c2Xfsp8dn3Pw26h
4osKLNeX7pvVC/VigSURoHvM5VkCgK4PJQy1Lh1bf8StenV9M8UL0sYBCBgKJPPAyO88fjnbxXNX
v7qrAlYQmm1w2BomSvg/rxpGwiD0jRPKKxQ8LybKL3OCUBA2qoMbHog3BU1SoIsfwZSHjeu8L6ot
QEKQAT8DR8jeMqcsrQTIua2TtfC6m1lcgT2DcrazA3XjvW8i/JXLRbqsfLtm9OmMsDd2slF1eWh1
vT26emM3eNTw/nbCIzJj2O1mReJYq1XHkgTmWTbG9E1MFtZm1mI5ENCn2f21+VGGfT6bUvXOCTW8
XWRoIsSRVxp7S07NFU3YqPyGPelil7EUDP2THPFRe6EcdrNV+HcrzJdxZ5ibcC/ZsLUV1tBQTuJl
MqbPItR58ffE4z+KLff9z/ZZjT9/KsLGv8aKv0Sb/3vjC8L9a/vr38eXp6L72wEm5Y+ff/vR/e2O
6PCXWPOP1/8Ra5zfaOpeCwtmeh7rZWQL/4w1LDiSH7Op+vu/cAT/EWt4FcPbEDUA5SPlyTUB+yPW
+L9F2OCw1EXFhzeS4zv/Say5Vtl/Pp+JdH/aa2KU9ddM7//QXtO/1P7/O3tNFML/8hEpDxgDYkrD
heaq/WunyJ7xQ0JCgjdC160GD2lVmGnQWqWRzlHWXwbNGQ9HpBlSc4KWEkvpQcvI5dJhLl2JPLqP
RgzJYrjbBX7qV/f0UoK32ITAlL+US/bes/hrxQb6VlxqZ6dm7LKoqo59KOZlskD2CA52M4XjLlid
WqWewco6upU1e1dBxmC+GovoVNZqcnaW0M0HTbx5OoWt6X9x4IrmcdeOQ34Mhd39wptfNIkeRx2+
Xc1ChxgtcmhillXIR98RY5u0LuGQ4Xhrvbgd5S0OjsNiACEQyxZjeGzkyVxFNSDycGsBn1pTYSRj
7bsfbSZX7HUHz0zZF2mSEJiOD+7ZbO4Mu23cGCwElMKoEs6a+BkusDjwWmufukYY6F0vhkFc1nkO
rJ3plG4JUMhdvTNrh97FLGFfAvSheR9Hs7DvCo/VpV1XOncAhwDhWs325PbiixQGsTaQ5QgiE7iU
TBy/auhJGMCzWCesdLiT45gB6M1Ua1KxS6dOMtiymDsqeAQp67YCSmG4Xhe+zWWUBybOhRlb0+x4
V7z4pJ42dj4P5mx0xj3ufsGPpQBGcmjNVU1kzMiO9mOJPfXFcSednZwh6Jadu4XdF0hl5c9B+suy
yyA0+6k9YcrH199EhDbMonOQfM18G0VwQQDXG9FJ9dDgk2gpcjjjOD1V9yqsaH61njQngNZtw8AC
KCJG1QPu9ofG3vohYb7clmcDIZtI4eoVbOazhFfA6Zh1OcWWNeefGm5lFpfK7LM9Y5oq3OV+U3IJ
16g60sUfNDD0DFTV7PI/2oXPhnq0quYb9ttYWC/4iN51oPNe2rrX0aFwtH2O+nDjms+hqePcKspf
zSrMfhfakJzPchLldl2dXqZ0CjLn5A4hLvPI8GR+oPGkXvLOrbx9MMzTJWpaLD25avgGCxo9N8qn
25MA++vrgxKbwo0bQtbDAC/gG4vmM6yQ2t9gRuaBgWn/qp6wdRBvHXPoT2BV041yBbb0wDSHItkU
BmexyNvg++RNi9jZPrSUXd7yAROr1jmA+NHGK7zNwEMmLDhuTgxMm7K8rBvcxCKlbO+wyMYEXShH
/bipSj3VAuDerqoVNtf2Ur0Ns5e/G54yPoOAll6Che3yOYPb/pR9Yz/UFf6iO5CQk72bTfBtuwCp
X7gbaxw1yuF3v/96xtdDKAFiYszXyANeMS5MIvLAdU4AM9mPLUHF4XQfzcuXjo08iPVVqfZgCOyH
oZjxuAyLSXr7zBFFndj+pH5Oo5wfNo10ba+MKfoZRN0EONZzq2ePbACAV1dVr6CxRuwbO9P4WEqM
FvdOPU9+GjFAUwh0rAaCRZ3L18JuNYBYqzT9eKl5XmMHF7Qg7SDrePHsOeuvAuT1l41a8NYDuodR
yQb4eKeF5zyYdQdPt1yadxhSgKigpQzkmAH6jtilHnYSc2qu1F4spb77bkvXBtsJfRkyF6+eogv6
LJVOWYxASQu4MauWWHblRugCN0YetsVFEFRPv0fu/yip+X+9YKaaRJ7C6PDfpzTxz2/jf//Xnyvm
/3nRH3lM8Bu9ehxQbf8qt2QB+n/yGNf6jQY7/nxXJ9gIQzLq4j/yGPs32jvXfWI8YumPXZf2/khj
AlIchg30ya/FOEo1+z9JY/5uvvLnRCay0Pv8XVVM1xEXnb8mMhCvZnoJUCx9NRs6CfDZxTh8G+SP
de48oIVmkx+oRRSyoMJevqNAXr4jLK2+zcFY4eNuoZUGsdl6X5ypmL6t5SSzZOskd144B+sPYc6T
BoYHhDYZANA/lsa2glLG+Lba+ZS1vxSTBDBWVLqXJcs4yju9CjupQPO8Zk63IXuuDDieDpSFhyr0
e478DQxAPKnZ6pBiAUa8UpquhI6i/sgK+3bEgbM6mu6Uid2ktYQ16rcZR8u2zq+zHxhearlr9QC+
al4Sc86cM9HDvWJW6xaryRW3A4zp2+48WrJeKTp08XXRZQO3xG/qW8P0ZZ/a4FgBi0YZ0CFUOOqi
JmymqPSUKKCH2DgL+4uEKANFST2Z15PZHgZAXpxKeky4dP23SUr50C/9ZJAAeUN9WMpNVGQpQtw6
vx//vYwIBf41KlhOVnt78xortAhVftAZLvOgj0GDAhlZp1RaJkEGXUHvnxt/JfgU1zi0IbvUcU8+
LRMfvt95q2GiHaCQli8qAwcEc5eg1lMKfmsyJCoxItphAK5NBMSi+1p0eiEa8OIaI/Fcr8Odo8Dn
7AUyuYxgl+WfOE6A/LOMvGofW1BKRF1nCvL54Ep38PceQkfnG9DFmgm2HY2x5S61SLDigulRRk5d
E4cYnzkxCqvqY5o2+44jMmAIZLsF43uL9sG3irMzuDDQyLybzNOTP8cBIOolboptrI6DtDI97Mxu
laemYPixM11s8ePW1X25R8Gl5N7qra47dHhJeIeQ3O+9Utjlp4z1KKrxzRKpa/WBm9QW9HNIUw00
PTtsOjJhQDJV4gw+DD5stOr1oQx7sje3sOiHYu+qQoK9bX84Vb+2ibCi/qrvbA3nbg7nUZPqgM8G
4ISEF4zJQF9jJtILHNCxf0ulndvHXunFPVvktDUu/kibX3i4ujdvtkxG4Abx4m4WqiaNBlIb4+WJ
ciTQ5qMhDT9LIjsDH5NlK9yy2ZvWg8UYzXpri2Cr9z3djZwBFSwRmhSTfhxwRPkKp82EBzSIMgJS
HC71FyZjYXWownkiaYzw79p5pYnnBdrH8OvolgNuvKXoy0NnIn0m2NT5LY5Obf8F5th0KwQ81rh2
m/VxxfLO2OWRwbukpm8uaqknGWtiLxPvVuZcDGMtn6ugG18G344uRbfYH8J2MH3JZhzDYrLIID9a
qAXfRNMxx3XkYH2gBjLsfRuxmMHBRdILIMrSaVRk9Sf3X70mRT07X0vDWb+MNr8vBcnVvhqdR1PA
MzA2MlSwLgeYNpuMm3ZrXjsbYFnazVF963SF76W46hg3I1xwmQpnnt7mxmjlrgKFvqXUEx6td8vv
jmWo/eqkGA6Zj3BRN7Q8mzdO0GNzRt3VcLXidUO+DQoNmb2LRbhuCp8alo7pN5gduKYefrG+Pzo8
5R4mFeAX6+vMuprKPTvIG2ecMQ/vegmHCHJNyLoJ96lzo7sR04fN0owxGYl5crdcoWBY2tnGPfOs
zqca65yXkA5XBCjI0qe1qF1QQ2bvfAPYCTjQo2CaL42HrDquGtd8kyX8oBjWtWkmjZ4AmDQ9zot6
tNzumLWierxKO+eYp23cbiupNQzzKkxE5n2MliOsmGSmqXYGrCoJc6LVCaYBFncSwg4NmNDAYMqp
+6vJ+7j5NbQBbS8cvLaujkaudLFzXLXoo4H59b07udiwLzwIj4UYaA8Ori3vm3Edv+VdRSGBl7qQ
8TbTk1uC7uoa5DnVGTX7Tem4dXBb2fNyXHNVQkBlq6WLx3WZnrOIwHeDyWP0qwUJc/XVKoqXcpVV
mxi5Qd+1rWTdngW3ldhju+rXKTbeBQ3LJgqiA/EAxOFWQ2igSiimpyrvjGqPo4BVcda0E9y1LShw
OGxkION8rd2MmYaC0UqIvlLCJ1k/VaDNqH7BdMz4N0jxubW5iXXndAXNb5VJW9YePPu04hj12Stj
pXq1TSix2zThhRy6v/cq+waMXVhxbgC92tQ//H3+f673p0EHut2rsfm/z/QOXfHf/yX/nOn94yX/
yPNc7zcsKyzGi3z717n0P/M8z2E2QraGGaXNyJUf+WeeZ9mMVJiDmn9MVP7Ur7Ki35iIMN3DiAhX
XpLI/yTRo3n2ry0rFisw0v5dJM+EklnNXzM9y82xiKkEZ0LQ8ZBVS5X1J62W9hwSQbM77K6X6IB7
OGRmnwIoSjMtt1+FP5eajMLKf5hZNfYHzysncVkivDvJnEqjPFcgMVUcQsIi0Br+xrNaF8p5FEs4
b0fD5Ew9Zwsqx4UeuYc75GHqy6E+1gb9D3tymtisc4Ig2+d7L+plvJjLj3Lq8czlWXhdZXiFCJby
56Zc87M0oKF3XdOm4eL0x3wAeLRZXr5Qc/rq4IVKXUwsyZ/x45qTxROQxtXKYke02b5xVo6hv6vA
zb2dDqvRTGcHCd/eWHqAHc7aEJMrn6sS14VtpL7PVJIaNQq+UDmG0WfmZ7hbkU3oK1nVKOR+JsXO
dwZdMvlkOLkeb8tGe1SOPhDgOHDbiMn2gGXAjw0/5zYWmbNe2Wdg1eigl0wYBtjXw9SLeHZAZcUV
nu2P7mrRNApqb2reW6MDtN00nCpm4cF2BheasfcmmwKW+sabpotk86/4K3K2dF63vJQ+oOdqdXvU
TmNvE3ywJhqZEa/GRWQrf6TuxpYVTzzPfwAbzY/QjLPbZypWfWAQQNw25+4x0MHeqr2T3xf++9pM
aDdJl+LZqMzb3Fvg7SEOkgB61esoQxLh1aT7ZDoDDZUsN+JOB3nS1osFnRocpXEldSuj//QbWliV
jeVzUZe/8i0/Na56XAPu0R3FK6xHzfBG3fVwW+0fjZ87Vw/V/jUqxx9BU6rqorOFrpzTOFUWh9zx
h4iIp27srB7WxCk7SFd9k5Ef666qn/KOZhfXqdIvs5nzaXsp5Hmook+DKyv2EXzHLLWiNnquJyW+
Lw55b6ycocxAnU+fXeXE3drux9k7tpv/IwfwmIZt+d0emUcIH8u9vBj2k5dfRvhqNTLvOOzd9tRM
9YusycRVkbtx7/8aZflUG3150Vb4q0MllhWeuxvsGjW42sthBUyFaEBP5svWWRdpZt+WMExrwzvU
NSxCY+gSjBPr1MxCarUiAoyZD9w9Mr+BAPBouFW1L6xWtAf4yFh3t8ESXQZlm7fhOg9NwvrMHXXf
hQr4bXKr+xogOXd8UKIp1eG8d926OKtB0XY12qh88OvtS1Q63xrZV32cNVX5ZAj/ffGXtjq4whle
AuDFv2pL1e2lZk+Fm8bx9/bqfOATQDfYyPr5bPt+90OUzVydQGQU+b6xTdnuIpArdyxvQg8YeSPj
jbMV08MaNlvSN4NxEmLx20Rqr59OS2MVxEQJK/hpUhtN6Mna8u8dNi7APhjveUlzNYgW1cEZInCY
ogvWdocnSB/QsqUgIK6DvDxraK2bujFyt8LobQ7X8m51deUeCvbAIiZDY8UX51mjH5t9zUw0Wxp7
oOzUPbTnzLL7uN+wL42jsamOoylQb8Kmjs4qGP07Z5AhRPh2bdqKJSudYYrdtsuLMAnT3/SS2fSp
xfKyDiHiqGkFRsQXN/h+rHvbuIAup5UsWkO/yKDnb+kKgoM3o5VTRcATCeiISc6Wrsiw9xOebsAO
huHspx2kPXEKIuWCWCuLWWKgtUbFcPCyquwT1+3No5iv+UZYk/ecWM3k7KsMpxvuHezXXaares7u
6X3xps2SvCsGfckZpEVvs+o4Ob19cEjT1EGO0a2sojjow2ZvGoKy9ipH6VczVkbrH4oRw2N/mKaP
Oa/vLbN5RyL50OvuphYj3e9K3+e2Uvt2o82gcfyMG3/59NkwfMQoyziI2R2S0R/6ZDatnyQ782Ej
f997XbbtcUoqv5qD4+/WohP7ps0WqFz2Q5/plysVmfQ/8tETqeJUqW576BA6Mq22Vbqi80r6brkr
8nE6hGVDH6EzgG67AaimbPTu543nNB/VeM++Vxj3WRTcebTR43mq21tu3exQF3mZZpVb7pt6W26s
wqPay6JHCyRSjI/unBS8iRMuj1/avnRS6TvFuWhCndpDPx22KNc3GzDlQ+g09mHy1m+lHt6Glpmv
zvw7iYfpbljN4ayFNp8rs09sx8+T2u5f2642z1HebUfHD52Lxwtj2hzF3vcwfvZNRbgLrpNsbnGm
ouEvawovjBRWTDT7MrawLfy6iUkkHHLs19AnTfw+b14jhSPlkvHRM3/E7dwe20OdT+Zj3xtUztu2
pluBgV5ufApiQr3LfIi5bcVYGeqinFrqKpmFl5FWl4kZpHfHDF1fisaEidhnxk4XfkmtXjZHVLvX
oXFRyGfmI+UDw137Eyfi8k1gcwCYXaJvSbc1dJ8In94xb+zl7vfngdm4r1PqwvKDBcYq3yHKHfcW
w/ct3sLZOY5d2XxhauSzobrQar0OedV+0opKPsMP7AOYvLqg4oQqrkWL13EIcPTZov/95ixV82Wc
RzPOMGD+gE5a0DxelvAAZ9Z5JHIMC8MGNfzkHqr12WkLdZo6c3pz2lL/mNWwwnVta919czlxuWUt
8Zhbm/XAzmA7JVBQszSqojZZt86U8bptP42oMx9CyqCzZw/GYVxW49Yn4wqTVfT9c8UiZ5W6OTrI
cyss7e3MylVpUGSOt5McVg06fDvr/btK+sabg2rQpyh4yP0lm16NYexsB6sE0KjpnBd+Qo9EB+mq
bHpvdik6+7Ni89dNwjIvnjMOXszOJoW/39KeEAoOEoRAw/6cOVnfkXPUe4KdnUztZI4xzReUlwAm
g0Qyb3hu8ojhyOz3TtJvoxiOw1TTfhqrdULIEFofsqJU2dEdCE4r2pM0yJrxTnWmXe4wDKseF1zC
v5ucdSNnzqpK3ue8KooqGLZzUXUXsiET8USwePeqK7SdaHdjJT/opfm9CuDUntCmZPC9McseyTyM
6Iopn8nJabnYEnJ3I8QPHZokTNqLVJdcjZXnfc2O/BlYMmaNYuZYRgdA/24NkInQkUkCo3YAdzdB
UzzW9vbpyfzLhrg+nt3pXM/1Mcs3rtkmAC06lRoo9AjZLuxnZgrRxTe3BycnnTLDgTevv0sTMv1u
IBHmuVrLhAQnJYDdTd5mhDvXaTjaRU3SdqhIM/fGXHK+w0ojzlcVd/2+Mx2KwNBQeh92klSGPgAJ
HUJdtC+uRuh4Zg4aptWIwsYlysdStA9ymBakI+NCErg4STfkDJhIEnaIQJ2dIq0PU+aXA492T7Hp
tzu9td3MGvI0bzEjuBZeuO2CKA898J6kqX10kw/lUL6NlQiGx3aL1PBchmWx7v0uGpPFCRWodiT/
bIxoW9clOqAoC9oDTvWA1pS7vlZezz6Aw+LdjzKXcHLDMm2Hzd013RS8T6IJut0QDEo9GKFzLRIc
p6+Okd011o5KY3ifZ5oU+6GRxo8qW7gYa9tsAcVEbnb7IccHNBlgjfxYp/nNK/3gxNnr3g/R5j/U
vrbDTxfxcn5Z3H56d92iP8i5U99Cb/CHfcVvy+iWBNk982L/w5aZd6dgjgeQd7O7KXM2rC9AQBpn
Bt1VnrphhURlYykhI2UAC3bLnEjSi4vWpr4XfSEiSEmNcZNVwvpBm4l+RGH81GXoMc8Le4Y7lsSZ
0pnH9rvmU/7ondr9WkVN9hQNEV2WdfFvgQWNl7bNpi0Zovl6CYfPwoj0XbSYczLLpjvR9ZX7xluC
fR9ymJRN9H2i5XGg0eydS2nydLI1kThLD+kI8wA0Yb1ajbMpCoOxfe0eCeb6HAEC34NVuxm6ifS3
4vL0zkqLAg5maiz0Q6Y+EsGO2ev80rpe+NnoRj0hHvSStXfhaS+62xG6/Au9bRtWx+DHRhMRgoou
vJRl09xAJRFo7F1XPYfu1CTG0LdW7Do8jZKD+2Ule2MYoEOI32M9paDQLW9X9HLcudQqILuc7HaL
DLWbDbM5rlVnXraoJSldA3mMXFqhQ4OYLh5hU/OJSxbthg3q8hI2Me7uiAh6VVKpGZzpriOLdI2s
PMks14ldgA1PXd8sz8z03Bd2TWwGCg2L2LPhBjcsSYBfZ3p33KyhedlKkwWAXKMs47s0j54M3xBT
Mqpd7C6ReVHd2iGQ9Trbgp1ds3cvre3EIKK+ayMjOBB1HNZOfat6NIqmPw1itpKW9INF8yiPg1IZ
N0HbBccS2sSxH4olbVvPPAy4BQPmbrgtG/QYL3XUdW+RcOuTOUesonn92H1nLLo9ObDXDwUtsr1J
0pEwQ3fujUlMZ0Ahxl04G+o2E22djlnP3e/J9l7IPvosAjtMgnJzTpU3Dx+TRC8wiJaOtZN3yaQD
9G1uXnIyqUbu8sDqDkEfYENmE/cbBLQupPiZLyKaq58U06HcIdmQB8+lCaq079BQC/tjMxTbYS4i
faDGLlMmHGxd5PW5jGR0qSfTSYpMDmcYkZijWGK4hGtQ7JnS17Q/6zbFu3M9oUyjPZqbI+sceHCY
Xf11DKospc0u4it84CBIWFJVrF66NNngJFtpB0c/GqfvND1WplaZ4yRLuSypHN2r6jnzk9brKXpU
3uVJaOXN0cqnpxyvm/u1zpY9zGVa6iYyhu9hi0rGldtyoK/NKqW/jUckFP5RRW3zHHLUvrEUFp5q
Fkw+rcluD3KIRFpEps2HUMY+7G3zpfTEq2rc4kbTd7nF9b082rPxUbJY9CoVvBtKAYPvvXwZbVQm
Ot/4KmSQTnaoWNnhHA1ajh2i7DO2/Xa+G1y/ZeRgSvGgdeYdpWPqE8+UiHshCzJ37V8WO3zPTOWR
nraM2FReH3hVdrKKikhhXRmRdr3vXOUc4YHW71018T+7Hl0jEw544umovw2iYTjpzhdJ0Ux3vPwt
B/GEGqWLXplQH5orQdBavC9L43RpHa7tkwuH5UmaGyDyvo95Y9nRB3GQWogJcD7A+kMs37YSKYFp
BCfSwp7J+Nyf6iH/4llze5bRok7eFn3qcbrUwnJ20uvtFGVDh5Nw9Xu/tEyERO2QiZ/e2JPmrNWj
7fb5gVBzQD4yPA6NVyesPawwMPqNpCk07ik+nAewv/qht9v6FvJdRP3vhqkJZJKm1fxKPf3Ek1bu
tZ/RSFi/V6YaD36QQyLTRGPTZ+egnMubMMi3ZNPeozD1T3vp/Zs11M5xMOsPuUb7LZd1nLMYcahH
uRw794pUGkSOPcf44NslayFWtvcYvVBZhMO9T+cqjhqaOdoMb+BN6UQ5lkxlyMxitscyrSJBDpz3
9b3qOR2sdnrslm69R/Hjp30g+z135JGhzJYY1vIRDu3XSpt5gvtW+d72tpMS0IJXzdN1ZEbzJe85
pZfVz+PVF9MFUdbtbDZ7MBQ2D5nmx2mcH3q15TTa2meYP84+pIOYFDrwH2Q9JXmzwmgvl4ett/aG
i6OSacFqF251KSpH7ZRovvZGb7yxjHJf4OyzG1XPbNFePy25zBhtNfSoxAzvdm1YGezCL6VHTxwI
lbUrr6tbthHgcZ9Z6WStdYxPiHkHA7GK801cJEPC3dhZpBileABj8FF4w0vNpPfQ9sE5NBXttrIM
6OfDzCNluKui7dR7zgkhR5mUNtfb4D1Z+aL39dLuA1K9nbYwTjLN4t13O3tnF/KpnTGrycy6ZF6+
evGE3olNELPY60Y8VnZJ29EUKMVCe9l503To12v0K/q3pl1EqtrsZvbWPWtPI/K04VAY233UFWy6
L/JDuJEBdXH4Aqs24mBFtra4Vtxb2fK2RHRUxXWkmEezu89wrP9gi/CHsPu7aojco9dElHoli3xN
8TT17bdi4ytfzYs7TnTiEGjHAOiKHTbpZTwyyf4QFuXFCOkXs+y9HyCDClsGObJQe/pCXVyXGreJ
qHuhK35PCreyAo3lSqVzsVdedOqD9qcxGKwqz/28m1Z33OM9VcW9sYjYYWg4WDiKz0V+bsfwbDaG
expVibfaSNKg3WlKMyQt+6koh3vj6g0elJ5FMN8KtmQtpWLPzqK9P5X8jBhfM+ESx6KbpRtlOuXL
lGRifRoUVduwZS+m2Z6brL4zyRpOhmGMlMjbxgW2v3BKf63xB0HjpF4GgDuU0Kxwom1GR4ykLlbt
MsbKRIk/iO40MEVnLHgVbr8iYwR2wNQy9XX+ypzaQZNIjm1a6+PAVgTDm+7sT519INst71WJF321
nWjYXVa7vhFL95x3zl7kzmWmwRx3IeG9pftcbyk8qlMZdqdoqPYiqm7qgHRuEd6uKoW5KzaCU0Or
oS5p21/ns9r1oX7WwS5nAdDChQ4B08ld83qnqiB1aeK2nfdggr0+aFHRTvDCe+0aMV2egwViLbG9
bS/mcIyzMfuVcdzFWR2esmLAK6hv0O9TobA8kA01N9CKwk4Ul60LfmkK/HjLy4aVHYVAfmxuZU4S
5BqJrSzu2O5kw37y6OXkfZm01XjqZw+BIMN9325+bd14Vov54Eb1HasDXyvpeLciyvI9HVeOCUk3
yyKrKiV2W6EIDnPg3NG7kqnVNl/xizpOzc+11oDSl+Mwbx/lan5tUIU53nLZFmfP68LT2M/PThmS
gcv6tQ2iG5OFwWjdbnU2feRtF899/jK6/RHXcQbKocEDWk4+fyru+tC/LZWd34k6f8aMcd6JrLyZ
SvVsOR293VxY7YsIRvuIp3eWGvb6lg/Fd3+I/CS3QbBqsx6fwW8gGrUH2Z3K3yu51ZtLO3GBZYR7
yto2PFbOJn6sgSeruGjtmi0GxEN7w3JVvi/b60ixG0a6ftr07Y8wyq+DhlUs3zV/3e3CKwn5aZRd
7iSII8NDsGS8fPBl5VPnWfVxjGa6XiFE+dSkGs4fVM3KRtwSrfOLy1GdvxeKHYDCKI5RE2W7ssqr
N47M8H+xd2ZJkhpr2t5KbwAZgwPObUBE5DxX5XCDVWZWMc84Dmynr/9V9Mb+h5BOd6lO95Hpulum
C5mkrIwBHPd3eD77aWI0fRV5M6ibXcbkl0fmMOkiGobKeu5SDhKyYWNe6fKY5WKNxlTghWdxuytj
K/9CA2ANokAzcYLoMMbBNEhx0QGjqPuwnlTVRFK1nviWFGNCBmeV6SN2dorXvjhz2FbMVeKrq8UH
k2cMtQs87spHM0jH+drAQzjX2uvPizzLjgYpPv+8ymn4nf9f8u3Xqhg0vY0L8j+7oY//8e/Nv919
U2XzsyP6x4/9wxEVv8GDx4WkNEhVmCT5fybfcESZhEeubRuXQaV5I8v9I/mG6+lL23GY2scMFoa3
0iT7R/TNdn/bCIyUyIisYZODTPsbbTHaQxieP0ffKNmSbjd92IG0DzBu/2yITsIpPNwT3Cmq3TLs
PVHNez3b3nckK/ll1E7xJuJ40KGbN/WdNawFRg+7rDn0Za4/ZD4rcUkgm71gbBTJde0P6VvR5gMU
CTuIryU3jXks0FQJiInEmN/83C9UpAflfRWYCdN97lhlcKEgnZZ3ichs86prg1wRmSjiLRVlOm/g
SYtbwoWiJbk0Fe1XnKK08MOg1ZZ612VpXpp6VJdGhau6c+2ULDzvK2aisUEkm7AABiE6ZqPest5O
UeftYHo1c5NMVdmX+HQJwubdZGuPtY4H8KdH2i+5mtqASBjqXGDsNZHnOaKkrt/yuuOAVSxJL64q
NAm2dMk8jTsl/eXFQ/Idd2VAew3TNZ7AWLDnxZ/VFvHpJAViEuVj5XxP2n65kg2HrNDy89jdsiDG
HELlMsd9vTYBoY8hRw6z53Ru2UAZOE9GEg8r6RpbXWVFYl7rqqyCXdvNlrGJuwFKhokrR3Jm7T7q
IlCP45BnP0al9MWI+vxcCE4XodV6oxEmlBtumOrXX9MwH+4HN2GeinJtmxRflw3RGvOA3cVyxOJY
41lDvgIE+RrbuYcW7fQl2rMdfAdIh+Kus8wj+oX5k6N7MMU3nFk8n7SzJKTsxi64W4ayTXZoQTJF
Ww8MlNHKpEKQzavRHpjeYn2Ybe4/sG9r1N5J/eSmH2o+xrZY1v4g+9VNdsTPrPKa65ryb1WQnd/S
QHoME4cJqXuZtTw604VCHEbceujpW3bRmgQ1B82+iY8BKZUP7qvqfULtp09r2BTfOvSHr1kXN+Yu
wOp5ZGJGz7OQiPi3YlxL1CbJFV95Ge2vqs17TM8ZT302+optdFF7kVv6AxXdLi0PsP6GZNc0EmWr
y3LeoFnNjD6haxL88KWev2VoFzC2ctMkZ5ZNpF2mdAgzMtzVIXc0TwysO/Beg7dKCgpWW525xipJ
+gSE23ZJV/DIy+Nh3G4ps38abGVeyo6SWZj4WU2Rzp9NexePrsOgmrwtBXU+WTKNchWw5jiZMnSL
Z7u8XwLOs2FixMaV9qyU40ZaFE+ZMnKFomoY1Z6iyiBJpTu5GdE6mB80r+QJk1/9YFoiat2sCveq
sB2dRXWfzYgwI2LIbuka72OyZgwKGnf+m+zrAWZZ7cz9jpWvfUz8Jv/K5reAMDybbJGC3sziKFdr
/Vyb2YA5apVjTvZbaaSoLvcFi4ExkMmYl+Uq4ehGboxo7Bd0qLziKioziLTmak1HmgqaIy8EvgKv
lgoEx36UIy5lsc6RYZtlELaLt17w0ZpRI3RybfayuVXIFA+kB6V7IxrlstEYYudh5CxbRqtncynS
buQhDyshP9SasYBToZgyKim7r6w1MbE2OiTDmy8L6V/4i+Kwy6306elySKIUWdjcMSq55qcxAayd
jaPxo22QWyMlRmNfCyb5hoIJQ/2uYtt+x0nKbXajZWNL0j5rz42+OVkgczGwTy3np0FjKIdSxv6L
mWnTv0StWnTYO0nwiklPZxZ/wS33g6kLZnkNenpKWA7XXRGQzmcPt+nmBGNITZh5yf+SUH590MWm
wXIhu9NhU53vO2oYFxoQMdNkmTFJrkBQH4jKyquu4iZYh/O4pMm20/lYsvVvk+AmN+puCZfKsp5S
y5r6HXEy9jKNNTqPmkneVIv6xf9M1wBV3G7y5SEJvOr77LUsYxb2xXEc43UvmX90UWjD9cImbXBg
m0GWwX52q2GPWN3MuzpxSaZqg5T1npqJeNdkeRECbYN0NvCNhowpGAY8Y2U2yV4UQ33hGH5m35ps
msyoTlXWX/ZOTRLR6XsygwlNWD/yZ2SgCCYzr4/iv2hCax2Tc6/ZICcak/+746vEu0yGvKFDVGJI
70a6BzZAhyoer+AwdOm+YHDma+kW67yf5gVJMG172zl25AhXlglhvK1zZmI1sJOkYeW7OY/YbtGP
WeVNKYXR2nzqmE+O/OiYS3BW+qXZhHpimjAuWFt2ezq3ZckoY0UMvc7TugupmmeXA8maefe7BZQM
hQpQlPHdTdkY3ZkrerbkTt2J5Nz0q8UJkW/0k0xqLh6R0D5idvDsid3kTAi+JGH5/P1MYCElqprf
1wLfKUyk4jIxKyXo2/Lvj0mj5vdkqL3qDG9uXs9MNbJYCZlzlTX47u2TiBemuTqsjAqRn+CzdBLl
safugjftF5jxSgQFBxnbj81jQy863sHbDa4cxngz0JuHYbGvzbgdDrMZyJlHE6ozIlxGK4fnwpKd
NbpIWa7MhbMCuxUkNTnwEqVbJ5+JYv990DTLeD4bCy9frsWSHcnh8MwaEHYtvpWe26HQPS+9sVv+
OZa4JbtZOi7jEYN0SkICQfNyVfiFWUYTbelH0M6cyUfFx5+D71gOGI9FEg7FxERyYbT6e+H69U2Q
VR3n2qGeH2xWShF2Yx7bxyCllHy25rXowqSpne5Md3git8laE2rQW2wtHMZWrQcCzHzyaVdK42zS
uCQ87JMhuMhytjbnJGEbmHI6Nr2o6yQPEFUaZsx5ozep4oBOGM5Vb/BBOuDoQg93vdrHyrJ+xK2e
u9CrWmDY+TrVyRnnCMuNkJqXaT9Q42r2Xe01z0M6W4gTRm1cmYioRjg4KxsAsk1LAyYmIwFfWOv0
3FCzi88J+XItLcCcqEROwGyYfDeCHRFo9++yRDY9JrgxybmO0YHY0NQivTEd3c+XiVVM4oJKEJcx
zF653g/BgMXZEBXsX9zG68NJG92TTj2TKMigVXwswI5gQZ5eRMOtdE5WIONGYZQcQZYga23codl3
NgN6DXAQTFtcOplhfamD2S4uuAI9YOBKLcHObmNp77NZeG8EH/PPQo01+VNdFd0xVz7J+lqSujok
uKOvuOQ00Jwyp+04O/X29DKrYz0avIXaqMsHSEwESvp45N3AjTAZra7G9jmWRDJ2K+0wMNPUO4x9
w28QVC0p3HGCNbtHwzYIhFM9e88ZC8slLRbW7x4eTxKtpssbMzrBRdrXHXccXjeJtwL1xdrVs8kF
TnOT/9+YXa4kv2GgXbQq3T0WtBg5duaewe60tgTiNBMQQRw4K367ri8aXfnjzrPm/KUcVvYPyIVU
DrWVq3FXV9J5zjFwvd3olSxl8ZBJgAxkUZAoFy3OJRgfK0yqdbXxVu0gD+PJZ0M5ock8+ByZWERV
HLBDdZrPoJPJsjfGUTxIs+98pk4qdog2bt+Pxi8WP4pdUXVhHHQGuQE/Kb87tsEIbw4cvXnIO00+
uJ/Gis4K+ZR9qSxkoXLS2Z5yxVaRXIfhB7M1jYaho2X5HHhzzqDiQPbXnZhzd69Wb71Lcu19Xddx
wZ1uK5wc19fWly417e6Mb5yuy1KL8bBo1+j3CGgqi3r6bq+xXNYYj98iyDkqHlIen63aU4ogbN/4
Rn/Jat9WICmG5MkgnDHezx1Il72zKGSXEa6ucxjH3kWjmPL63ZFGeeUn0/DG9Zy+rsNkuGFuBGYS
JiAYGLydc0Ljo8SD2/l1ls4RGjclgE4rycBzq+WVrBY7gy6W20bDdUf8cleKb9VcML+WWzP+nFZW
2lD7TX2/yMa5SmgcrqFdynI6snfqKPJ4SZEfMH1McaaNZL3up1TVhwmN/9N3yibYI6MJQSPBNrH3
c3pMIWFZy2VVTtQbcSPxwCltsaPK71bg5VRR5LFotmvCsCno7h24Ay67SGdeDkPPEN+9ovt7SVxi
wHf2Jv2Rz5Z1PRCqMw6jvzqcSIBbJAC2eF7uelP33r6Q5vC2VUDrUKCaPvQ6beTxpwP+3e+n4p/Z
Ktav4BMOFRCbhLlNggQ8HxCX/hkcZUxp4aYZvLF1BUrB3dbgAepJFtdOSRQrpTL2nMJo/3TczT5j
KKKowhR/sUZvR9nd0Ay+zSfPGhERDRPv//oF/jevz9/GQ3jMWwQOIDfo1E9gK2cRHeC2IIl0nCbU
LB1awJZp/QWk6FfgLVwN0AG2tF3b8vlL/PJrVF6VsSGnlEoyEcXLPityP3LciRCD2RWFSSunqfR2
5p7e13F2v1BnQX+FzFQ/Ne6ov2V+S93gX7/37Zf+ImSwXhDlBHAVEBff0Eo/vXej5BzcEAGLvP6j
ihWR4pbBqmejyEiwrtXf/aSJvtvIDYybhN3j/iqbsMz4wohpybndmJyZfbzwIP3LkSe/4KCA3dks
8gHnQh4iAt7Dn9+TKsmdVw03FC5KAoiP2+027+Zgb3izwQMZDaKq2/rg2Gty968/zhOt8U+fJ7+b
iRVbYXPDGglKoD9/nkHekHQndEMPcK5fqo6YB/f4FnWWQ4+bkWSFTVScs3zoTNm0hG2b1NZeE8FK
uf4EVj6l8CV5bPVKdMJd1o92LLxPw4ljTq2xywHH0mv8DJEH+fdfv/rtRvz1xXOLmoQt4Pt7v07I
AfFf4rq3drgUgtM1FB8eChsqVq393/9VG9uJDurGO2ci858/p7Y0076wA4uFfUr3cVevRH5GNyqC
rv+LG2/7un95V/AgNzXRY2IJs2D+/KvywuusWWne1WA2l2lct0cjXqsQxy95AHJEuk+rPMyrmVoU
iaO/uCT+6Q6D6ult8DhP0NbgzPLnX28bAVHSOrXZrybkSNfRZnXueaabhoOA0pj3//pL/KfVjEDf
RkKDJioE98KvdMqEckYei5jHUSHOQEBNexLT4198qP/8rv78W35ZNwrmSxhd4cQYcqbPccbD0tt2
t1Ya3E/wHv5imTphnv/8JTr8xSOEojEqz4mG+9M65dZmRcOUaMC4ONmNW87uPdYQO16/Nmz0s6K1
aBhbXlzEZ2lhWUeW26Ai+4NkiDy7Ds88LzkocCgpmSM91xT61aDs5mwRDel1a2yxn7hiwYt0/Wg9
0Q8YnszMi98yqjZ/NWX6v/uSkKHpzdHvZnjIL9dk2hoIOpyzQ6BZ3mtaZC+Qi/+o2v8JTffzg/ef
f4lwCIqaXPKm51AI//OVVzZLmXrSFOFSOuVrYDYIqHPd/j535f9KXj+VvByf5eOn23Bj7P3xn38n
4N1l39R//L+fLY0/fuQflob5G2FYdgA2jgGszm29+wNKJLzfTC4BDlJbutni1v0vS4Myv9imkGN4
2GBtt7kQ/3A0LPM3/jAm+JAWZUYKW6u/5WgIfsufVskAXwWaHmRgxwe0fHI8frrBhrY3Aq9mR4pL
mVnnq4jlzcqM4SbixiD571pogsXsii9VsKmVsSBMQDTLx5Mzltj7MjrQJMm+MOOOynNnlAejUPGt
z5B6DpC0lj9jfwZ8UZESs8JydGNxGErP/k7g37PPMmBdS+gA1DJ4YrvDvcVojySa6kJR920ZpnjM
GATj0ybN1x+1WcjvylLrU+92lGQJ5WFUsINPH8hAERsw5OZf9INYmzN/1hDN7JwxGmdq4dm3X2xZ
3NeLb75zPM380GgbcVPhN+e7Is74cZ/o3cDItFx8GMYafI4+ey/EQgSGcB2M4Kmth3F9YuPbW2FR
JrY8U+uWY68Rgl4QCwRziMaabHY6+chAazOV7r4C1Ltc2nYZc7Ykn/K6mikHQNqZSReNbup9N1ad
vk2eHOP9bBHn4qBHjzS0IOaOUU8E+5kIk4r3DtDOYrfy8KJuwET3L44f13fO0qjyTLveKiIHRV+E
g7bnh3GkgRvVyl8rku25ZCx1vTILZnTyR1fDOUbTJuEL9szwN7RIMQVhE+Dm9nraFASZsxmORZpg
v3OdEnUyStpj7Ty5t47bTRD2dDx+llWepTvXSQt9SFZ6ZGkmEDmUlaD0umAZLPjIBgogtTHnNueA
hFPbYoqEICHQ9fu5Sz4bQkvotlW2xFFWU4plvtjavwwOhIArLyNNcqZc/GqEIY5gO7gnVo1p5LgP
HvFIZ0fBHkqPOzjVTY9ok9wMTZMPRxlLslQjnLozjGt5jyJcfqAbOp/apIETzlYavwUTYn9k1KAo
sI88M8QML1VogIZ4pBeXkO/LSY3uiMDa9xbrNbnp3kN3LQFpy3QxZFQl3XSkjdMe2XQ49+20Fred
Q9h9adb0i9fiKkeTbRcf61zTAm57oQHoDi/wIYAxKYVPdKgK2/qyMEcnPsRFph91YKHSTmtbXoFo
9LgsC1ve0mpSw8PAhsM+4zoAwSN1v/rncHOxMFKbrwgDPUgIUZpL66E1uv28TyuJJN8sdjMeq9PD
zqjnmuazHtNbiliduq4rd7HDZkYeCOWp9rykWWlcllsbesqW2r+WVKSbrSs9Ko/atLk1qKEJbF7M
qVgd+8nwDQ12JIrVF2q/bB3sxqqpYydya2afStpJthW2i2wrb08OF2pknErdDOui4G3iqdW79VT8
Lk8l8G7rgydsZYZj8XtN3JlT0r6jfNVbi7wc6JObp2p5fKqZs2ulGXAqn3enIrqq3Pa2awzq6eOp
ql5urXV4UBTYaVhQZu+TnmK7aITzzSM4QYdDBvo8OJXgs1MfHlcJPZ2D4t1yKsxDPeErwd2kSC+8
ji2zv/XrXVtxzKAAQu2eJEf3bJ/K+CyiFPPrU0nf77bCfn4q77tbj58uB0J6e6r3p6eqv7u1/t0T
AKDsNhgAOhZgANX7AwGnEzBg7mB+3xcnkAB5atmcCXdxr00fisp+RVnkevGk+moUi8HUqRGvWZwQ
BU1fV9ciK0tC8xvDYDzhDPqhMOejt1EOknYDHiwn9gGUS3vvAC15yTc2At5vtdA9jDdiwgZP8E8g
hb5NlyuqUVTaxEZaaLD5u5298RcYRQiKQU3taJLKc0A0MEnJfl3KJMZ4sfonMzHyx7zMMqCMekM8
0NUC91CfyA9BBQRiPQEhXBqJ90mKFxWq3FDXELPa9iXbOBKN1CAlcrPu8uNwQk1MeRa8eScAxXqC
UZQnMIVIneFszNvOj9xGz48uLgfd1F4k/TY+jVaUbS3mA0DAruBc4A5b/MYUR0722kDe97g1gg6v
YT/i7Hw2iH2FK6SOGA+VNnfEf0Sxz5zAGYlFbTr3sDiYwGulsutcFLE6t9Vq9RGvfHwZJxBP3Be+
/baMNMl2Qw5CjhZAeed7AKEjM4bbtrPW3r81rfnCqNeFDPRK9W+36KpPIhe6BA8uPx3sHbqy9aK8
Sj5rqyoUVcDNpc+ILOFKgRW4S5Sf9VBKtlkjlSLh3eCuEcVNRCfCVS1GQgJ6nOXepZm0IS5jMoYT
5RmXQ3PjvnL9B8SqIVvcqzzBlhutMec5ncV0cvFphjOENyrQbkfX4Wh1Q55SdhkAca6DT5ZhTC1d
HIPJayJPO1UPXW3mBmppfX0PSnew9y3BRFrAtY/NDPtg+WYoNb3SfQLFk+cGH1ZDap0+ESGT8ihT
nV4PiWoUhylfPDvN1hoDf8Q3tSwp2DsKz10RzS2NaW5cQ3/YMoO35YPQIl+mEK5xs3Vunfm9tiy6
eNW07nvLcLZe+qTsfRmwzwAsxIOT4BDBgrUz2q98jd6084vAes6NfpRR3xeUROfC9L5D69jB/0+f
/CRv3lj6Ox4NIlMffVBPPotKOTzJPlOojLbTYlysgTZDf6GPHZGM7i4rJEhnZ0+uSA4l2n0fggoK
niztuzO0Qiphu3wb8xgmybDeBK1oxt2gjO6NZzhMC+Fa8j5rGt3ti3XbCFGGCYyIaAw1PLD62fOq
BWsNsDHAP4wxcMewbnuebUs6LwZWNJ3LHYs52EFnLo1XshUCfqpmdiq9v3rookYnA9T1AY0yCkqc
zGhyq3yI5Ew/hTpf65H/6lOGzWCQ05EsTDe/M4OkPyQeK3w0zV0/H7hfBqoA+ObdLncnFpmpJbcZ
iTS2PgbS57AL+VjnSKgto+b44/icUk98mdK4uSspQ9m72aXtPFi9NYde5lH4oH6jbmbmI9a8ncIN
eK7S6x/40Oqd6ybmuSHVeF9ZhkfHHwvlIUlJlhHpTJoWslJXAEMRAxQXVDN93xYcsMjcYnRfen0b
jOEgm5JAjWzZT0m7aN7d1WdjusCkt3e8JiLgqd3Q6+pza7on86KNkCqNkUT+NgNTzn1bRktnqJ79
C0p+pJLROtjxLILQsnXKhBxvta9Xq6Gs4mRTiyicZN1MIrz2brQq6isKKBpbbW4hKPAbq10S0Kfd
VbZVvq0Giy07q6W7wFqjjuLqEr5tW7Ei7bDDzPfF8FG5KQ8njzhyxHC6sW8fhtPw08IQxB6c3CqA
0Yly3eCMuXVIZxgqdDBIUF5KJLQrsyxLWjYd6VRT2VgSduFjwE62uxTh2Mg1261QesiqeGvx4bCk
fKsYeiGOYCuUEQay1XJv+ILUBZmX4rOucrfl+4LsGvF0665HMgb+Wb8CDaZmnbo/iFPBh457Itd7
2/cADKXrjII2ta04zioryXu7G/PJtYYRXKEy2RznqdudF+BfutBgMiMxgAn6wmrOLFGp3cnvUzYq
84A96VbhONvmK/l86BFNkciE2t2YvqUSbOPBZbtbgtSJqzHMwBTax2zqEnAXmQJ86A+rmHd+Xw3v
pPGtHwOhhxTSTkz6lNs0obzJeMecXGM8ip2MN9rT7E+dHWqaD9/NKck0prLXcv9Ts7d3gVQKXlFb
q3cfbhmVW8MkK9a4VvXu9hTZdqbI7S8NMKWVPwk/dDeaPddfKiqHV6JE0l1YXHo4ntg25GqqDloH
e75gz3Q3eUMLlQ0Ki8jMlUBDmJvLSHv+WJac/mgnIzVisjjEcHP0Y56IWec598prFr7MibKJG6sa
PBcpNbaaY344HZ//lqrwv4J9zAkeXeZ/Dkxefxs3+HEzDM0GP35U5c8qA2M4th//Q2VwN01gU3sc
x90CkC5S6B8qgyvJVIIKDJj8I5B2t5/6z+Ckz39DKUdGwNYwgcb/l8xgi99MD2wg2w8T9cL3/xb6
2OIHftEZTIZB8jeROhCFjJDehMWfdIbYsTMoJniMfZm7ekcd2PkykG1UjHadmYRGhVd9n3S3vOSK
55u5zS/fBaqzzgFMMN4HivCjcJY5spN+OQOfeWlAKnm2/FJ9JL0s7goQHDdYiTHovGQ6H1gpiVI1
6XSfCqe0USigaK5Blkac/8skzOLJelswzPDbJv0451X9PAd1eqDZN1/IoliI3pEyZDrHdOd3nGmP
TrZx0m0yQQwEXYaDVhhwB9NPABIHavCf7XpE4a19OBFKZcXrFna1dlOVr2dZ2jWf0jF53V3rv2aw
xCJMo4eGodtsw1ZYD4hF4stAme2G1BVussfjc0u1EtfWlnEpOp+TL0GvrIniASiPnpf5vUiUPDKk
2Lj0QLfcdpA2rpuycl5N28nVecJ+k/zV2Bney6nNC1jHIeMW07SrZ5lFoqudV0Hi4VZMxfxUDZP9
RbFk7grmkGLOxjO5cJ1rPjGpyZkrglkOpMK5uSJfjvNtliq91znHRBJSDrpBYcA5JNAzP53Un6bY
3iCaL2kXRNHuUY+yPGoBE1KDHySi3mddRgNFrJdaS0o/yQg8+Zx3txWUQSRRXlBVHdGpoZVs8k+Z
ZRePlTMGOQFGC4HJ4eEVLtOSL/sBFD6t7SVmMTcNoS80s6CZAZ06r9hC8S1nBVIX2FT+HagFGZHF
zY1d75dDJEwFTI4vEqigyTF6ISH5vLgW1469aAb4zLG+GwPolPsyn7KLRbgAeFzbH6Kitpr7mGzT
h54Wf1+cUikGAJtxqOjZlrca7u8SISRZZ2Q7GXifCLM6txCeb2XppF+V7Y/HZpbJF/qJRTSN2N+0
/XvLD11QKGzoRxWfx23s3PQWDH0va/37lI3WeW3P32lG8YQsdf48S5XvvYy+m+lUwWtLie9LrC2h
d27ldF+GgtpfxzCF50wLJz0npIb2Enfa29MKqq88iAJv+JSBcWai0fVEaOo60iYHRUAhQl6foCQU
7slKwJTNv+lUlfK2cclaIBrB6xSOUi9OraZb1APmTlEpzQGboHeS7LIoJdm+6y1h0on4NukLz6c8
1LblHu9MJhem2xYdmTCR55SlJM2jQUzyyHztHOamIkd9aRJBZN9jbnF97bnrvq0Ju3rSABcxB/MR
shLp/viU9CdcFzPook1SilipvutOhQCRu/YczlWtLqgU2/u8ZvLpDmYA5OcSWSo4VQr6dS6bqM9P
XYPOEvN9WzniM2l4tNenXgI6v/Wl5WUeoTeVx3V1d5ZRSDYcIzC4kXnk+3yrPPin9oM+NSH6UyvC
VNNyXxqq3bte/MM9VSiaU52iPSXxuPri5C44VS46QudvDSUvboZTM0P2fCI8Nra+RtG6CTM4JPf4
hqXUe203zmujJStFcap+JDa36UHbOeGYeJbscTkG0BQxpyL5lKf+iHvqkqynXsnvtABSCGNzTpln
KGFx9d55Jc3qit3dHoTlK3QuCs/LEH9MCD6wNs3h3Muae3NcJZGO9CUrU9gmc7rPyXZS3xMfDZuU
XUzJ7zOtkFmVE2fXbtrkN3qqzsjTlPtpXL6OqfzCHvWiV/7Nkg0XqrKuOTNdVan8lAm5Hiu/apz+
PqD/tfNTkozO7J2Zs9HclyPek2OL+46RZn27PseJ81GoIQefzlkzme/5pP0D8Zg8zCyvehom4T53
BtQTvqdpZ9NFOaKHLFEecMlIUz1Kp6KiGbhh3xYfwDku5Wx6gIKqbfv66i0BQdeEAJP94A3WF3o8
Hcn34Yy80G3rLpexZUJJKo99W7+kfnqdpdN1oPP3xLSvvEARe+YVd5x39oSPD2O8PIDEv/RddKJZ
jreU/aKpG6/KZk7vejs4xKv8Vts8kLqg6dl1O+8Tu/SWQvEFe/6ch4nJZ+0JlzuAYFVbl1cGFJrF
EB+Fm7/UnIWHRD5a0P76wH7SjclhG+Qt0gE54HQYz2Nbv0oQ9jvSt4xBIeA7k2DKlm9ZRWea584e
jnaw7KCcwd1urP7DH3zr3DS8lrMR00+wvEhRBkEb0or+bCCWnDWd8VXOjObjXq93orcRpxFm5X5I
EBPTYP06uuX6gO+MeIwzGkrB00MQrnltUCgvJEcYNrFdL/eCJyNCQCePSqyk3gFFPDs6N89MqjvH
ahyKGAmvzpqzYQYGpmR6x0GhPMAKCF7SWvTnPcNMolxaPxJFHd/0nfU5GWVymHwSxytliX6oNpqq
ZLqHBdeHyvZCONxV8fdOVJwqM3/aZebk35TtZOxN1vs6mtJ6RvRhtzJ2zXQYk/iqlC6cpC2wO5vF
O8PlOXnOX42szw5+kKTfeCc9AmV5j7SREuzLfxjKmCJegQP9cniXTDMKx1yWaMIMPKctQp+BmQQE
urXNGNwleKOa0WJ+TqQ5RVOfM9xOUXcarfeEoF0IZPjKmapLo7fsqLXcxxhG1Xlljm9DmwIJr6l8
8TgvrbsR/t2ekzfKzMh5uDvYMEbCKRXDzRjDuyv7wkc37s+zFrp93tsPJHPPcpslHLuAFipJ26gU
Cfx7dnGAKuaz1onzA3f4Bi+1YNh77RWUhRsjG78WZfZpOpzdEjATAA+SR7Non+x02VcThX+7o7Yf
enzPemeOA9rlYF+wdHhHm2HAxCcKOELivZ36IqyC9sVXxlHy9uAnwMBkr8iyL+YHKs7x3WxppG6k
Vs60MbnNkfGLYHU/q9w+H7KYHyK8Ds+ToT77phx/JFZ5rFShHgmH0kBAcWFTpt48sv/nXtms38ll
u1EvVbqvtkSHcl3AainmDzPV6nMeU+/TnL+zJSoXxJfx2pFFtbdkFpyZlt3dJmlq3Qxks8/gaTBs
nUwwSzRaORHY2TuSTvo6dzOF4YnSzUou/dEwP8fAr/B85HJu1u0VpaC3uR5pCg1rEObaqK4n9kph
3WTAEqSiYadZTRBbUJq8V8cobkSfrPdFA0RvCLKLTmcobkyy23dgnSPewgo1ZrgBBHbGEkMkPBCP
6BG38QqGx3e7h2ZMGDpg+M2eyMs+8dI8XAAGAn0aHhHDzzk5uF9KQramo85S4nE79lQhWza6D9VF
vbjfJm19Z8jAJQs0o5V9IopOwkqZbx1IdKgmPYDtCQ3aJzuaXeYOxgiD2329cFqeX4x5oJI6gWt0
cmBu0KuY3BSMl9UCM9dfY/+8mIdbZzBK5lMJssvtvhinI+G8I7r7KyBVZxekxfh97Fxr722YwbUc
X/8/e+eVJLmxLukVgQYE9GsCmUhdWnS9wEoRWosAsK67g9nYfGieO9OkHeMx3sexMeMD2eyqzKoE
AhG/u3/uAJa5s/v0m9/V1eUCTYVxrhMys05vU9TAiGyaTLblLt1FXl7V367or+AedghUp1QVzwzQ
KNCc69HLVsKvDHmiOvErEKGvAmFjhzcW/zE+p6nTeT843HZlbifHWrhvUWtOQZ+F51khCd5q4zfa
HvRXWpm4h7FMKhCtN4VJsCTv1kKoQduYCzs8LQ0BGiwNz/3091AxvsJieZ2WZhviNHwSAGdju9nG
rU1dAM653VJMOaf0jMtfIy0amUOQlvFBX0zrZqqn8DQtDBRo4oBdQDvVZmxU0E+1bm4bMVxqy4hO
VkTeBo86UibmGViS3T6zqF2AwPJcRCZKXhXX0J0YIVqG8pLT6AUsJGZwtlqM+dWLwGxU18sle1ih
Lu61zeF4t4yVNhXD4K1R2r0fWh1ujXloMQ/b1rngOLQfFKU6zx0u8rHBmoR+NeDiUEJP64k1gcfQ
A3IAxAhQ3I5qvI56ObwcCmFi/QrlQbM77UT1BJcjybPXucfFnuSkcM3M2BqDDIiIFl4khcCa3s0b
yHjXIrFbz5hsxwPgZ68RluFubmL+c+UDGVGVeDiNsp3CfmhvL9Uz126xmxfFuq5k6tt41NITCx5p
ViN9XXDwgZIn2U1ZVs82WrF5xpfduqmePFWdq+2YxvVtkrR4z5XEV3NDfZ8SiFcwdUK/0YYgEqzU
nG+HYO4hNvMr29ZN9l3my9Wg8gRJqX5hCdZ2tjCwoZu1CdxEDY9FVuW7peXzdBiobassJk6i1Znf
FOveKZzuKM0+L5UOB79b+tare/OONZU4H31hsAxC+jyyJL7Lxz47q2J02dkrMIcj8IN03h6j2uVQ
AojRwwBvfxLl4/nYVFdTY3mvJ5ycNv3thOyXp6gnso9Flk3xCPGg6RN4bqK+gR/fNviDVZswAzd2
q+UwzNZGixTBeMPOI7wuNT+CVahbFfLjk9rGAAscXnRUlU+dh89xoP9jO0EM9Vy1RETI5nrDtD8N
CChSDjBY5itW4fuWB32QhqG2W4HL19EcT5GFpKC07ZuesGOBcFvAIqhfa4TjYEB6eYpJvGyruSB9
p0RqsIyRPFG+9oMgB2ytiCs2jud7djjLd4oTzaNMgzTbpA8XbqSrToTEl4lq7xL8+AdVTqsA20GT
jSOQEF33KSctP/aL9VzOBr3paHwbiWrzbCapBSs+qeAhmr4wzPgH8h2HzozMGDxbWjwd+92c47e6
JHYXN64HGQyGtiq/4xrBx0pxJ0S6+LHQFsSDl1CDtGfDF0gnm1LMw21vLm2w5Eu9x6fBfqtw1p4h
p96h/w/QATpkBRLr2L3Xe6Rc7nBevaFQgAWYmoHRIAKS3fK8L8N5izEj3JeT0d7YuDJAg1Q8+lXt
3Baq2E52D7gIqOp24FZMUlsntU7VSR8POA+apLgbU7MJqgxWYQqL4vdqZJrShqO7a3oBOCyPvph3
0xEz4BqXwnizNO2jseyvFo7NTi9j41MYo/KSFZTA4GKAX+aaxVEmGfpOU9cbak8gH/SWBvUjqQnS
uGKjliF/toodGLWzG4zgJa/ZYeynKQFOoeuebWMe3jmxzmgAK4YDw3zQQ7Rk0k/q1KGTHMtsw66K
6RvDJDfGfj5od7aqkFe0YVdl5r3tdIeJH3c36k4RWHn6w1FCN/FEOIMa5qlttdBOCtHykEtBrZmT
8UHegQf5at9z00z7QXHx4A3ZdL+08b7imMVUqhNXV5IAtHCAbGDbjdxE1RkDDps61hMtooyhcFXw
Fe4Zecd9xZ5wAy2VWEvGiXFbFrX2GK5M+sIgq492tVAUkINxYCqUx+puyeronjgUCRLyIv0qc46r
DyZuwn1UpO5HW04hZ862bomDtUjX7Z4Vq+nOdc00X1eUeWuooe7ZLh/HIhtmOE6+yGWflbXVKVtk
Kb37pFukHE9O2nPmr0s7MvzOUUb8C7VKGK2NOpb5eez8arKNsHtmJmJ33baytOmKLyhpto3GwMCP
FKpeN7W0J3wzS5PU3Jhd2D8NutsJ8CVjEM8dDFudtAAL8hoQ8CXN2/I2KnBjE8eY69PYYgllGjQ7
9hY9f4VTYAQYN9NYuLuKGqrWJ7CVMeoBxMNKm/Ste66Xco79AYxh60NemACNJvlmyFzQmXpfZcxT
aK3CuDH29blKrYSjKz/YdurMhEBhpY+Khwc8ojEqbWAcjDo0nYnvSlCncOfMp86ZSLfSN801HETW
B+5qZj1PYyzSJz1slObo4qbYKxmzGXsZNNKuZT3kfs/zMj0g0DHtY2eePqrWaH42PY5YLzOYhFEr
ybGa4FziGltWyHprlRqKyzzCLtYicNN06XEjTjPjNGFRZrCRekw5JOItsRWNGcBKgSOziOjQI1+r
ZVnfkKXOH0dLRGlgVllZ7V1GLfDJUM6sA2n2xE9Tml2cTAvADIXWMRvHnohnZ2bWdoTI2gJgMYEj
I5XV6lYHnJOgPs3bqoFRx7NsOSHrepbV7dXBOdrVoO7baSStjEARnUmuzW9pxBg3aGN1PnaJwdiD
K3oITKf5dMz0UC+ZN6XMQirqzSa6s0LdCtS+eBBKiW4W70DD3EW9eI7j5ItYxL5VFbIY4qzOzjFN
6mTTdjzqtDIP7HR8w7pPn7v0Yd+8W1X3Qm/CC6v5g27yQFNgMXu6CS0pVzH0p8XsmYbhKWvOftTX
p+Eb48J7oKFndOedM3zSq/MWz5RdafOx7V3zYLbOqO4JSIHAxS7RHOaqppeSVHLq1A0oDtm66kk2
nVs/mvBSKrMm31Z195M9sAvvx/wVDxlXRTQoCIJcnVmDLWuh+8qiBgJtnGqNPjatu5j0eowTALgd
kWrh7OqKQNEjsSjrtlG4wHyybHN8AOfJ1xSyl7qnsFFLnyBWfhR4Ah5SO+5/H4ko2UfYZ2yAZacg
r7Vx88K4RH7WRmc2XjxRoUPilXtvrYhQ4r0csxybgl5l6t7VlnLx5EJdot/3+vRiuAskmniE/ki9
yrScV1tbAmcxm8Rxdmcl3TcI4dKfgH/1eLoX6mNspdyy5z12C+vwhv2kHp+LrBh6Px8Z/e5QYa0e
lGcSvYsqDjHlY3vAAdxERXRRYk0F+WTNnEvb0R3snRGq6leaYY0mjaJp8VNP8vcwsLYqZw1+HkZE
nmlZ8M+1sP/3K7N0gTv/75Sw+6r8+l//VSbvvwpga4Lg59f9twQGBMRGI7YdYf6UqzBF/0sCs6zf
8MsiFPzSmPDfEpj9GxElAcjDJooAYnNVzv6P01b/jf+3unBJLNg4P7V/4rTFz7uau3/xsuuOyQzO
shwiMPxDncKfJTCnJ2616CLz+0Z+5TWUpiUCWiwTHbTxaE8a0jkHub211CcSGTpDEc3BuUCEsNRc
7UdmFuOZrkr6I3Me+kx+4vEAkNg8qm3HcjQ1XzhohrW7kZV/KgLQhDe5nOITBKUimMPh3Vyia4Sg
39vPNSB1yOq3rKWHqkgDV8HHg4+rkYgok/y9090X4ACAOkPxAuzzbNbxJ1ObwVG28aLfGlW9J6t8
p8PXbDkiOQOzheWqSfGaOMmW+y5oMue4OPVnP+tHGLuXuOG0ydagqrtbMU1r0RaASg9T72YB/oNS
cEQ08FvjA+k8SBkEgDciNxaD9a+7IF1KaAG004HXT0RbQyWx3He8ISNWFoWnSExLRPMpouU57Vob
4L14VYSpHZp+eVnUIt8lbTMH9RiMVeVHYzT6sALbA7z3LBhJU6qdfZ7i9mgOYIQa/bZIYIUXuXhg
OVE3lj1jN0k9HZKFFfEW5AU4MK6pcUtZk2kMO8wEByac/gDGt7aeZqhjzAxH5YwHzSfyEfTDHkqY
V9J2pY/hD8rfOAuSwapHPKHD+FRIml9IflPIDdyOCjXXk/My3inNIZfUGqxPH6tpeOK60aEsuQSy
Z900f5SJRZfUot0B8GOfrhL0rYcZd6l5nmlgYo6hpbhVYvmZSPM9FgUIj8h811Rr9ieTbRPMASug
lcHc9D0YB6fP5a5mU3w/V8m9Fe1M65CWcjVPVceImvBiExdWe671Qt67hJQJ3IfiVrBbeIkgO+/d
ucJlpMw714omYMnMM5EdYFbkU/gD9twptHL6x0Ccn8zOeKpV+Ur7g7wCz0wAndnZUS1hWZCBe8T8
AV+Tvw0whSayRc12w5RtEQNvmKPsW4dqx24+IxITmEcX3bgVxLYMFCXzkvSQJWO3NWrtbenL34lf
lMe+1PKNmLMnU2muVZhgg0VS4ZnA4/oRxB4JnelZ2jxmTa0rOBE5DHkknDJcMTuh1MYlmm3GJAUD
3/TSO4mHR2OjSrP1NGCMzshZtMF5gXU8YGfkA1Pfd/KslOwUdQlLpuj6WyvLvisJENPByGcMyuxT
QnKd04Rg2BSoyriz9U9MaORpQ0bO3UUXVRe0MuI6lD/jPQ/m7LzTkd3eIzojD34vcvzRzkLZ6HFy
qLsm6Bx93HQm/v1BXXvQqAx/JtsdfRFStUCw4y6rTPaNEWEkYBZkoHL6idJhX3CZVo/uKDfCnL5M
Jl2h6Jjuv/LQfgAayJvy8hXkiTnthS/YzCnI5WJp+o1mgwXGigKPuzV2GRfAaIaP9jhBiMbFw4Ez
rN0L7RCUO8G9RxzZivGwuAYXOoHu0rQ4Yhofi5M9SMCzGKA4JXKCsYoAOsFGNe8a1ZHBUlHoIlRR
b4C6UNMy2Jd5JQSm/ZBBPCjqnTV0cm/UVnFfLNYbC6ln4UkLwzcE812cgazItUMYfvbDCNG375i2
pHj76Gzq650xRbulw3jVLEes2XudYDOVtplfgrOQ4Y0mX9N214+jtlPz+tylXFHMrr9oSvFDeUSJ
PffJqK7++k2cpbztD4rArrihgqFdUWcr1icM1HTYUXPGqEI9dloTuBXtT2LZJtFNPho+Jtm7xEaA
yip5xPtBLYhYHqqxuZTTe2Nn52Ier5pbvU65uIuL5cj51u/S7FSylfLCtBiAvEDQtRkOxCK5x2i2
1oQq3R4yj+2regZ0X+a7rLAeY7aVfqlhb7SbG6cuHzjlHelE9xuTJl/OJiNwFaRQNodi2GY5xEE7
fg7lbHnI7t8Jm/geQAZkYutJIDNRaOxlTFYvLo4Er2QkyhgBUIg5YNHCHwGuxZbpPrbzu76wbhkV
BE3XPxGTTG/AV5/xSAat8eIQEteU7j2aZABJ8ArI6TGqtCPNyQoEi+nRVljLrLG7V3FHbVxt/Bg6
hiSR+zuT41ORLVfKy+7NkH1nOCNlu72tBaly1NZ3kANATIcc/GUrgjQn7cUXf6t9fJWaGaFU0yU3
ZXQvx+h+YEA2FAL7UA8fR1NirizmpgioKTmZzJ13FunduekvUOluiWbMvs0NsROl8VIm9Epa1ZOj
adXWMRyyIeoRVsOd2SeBPrwkrKL0MXTOAZjK7TwPh1ZSFYE1a5y+kQyTTeFgjE/Sc184rAE4G/Cu
HZGKj1bM3Yil6+So2k2SSiYLjOgTXeqngURb7cR3QzczLl1qD1LYd9ktAO8b81IqtbnXZvMRZu8N
RKIbV1EY6VSpz0mKYmxVHhObWZXrhlBkCq8W9alvwmeYujtttg8Vw+ZmsXdhadKNbO9nKq62Tjh2
p1hldVbqZDo7mtlvrd541cPavHPangyMS5jVpSCkX3bUmWzRuR9hZ96nzAiuYsb5H4nBq/I0UNXp
Q0TdM4fC2znM3ti8Qz/5dpmeqGyY/GiYL6JbTaRJfVUZ+2zAglTe3OI7ngHr7PnBAIO3bsLfiL87
tM3cXtqrKBo7wJV9JEFHaZDUD1Geu8+DIw4cCh4J1iHSVXV6IaUHrn89O6NjqTk8s/aZBD2mOxpE
Sl1crNjcSQidGzGkemCUjX2CCHWoqxYjZz28NHR0ccWsVsC4sN172oUuTaSau6bmlzhlDhP5JKNM
yuYRUhmf3C3rSTG/mkV/xftqHUKbj7HIc193GCRhJndfaOZ977AYllJBZVXId+T6A7rVRaUX9Z1a
I+diKjGUtqIIJp3ZDHKbF2IJZymIdhZJA3o2BhUfuVNAinYUz6603wdGL0WuUo/VtoC2Zv2kLNkD
sB9Pn5GDBGT0voByOeX2vOmdYRSUWRK8HR7JgVxaGdptuYv6cbiqfZSe6KLAY0T890wXngPqN2f4
rSnYgMif2Qz6Nf2YTE+RjR8HP/J7ogwppp5Q+ip59x1EoPQEogjJ14ILwGBJ54Lhfyjp2j9AySvf
snWCypxxSZG887IGwG4U8RU/nU0/HUiZvurQLfMnuSjykfFh86DiAt1lYorvumZ0z87otq/GzJf9
/MuVM1DfR0PRkakTphN3cM/kS9f0CqLID06clAphAd3+DEmtErduRdspTNj8Eu31+C3mgRq1aFDr
yzoD75GCMr5Jun5lW/QHTBM6s4L2m0YJLBo/vxsTt+mxIRc3bDQtsS+0sjYeq8idm6le0hTHaCHZ
FNn1FcbKvp9u25DZUQw6a6mIZimpftJ1zPoTLNejjsPBx17P6pbULt+wvW2VglG2+6xIqhaKIaWr
vVXbAEoTDu6lelNFtVWo6S4rJj1MUQLpVPf05BzwSau+ypxsBwWUidzQPihWduMo9ZHcItaD9VHv
NpqPlf0KgnC3GAg4prmbqKP1Fjf70cn6XjEQZKpQkyc6HTm3Lw32PYpECIKIh8XQ73Id9LStTA+p
ml7tuL5Zx615x/AsiybfHcrwZE5A/BLVBYcdltanWtjDnjPbGzqG7UMHc0+iJw/WlDHGBCv8po3D
BasxXWzNnbdmVCDrCkFrBxvNoBjj6qBq6XJB5iweQiR6rqSCB1JGu8fKChlCS7KjivoLNIEBAX0m
+VC3e+CQ9IdODdQ0sCocAtgZ2NgaXAjxIBYyf6ExJRBrN3sUHue+hJeCRWI7NWbvm8kozpOqmH7F
HN0jJeilDnRH4wPknelN9lpRP+ARXOLiq41selv0LrxiN3PvyFgsV6cZQPi5IZ+Eqe+ztb6r0xDf
YGR73IDw580w9lRpuNfcNOmEq0gysDrKm9oqU08WSeKVkctMUxMFRFuIXeduEhfo5wb2xDm91UbN
3imhlu/+uGWbmcLJgmcOoZSe3j8nh1fV82cWN3mklszehoHbQ6/X+x3y9ha61vTCPIh9dx7SvC6s
DpcSDZM7I10NXxFgA/hR65fnFjvPznQuYoFqvKWBLYcTbbrO1RhbGhSKWX7/XCGytduug2JzyBbJ
q3WruwhlljeDpLAlDJ4NPFSSCVLW2qWJNTF+kdrE2iLRQBxFcpMvyrLv2g6Ij5yNJ+DWePizEuiX
PRnGk52K+sgEZ9qXY67yuzVrb9T5jrpZNMe+iuN7Cfbbd5a6eehsO8QhwFYbrXBtvoIRGL8YneSG
jpomfuE6bV8lkK8i+GMpy+TqwexYraJMByumLuxEqA/FurIaMSN74Lfyx1tkklFvmVC0r1lFVVDq
thC4qInZZzPxsj9cNGq+MDDvBL0TXod+8TTYvVL7RTI471XKGtbFmvGkJqyzwOkEnjtZFLSB/bEY
1h1WvcZmLBy5ORSvGCXWYbB3Bx+C90J32qNjrf8GSBs81LqKgj7jD/OR75dJCkno4Fu/SmXu5lUN
Ig6rdQpMrLJHmgKznp8TNOZjZvV8RV10OG99jlItlzyfTflQ0u/AdrxSf4yOWwU4NJXGF5Opb2OA
USongjQkWVnw92VT0NrNUwzpaSxpS9i1C88J2xay3newwk48p1swcIMuzuyFjYC2C4jnsqpBPuOu
34ncdW6tWONhjBlP2U7kTWMv5fd00qXbkXkYlOVSh8vyYCZ9woQCy76P2t0Bo8a0sbGjpvIKulXf
Foz/x3nUlS2puuFIceK0RQobi00dZvYdaLp23IyZm7+a9crelJysCLSplXy1VKk82zGhlJaaRNb1
CmHlkC+2fWipLbkZUrVapV29/wEMrjZQmfrpKLAo2dzSacmMdLGHe1ca8RwUUrEeG6a8PkpP72s9
wg1NjLr7beuz/ND6GT4sc02PeOAPBhrLbTKOEugyZwIv56N5aZYRyzXo+nsZCzX1liWOMaOn0SGM
EBw3bqLqp77QnEsNDjLZMs3VzK2jD+HGBp14EJldK3twvQCtDdEyQ26Ecih73J/EsVoTK82QP4+0
onjCjIeL1tXOMYqjMKCwuu59A42iYZ+ncKLX1uePilqn5QM9iYzvn7S0dj+WNGL/TdLNpW10JQj2
IPkwI4xNLHYkQ7ujJlt5w00/PSCO1M+jOlAciB+W8dfEXCmN0qj0BfKMR5sJTKe5VI5YtpEnyV1G
18VclmPF5Om4TKpzyzU3X+aJyncA/Q6Y1ZkKGE6+KgyzFNXlGCWJ+jzgcJB0EsGHLSctNpDw2/DO
GIjgRuPI1ApFgBxUsToNjNltvixjouJizKB1DzpFpbXQ0osG2JHW47YoSVUz86BEetaVJ/4z+nQx
BL+SCGk7Xye69+VYPzv2bNN5yWioe+TytC6NXRELQ1wKapL3d7i+KX5jVv8wOO4sNoNK2YUuY3Bp
onSelXh0v9bhJLPBRrfoHcm1ONlV+AU8nCXxR5m2HDfIVDcGaPG8fqz1pGiPutkol8EBrIhY2nUf
Ie2N5xmWtzcyUNjSSFx9jDqf5DLL5AKcQzq7JloavIlGyOmB1czTl1YcNN2wd8tkuTuns6rLrEv7
m8oXw5tcjs7uXPIZlJKS6hSp0zMAFt2HpkHnyBS5N5LYL2umkR51w+EI6aBjWgWW1lVXpm5ASlu9
bawIiNJYuiiRA0FJQ1r5CgnZCIsvpqr5bOYRbqRsOnNxWXs3C3vCLb2LjFOBKF0yqzqTD4KMa6Uh
8SudjRBebE9ztORU0UHqmaqm3IY5J6KlduSp09iCq/gp76AfUSKkSudAuZSZuhigJVFRxPn8Ulg2
gc0lUjKfVV7ZDk5uHxNmUHs0sQ+IbNFdjTtkM2ljcZAFLvo+nuw7iToMnEw1UCl0sXq/iCXRcSCx
+GBWyc2y25lFOD0soPk5j4fTCa5P8dRphkA1VId7KaGbDQXrNQdVQoWVGzIhiAgNh70znqERzFTi
Rh9Y97NbNRHgcs2Qjci46DlFhwYHgU4ojheGQATou+bDattI9WMW0E2/MEXoIUDyhBIIS5lU9vmC
6KKqNBs1QnY3iE2Fv9jl8tWg1O81N5JH0zTEzrGQojp4xpek07rfRSQpvaHJouIGqeVLg/azCnwH
q8aVXYh16EmBVPTuGBG/zok1qw1V98YMyZlsQmT/Q07e7qTGSb9nQcAfB9BKP41kPepAWCzVp4rT
6Vve2fnqSrGTWzp1izroOyX+SDM8q4ZIyR2U8chzWK8Z8BiKaScUQubj90I9yY1JoqWk6j7Nfl6J
xnRkLdH3ZFjBtQmynqXmAEC09dr1tTxyHxVHBS7ausQkSqdwSIr1rnPIBgMeeJmX5nMHEuubY6Kg
bXKkZYv2lGo7wec85oLAueemozHBY9YEkzJRq9+DG3M0ZnWeq13PaqvjvXSmN2KK2Tt+uZFFruAX
1M48z1CSlfFBq6oJK4opVpu78oT3hsYVIuj3BplhpkqFxXwnm9LwOvZhc5VxGG1FO46BmjXAmRIR
dvlWuBDkvIbi3Lc5HuWPCEPMA2FWRvXchw/IdTz+SAHrz7E5VxnfT6XHq81HBm7Ql9mBhDZoYrcZ
zpQwO9sJrEELS5N3wNwm0deal95hwzlXb2FmZoSWVSu6RFmU3lVWXwNu1jBderNC9YV0FudxpK/v
TS/4ReYZrRpCs+sbN+/ifdnkD11uaqcyxvCPiZQMPbZIovZ6I+BJ5M05tDMXEIU7RVR4mn3zKJm3
wZaLMSdFRP12MZU0gKEovKBaVo2qTUbu8GbS5XSXKirCt5JN0QOSYfYYzv34Nem2CZiS4jZ1U0OH
Tnh4UI3KCpGVrywkvBHI5Ny7YMdZcCMzh1mkVcUIYyGbPmYZ5UzShtLxYOeqB2vJj9ytdbxVXMh0
XmwJJHGKntUvNuItXmFKtuo8oU8ItYkuNXqO+rsI6iX7Fi0Uz2St48s42oqP5z0+ai6dYgm2OHUw
LdLj9VQGJCONHReZdjQysdBmSfAPu6zJia7to1uNk1LCyKDE94r1+SPJhXlgy60Ln1AlFBDFYVZj
2NW0Y3zffgxKH52XNHS+abqCuE4wwLxhYMKzc2wT7crht2WsOTojR7jBQgkoU6bEuBDK5DTRbhEY
+Uwx8RT7lknxgzHXpHDYFZAJNvryPmpVKo5rw2RO3+KHKnAQbKGSK/eVQcReBYYNOzFDSCjxptNr
68Mpf2T9uusV/EOKxQydBuyjRWWtT0LI8UViRV9g1Z9mMfuxlqkXxIbGz6BOXgaj1X9IxIygyA2U
hj60NnFj3ssuPih1s3VBtBx/UtR58CgivsM5sysoiYPlvRq6LlEV3zAEYeZDgRia3rZoM+pQsgyj
ovESV02wqMSWodqvWc9d6sofdWif8NDgn+OOhV9MsQChs3W81RobsNEHN+2oqsWv0NIDE2QmRVcp
MMXFp8PRb6O17KOyu6vZV/OWMmoDqaJPXlrw6m9aLcROOn136SzgsopDb8Em1Ftjj2kRv5Cljerv
rlhtYjpQbduww2dIycuTANNwHJQS27QW28Ndq4/lg0NgGaatqm6yhfayylgel1E72SgaHnIUxzBN
VQnRSOOUjeHrkjgFrkllAtwxgLOtqU3jIJhmF87z7Fupjz5EBb2gbdvmfgxslEmLtO56lZLukT3M
MRll6LuQTPoghtZ6r1Ta8EX4sGKWjk4yxbINKgOzQjYDL+E4qNP4Gc6XGvfdFZIHrhXDGe2HdrSG
E91UCztN3Ip2Ho+7rhGaN7Hn9KxKVY6E2/OASCHtcMZifSjaQMufXeUwaDBSuLmaHtvYYJ/dqS77
38x60Q3I1TNejENextbOmEUIYbDpizusU9rVqJUBZ01dbwvpOvt5tvonJaRZZlB0Sg+nor9QPufe
TKLPGMlk8aNNRuJbnbDZUD4qO4qRNXWL3y89mtSknOHIEt1lsjcFeZyS8NNKcjhksTbdPFPkF4PW
IHGE5IQriyYnVIldREfRLYY1xoIQ0LZaEmW3YyXDz0nvlVv0Mh18rnDv0rbXbzP0UYQTvd5DrLS2
i7WORaw+O4aJQRxDSwOwHOCMJhl/p1Hr3MBTmikI7LiQ8lqh9D4Z9ffG4Tc36XV4qDDheQW5gIdo
tpQNNwFvqOpbeBlzfXFqTITxYpNxZj2jWPvnEMoY1picZfhhiPBXqW57kyO6ce8vUiBaGPPiQSRa
Kh9WQu2lJaXaNOyW2gHDDz50LcrOdtZELCirGBAKqLbLavuriuUjxRB1wOuNLMFsa59OjXJK9Dne
CqtUt2TL5WleInlA/uy8n7tXIl/Lvofv8kbKqGIZa8v7BdcMHrV52jZq2j7iO23o0o4CjujpKSbD
iB7l6gHyzcC1C76U/eeobReFUIiksQZHpCcM1zradV3cKczddlE72U9zuzioCjRhlSQqzlOBj2p1
r6u7kSfhQRT4mmg806OXaU6dB0vBrrQxh6TaVbadUhUaJ9c0N6TElyXFATp79S+m4v+PZyef/a/2
Ekwkf8t927zHf/aj/PEF/zKj6PZvuslK51Kn7UDAdf6vGQXqm2lbhkkQ2xbsOsUv1DfnNxN6HKcI
gDa6bRDQ/cWM4vwGBpEjmq7qLpYPGJ3/oMjmL8BPCkRRQCzNMnSy4oa5Vvf8GsYe8nxyY2uC3k94
16NJ2XmaeqRpWgnjh1+8Ord/2Fv+Bkb4x0u5oDBtjWsaxOifX0oP7SRj7yA5sa0nCj0xfADr2vGf
v4qwtZ8/jKD55i/oVwi6TStWn0gas0i0elWfdXUZb/7+Vf6K8v35wwgi1ytekZgqjqA//d6ETMc2
ZWu96UezXZePGZ3XHq7mEJlBPCn00EUTHgoHYVoSRKGwahiig5mCuMvm/wi8/XcfI/hiQ/ApCo4G
K9vvl0x9smbkeeZLgHXo6x1ni9Ok2iUxB/Sr//Cj/7vXYkspuHCgShrmX8iVhlHkqQ0WbEPo+HHI
QGxUFQmMMNtbibk3q/ZtSOQbBtRDYoQPpTm8ThVFx0q9bfrs0BBT3PyHd/QXO9X6YVj4uuAecIyw
TIO75def3qJbA9drtPbmta7+XZTdlB3pah8olqEXuvNl05TZLkuWQtxrk0g+W0yQFcZXQxPbv38z
f0Fu/nwvq4EMrC11U+pfP4lGo/V7Xi+MuLcomuUjOwNpHf7DvfRvPgPr11f5y09M3xFSY0oJpuGI
djNZq4upXQDfxGnu/09+INgDBt5ejHZ/+biRAZOwzLmhhiWKd8Kl46AWpJX+B6/iqILNPBImIMw/
f4RuNNY5Yz4uKpr53mS1dFfQNdb937/K+l1+8d39/HDW1RYEp20aLLx/fhVFt6N6LAgHZAlbGNiJ
MdAeNgrbyIj6s1on2Vlg2TrqYzo+/fOXdgQXhK3BUzSMv/yAzAhKTRZMLXXwgxcOWfJ9ijTlYOaJ
eVsolA0XtmX9b/bOZEluJLuivyLTHmWYHMNCm5hyHphz5gaWJJOYJ3cHHMDf6Fv0YzrIUrXIZDVp
rbWszWrRVSQiEA7H8/fuPfc6sBmL/vrKP69ICK8hzwbZDj60kA9bFdzNAOQ+OvQi8vsLBpDtMZnd
6vjXV/n51tLCW386G4EBpNMPtzaz+zGwu5okBre7sQPsfn50t8KOCCCBjpfq49CXf4Jn/yne9gPX
mZ8ToYQLZzvwCEGg3fzjzzlm9G57Ahw3cTLlzPCdgdNN3KHvOu4cjyRVkPJdtsN6iSNyxCpHMkkZ
xMXDr7/6Ciz5cVVFDi80EQrBCyH4qOYU0idQteRjACdwMKIn9HCRzO2r1KTACWX/pxr4n37t9Vb+
fD18M5zEIbaKdXP4brOfnSXxCZ+i2DdZtnWnunis0jQ5zEIWK70ONWbsxb/5fX/ecSJHwLhizu6z
ij7ilyGDFwSJoLBK/JJAT7u1SBcmhLwr5uE3O87f3U/hca0QaSzVyYcdxzPDEiUo+TaYEgm8izKf
SpvhrL3HMdPUBwa2TvCbr/fTQ0J9RqoArzOP69LJ/fGeWlMGqFnAEhOYtPGCRT0GMuJof71SPv5y
vDD5xfjNuIMwcKIP23bkVk5td2m4GZLEvpnikey/dDiZmRwhUWynm7Gdf1MPxd7HX269aEwNSZfc
Dtn4PtxOXHj1DPeGUBaOjdVpHo3SUVs5smG8oSNrzaXWOSoF9BPdtJLAqj450WAD47simWvSWAtk
bTfx7Jf2LkUp0R4XEHX0bZVpZqfTXI8WjhjRNM8RrEOQgTG0T+t4SsPenLUu/iDmO0NoXpgKjS7y
MHqfy/UczgGjmRambf9GONmMQbd3FZrAuIV3T4fHy5zTMtUelDTOaJ53RWSbag4KyBVWGhptvXs2
+nHTX7jhYIKLjIFLh7kMJxOzDMYUyJ/wLx23gxd8o92GGEY7RAvvC+1a7jZIe25KU5AEhGLNNZoI
E6ufnztYBFw4zn29jwU9hHO/kUN6642Kpl5czZy93KGn7ZpFGfYZUn4ysAdlal5FDF0QvQuzuk1J
uMBznU/TgEQn8+d9FA59s+8rRkx7gnjDYFdHadLQPFq6BewLmxlyXqIymLnRgMISnffe8VLK5UFI
LFNH9NKxVQ8MuD/HkBbSDUbQ/qodAm6QZJB7rpd8xQOQ+JTiWbKG6CxmnPey5CK04eNExkc1QKT1
jQviV3+mCFKEPWE3y8yN0yJjwUc10wZhdEau3/zc+HWQZYc4L5PuG5MEDMOTNw2XxowCqWcz98+j
7MBEgAmrXwwgl69lxuR1k0FndfClmIwuqDTDFwOYAW93vxAmnjpL6p8tIQ7pDYdUcTmJSKEk9aDy
AhRZU1/SjoN5liRA62J8HYem8NKIWscwxek6B1fQFMkw3daNFXxDvu43m2xwQtiStTW82pOMb31C
fCrGxX6S7zJRiwwSss/+CB+ZOB4Et8unyLVRu4dNhnMphpj/JZ+UjyGnT8JhV3cyeSl67S2n1Woh
40Z6mHtwiTm7ZCRn3HCcua2IyeD3qn3vsWMRppthBkO0AcmTPvRJotvtZA/lA/NC8EYLw36BVJ1Z
9DldKnNp12zZG+Cu4ZHAlWxvUqKP7lGTjdVWh1Z2Cawh9jcQl11CMwucCXtGwpLypbSyds/UYqlQ
sOG3QSzrIFOEeHQX4ayfNznIDuTCtVwwBYftWzsqTG28UDFaTz4qZ1rfwnswXYle04Otf8IIE/pJ
65A2sy3iJb7oeonlM+hY1BvsNg27lp2Hp8vYzSWuznFAlYg4Z+D9GkIMIGMbbFyMrUzCR2K4etw6
EftJ17WiASSYO/PGr5BKRZYHemvIPNzIjW93WMgIHXSZqcz+BRGnHTEdOTlUsMb7FjVELYipDi0W
m2f18VNkyYoAITxDeDyV58g9IHJGMkNjr8BJ4krvFeGbZDMqYaMIZ3+QOw7b2POQoOMkZExdApiO
cgNFo4mMOeQB1gji7g1DeSLTSX8HV1q3F441TA8ZIrqr2inRu3Gsk8gYQg/zbLvUzJcQ9QFr7CKG
jdt5WMzXFKs284QEBanhY2WnXdGph5rF4xxZCvMh49NxMfvBLRgUtmZo9mFVim8MMQZk5FG0qmL8
XpOZGTsELkUBQXMI3zqWeAA12Nk6cLQhF8aIgz6hyYcJ5ihnLIgOcemD9mEWpJusCUa9n80AFzIL
NdOxwJMQISZvEK+tmPIMjAQJtARz+9NDP7Y2P647upom+DheVLGxkgPgUrSyHczwB13W1qOrm9Js
CD2s0t20DPnI2o4VMYVFjQNDjRkG/RCg7bWbjD5M2sGG6ZgH1Yul6+Z8TtBRbHtrXHXrGRlD2xai
9p2BJPlmRhVdGFWDPpi5J7saF6fP+yils6lyrLkjVfKEWRX4ZTREiwO27F3yEpaAydSo5RN3IxWb
MA9YCZWxo27XFh3d1MbGG7klX3eAXotiKt42Pu8Kuo20/ffRPI/0q90GEtE8F5W9saxEpMfxCgtX
PIHqaGVDQ4YodH3pv5PFgzBGFttZUtxkwao1Yx6B3gfkVyeP+sWas2M7sXF59iu2PBC9Vx2Gd5o5
MDbUP2qFnA9QIRTOC+RvBOy9p7TpiLA7J5SoUxpoTKibHLi/u5Rd9M6pWa0HEc8ZSnt8+F8LT6Bh
b1f+egngE4LCO5Z9sCvgAfQcuEUKnQgvdTTMSKBatEYu4F8MDp6AvxDg6wu25cp/d9yifHPeofDt
OyB+wFXnrGq/+cZ/R8gbL8QyzrRxIAE8WJrrfOXNs+QZBCN0wVbXA5xJUNcu8tF9B9VP79D6+U+A
/TvMPrXh2mfFLN6mkHE5XDNN8CdDlsyhf0vr+myEpy72upP0OnXi+tXpEM8e7L0VqO/KgMSy4p2z
v7wz99t3/v68ovjZi2oI7pDQBrKUgfWn2va+0DJAdB9Rj5e4F5jC4piJvUtqB3j/0lX252kNAWDZ
h2KfCKP6Yxph7MKMOuZ2dXsqcsLHgrXhkm9+I98TBvAt4lZ06SXc4bcM32gDLd8IuOQJWlLkVkfS
nTVPHc79dMcHUp/890SDQIQutJs2IOlAA1R76xKU0gc0CTVo/SXFa14C2EfjIUhLSCuCE9CrJBWG
cYYjBAX6CgGSMwX3ugZMsBl6b+o3NZ8YDYeNcyZlFk6U3xrVME4dnBdefdGlIQDJYbSy8jmFAtUZ
vEM73/mdHC2mL9471bN8J3x277RP75386bxTQP13Iuj4Tgct/ZUUGiTZxMtoBYgqRkTx/l17m78T
Rt132mg0rOTR/J1COrwTSed3OmmHoGfZKNu494H0wI10K8rUxQwC5LtPuV1+V9YPS4O5YNONTZ7S
VbethO2AxM89U7S6u2KGAM4kZa5mdp6tyv6Vv6ue9rH0g3wn7AnTuG+nTn2QEqEBFKiq+TxZkBq3
ofKEdWq3g3F2g231LuPfUTn6cUEed0Il1qgjE2TDa2/wd81D52WUVX61yjdwWV0QwtaYI0QuYXrW
C8Cu+5lUzODUpqH0FRysn22lv9jPcRYayLeMx7cjubb2thAOXO6FnxolZwQrXU11SmQ4yqmzoW2C
b/iU/PLYAUqEA6wGP0k1qTjQAX5ZntrO884n2AzXCNl6RmfdJHERFKISOxBx8apULbu9XTOp3jVe
naEa5GO/ZK2K3TOd6fwMYYA8y6ea7TusIsxIvJMdakbkH1cc2vEKYI8/Nk0Wg07xGvc+l2kJn12G
+VPhd4bxOxsYnZLR/rIoBZo9tcboFdMwwnp+BO8hAjsgd0pPiMsC22VW7+C5+4RKjKhhxc9/Foxp
dqcaKmbgIIs8I8chKzZWt6j9ghaHYX8u6mnjN5Z0EbFiIBmLMr3NxyB8S7Slb7KxCj8tS+LcYoSG
1GsM8I8gZw7DwFGHT0mdeqfN6Oi3omprchMNOlOCIazlErweRGNXCsZprd9kd30Wjw9ZUjQvubs4
+pAAPAcmTMhqwDaSBqRku/nLME/+YzhZI6Q12yzuUeAqaz6a46i9nSEoRegJuv46gbJdMhxLIe1G
QMpRuXY4I3lnD2cgzMSLKfP4ja5T++oGfSQAuo1AMFRiEX2LU0adEL9amtOpZoA/stE1RGJ12YtI
JgXZq8avs1BgoLKsYWTMwprv/MgGKVYWM6yxvFsz47TRGtIyJUd6aVwbEQMSeVTZWW+DdtJjx7+l
oYBUwkb+S9BCjRI+9uV0CTBMInn2XY4yfhNzHqEaCz+pfAZ8SecWA3RaDmPHmdUB8lwEoZ732Avg
NSbJiHq7LeXqAoxxh/LfWz06AdzemDCC8LUAaA4HTuZvxYgGcMc5u0CwalA44OjMIvxxpsUWhf1W
3ra8ArHqCU99rUkuehwYsIK2wNDLX6F7/4jjD04xi2b3jUbOUW/rAQraaqLEaGcVMRzrIbXtmzwf
/WXrhUV3lYKM8ncRs/hq5UEVLcAJhm3bKCFQb5Mr5YOrX+R0G+ZOeQMIc3rrlRtdeDVqx32o+/GB
2Kkh2dpZU98MpeReDVWcrnxoN0RbYkXAB4qYlWVbNH1Qj3UzY0hI40fW4M+glcecYseh0iRIxs36
89oOq0fdQxLYGk/Vn51qwcyAUD98ZQBpZ0e+twrYWtl6xMM4qjjKKHPCHfGiDsXhIOqQ2bXo4ed0
k1A7jZCPtp4oHuCxsgnC4e/CYyvLjT6wuhsQN2boTxhmhHg78ng+mqIkwYUHtP6W5OX6lEot9vak
aPFxJTUAOYhirm5n7EThtlPDeJNGkc5xqpRKbDvi6i84t2ZfZCDV46jcjhcCEer2rl5VKRuLUSuv
WatikUPCkTsySKqXOS6Zz+Z5WIDPz+viazU2AXAaEVYFtboMi10GESqHRFKl06ksvIIIhbRtv5DN
iAKuQGyY4lfz+Pp9moxwWOamgCS6VqI2w5iXkscx3+dNMH/mb15evaKSKLGyBVe+sStptkVnrfbo
tgCEFcPxT6+Ir+VIylsTxyJpCJI5NJa4uy7iDIpwppZf2h57JCCumdqtEByAqRUAqR/ECBr8ADJr
DAmm0OGpT7tjPCeMmdl/VpOtwS7uB85xQcocudR+XLxaegq/WiVWzS3q8vJT0NsBp74J8G60SuyO
e9C+41YBLig3gljp07mvIfB6oGjSbYNOMN1aFSm6KGjRpe26bojgteJ3vE9VN53NZkR8HSGDdzAl
9kPBeLpdiD9kRpDPPPa6UNAZraXo0uNJFdFzmCeISYlyffLQKN44Qw8Vg8Y45yTy2bGBIDLIzDbL
0a8a18BszGWlq222NMBumpnSf+PBd6F+LhrvVI7RRPOFyBUwWrEdUIZPErOXUUbBwovHm7lwrZtY
gw3eSKU4dmUAK56C2Z/fhEUyEYcs4z56Gb757eSH1fUw5ELuCddWaAmidBT7ynfat4ZUcYDwPZ0i
jcAvW1Ux41XpOMYB7JJkyw5Nr3WpUW6DffD84cjljIWy0e3RvaS0dJoDjw8eGNUri1w0ChZUBpPl
p0dBvNiEdaskd6FIrBGcueWmjz7IRnu3MIIjzore1XzArBjTWOCd7Ww5SK4VJGpXsUXoQj4A77lg
2oxGuvWRE6j46yyApm6MDok9kcot9qgkcGOTsgIqmr2n3ZHgDJgvC5JXyyvLe5Pwm8iJo9GqCEoJ
iB2JGBfLgZAhA/AsMeQ79HYay5MglT2cYHo5WHaHbDwjbMcULCIfOGdrJa8emeafeKCRz3MYDAgJ
iPBJhqOMn72WEojek6vAVxDl9c1mevfopWulq3MvuQTARiBPhWietzfQFwJMp4HiXxvebgld750f
xPJiljxma3+HY38k7Oahjitk51bbyY2vtJ1yNxvEX1mjl5Mua+vXivrkuvQnuhwZQBTE7onrXUao
pECbOKDADmPXYMPVQTEgUi2LlNwE3sUQp8chbbZuxjypOJg6EG/vrdr/1zd80DfEHr3otSf8zwH0
16/ytfmv//xeFfGPP/VXul1EhJ2IYtsTNil173D5v7jz/h/BOiJH/hCHLkNqZtN/QTdc9w8mCXDg
I5/+rWt7tN3/gm64wR+Mygi+i2JmAZEfhv+SzsHjMt9PTfxgVVMQo8cBK+KMHn0YULmtBubSW8MO
hRyCcWF6YEKF06C7caXbbiqLea0fTKBu+7apsfhq6AKbUEflqz+FBDWgSgKYAY4Nag+BCx0OCDeX
CeJEG9hAVCuLHkVppSdB4g6U/VHbU77MSvvbpirmL7QsNYVEXcln6Q4AgaycmIutEdQJGxCE9pWw
UucsNQrrOueLFVjNrE3vU9Nxei17ksQRs4bqk5e7jH0Trdh9axetOtoqNLX0zG3/MQ7g28BnxOWS
1MET7yZUeqp1kuMikMFX7U7dJ+kk9essNJEuBOQSdwRIh3vA49Ut2xKGxCff6AUjRmsj6s0ja0BR
L0K+mrTpElIG4V+YaWtD8a8rHBWTRAexBWOlwLZaS/46Z52PPShJKJWyjCyxowEGN0V2vcSvkfYo
bd06492LAgUx7SBGiep3hqXHaGk+xu9FrRqllQF9ldTqqWlqeMWDisMT+gHlbYJz9w6nTC53gIFd
Iq389ryDVI9RXeY+8dapCj+3mY6e4EQh4o0xVyEV7/jVZUBmzx5UgT6zycC4SE0ePiwhczUIXm51
pSpkc9u+a8xL6NOb9+sF2eVgD8W16Vsk3nHb3+TjDCptASrhbyGN14SEF6KkqIwx6d9ZQZR95YqC
rBkvh4zaFCY/jMkyRjszVM586DNN8BaczfxzuEz9Wzv1Od0kovK0i3AypuKbvCJLNlPce4z58nJW
W/ZSnLY4cELqw1jQKsP88ICLz+cUUcT6tCR57Zl2TXHWQ81/lUkGqdJNyAI7VG2obwLI1q8c1qfn
rJ2RhzOFGy/zbq4vC066PSONtYwnbB7IqF5WA/iQeOBZOJUb1M20ej9nQlAAtJiskx1Slspi8UXR
uW3XJdgFZ1muUG8Pl70TuE814aYvDm5J6ChmkOd245VnkY9bbM4rIocW1VQ3c2cMofGg6FDDoWz7
RI4FB93BqlfFe67FLcKqnHN9GY8H/OFOSm+jVQcfc/9Nzmz7GGPM9MmRXXyEcr1+RTBIah+7FYRN
G4muv05K2+gI8vR4Y+WNokcII/uFXoQM9u1C0isjvzUZneKXlPSyKebk4HNGvjD4ab9ERDcnYBm5
qxrqir+nHW7mw5JCE9hI0nKaPVxgctlJYYIBT4W+wtuKcXHhD+Tixl4D3Qmyc8WW07bnbMMEy8hm
Iv+QKJg/s+DXWPgGc3dzQISNC23gR4QVsGbIC3vs8DcMSwm/7j1nfp5negJr+DzQPnLo1RpJP1CT
kcckCKqHBMNy7AnJcjj1YfWC50DeD5OYaIWY4xjf+B4qwh1mKJaSLDCxbchAKqD1WrFNqbk2ZLYx
5+JnyLTqxY8sNPdj0XweNOy8zRAAikPnihmEHDSrweBZhAGRSrkKb2ufkIAtF5BnhaOZ52BHkQhg
NS3mTdTzQeAYg3OgcSCei7wdwTQYfsb9HCQaBLcF+BZom0s1FRrnPi9EjYJg0bNGcmSCh1pUuHx8
sgf2A5UrqOepyGEPLhUlmkvTHPKR+ibTClAA7iuDac0j6KktdJ/veyLI6x0DnOxLRMChffBx3hBy
10/lm8VXUVu3mpq1713OhLOn8/TNnlZQUmzLnh4fe95N0kcwggTxWl8nGGe3o1txMjZK6pukrtcZ
HXKFYstWx5pA3Ef6Q0rc1gnflSa1pXI2vG6Z6H+CEikCWkOD9zg5xYDFQTBn205DxpCKbl/x1Jma
cDl/AFeDEwgkCPly5s1u8HWCEQRTWZYOkEB7MP0tyHZ08OksYMOmSH2ZpE02XnvYxjOGzazqqHab
flqOUzpVgF7stdeoCuzVUBQS/vuytjklpH42fU49C8ts0Pa3DEOyYIdxu/K3o4gkvHMqShqzgm4L
KUu6e1QgJesNc7I1LZQ6n7agxZPNdjz6p1B27PoonT3WdlXUlxSPHApTqAHPBaAh74A8w2LQ0yV5
f4QHBJfdCFDna171wQvq4cjd9wOOd4gQMWjblt458q5mdu5jYdmMEpd2iY9ZH4G3c7D6uLsodvhi
LelvGvWvzKsTFUmQRiov4wVN9kC7FMEuno6Gw/0JyWQrkFI7uHk1y3aHBSkod23Ho71VcHoRdOiQ
7mpqRxo8c2P647SDsnVim7L3b/CclOUR4TK5ddziiiLUho1gusWRkUCnD0iJ8dBDGjq6MUjTDMDs
C5kzoPpn3VoUvXWfFgeIynhQ80QHxwiIcI7Yc4zlQ+hkAQrmqIQIjMZBWw2NPJBHc+sVNzQpaQuP
wFcK2nML8VtN5cIpWehsR/vChIi3aU7TwZpUH8idq2XV78lFmdRexkY2J40/ucPB5rwMI4D0V8HP
VYwgfzVZFfspEzTBhaf577Mgr78QEdlBioi8NtsD4oYbid92vg3h+gynUVsOw1FOi/VOAv5Jjuuy
oaMz9YV9NzXGeeOIjDG5gyly1DYpbjgyZemdYRmk4QFOvPoMIxkOCCajr1aW0vMyMzADjNwmNFuI
u/1Zy1D8WVaYNYg1jf3nng4gCQXaiY96igXiRMuiqREfTMmNLttuxOnhqnQHrL7YG2fpmYxUZc9S
x/dWMWNsolVhTigNWKMwvFYGAvmGpmtySkyoB3qQr+xucgSE2dYjIe3eptH6uZJWReB5FTYAen0n
kttETu11U/gRXHJTglxxsP+Xh9arg1veZBRzWrnhdZasrPU+SqioULd3wLxCu72biqojwDUNSFB3
FQLLLZNZWEi5Z/ckHZGtSiYFYqd9UCsv2FdyCa+qLBmf/AZpgp9AZjnvLboLHMWZDClXslBaX5CF
QjmoNSzwide9v5jB3mfktd4XTOLYDqyFpYOVuH0eCUQFJ1I0vO6Bqgcurnq7ByNf5l5+FOYh+axe
OWWPUcI8bdfyJ9lgmBAZargwNcjkZ42wxO0xrVkxtiHqxAXUbzeCuigCU94GCizTEY5ffJWiQRmw
K2hqUvQIpO/bZZwWBgTGZbuvBpXiGONFERycMqvvnT5u4N2bpspPJ13Pzm+kOR8EQBwPYiYrDtoc
GykXh5kfBUAJ4Q117M+gt40SjLQrdeS04/+Emv1T6Zaz6oi+0279z2WgC3LgQV/gfFAANRCvgdZ4
0E+77ljHeA3HFC9oaxfWtg+Ufdn7Q33I+rDbJ1MyHXrbAfoAPOz6uxPc9Z9X/F6M/UE699PnWG/H
dxoyv7ONdun54nijozmJUB6F3vpYhtim2CT3bQB3TtSm5aRkp/tfX/3vbjYycPK/nBCFavRBkhQs
TBRFzXt/gOKz1x60b+Cw7eHXV/kgfHr/jt9f5YOmS8KlzXHUMRCFeXoqwHju7XQYD20+ertfX+oj
0XG9VuhFqyY39KBIflTJtkmYoAXy8x0DKhb3MPHIs2PK0j3NW69/GTKxOCdt29gvdEenndEdOC4G
Fc5RSSjTRVckkHPdpMQcw+Dj2Flc643UG++la0tqX4taTIDjDmPyW9mL/tXVT0mNmBtHnxeF63H7
x+VAc56Q1yImO8ZltiiiHEt3Tgj8r+/STz/7epUoQi4fcp8A/Px4Fcys+NAjq9h1vsvjtcbqALQT
v5ES//SzcxWXhDuX6kWQK/JhaaeYQmcQgvBwRuIJssz2D6RhFMcTNL/fCFA/6Pno3pL6w3OxagbR
Lou15/DdU0T1bNt2TkoXxLL0y1IO9Z0QaX/oC9CJhIRap2mMu/XXd/Hvvh9id8+ncbJe/8P3wxok
kK5xF0ntBSuG+oXtHnXOZDnmN8vi7y4VeI6PBckVtDdXpeZ3309gjqPfwLIwi6ev1o7dth0j59kv
vfE3D+vPayN0PB6jlc1Kz8f/sDZsaN0z3exy15mlPYpV9U3CBN//+tb9/HuxHhyflU4Bvq6RH78P
aqFS+0O+LsBwvh84s4H38LPziOSOCxsO9UWzWDL4zQ/2d1/t+6t++GoJKRk2cbb5zkP6c0y8Lflu
anR/o2BdH9Ef3ixO6IQhzTIPFggtuA9rUUwzTVN6Dbhyh/ya5GcONQDnt9C6XHBkRKxucpN4x36m
k9df39a/+4JhhIRCuCjc6eb9eFunRXWWNU281IJg2gXgyc+RlWW7/8NVQPCCKOWh5oD541VEMVBn
JSLfhe44Hjz2xYOzHiZ/fZWf39Dcx5idECpvhGhmdX99v+bbkFxBTq0FXHAq2R3zSfS6AYcwzeDP
9fXGa0l3J1Z4zSCUdsMGDQQKs3JRYlpF/9T/5hOti/LjD8vX9uhd8rJEiPHjBxrTxu975Ne7ZGEG
mlK7fmoEcNxCdgyP4mH8ndT7b54Sd7UL+KjqbR/nx48XxDbqWyNMxtWfyBxdOzgnQ6uNjnkHcj4v
uugcmJWqf/Nw/rzZAEqmfRxyVQxV9rrKvttstCU82wF/v0vpMkHQLRbc0uTJrNomN/jNYnovtD7c
VWTYARoXtgSbnfTHq8WEGjPO6QsShobgklNEDE5KWbc9IuodFPIEOSVSPY6zKJgvnDWvhpWP6p1I
5OJIyyE50KtKjt5X3/9PHT5MHdyVzv3dg7l71a//9kb1q+fL1/rtP/79Jl8zb1+br29/l3n755/+
a/YQQ+fGgBFiH2LnY/38A/gtwj9oDcZuLPgfvZ91w//H7CH8gyRa/hzvbTwbFLv/O3vwvD9CAQfK
tkMqFh9vyb80e4h/2iB9/hLMU/S8KBMc8WGD5F8ykZ3LnlIXi0+fdlfewGsuYxJLamB1TX6fApQX
0MalF8U5m/7vZo6k4kBvR7WNEUGTPyJv3RiGyCYYvYmuUStS+YrQ1pLXS6IIh97VQyyCbL/UCAle
89LjgHxiqgi1ckSvE0iYQAuQX9hh7ouKGpMTsw9sSY4F2klrVNYawm0BwWdKmg0QrELRJC+GnnG4
SYdJS/rlCT0fn7ZDtMP+jwbDRyvEP5umCS9EhCzMx72F4rZJrbMpqVxzQKiPkFFJtio4wVqeRwWj
ZazQ2XxNPq35hhYztrYektzHsm1D9AERLH10BPAytjy79inYL023WYXp1UyJyTCkiKH/ISfpD3WR
lYSfVHl8mwOWfUhaKR9ooyDSqRFh8SUq+yRu0LtuMJ8Xt0Xg9FdhCPqUu+4iGbZH54SBeZnwUpHN
C5SK9j6ZVUBjW4C18BYXAW2L4OGb1prAuXAhOoDMBlXRkMxJhWegmdA0KIHAnC1Jlb/mHpORjUX8
0tfeayRoCK/j0B4BOt5rVAVE0Ux5dx2lYBy2ECvpi1bMe86hdMXEyuTt/EAFSR5LFeMU2MJnGIjV
CN0yO7PyDrlnWTAm9RNUTBJoKMRGR7nuLuGr3RYwhKKDmGz3sXPK+L4FtLYlYjAgDMsaA9IrcjgB
GQPcszmYQQTMqQ8WOJRa3gZT5TUQSK3iKmc2dG6jJKOXlQx7OgHycY6H/DwpvZRecVA9itbXF3mB
pYpAvpH6IqsE70dLD+gdukqAfMBwUp2XQIjpxKIMxWgRgKbZ5plnkdVcRzdtixBnI4fMvm7ymTdb
TOt/35tJj8foJoCdRNK5r+F5TZsiB/iGmoy1Ry8okgm97VpczAAET4XLgGs7j715qKpMPVuE7tA/
mITzhE+yLjY9fwONCkZ6Ia1c0Z0MKPm8jWxn/zZA8HcV+vV8ruKCwZrllPUtQCiEqLQacvL/2hDZ
kk3uH5LLvF1V3EG5vNHrQ/iQlrb1AnhvfExLhKibkPHdHa384Lb1J0TyYRkkF0gbWxCtxkK7vUqJ
aPpFiu48MhF1cGTYA+7OmxLwJ/O0m2Bsxs+u0h4hpMoJrxYnXZ4TOyUbYxym5q7CpvXJyNGFx2Qq
91IUIdgXiJgMLA0ohhXx66afo6VQX7CK+ddFYE8oMiwr88kcsFs8wj3KgI3bBckxZpj5vo665A4h
OYAvOkX1U19YucVURJaPHE2naksky/yq6kT3e0M388sYDeh+mpL/m4C+XkCmsOkWDI7HfY654HPd
u+lTHJHDsdfh4oBsFu216rFor7Ip2g4eg36xSaJ+pv/Mtzm1fOaIG1qt1ZdUKZf5ZzZEyCqR9iJl
c6zFbHs7N58DiFagyFU/MQfzITFg1+iYkdih6c65j9GLlebxE8dnzcZllXraE9g0PQSpce/AoCcK
JVrRXdYVY0VsKU2+9rGLftpLnG3VtqL1NpKPWHQ3JBEyJ1nRhdd1IenXxJUMLKaesk42NIywO5EW
FX6bKtlOR+toPCecpDPjNgO9Agy8HhfiEBDGHwXdyBTZw/5CDzl3sAgAv0CjMXhojAE66vBSF8Ka
mAtXpFL6UK+eSJzN7+KkjIkggI9FvGCyWKiSzbR6AyzcVBPDznYzZ0Hzqsq4e7bdDNi7RpaLRcct
k89BlnbzQcV9wbMOMS/GK6PnU9Amdb0lS40ar7D7KidWNUO+UTF/8fYozkPg5hay+Q6k3YlqVUqP
cxjtCPZl5p4rIh7vgfomGFhkkJ+hryL8MZIdXE7HbeQ3Q7vkPO9rTXqtxNW6y0nCgMYGq2jcAlxi
jxiX2XrC0E4PFDq5s4vyxbnzmLUn275EX7dxRdqM+Odbd0SE2MSfyEpcSPfNyyzZE+Hm0DW2Xeue
4IzlHkrlAGTQGfBAkZk7vOJY9ADSGQB620XY/F593szzVjWYFLwGHzoWAcTw9bRg5vIcMF6Nre4I
zJM8UR4KlMYa2RmdOu9RDIV6IQWtM9PeMd3y2oMUZLA/MjCAWeX66XHlqBiIR0aSZxxP2j3zmD09
OMs4qF2ioSFBMTZyOXELHy4lT3d8pRv6yMScW7Yi4gh+7Um+wA38tJTzCh6dqwA2kFCvok+Y44wO
Gwwp1wjitrzOAwgiC0ei1WM0vI6esUh9HqRTHHjZM2gSE6+zrZcbhiuiTCEEM+xAwdMjuX5ZlKmr
K95FTrEfCLgat3XL2Rhj1cwuZOLezU8rjpv1hRnz6BoCf9XvvHFBgVa3U+FegS6dgZUv9sjN6b36
q0P0uTrMpAdNuxk3ETLtTGTAfbi9cgfNxc924aB8c1dAu7QYzXUWknbjJjd5H8Kz6QsPa+mix7Aj
cVDWb1UzEauZp03MJGnWYtcvc32BG1g/JTpZg95bBQBR6C4ALjiTdxRFXeEgg02cG/xJHe9g2MKX
TuIgS5zSGbaxA3Ws2lW2qEg77+Z78gULUpojqF1qmZN809ZD+Moa6L4BMX+fOjv+DXYXPhRtnZCQ
MOqJF6VR3MI+HBu65yMAHAe0mHOU+NHyklrGvqDyHO0zHJ/eVyMcYJiL9d/sndly29iapV/lRN/D
gY0ZEd0dUQQJTiI1UNbgG4QsyZjHvTG+Uz9Fv1h/dOapdGZFVXfenuiLvHBagyWCwP7Xv9a3rvv1
triSNfF6LWzf9OoWECD74Lkz+wQHXUfZ2JSUvOlcMGL3yVzicQZuxQs4IJw8ctgDntSy/oFZq0t/
rwldfm2NnOqQkYvgQmRmgu0L+/Ms+qvtD0l/uFfmAMAbTbu/kagP+B3Z5Z3ddETvL3RZ0xrXklpe
546Gup+2wKZaCabpfmQP98GBerwYlRyAaNcDHSJOlXv3TlmThmShE9+2RTmQBeP3/1ziDrkd5wbm
oa8XOl5QrZZ38Hyj97xpFlhO5qQRip48nn1oZgVueZ7fK4g1s7uJjIJFK8Zbojmc9q33Isbsi7rV
JGC8KkUBoe63rzYCGF1o9Fq/x6IlkRVFINShIIzcGzJisLzKtRgeW1KIJfGc1L/2U5pdvza0Wf7w
Z2ehgDY3mzQYh5lfth0Lwe3eswoSL5LNWyty5zubTveeEmbyLnPl3UW6RNito1jcgadfus2V7YXN
pGtMKqK4y8+hcY3lbLJJFW9u0erLZmmqUoOjPNf+ulpq71iWFvukcJwhr/rmEpXhZJhRvk6QNloW
DkA2R2Ox5AbgKRZdD/K0cS0+xCZk1lMjbqXtux/54tbQjfEQnHgT09FB/6Hcj4mgFbKtR/NlyfOa
9np3ZJXT0dnL7xC89HZe7MQIwDjHICN5E0MtbvORngHLGkPsCtDFeQprTxo9SGqFF0jPN4OTsUNS
YyNei2qxqHPlXJC9+zH0EywasY1FUuSat23YyCfPLqYDf+2kpGGv9FRVZZfRtGTzNsSxYNOzsGuG
Usx3XHd+PAmO3ECnVyy26dIpfPvm78/T/+rFWQJ8/n81Sv9b+bbUPPx/9e/99jn/bMxyvqDccLuB
pYCObV6Vtd/Ney6DMGIsoil6PRrU9a9+H6CNL5AXXFgazFuGabKR/mN+9r94GIcsmqB1lFwBzePv
IIqMvyhg1GXx7WFLILU7Hrvlvwio1oj7ePYoFGV6ILfRy1xbNuC+LOMVCwnE1X7SU1+sJ5ZZUxNE
bQbEOeg1bj7fdEKL44aqJK5WRmUV5gnlouu8s8byhwaJLX2jWtE+QLAezBNwQ+YYvVBtc+skoxRH
n27Z6U4DRRrvsTUjPzbL0BGAmhpWq5bOCnMYnAd1hSzXZGVytF1JuVzHCY09kO3NbsD7uku+VZ6u
aQ/elfxMq4xmbGKa240wl7XrHom66d8wd9V8kSRh9hWl2sU+bQg5j9Xmgx0xfQUUE6WPKfPDeJSN
kaaPdga+xIGVW9Z4DEsUrxsMzNPj4CxXVPCQd5C7zQ5o9yL9CgNdTjhw3mqNEta5uhLCM4BxyffB
QZte6X2r9kNnq3KrOVcSeR11HDsyXGt4oxafPGNMf96zKa+Ecw4DyXOXSzJgSYXyfKh6eG9rah/m
nVml2P1Wi8CszEo+ijJeCreWXlI+svLvVf+gTL08S4r3sAZPLxVe0FWWKYx7WBHjAAC3mANmiew1
bblFU/hpfDeBrH5ifHYeNFvBniWfsBy4aLkB2rIh2z2w3TeZBM5xW1FTtvjFbTKI7sYoq247ksjZ
ZGCNVnEdd+vUwVXHXcx7JinEqK3jT1kJppqvZW0i1dCI4VG3MbahSagKvCxNA5Gpz2tjkemlM3qA
wJaZn7oBLz3HMDtcvIzGLz8ueAo1QKldV/0AEo352ZPg9BA4VZgIVX/NCxh4tjv1D0kMeL6Tg/Y6
y6bXGDy87HoJXEuXC6xejMouvw4O5e5wc009rC2ZdfQ++A2Exsk85A5A015PWrXmyVU9EN+uPrS6
Gr8n0usv/NaMZy3NAW2DiFYH4jLTA6OH/D4sfNPRjpGTOJ9WuB/mtNsRIebATWHHEDSR7CVGCFG9
4NsyiyfM98IvdgWNQeVelo2tvtNy1WMR7Ihy4P4LiAlqo+MEms1M8g5wt8mWD2bygYNATbvoEI5u
0mMDT/PJMZ6cIXFpVq8gH19Lb2Xy3TIoCQG3iB/VwgkbNZoH2rV0frQo8rskid2jG8Pmzxzqp+RC
BGYaS/Hu867vudoK2xweSo9d1Q3RT4uiuwkcz36q86g9JZqFI4XAck9u0s+HXN7TI6Y5952SbP8J
BsyUdK5E5C4MnNTcHeuslcmGcGnFGaPFmfIsJ609ZHmma6+tbNPu1ucoYb+6wnPmgL6Z2LixWZxP
6z7XSD6TcBgNue9RAJJ3N+kMsL2zrgyaTME3AQOscse8hdtlukRYPC0nZUU5hF01r/WIfXOPyJFU
J3C8WIgN/JAThaXNlDTYNOnas1zORRpONmxMKbvA1WDohbxkrQ0MfHGXvn2mm1ro4Wxee1RV3lzj
hQJqMCYpkMQVlPcaU1VSGwcdxFMRyNb3gymteKcGGDmJaMSpSAKVDzhKA68C9blukIfaO0PJ7DZz
airKA9JXkfk2VJ7GlD4h641n06cMZVtEpsso18cRxeVLF0hBrVVmYXpB1JedPd1IToXMBn5BbGU0
nEm/G80G3xger3ITefm0mjuvIg+JHLD1IPhYZzA83CroUlbnbNQlb/jcszGhCqrTbBxVg6bfkBhl
7gduEZr07KzYm8DVzBvw69LXvw3KeUP674dbwnZ6ilZGsdt6RIwIq7hR8AtIAZt0gk4lHsfi2iSB
cbLqbrIkSZl3hdnSvRLLaezgxdY+Wa3eEP6TTgSUng29ZAQekV3FTUxZ6bBDVXHNp9q5MqXrnxke
4mhOfFMLH6OezktSrL32atEzB/Zo33yZtNOrFEwraRGDqqKbPsqGN9mD+gk7pXvV3WymTXYXwx4K
aaeQ5i3A+IpaHz2boU0L/tHcuLF2z2eHbNXrwv01PrSFNJ1nWtOb9qgP7mzumsFLNrFTIhfTuQr1
dh6APNyw7ai4fHOU875kkW0b4zpOpOY9oqRz7RGodxaXKB7uY3oXLM1xCbpUyCMHiEvmeAfX1+z3
SdzV1YM5a1VJzDBajG+Co3MdDOmYCpyLfTnMmCJLUuyYhliQOoMoQcpYPIcC2ShuDny/T1JNxetC
/BN+p/aWR11+9ONF7lySyOtEVu6dw0SZvudu3CfPyWLHau+PddOsClQPi3w0HRUqfgCXz5w0UYZC
2iVN0/aiRYR6X+TY58WWcCB8QnxyNqGd1ms1QUEC4y7I7M5/z0HSZkiQI/HndePbs78ZcTFdY2Rz
mu5EN5PhyXT8sGvE3+V7Oc+NXE2FX38dbR4JJ1yRs4fiMC7DuAexbrSv08Q9Z1jZdVM19/o8zaeI
+eS1E3VDq0jS+90nx56Ll7DXWDtw/h/c2kFjMrTjLOJHAcZj3Pczj7nu0x4S2jGGhVed4CfN0xP8
9U0k5n5f8m7ierQILZEyzbL2O+oiVcZOTpfMxUlR1DZg1dGXdk7JeeVrreXoQPSUm8gUyurEsG69
Zsb/bVRmR0i0VwsR/fJafJi1eO4JhfuNe+GmLqOXzgPbRCkKDuYwsWAJw7yvR6IXq3nS4SL6Jazo
JxA8FY9fb7GvX9aJF+HDKgDOhBzmN/X0tIyMgVR89xoACvRtPaP3iuZMP7DcPhvPOXq57a+XMgEJ
TQK636QtUJhtj1b+kiUIAcw/binOlVeZDx5E1+yMcZJ6HDfsdKO5bSrCpO9m7OcZXGyW54FvEVM4
Fq4zx8du7tzyMrQu9W047GL1VbOiwX1KYm60u2aWEoM5+eljg54e72PMizY82aLe5QukhL1rDZEM
TbeALITmgPM3tMu5G8LE50VcGyxlzj5BwI9sgjdrGW31PDoTNTP5AASFpcHO7rXscI3GtIHQq++p
b6vtxOLF3E3UPgwf7azyKtCU7vSg3U3BSbHyuDTqJJ67je2X7fhDuWZbb5cJf126jYdOhVU6Jqva
jir2NxHHUmfbSL2fw1RjGsUV7rfCXTUtLGjyXm3kYKiMlzZigsar5p4sI+60luC73U0HSDqDSdG6
OXhcYdo4DNCR3UUeedymD05u0v6OXZkyDA51oEzjW9e5zq/0pNHJYCh9w+PPjCmxjYwl6txXEgHU
sGz8Xqjsm4EUmpe/GXb+1n71X30edKz/ehx87z5/HQV/fvjvkyAFyQ6RK1RqISzDdq8YtD8mQbCJ
PMJ4gQT5KYdv8s9VqvtFCFPHjgQeEvHFN9lv/jPGJcQXYTG38T8tKDv4iP7OLOi61738L3t70wai
6NL95PIPZHf7V69JPLkq9yk/pd5yaIs3HcrTeuzayl43hokMRfSEe2reEyduoEhRfpmmJ56o+aEe
fLKGft6+RG3p3jYLe7OmNLULx4901dfFiFUZXYM0AvgiUPL5OIUx3fS7tuO4VJmaurf9iW4ey88t
UC3DGsl5LxPVgRXQtPa5QYN88WuXrpnCJNobiKL0cPlZxQc+VsgnrATOatRgwo8IpAcXIOp2saLo
jja9hWKuBjnTAjW0apIrB7K2F2i5DvR5Bh2AEYufbYyin7eNWsCPz055qK1+UDd6Phg3Y9Z3HGnn
5Jo2yw9Qf6CecatPA8Bc/i0J8XzLygnNz2iN4iabNfDwWguUVoxfDZCOiPNmGT0bjRfddL0Tk2t3
/Rt82o/QQ1IOwi3zRk0ozGI21ZYlvVumOT80s0ge2ry444SQ8yTp4nMzXBNZRKOeecBWu8lL3f1M
LRH7NN2MnyRb5TRgojcBMyltq6Zcf4TWY0croshPYzY0JELmZmNho9/h0243gAVicyUhK9HwPAAD
s6eSklhqfiAdoLUHALaAvTvVwuCG9tXOwNh7Ss42QDSyfZsgCNPdZmfVs/JBRZrZXYZPahWjkQVG
zhZAVEoEi+UwSM22F1iU82znVI/QnwsEtHiiE4KXEpCHbhaHWFXJcSn1NvDop1/5RooVr130tcVE
xprFkaFSyN42UbfQIaEddG5t7JM8rb4vLCdIeOE0CcyEEIgzX4cuprkicFozuq0a6wGguwkIiqBh
SWInJmO2xE37MHc6fbS5Pj1oS+TuRh5PgTnx8+ZOQWUebD8iMaYD2qyvH7Qex3YuRRyaPtXUpWrK
XTbkiLveUK8HLi4COz+begzEFSYPySaXMtdisEONWo35EP28E5e/3ZaHcfRT+xyzM8f4HXeVXe44
ZycgoABg5iYlv20MZG6VGQIwydpa2qQWJyq9iJutpuvZwWFhXhX5qB4ow56X9OjkLGQF68m02o8Y
I9ampHqv6aiZbZp5+PQwBqwtclJErSXlYvNQfzjJ0n4l2TitdShq+86f05eShqdyNdq6f0fLMMn7
jl9W0g4xPMMkkXTt0GRYyKwJJ7yLCZg2nHD4z50bHmLwJ0zRaq8UlPe00RmcZyazvCsmozjrbAtf
i8j1t1UUNd8rg4wZKr17Wkhj6oGNY3eb1GbywEO25SzX5ABO2lbGj8NolUdn6XwjHDgyr8dxYlPi
qd4xAr57vcktjEdsXWkYH/t2Jx2qwU3ZLGFCIfHaLfyKdndOL5sls+xDNszkQrRI3dGxaUJg8R9N
r2tvDFyLHMMSzweJ2PWo43qRPxCAUQEWh5x9jjI+qLCZnwhUkjuCadXeWKa4Xyoz2ZQ9bxiH0rvL
bPflgysX98bt9XqTppl5p5u9+ezWCx4sEjzmbjQqezyICRoieMOG32MlE+tHYgjjsYM8cjsaxYIr
LqvS50nT5F0y+j1MFyXci24BfRvKlMSqFjf2EwWN27qDYIGdLym3HK4pnNVM1kAJJI8tC1P8ixhZ
qMuzbcobYoO0Ez55TZ5RDRLumEV+z3YetQIjDYfHeEZYmDWN4D4peko2WBXetgOAy7XV+jMbcUC/
q8Qd028x3ABCBBUmmhiT3y6JaZkgiejwZySoR+pu/LeyovUuNMi+nAh82JeM2j0sM7p+x7RaXGB2
UF06pNbb2PnivsQfSZdFYQSCTcbCGKGoYXQrF24i/xw62Zrhjl2DsXEYM065kNoLUAG73aaT5p5p
3J5Dy5wG+iQak+18P/chgEx5P4kWrjVAsGPKtQKNgujPhAcGKFymcKEkPSwNVKHG3BMT7NcWtaQr
jlX0fRvud91R3pYReGIWSRPFhwxpTyu9Ya41wZRhOHWytgi5QqkgTSoHR707Yx/fkH3wCe6Y3rmK
iK5CJ/X1M0vh5TAU9njv+jnmlwmkWwhGBxhKZIqVFavygeCH3EwpRvtVB/Vwr4xcu1PCy4agM8zm
k/RFDXoimfEzdOWpRa6zgmaMvVNe2dVJzdUYXpUK1helxyRWREp9xR+VotB4lseWQxbPUc/T0VYC
SBHzgb2dvSp9QL7R78AF0bUuknzjaU4HuKBojnpTALzJJV4qNqyS5b2TLe67Pyvh7AHweG+JizWp
SiL9PIK3cVaQIhD6MB4R/0FIekPk6rdgz5u1T772PGWJdmIEJHbXMKWuiaZUH2VfTE8Wb+ptkvBQ
o3POjV5H5NEtkcBTT//4boLsZI4iKDkfwxwpZUmfvXVodePWzxlm2C2/yiSShxxl8cn1BziFvfTE
s9BRYUaewi/61Ojfq8kiIizy/it3vZaG4MjbN/S53BktW8okmZtAuERmnIwUbhOv5eTbx8bW8xO4
DhXK1NwVlXYh1g0RxJnSPqTV5wChaBVRt3PqwQrRPt4roqgWPao9v0+svZE86gnt6zE7ni3GsAJJ
ZdJPcrRT3CQlVtnUc/a8h3VqZYxkl+mdAwaMNW0u0vYZkV/A47StTeWI+abLx/qAm0BiiFDRdpIa
Yxi0rzASun2BnuZveEz5AaG+5W7MxXzbQNl5psWMwYkY0AUKcLW1id5tyQdlIabdeQ0xhaaeLHIO
c1YPtwAJ0rPtoYcIpw95n3V9kEGdyoT5mJoCjIy/mT20365KTuyqDl5J2VW+hHbUrofR21UKs4SO
D6771pifmMedWxQTH26dUcF1HYuaAnpGS8hLpRndCz2Pn2Wlb2d3BjovjM8e6eQVOXc8E1LluIMZ
IMELRXwSK9CNBfZLnEouPJK4LNyXoCw+fbf1P82IjZ+wVEudkK74hLjTz8ony63l1CiuclfdGA25
QoAt3WMhGwv9KoZ0Ui+Jg2MiipK3YWiWfWljr4pb3onrfmZeF5H+XNddtLbqlISw0dOWTPn8asmm
ROOoaowkU4XYoBNr3/UabFprTu2G/q8RT0iqh9wCMG7IybiLXWqsDDbmkHhLVIc5f0H7UhsNyQrT
SJQeOKCO3wicDWGHQhbY2H7BYvXVh9LdaId0uJyreHCQmjEA4blyNhpEz3VCZ8BaQ0DhGJdK/9Tl
SxwqZLV7T/c4vZKPQVr004OlxdCbcLQ8+MM8bzsu171DirXqrX6dxs50cLrCBPSbO2Tpe2frUK14
0Am68yEsoEl0g3SdhLFOS0R2mxJl+tJ8cWxr8YJX7pFY27MWU6/U+NdzZpMbZOm1I+ZNB2jpfB+Z
oBNa7irwD1ApIgo21whH84NsYwpbVJasU9B4m3HArF5qDapGFa2LmFcUuySvWQaCpUiHT5MdzUa2
LXksazxp6NzNQOqUqBFVHKkXczOUt2wbIGymJPPtxTnzXjnrrtzj77BhyELHUfZCK4zFU62zUxpu
em7JozTCrOGj6ePFFdPor7A8P5u0/Oo0/u0s2nqHE4dNC5IpPcwu4pYOKy3Cisb/G9aANwN2tuYh
imdmlazuQXJG9WePzSZb+VITO6khLSE4zoFLbzO1UzwUys76phq/PsoiLkNTq1y0kNbbZiorHiqa
ZYNZ6qgUmXqEFpieQfiRmrl2tmpevSrnsufvRhiclnuD689eDUq8GNdua1z7GTfl6uvSDfuu45LP
HIN2CYoei4JNeqvodIXcs6t9KBoRG4vAQ3/HkxQdFZ7EB5rP4hDPSLXRtKzbT0Q1KWhO/H3qM22x
1RBbLD2UmyeFdViSQg8zVQ2bkUxwMCgcK2DZUDDcXF0cp+72Gj1uPbn0bdOBOM6T/s4r3ac6QzW2
ieyjrkbsfzD5iB+z3BMr57npFsNjv2w9YtzrJi6GY+NmaoNeAi7XuctkM2wsoGS7WMFu69O9Y92M
Xbnwtbwx1NlbUiOn9+ccbsSBp+6wq7qpuPhLluwtMjb70V9iCL+TwOcmONgFoCCN38Jc/19K+d2H
vv/4H/8NAzhSxn9Oxvm34i2u/7JZ//kpv+sppv2FUBipnGt8yiPo+IeeYnpfmKlBNtOXYDPD679Y
0z3W545LFoqtK6kocDW/6Cn6FyIZDtU/QgC0wef6d/SU38D2v+gptGM7BF/5z9QRb/AQ/zkH0cWA
pqKYPVAmRmsb1Zo7XhS82GVVKs94mazFLjbUCk/GGW9TjmPVKgyYX3NvRCiLi5Pi/EFNZHTuUgZq
F5+1To20oT5njlwXp6KS5JIMXvotaSodN0zaO5eJ2DlQuZhniap5VK/wb+ZHzU8sXKEFiAO8Vqnl
bjpZk7bQiUvfJIMT149mqawHDscuYW59mLKd3g4yffZL0bhhlej6GApQ0Ta1WqS311YTL+nGYXcb
wGPnm+Wu/zQPGQXlsdN0+aOfcmZ1M6KBq1HL4qMaQL6zfS+Gew8zM5yTeXKNfZH3XXW28ybGL285
nOpZ0dB2KvzyxjEdMvh5YtDfh30INmczM4KmeY0z1ujY4yBfC+8Ejnf81NBfYO7wT6xo2MzqLsT0
5l8SK2UCT5SJU5l8kdKDCFFrCZreIVNaNUP+PDXSK3ZLb43U+EVgcahCA5Hj6tcDBRQQeRr6AcSs
5Y/FK25DJcLUAPGyEbEAVGP2FWH2pMHyD5jdz88D+9xvab+YAx7iydLgONbJDf5AWN4yHyYHAM5C
E7ayynRT2QpUW62GoQoGo2l/9HDexsDlZZyCsUTkDbH6xfIrG//C2YzsoU5dR8EfvrWop1DVd1za
3Nq2+M7To3iF7dxcYlu33kDN4RQiVNTdtrYJnbxkU5xi9iWCv2Ot4J9bGnUoseQrWBv3GtQ54XG0
xGomhfvDpKXhR+KzWYAs0mX3uPJ7O2wHTXaBUXl5fmL1IO3QBgWIyPeTVz7qrOVW89DAMVdXpHnp
Zkm5qSsb0G7DGvNS+WOKYmOP44vnj8u8V/XCUQzjFDu5OMdWu4LhyVOsdDQ1gBhkNXqYWO20O+pH
8Z5MsaU9F67oWXrqLZGwVF9QCVkip/eL240b7E6ut6qcVny42cAjomIvYByNTkxkutymSVbcU+xH
5VYNpzpWUBjL0W7eTRR97JzM7P1G593QIXDYZrHTbZcOB/oHihw4dd32QdFrwCZgx+FenWzISbsU
c7m9RWZhy1IhDjwr0G3QRpksKTOwNQyMv9wN7367jfyaMv9rpAtzjG1bxvX+BxWPMM2fby5ToUG7
X3iTk3d0PsRkJftC8pvDV+7+31KW4hpL+/Od7PrNSHQRQsTfK/4Sshlrj83LYBWrsS2rNSlnVwsI
CMubTmNImjHhgZHr+x1KCWjBNDP2caMVu58/8d96Kt42n9VFdZ+f6vTW/Pfrp77XeIzTOFE/bVB/
/Ol2+OzYJ3/+gw+U/wg5+b6ptK7++jl/+hLyf/786/izvoam/vSHzc8A1X3/2c0Pn7Ivfvt2v3/k
/+tf/v74e5wbYlhvH+AXcI4oOkvVr1uDa5nQL9fCf8hv/fY5qv5H+Pnx2b0V//Fzf39EWjTk8Rjz
XNd2zJ8bgn9fOVg8Ir2fzyTdYJlpXdcK/1w5CPuLTa+JAESHqMcj9hf3mcDPRjfQH/sI6+88Ii3j
+gj89cLSr7Q4IqcU3xgGlX1/ubCsaxujLO2WFI3AB5ULZzTep8HIkuMIkLH9wOXpu6gj7rbNaBb2
7O1SGyEum2MZE2JgtM9W7tysi+K1cznAWfpejzGDtlNY1fXDkqmbjgJPBvznJW/fAYkYK83DDZQ3
n9LLDmWEdKaV92Pjt0wzVWCLbq0ZTqjMrltHcgwb0w51f3xlU7ydo+SJTpXtOHh3ebHcqHjIg95c
1kDg7/rGvk/wVnSJHw5jiarJuO53GtzSbhsbaVgW8ECcVP+08+jC4WBXebPBuKRvleG/jtwi5kwc
qIn9NHvrwrbwrGwwZgl0XjfdWfm8M6LihBayh38SAhNhy0GYTTrutjKbV2y85JDt6MBv5kADQDh/
js1JOY9G7m7gz/DEeypoxaSejQLupdtWEDOVainNcyF6oThn/D/fOncUZaJz5aE9918rPTlGdKKv
e56FFgRmDRW6H9Clv5mQ8xzrAPJ1bXlXP7KkB07ftFoe6AgflYbRdfwxz1+XjGwHuo0m7X3cYk+V
AFT8+eBaTOKKg7VHcQHM1Xp5QybA9Aoabaj3Vmvfx9mLrOa1ybwNE5s7Pp5wcaiKnt6rB0gbgLee
43QKU7vedryc7hmcKYXNLo4BzGEzpu/h5DKpOOYm78Do8rNiv95g3mbrYm4bo9thDYGS/tqNB3ig
G6bBfv7AfEsO4KFPnmjjmfMfmlQUgHaha35LANbl2UErHowkaBV4JE1uCSIdEARRQrINuUeyM7Mf
cJC5GG65AZD/Gol4G+UFlF33ZsIzNcRw/7NoClw7CWXk3cLG3WEQ3Luu85wnzV282Ej54y6lMlKQ
q4cWEDQqeopiYBWqOssoOUEA3ArT3k6okIC37FBIb887as/gG6aAvr2i28q5OzvWsO39ImzyaMvR
hf00uoIsFS+cDjopOaVTwk+Vc5Hq3nH0ca7YxtfGgHpXM20tDo81/O9wCdugMooNkLSP1MvCxI5B
2uHYFv50U9Li2vr6luU7bvyoxSpBQ2sxRbeFaR5QfreWEwUlduWA+pqXlkVWbPm7SCDZFXWzS6Cg
bknBkyIrkrUem09YHV/isX8mv2isVQF/jDvAQ5ew+ovpMom99jjrzdbOIt596fPcGu5+8vu96O33
NpFc3tIBfVa+Ge2YbQgY1kEmdXQBj1Y/KO8XT83vta0FXpFeuOm4ga6NT0vZFuzr3YyFHJUWdBe3
sRW5zz4I4GUzUp9OJy7IOfVNSyk+3pbLuPMwv22xxLz7g5IbLR8bAjt+sa8a8jVl6rw3ETZZQx+y
c9l6H9WSP5JNLIKyvQqtkkS/1Wd7EN9pmAO9WxlaBsC/G9IwGtXwkDXLY1nzA/V5e5wg3HL6RWMa
kyfuPGEXGwzR5i6GrGX7L6Z9Xz/llD0XrDuVB4DXWQJ4moh18/WAg/WqVnVIdoubqNxwqoOuX9wZ
I3XNJTS3yhc/8kFlHM3N/ZAumwao3hrjJtWl0S5GSY/Gq5ne3qRaXK1MjtQ1Soy1+JdOE0dtHmmC
yayjPZpBJ1j9RulkrAXRQdeoT7kzngAP7lCLAW1N67pafvhI1VDGB+B0rbM2bTdU1fJRSVZVtr8n
wU+ksLpz0J2wbVWXUU93zmjuvbJ71Lxo61TRM7mycIzB3Mfgq2p9J0BfKyc/S7c/Yc/oglKb8PvT
PpH01pYczG6ZF0qEhfeezepGxOVxMrzvRSruY7YIKAf3U+bvrRpcabW82kIVG7+AD+XEyS371p8g
K1agBOBWADYTsfFz3T9Vnb2Y667Q4HaVJ3tBPfz7p6B/dZsFgIJrZPw/Fwc2svnf/6tLOQNd3ihH
//UE9Pvn/n4EMpj3OflYnJJ1SknwtP1xBBJfsCY5oFeuOXXP5YD97ycg9wtbPJ/PwneBGHCd3P9p
ujDEF6z6nI5wc7icjyDt/A0DPgfoP5+AbKA9WFgdz+IMBBrrqlX8imYoqNgYIn8sA7Jp3pX7Pztv
KeA/uYU5N3Zh6jO/k66zEEhp8VxucjyS9mpc8rK5lpFfQ1JO3LNQV74Zk0RyYqBuLG4ffUNPboHr
gQPXObzfWoko5MrWeUttmjYvcSfQY35Uiz8hqI4lDEhS6wZjolVX89YqtK588ej+flMJO8uVAR9l
BHmX1Ps50tNkMxNnvJeEseKgj2X8vTJL1plVIzGZm92gMYbri3wm1OVNR3dpx69SjxGDWR8h+UaT
a85hTxnCm+YmwLbxv5DjLQsfhdBCI0crqHHK7rhPD9kt3wXgO0N3SdJl7DIqRqaSZeQJM3wXb9vc
0I2LsSxstFd0MYjskV4u3LGJ6txz5S+5z2Il8tU3Gr/tT97VWRlqFqQ1JmgpBbATA293tx61CYx/
putzt/bGPHklGW5dypGvuEpnzcRKAvS93Ch2tbgUcvuyVD7qpIDnSyghMysAlJrNdjxVJtUZhZap
VWQb5ja32vqio/G/4M7WF75O4b86Rlp8X2a3mokT6YzK9tzNw6rHiBEgCnH7uL6C6cqmc4AqiYwa
DerAeuvOkhIKHwDDz3nIMd06ufHWJVGxrGjhTcB61wD1yKIP+LxV67MqShx3+EYVY2wSIrJkEni6
9NRj2tjxnsNnTbk5S4qPgk04jQiW2XebVLGUR/d1Rjvw0dGLNQtmT52xMbDKF+1oceJJ5PCaGA1x
bVYeOexAo0rvU0Gly0rOWotXVlPak6LQvaMlYKApZWQneXbJh+MG5QGBE7lyq6NRDC4lOC1IYkZo
NT5kINVRoUpTfMNqhLnOahS/hLiDIcy1wcXBNqapkXKUAT0fDBAh6QZ7+b0Jb4+Xwav/D3nntSQ3
kqXpJ0IbtLgFEBEpmIqavIGRLBJaODTwOvMo+2L7eVbPTAYyKsKyL3etrdvaqow84Q4Xx8/5hUt6
rGbgjlzeYa1PzQN+dmPlHkTOKlVVunM9r3oPQcAMQHNFjmYOWG7FaHxGYexomQgWB48FyOPSVEnY
eALSvB1Uzy8AmzSAV3KzDwetdWvkgVLrm21WanbI9CknCUpMFE8Rdkqa+BqUMkKQAJwHihjrhHYq
hlzjn2kYahiba6t9gWvO38KTzvrTdJ7m7DJagcj4D2Pxo7HQWvaRbGd9YYTcP9YOLg5+MyT6nUIT
2/GnJEbNEgGFtQ6cafVsn5l07yMPMYldXNCV8hHZNP+Kl6GWfj6V9sERRv4B/Yom7EHZ/uw7b9Xe
AQR1PgvYzDbFKmtamOq++zlAtvhB+w8kRjy69hcPb4FhBwemYq0tOVw1oEuaEVp2lf4UnVrQ78Ho
oUNluHa80GMb0AxE+/iTJpr+ZkXB+5J6l+QqvXhMWpxtPGZxcHchWtnq81H7QuUm00m+l5aQ7YiN
GSjoEggD5geQDEIE+l9cOJfrL5z8AO6wNJWKWif0u4wC9jgdZrqGcMBDzcx/Z47Wh6SOY3A+kiSC
HY1rG2rD0fIiy9FXC1hXikFAtwPlCS2oMMqdiBR0Ago7sf6SYOx97+TVNYIPkC9jBw31pHPczxkF
8d35X7TRXPl77DZIQZRfQIlL2fmXd1ay4qUCshw4yCKGayQF6II4ovo70/lHQccTn5OLVqfkq/JR
n5l4L6PgSYIjiBQCSTtM0+YFfeYA/1LlkUzSfPDcXlyX3dJfGJsk+B3NtlxFqm2inAiUA0jmZnC9
azQe92rnQwgKah/bwt2X1f/16T7xH7vwB0LpPrytC9/4xFiPglJyeTlW18k6tyoI6lpfB/q36Iw2
vA6silq07l4ItikdPu+TlyOUn/fFPgE4HvfJTDCt4o08RoCc6na4GSnl++cXinZpXPKnvAhVdlXn
5HIyxQ4h+kD4UQCeKHBDO/xx+NaFnyY/vrBstsXKV8PbZFQYwxTgtp4/YBJgZBTQc/WRBvGbS5Hk
V9keOC8ncrMxXc0oFg3NEkZnhWow3XT+Z1w8HnhtfWp96++u4D/uh62u1quBbYplhoEAMQI2HKnB
z3WvHtQg3wESuk+vMeM6XPx222NnuxHkRnnx7bwZPKEm53EKfrIb/F+Vf/Mn+PD5/BKRP/qf55DG
3HEU08qyQpFR1j3ZRUDjOqiCi1/q/FjwqziOAi1CM/Eu6/w7sfuZBx9/W4cfnz8YF5b7pbHIX/Fi
xmaQP3mDx55vPkUHIfzqM82Am+jSCbWpxm/Wga1uDguvpULQyilTrsxgCrog9n85d0hYX53/NPql
QJuDAs5JghQEgfSD43cchXS87gX7SAvrwNqhDe3ftv7N4KOQ/eV87GfT83PrYnNyLHqVF51c7HQt
96ADw49lsPq/Ix+zNb/e635yaVrPn1X29iUW93Nq8y7ofLSQQzRi2F3jFZdugBlJgJ/uLg7dwA0u
XaZbVcRXn3NzijimNthCznITfv9MxyCo/L9uHn9cmE956p2bz83hQWkE0q2Qo/ug33Sf63txY/yM
HmkYtbjs/lg+Vjfpg/FofbwQ9/x1aqubUyRzQWL2HXHRhQiKh/ouCqnu+FbwCUBO+AeVGVaR6v+5
dHxdiPt8S7zYiwXA31HNidvvaU4G064+GHd6eHHVnIqjARWQAouUZiVB5OWe73K3rFR5mULd2WmM
0Qg9IpqBd1sG4FSeukf6uof2YL7zri/M7alT7UVsa3N2piJbQIzKMYbw8D8Xe0zT9kuY77tr/Sr6
O2t4U/vt//XCEzWC84WnO+nXlPyf/zoqOf37T/13101D1wHVYvyaUMM1cGL735KTi/YhUFoVtU10
F2xZV/qfmhONNVpgMIQoOaL6oHPY/nfNSVP/pUP+QSrY4wfiyqi/pea0uaUMSluoDhu2/HvAumxX
rJ71/HIKwHiTKO0K9ThNv0r1H/oyTWQ+inyUugJu0leAFgsoCBdWrbxrX5xEMr4lN4qDTg+l3Oec
8cXONHQlN6deBSZgd48mL6ePmEPk4Wi2YPOpS1gfclQBJn+OJpouOv4rDsYenfiUtGbVvO3K/vvH
QCKnz+FpzO1mC+kFdQEqU5CbBOCRYhz6n5O9KEBDUS1FWye/69zPqFgkN+dnQV6dryaBTrpFLqLL
/uzxsaFi32aJBgk7a+GGDfo4MtaDN2ppd2G65T25DSQZXXSVDd0CQHMcqKyqDJRIBRm9G6JP45IZ
zm7RPBB7qTk4h/OjOhVMVkyxTmfdSwDV0WHY0+RNFKwhfMg+6k0D1ul+qhwlHG18m86H2txn8sNx
RRPGAsOFgoqc4BerSItMi6oZ44JJFf2VIWnxye2d8ZBXRXGVZehnnI93Ymg2mFDTYSMCNlM3uV1h
Kmk5LCi426hohgo+gkHbgsSv+TNv/2SuRHZwVPD29fTN2kht6RHZZ7w9FxRAYS8NA54OkEro+6KZ
FJ4f2CbtkRNJ8ZmBgYdTAb5tBgZJ1kYESUGgA1/WALcLukwKwpkgPDHO/AtzzlE9CF7LbxN4f44L
zoCQwEUQ99/sPKzQtQIYH3GnqkMcbUjNe31RsVKq0uTTJD3H3DFRHs6P9sRnpNRPCc0xofm9KreP
zkiZSgGTxzKlDVqxy5tcUDBzukuomRMrlAaDafEM5MBH6ud4ha7GNDjgAOhZdqhzFQMux4s9uldD
ix7YhIbr34JM//g+PDU0F9Eguh2SMLqNJyYnhqYNYLruTPtaV7DIKmMLDISLQtn5WZQ/fXOouK5B
pY05hLq6RTaaKKP0mAFgzBunxb2JTzvaE/Sx/4MoCBNZSIXb6BBvVoha4lluW5wmIoOmiEyfe5so
yXR3PsrJabNVR2ogcQVLtMvLg6SjEtLaS0OUwppxSVPtYrkyoXDCNUR3U1w4Ik+tClo+qBabdOZN
rvKjcKq62u2AmC4LsP8w9utTWQuYqOBcfAeIy4UPdSqa9IXwkJ+C1CuBRS8Hh8RaZhsNm7tdRHxT
pa2x7/LYuVbnubldp3W4MLoTC4MTmd0MxIGY1uadjSYORBsFgvs0NhA/V6zGxjBGP/ZSwezEVyOE
Qe+MNp1JhfR4YHNjativs4/nka5BiPfyEDp57aaoT0Tth/NL5MQsMommptuyIwgw6jhYNGtz1cfI
5dlYTlQhP0f8qloTTm2kUJH2i9FM3n46cmOz5qkxkyluPRsQtCtBZOiVn41pFOB8GZqSD0KvnkY7
fkj+PGvThZvg1JxqpIUyyUSlXmLCXi6WpM/AvSqADxAJvNGhX+6KEl5xbuqXHmcnUlCu7/+NtHk0
2Y06uK3NhHqjN0EwygzjM+c1LfbKybTW73u7fA84tNJ22TRalxbPiSsPSxng4TJX4Y6R//5F7gCy
00XIGEfIfl77w7pYyuOKzkYorE7sZP8PYFUafTm/iE4GteUxw/ag27sJ2pbepKUuQlgdxoeIdRf5
p3KxPyEu2+IRJoz9BOHzQszN41TesfIi4ASVD47Xj1N3BTNigI4tK4FkM0w0RK+LL8DYsl91aZTf
rRKjKpze2mt9mi/5Pbz+yqwiCdLnYczTZXsYYCTpQLyGwj04s/YEr2vxi6SNfyANM9ytroKHeSS6
O6XpLtyEr08huXzZORZ3IfDHzcVR9SbY87mq/AhmNHLbGngvI9Ofzn/Q16eC4ZBL0J9AN4//K3/F
i1U0OtWQpig8IeI2JN9jjMWTkK5rjRVfNNff+8GKLxRxXk8oYTyd08DmTkR4/zhi0pdKArMTFg9e
V5OU3LUePYgwtI5zE7Elg/Y74vCw6qImysSF4+FU9OesXpP9Lqodx9FHpcb41iQthZlJJ9hRGqRL
JqvGwxxcfIo2bBWtU9jMapNfTXC1fp+f79fHk8Gdgq8XbtWGzuPxOL4N0460mUNDn8El8d8feWNO
Bx1Bmv2bIwHJ0NHdkAF5yB9H4i2he2vBrVlFnlMhL+rSBfVyAI17e7SW5MLEvt6lYHR5VpAn0lCj
o3gcrkOiGmHTjusFOYa/uFBgDYCpREtb2/V9VR/ichHfmgn6bbYY5ufzg5XTdpzLEd1G/odk3AHd
vbnc+sFGKaAjekJb/VZrMD5BykF/85aUUShskAhjjWBtxsgOcTGIhIIOOdNDGdG8h/eiXP8HQ8H9
gl3v2Lq3vac7CFp0YwmCXG3ziGJUhBiVqo7Jm7MqBoNAikO9xiHZ3mRVCH7i3lYNKFeoJro8ws4O
ngaepvWc+cZ1e+XNKSoKnfS0scIi+cDXbbNAYn2phfxE0OqMXTG6xb0Vj0BV49l8PD+Fp9aia2PS
h2sHif02PS0zTBdwCyAHcKbuWs2EiUi3WYb6MhXXTdeqN8LorSerzQAcO8mlRs2JM4a0jimlCQsJ
Y+skbhX5WLQqyXgkZTx9gWjSo+kilu2rs9N+1HXFQgnCTMVHM0WL6cLgX1/RZFxYiFj0m13qbJsT
DjBQA9kMe1gNvvs3PkaKCoDOZgwGhCM6TL/z/H2szNZ/cOAQGDMVPjLHzta6sE9TWK0jjwJYox0a
j651PSIF/1VzhvxCLgu6frPhpVwQHDjyHlmDw/zoeDVFsKTYfwPM1m4FGyZAkiLMonkUM9JFF/oh
cYyqDwod6OY+lTrJezfHFTPsDK/pA2vJtW9O79ZVYFdjvUKFEu7vammWKsisaW53a1NG18hN85oZ
y6S9jkcVIQJb63qyc2gjrb8MaREFjgotLl3ncYH6O4wATdqqcXYlKU3md2Ni/enWDM3xQWtKB4Tt
IO6gByB3D77DapA+LfO/MvSx6Qk1/Ywnq5hAcuN7wF+bqc78Q9hp8Quj0Q7mvtepqZ/l85oHZdfB
7tIGHWfheDQVKuaxO71Lyjl1bjVHRSi71aGP7yHYr4fWRpYhKBQMa+EnqHq8a/u2ea9lC7yhcWnj
D4u56nirM8yffW8aHscPvun+OiC/ES6eLW4UdG8GgNNa8d2MMzD7OWkFjPF0yW7UYoFWbHp99W61
K/seVE8775DhBO6gcAVYgI5W/S4x8hRf4La3PKqFMNCSYRqjcBYKoopuXIsi7Myhv1F7C6qzwxMB
vP0ST089j7AeFPyAMSva4JWOr9WMEhmWJ/VP1W0gV6taXzZ7LtgIQ3m9QXoNNBt61Gi7zk+Fg1XN
zsBeF8CA4tVNOKV1UwcTSGrogh5aTbE39E9JESlqoANNuk0bUn9ye4NzRJQahuWFoTf4Ixc6lDZr
UD+WlY36NocIOPdE6b62GKh/MXsX3+AOE7k5dCNJGzeSSPuVjclkheO4TPrOxbpF+BgM9NMOsdF2
3iOUiUpuruY5AhUoJARpm4CeQLUD5pczRyRHoPQw8Ekc0F/hrFXzguDi0pU+kpu9CCvKT6C9Ef7H
Yl1fFdzbcxB4IMA0FG5WXOv8to9tw6/K2u6hzTfrsCNnhQeB22WKZSuLNEQOBzkd1ymGAQOaBl6/
WQj3qRRm0sEzVsT3CAdzNHribr3PTbirgY503ODrk2MhfuhF3sfS64DIGaNlxvtyFbmB7Y0ibjH0
xqwkWb1Jxdp9EiLwoINKIZ6l+4j08Ahq1J6HX82aCGR1IVN/X0sn+chqYBpUQJYF7PH5K1SZGKNn
dH90jMXRubjOUVaYr41kxOxkiqe2+4GLnYpp0JIgvG7Z1qT4eG+o6IU6xtSEEQIoxWGsOk39WpoR
niW4IMTowzRJcz8OuIG8b9BfzA+VtXZSaBbZXNIKJICDQsM76DA5k0Y5HWsmJawLOypuRDkv89Vo
NalxO+rwvEC2Li2STBNAvq+xOqWPSeV4iR+XjoDMqOG+5w+t6n6ZwOZqO3MsFeRpbbVYrxSqbSqa
Na3zIE1Q7Yc+q7SPokksB/wk1NeryJqwoG6HWW/vXBf23NcYWGm+0zN4sY99hYJKOEyR+KtH/sYI
1WwteL3g+mf8Fqwi+CeFFS3fe/StIiqWySJlMrDfRV5Z0b3b1NS6Hwv/fHqIkOwvH6Km8IY72KFG
D77ditYGYqJll9mHwXZzyKpYlxfXGSeg42MP1MFywoT3bu5X7I4cLJ6B2SPI36NkY5pTkA1C/aIs
OIris+PBuV1Y4OImRl+wP0DHNXHhqbAIQpFFKA+9BeN2B9YPmTIXW2qAIlMKYXDIFDRAVxXzkrBd
FyglwCGdCB5RrT0KTPYeE7sbp0MGALsPDEdJ3o3oNid7eK6LclskpUi/Qe/IknsPrUFshe3MbXZI
PjnGFVekF/kTQmDTA7bnhfcDiWnDgAKT2sDSShNX+27OBuVdny32nwgZRNyb067BKDvHDnxPx2p2
niqULLtbu0fOGdwq334/ePr0xyyjvL2qyrF0wnyJsETuEJDKrmNVy36pK/6PsEdVdfgMvbtxA3Se
So3SrjapfjkojXOrGpHUOkcAS0EkY/beI3wAbFcfV2lN0NKr8ftRnZPQakY1hdvfCxjXhT4Wt17p
lc6NBHN714iXlt8c0M6cDZkYyE76ui0QD9LHPuw9xflSKVT5kHdlSEHUWepPp5fQghSlkOs2WovD
ZEWa4ue2l/1eOmf5gn9OfGdHevLgqdgU64WXP2gFLNtruxzEFFQdgr805BZ93Xd1Cvy2HLKxv3fK
qWuxGl8y3be6arYoYCyLup/1CYMPNGYH6LxWBTqvQQQYCreKPHK4LpzOOBJkZn2Nx8W6SBsrLw10
q7SWXWGAh74v1bEsr7SBCxSzoNR1drbZrzdTN+b5lTMjthemK6AkvOkVaTy1puhL9EXJt2mV3Ih2
dakA1G2LOS0g7NaGexhcu0EKeXYTfkiOfsI1QoMQRCpT7oaaywgXoiZJ0Knt4VNfU9owP0xJ2js7
M7VxBTHMdcVWDI0m3e8sggU9LrK6T6oGdgEKQHHbLVVkhTaSfeDgrZRDvKV7eD9UZBhBo4o+QxtT
8EjQUNL+jXq6doewUeFIUr7d7HQoLY8a+6J9l+DT/tB1caxLSZcGfeZYcI2Ns1o0O+5hY/GXJYKw
LIa1+VJnqv5UugtpRqKk3Xu8GVKMo9AWTXxcqXEWS+PYGILBHIw/9D4coBgxJSGww008Q2wyiuRD
2XYVSh72rAYZmG0VspuYn0z80PL9qGAa4Y+JnjqBMvLsZ7OP8ztzHVWNStYU/0lMJ/mRzSpXjsnG
AjBdFrQ1ithtqx1Hl5XtTY72AqU4dR4O3MEZ/mklVkp2b9sPjtXYSDuOEqBcWo33HXF5mybJ4qWf
UUEBP23EY1eHdi+mxyajKIlYdj+/Qw2GBmqF/QkJCjaij/hsWO/SRs+/TsPk/OxhMCM/h4zgN1av
Fgep5VY3c1TBKBTWIPKArATD+HRVFmSbtCU2EMkX9f2ktd69Pcdq4/NML763GKIzX33b/ULdWhW7
AV/53aqPdhXMzjpwzaj8GH/Oi/EPmoTtp6oZqj8IM5o3KWYgaK7jP1BKjP9oBlCU419JvcD1mho2
zV5vIzSvM6GOEHfs5IuCHjbHYhohydvG/WSHJUnE8s7QjPR6KNNuDJslmSa0e1PodN5YsbaawhYf
u9U1xqtGU9si8DrOe39oeGTfz6uTkHnBveiCaaBGGeRljtiKVcaVIA1LBMlY1YCdVtYMgpeemDoi
tuDW0X3jtTlGedB1TLqfjqjukCuM6LuhaWzsoibB4WCihY9DmQkbn555IjJkf1pSz9VcE/DpZlW8
X9sV+RtFxW5mN0JvMa5oF7VfO5eTO6wix8HmVtELY+9qGcxWS21VLyxGEgbujDH7oWB7g/EBXMF+
t7o4GlBXHPhra/wTr5w6U5A+84plDUxtNf/EU0GcqYxs7V43FCrJGRxRZLeXBMOvSjNRZorHBI6h
ssyJGiprxd8+VgYuCBwQc3pwuPo+9Z2GcbpoSTqCOEIV8Epb2gz3aa0ny6lFOpC/RuPswRYRPQ45
6DB9TkxXETDszPJTvYwFqadjrMotolD4fSfuIt5HnYNbUK+AEMdmsW3kQTLF677H9bkJZ2g771CT
MBsIfUkzBY3dOmrgYtmm+EJb8SVsLFe4N66Xur/J79hxY6STj/eq13xUKOL0fgufEeV1pAR9SLHp
B2NNbbQKbaf7g2mfZ/pKipWwn/XI+QRtt6DCpObJ+gexce+mmmE679x6Nt7n3bjerUMxfV4aq1k4
vZTyyl1LrMOqHlOdwC697DrPIt3dwyiy9etRi71bHAr5EXbs6n+gezRJsFZ5MgcWph0IuELfzwJu
TR4IsTLESaBg9WmT91uQgWJS0L+sEkdgjrw8xYnHiVBARQUJdxuus8QIK2zWMRPUYBr5mdvxT2oA
SR8RqGqGwzpOyNznlcAckzIqSyzil+/QeEhsWC2zgtGGtaAmtNqw//JJxfNqmhSVpbBmxjf32e/M
5NDj71aSUvd17N1Qt2/RHt218+C9m6YM3XcntljQk54t5Q4vDPmzhmH+qXYtgWMPpPy+zVKWZa5w
45BIYpM1rUh3PxpujNBm7SWqwQdYBP6Vgw6DqYJfHDpoiONIHCc2JoWim37jJJg8TYXHD6QSyEtl
pMqK3JWuEngqu+gBq0DzkzpXvFxq/ER4MmDwDfYMVgVKFgViovx9KIPDNhYFhQQx/c5UOY+1NSf9
rotVz95P+D+aQWa2PHTIq5KnrDRWTcpu8nMQTpx+q7HJ36Tg87Rc1+WkxtdV5hHBWPuh5u7tvHdt
OZXITS4VwyHP9d5BJeOPd9GEJ0BaWLazI7WW+7CfLByfy9XdL1HdJLu+0bQ/mGB1P88XljaVHRPU
BLI7iA7AqgMnt3U+thBd6RvDKdltUGrRHsQi5UqNo4apj5AMB6rEg8yMb5FbwtbjfPDn2vCLIuff
0WUp15R6yba+qezYCAGLtkQDKq5NfNBMRNF4DOnkxe5n0cAxEIPZ8s6r413BjIRV5i6HCmLYTp9i
iBSL1X5RDNbQhd8lK4XnfpectRc9hEoVtkU1vaKYgX/grkVDDtqKV807+Gx/0gp4FOtbSVW/daiw
I+dX7XJE4v22RMg3Enb/9fwv2hTZ/54oSW2xpTER7arjHyRmeG6DmVH6Lnkkw5ed4gDvMNkG7Gpc
8c5H25SinqNR0mRBUEeV6iLH0ZoJ+b4cczv82Sz3p5nCCPSjqZwcP52t+WeEO+GF0u2pZeiAdaG4
Z0sg2qaUitJsh/IeziymqPRHG512f4g0dxf36ny9jCryqOh+BrVhXwCevA5MQRFaklyBxN+i3hZb
sQq0Z3hOVhgbUU5d7hYwRbfY7HI+zZjMYIwg3iORFF/oZmxKukzyceTNJ3VrtG3UiiZgOy5Iktb4
Snj3HATzgydKSOFTtHLZCvyXmk+l2erj9Zh0vbiw1Ddthr9/BQhH1EOQ5tLdTdWxW6yahJsdWHCH
8mTF5nBZm/r6rQuKsSJcwmKyAYWpm89L6NTwBPsJLdD+xtK4xd1Su3HFNH1wDN25sJpeTy3NTZaR
Rq2BnrlhHK9fDmDLE1JabuXfflcGaUuVi+Hg5BPGVgosFF9Br8G3+gEy/vBWDSD5ZR3ONHhKus3B
uhmta1I1KhW2T9vzfO3nqEOMhINKzbSrt88rubQGmA2kGAiP44E2Xt62M3qLfiR0cY3RogbrANen
wHUU3s9t7jj3/0FEKNEq5C9d9suPI2qwnwUv3Aq9dmX6FaE+jB9I5sCERZgQl6bFvYC4OLVAQZLQ
1JHgXUT1jwNOAGRMZNQ5ijGghyq6Nl0TNk43Vhf248lAoO1gkJsmX23TXUSjDRWlkblchYOaRo8Q
qj6j0fj2+aNbqwEiBBSG2t5mOI7brwhmg3EYEktyhr31Kkv0djf3AqvgRBkuNE9e3xxwAQHiACck
faBDfBwQvUYrXly5RLTRe5qqVRhodcWOshsKnBQvHCebVs3zcYIEFigjuuEmZ+pxNBQoiwEgFUsf
5YYfKSrVlMhynkVr887tsF/yydHGz+fn9MQZzm2lwUXkADdoEB8HXSN3NawaxXo3TZI9nzhCXGWJ
fKTl9qKI3PuGs/9gGguU4vOR5f46zhNMB7Cw4QHl4Gzb6iRRGa0TV7DTu2hwv+laDhtdDNp41a5U
zmIjqXbnA55YpPJEA6lG25FPKn/Qi8Skm7zeMhOqn7g4gBBBRHs/ID98YZGe+IqODufLpu/sAr/e
LFJvieKsknuOKoqG1bqTd9nBgI6v7iU3ke+ZqcuDtqCvceFAOxmZe8hE8pjbyNkkhJGL5ngPOJoU
G4s3fzb0CLUn9oa/gAz6ydVS9v6kWWN0IfCJbUI8lZSHXh9DlmvsxcS2tCicfiCwNM26QdF43NkI
uj95jTlcONFOjBGUlVSH4zSDp7u5HkSh6utkoZdQ0yMLlVYxDjOuVgWzauhPDcp3X3PNuwS+OTHA
59Y4cEqA4LpU+Xw5QKupBs8b2SSp1sGKbFHrrSi7HlBKXy/sihOL1ENb0wNkBArQ2EIXsrYvccZm
gFGhm1Jhag4nYV2CMb2OIgEnKm1TGM/gQjZLRR2pzKUCWBxaBsNDPuXVzkmy8UJ+eCIK2ZHGfzg9
QRBsjk9M0BrqyV6F7lCLxrNWWegrJJfIZiei8Pihtc4VDm3F2nwcSoPjzCsHmYSFVspDm41qHdat
ggXgW88PUBgclipPXpOVsNnZxmiaMeVxqdWhmkFa6m1QJ/P380Fen4qoq3LduNIilSthMxroNIhH
0O+iOmjlNxye6bKjlcDo5mrQdznM/OXb+ZAnJhCkF5U58FecGs+0xRfbN61sQEgFybRh8FhuE7fZ
N8s8h+ejnBgYwo6kPiqXm21uo0yA8mPe/wBMPNz76iJx3oGl6/auQ40TkeVL2MTT8XiX2M9MgO3F
Nurq4KCiV/m4/dEMxU47dgA/xR5NdTWrn4a5NX6dH+LJiZSobm4ZIA+v6gEltrJIc/P0Syqslac6
Dou6X998jYGVAOlpWYDUkTDf7Cpqr9StZy6YoVCjR3fGpK7LcF85Pxa5zo5vZ6JYXCUQiVD89TYn
RGQnfQzNBqYqSP99Uswo72fj9AGCk3fwJtcJ8jyeRah32L+eD33iy5FugSWXmsWas8VVjamaCgFe
y69tM/4q8R5f18Ezu31RU8/z7RyZrv35kK+vFdA5fDDeAzBGILkdH/AJViX0/WY02Y1qPVj4M34v
lGHp3ik6NYPHqB4NjZJsQovlfOATSwZyg7Qp5rCHE7DZ7tCASGDrHtRF0iv3uJEjYdc005vzWIYH
Cw9yloaLwZYRVjezM3juQD2/cKsDDUtAEWABHbZCUZTWhQV6aunIqxlsFzMKwvx4MgcuNVQgwYKg
kZQeMtuUbZ1UMQOLviZqYvFyh02OcqCDsnx8+3Q6TCNgK5flY8mL/MVR5qS4x8a2hWLsatHyKh1v
Vy+aHZyPcmqBYmVNzswW4am6WS104xoYf3yqEqlov6sU5bsxg1NdclNczYp9ibR+apHIlzygXJ49
rJTjUa1rV9fdADQnMmtMWXtM4RGNS1K1u7AatzoT3DfcAFQZZPbB/26hcikGXVGW4BdUr9E4+S3A
ncHvsFctrixtKardkDtIb41Gi4p9VTeIjwLW9ZcSkNuF33JikiV0jOcQc8zNvvmUqx4bdrMCEFzA
sWO3c2jGZZ/pqOs5cVmG57/oFkAmB+4BbISY8HxbbAFk5ZQjpKhTAM+0KEY2siyjjC5SZGEMmcAN
gk8+Z4gVFY3VVrcojIsvmuAd5+ejXiKf1OIL8EvDC2O+KmbFwn7F5LC6dfQRgEvE0+rCHtsy7J9/
MCrwOnm+CsxuSySaSy+JbRU1QQwU+nKXjr16N82FcQAmXl1FbiyhWKI7JCiAQbRQ8Avx48XRkEQf
7OHChjj9a6CgoQtvc2Vs101m9wXK3YD9ImyAmY0BlxjJlDGtAFvQ/sEqE+VanUa6RIWgH1uUq6+M
iwsIMVPfBsv9e2Ze/JbNixbZNSUD/1v74PbiHdTJAukg/dJj8tTyZL1AQKVSxXmzYQXV0uvNMYkS
SwcJs/W630Yr8rsRPbibsePld36FnjgDyNBstiT3MUh5+e9fnGymvao1RB1ArJYhdq2yAmJdyunC
3MlNtbn1iSLZrjyy+JSbTTeDryzmgdcHEBLxLcrQZRVCj3/Abr6UYJwcEC85KTaFrtVW8UNKuJc0
zql2YHIRguDsUd7S38hJfl4MqCHCDZcVldfgW1yVGrzXcVwZMEbZV1jCDyHvN0yxz3+fUzPncrvy
jeA4UdI4/j4tTwYXfieB8FjdwyvIQqcenacmiY0P/0koiwKtTNdhohyHKjvcwjypGdjMffOArSzY
ktxtR4ndnrJP/0EwIMQU9kjc0dU+DmaWMHhsnTQa8luyH4YeNhHol3AEqLI/H+rUiiDx41qFsUje
sFl82COZdgdAjHeIVT7laure2+54SSnq1MZFLcCRRScumG1iWxWjTbuSdVeBnlX9Aedg4ELp9Dmh
7rVvBkxhzg/r1MqghAj9zHQ9yeE5nkGjx4gehWRykhoH3gwXyE9tBpaB10Jy4WO9Hhs1GIgCUq2e
+siWTDMhOFZ0JYALxDvaQxKJp9ptb4De2Vdqm44XBnYimgtwH6KQR3ICz+N4YNNgoCCdtaUPptK+
kWDRj6CYsl2iDetjJJLoQhb7en3YnH7YNJCc8MzXN/FSGGWmptTASRwRf2u0FWiOoU/vz3+uk1Gg
jrCNecK9UiJSMHKaV0EUp4nzH0h0tvdJmeQXbswTcycTLEuuQofbe7PWaQJg0OkC5KrGZXzUtAgn
NlFl+POUk/1FF1Hx583DYglCVYEx+9w8O/5Yhl08Ow7wBFhMngCl/ldaOW8kAnPa8sowOZY40Gm2
biskujJETbWiv2PUhgHlMioVatZmFbTwuHtf5ZtdmMfXX4tzHXw9JsQoJwC5OB6WGEHCLiO9vqUQ
wztnzaI7dZiM6c2nu4NxgAM9HIMdSoGbjN8tFW10PeRAE6NHTBZPrLWZwAHa2b8laf6R8f5qQDZQ
K4ftxMNblw/v4wHFQH2VQRWNr4kl/VbWSrPL++RS1f91ok8YXrzkE7gww/vZhMEVuRYuZiEkrpMh
QLS4mXE7LVNu4AvTFOMuw0o136nCauYDtCBvfKKbSmJcaeJiJ+7UmOURwpuf04Su3/GYUWc107rg
xyxtgdUKjO7kHQ435YWSxokw5Pc2C5MD0oZFeRxGXWhjmrJQWDuTG3rG9Lsy1PjqeZ+9SVLo/wdH
DzQDZP/tn/Ws734gZX1o667bCAs9/7l/CwtZ6r90HniyZKYbsnVIsv5vB3Fb+xdlXZJDcin8OZ7N
xf9bWAgTENrhLF0p+EPZhCv1f3SF3H+pVI48TD4MmyzW1N6iK8StyaJ4mRHzxMK7hPo1rS8qYtt0
wZjjFh3dGsMqHA9A8UFfAa+Fv98ToCILj101ck1/mdf42xCBdpIe4RW+c7OJJegKnpL1vFTJGrpV
rbjh2KrJuwooQh1Ozkj3IIqM9MfU6KUdghdZ80NTK0WBQ7Q5WzejLoqEF93a43oAt3kHnb37JQyI
Vb454hV8bdMm+1i6WvXYUU7ZdR2kRN+ry+gn8OYE304qWXkfe59I9zWc5SAbCXBXBXBLCzDYNRQ4
p4AxtBj7uc4H4FkQDnVsjUblW1eM3pXnLZ0XmJMsfZHKt5g+NPNHDAzqP7qrdI9Lk0/kMs0CsLdH
QuGpXBI8jSlD5XfNGoN/82w8bcI2arHmyDSvhrwicgVtX8dorsEfqX/Q0gdVNxlq9d7Bw6kOFrGg
0ZRHZgMINi6tCQSZbj9B3uqzMFPmeA4tdMI6HDDGLA6TNEtAxNqYaoxz0zRhDrDoY6ZjqnDoKd2N
QZ3PeLOlg4nhAc/U3dwi5ntjdfNog9OZ5106KYt1rQhneZhIZDDFoNzwuV28/8vemSTHraxZeitl
Occz9M0gJ4GIYCtSEnnZTWCiRMHhjr51YDe5gFpFbqw+xH0vSwyyxNQ0rSaya1cmgnAA3vz/OedT
D7h2RmDJc5reNIGl72U/UCj0xmx8jqJq0JuOQvO1FxV4wdPKQ91PxJSG2d77/KUJNbDesEn3McEt
ZnqXu2Mjtl2jXAJU7C668eo0MHFPOXmwb8PRdmNo1UsTOx1BArFQHcwRL9Ditkah/7OxxKChxapl
3OTKcPipRtT9FFnhY+Vw6vGqwWXTIPnKfAy+sMqerbTBlCMdLGf7vqn7a16CqNlnQ8oShtxwWHYh
emiUeLpBOlqHa2lrBLRG4nAiKDtpU/aU8Aa5AMQ2s/Q68qoaxnYm6Um3vphRUpV2ca+jpAhi2L71
vJsxPt+UlrDvIxaSJxLQCTEO8BsgouUZERLVZs76EQwplh43Ge+TsEHFCYFZRVBiJRnYVVnUP0Zd
DN426VtLEqfetMSp91ODpi0Z7FO/0L2+kFbR8RLbYuz3Ux20TmwSYIe+0InAmSpQFQJUnbZf/KKR
/q63K/c78tjwRlHuukUKPT5aWlUB5PTW+kS9Il56V7y4Vu1RbBuuZbhmxYuV45LX1dZu61DsJlc1
911RYKPWhMaHxB9kM5iGeW5v3TmDNBktBTjMJqmSR7w42T121+lSp9Zf0rfh3EAhfsCPGH0RmW6y
WHXz9LVGJ/gtRYzKxICimo/EMuUXw2mrCZXrMIT4ldwq35b2zBaB5w+CtGKKfO5UyVfnsIrjWR9C
BV8F7lC+801R/8hNCVIoNazoUsgEt1zdTqa5CQY/zU/yIEnCTSK94Boxc4b4sy4jCe0mSeSJDgTN
XLdaCt6lWpJNAomIn7UIyZm6I3GCn1t4Cv35QZCfK888q2Cs31XBmBB0brfhiVCl9dUdwoZqMwKH
TTObrcdwWlkRzzPam5b/Y21lUUMKGRsjujWFuwTbXgz1y2ISksP+sbKiOEjs5XtgJfoigiDT70xf
l/fEl+TJtuLUnX82piXgXXGF94ykwRInISybeYfDwSRAMKUeRcBA2JunqDdkeZaFS+/glMH7lPx0
IaPKcVfVOELwgZqg1OYcZmaQd8MFjkRktaBmc0lc7aY2qfKE27TJ8VigvoHfRyC8eKjKBDhqIpIk
3dpThlciiTzZXphgWOfNYibRGUrdgDjYdSaL/ahIftjTAoCmDefc3iv8EVR5l6FGJ58L7V74SL+H
eDaZ7YDhlCGmBdf0Ynr7rcIQYay+OF+hWQrNAutCs5jTyez6GtKfHgM4zK4o7xYIcSkzezjkOxQW
LrioXKnbNJu7xzCbyaIbDfwoG9B37b1ldAsQVLnoF9ogiLCdOijseHKgjlyWoVuRIC21UvSmfXT5
2CarBguG8tJLqK6p3JpVio4TOYdPBHwGfJqzoBPIbZFw9o+NXjqUc6vJznYezudbbaAj39q9ZY5n
c+f0vFBWWT4sDqq3czou+D8FivHnKQvafhMQPgXhB3tqdxIUTRsAolH1mlFOEBhq6qpFa57lHSTG
yjTxjNg+wifJ8DSxEeQOHqsSNQQdaT18LfJ+vWt8nFgQNJiWfRBwC5vcKruUaqmD3RIxc9MCSysK
a0s5syISmQjvB85OHTLLJpmvQK0m1hbxkyE2S0e5Z+MQoTPFBsBidpjUzc8GAAMuNkUGaOd6OoHF
Td0wKQPGT5OAPmwVzRtDXCyRMLCLTGV/BqkHbW67+MOyT5StOOxG2sp36YgRAQdHULVbWNLpD2mM
qttXlYPLoSN4X24oC/NnqkX+lfdEP7e2Jb+RqSnu0QEXgB+I0NonJrQpb46qbmsRXPOSrXXdTWsn
7pN2LNZt/KABBCymWIgAA2gmLACuKuK0SeR9YugQIg4TCBOQqwFJGiWqE1C6/XgzufYCmiJL7C/h
OA5RrGqZl/upmgpmp8X2zi0IuN2JnKhkxbnXWl+kh9/CrlaUpzejbN+GdUk+rfZQuhvSQqleByjG
+c2pE+J9go1gjh4GpHaQSNM7f2wfWGl51i7rIcgAkNYo1oM+/CTbEC098Fv5zZRO05xIvdC6T+sC
F4eJa/6q0bKcXcRPxaeioiw07IFQsBLO5tj9JQxb3fmz61wEzbRkpwNknm/woIGzd71lX1Wza1+b
2vTak7BFVRHP5dxfLVNfzXFfeZBCm7Jij9UmdWpvHLy6PJqqKB7K0GpecK84Ly6XizZJFc56myTT
cJ1L9h3ONEb3i+5mdzNFaX+P1jL82YRR/TMwMutSUyIx9vkiw3VmSM2rrBzCC+KF6tvGENhOSOLJ
OxQEstyOSxpam45tLkdx5VQvpOa2uInEDGxUgzs5yUSeP2eV4nswlzWq3Sp5K9A3JBgb2sJnBHuz
Mapvk99DwLRQ3e96g+MhX2QZPKRdkw8cVNvu2Z+wa5+msFweQ+CNV1PVAqYixwLPRYFr6bsVGaXL
2hElTrwYKNJ24eg4tzgXBarSGq8Qy7cV/KUFEREbz++9+o6/NC9SanrBRqd2c+XWwVjHvr36eIm2
LH+mzEzuNu1rHV0Zg7TEtyKw5/MGzcmyDZZZYmBBwGFsu4qN1naacNOgSOlsizSqCRFtCQH2h9IO
mzWBo+q89nILs13SRJ87u3Y+14IYui0NFvdlcc2+2KBom57tsqHsKpX0L8bOG6h2AF2/m+aaKWaO
Ju8TXaMJNAaN0F2AJEHsBnM10+QjxPM1fiVbUxBJrjQS3cKiwxx963Ztc+MWSoJl4eurT+hpZpcK
KsUjtqflgZm4uirNTDunMq9NmHS6XzMHckxnmcRJK6kGu6lJYuXg5RIDTLJU+Xje1g3tpG2V4KZT
2zWLxyA0rS2jOoRavoRlTMNb//QaUz3qCJMMgvyMXWtr2PUCYa/F3W6yMunN6Kgw27pa8LmZqvf8
OC3H8JPCfYFj3zGM6ROVL0z4pVY4TVS6ulbGYWDecoIK5xUTK4jCmvl4H04OBhGJxvehAjDyAvGc
Ny5QrsLOsPpXqJ4Z+WVQJdmFDCWzYwCQhXMKP02vpGy+/iDFiVMGo3ER1CYzX0BN95srXKwojs2l
W9XhA0tHvKfXrVuEiCoLgSOJ30ylD6IUDs45f7am07Z1MCs0SAHu2ZkV3wp6SPW+c0Ljq1HUyTWa
c9x5rjkl96JwWSrsIY2iDUbQGpqdkcNWhLxkGnHjF5mIrbHKYfPpprhpcKsRoIxqiHNU6gBUw6Ph
PGpc7TgqmwW3aRh23XziEAD0aaIsnW38bphamr5DK7Z50qjHuTZbM66x8eexkWr2LmIZ1WNH0QP7
XDOhjnA8xY0NBeEeWAB9O40nz7Y+g2OCa9MvSRRuGyG8JzSv7XTiNL5Sn9qs8784ScRmUko3ui69
wr9inTWvZ+XPt0uoN23DNnwDLafu4ySSCIjNamDoC5VwGOqCDhX+unb+KHzDaFnqzPY26lPxQuCb
eVsCgYZhn2HEYNp2xx8szSFWomYJvnR1UVuxhmD2Pcd6KOKKL+T7VLOPJ9Uhc+vNGMjZ/JQGU/YV
c+7ATnjIquKs4GR4YmAUh/pT4o0+ExqlSloHTbHN8BhauxKYYrNBDzBAnAcsG4KZo+G8D73aE8zZ
RoCLsMrMa2x2NJjLaUG4OEaLu/XgL7LZcCe+qabFPLXJoHTc9z1H6Y2FGdnZNtiQX/zFcp66wS2b
2K1Mg3bCOKaPGX2HgKdnNhAMCbBsz/u8HG6svgqYjHCSPUVuAqGv9ul9Q3MJ0dF0qDXbCziznKNx
1UeCLU3jcbDicNjHk4agvVXhypxnZjCicZtNtH9j+Ft+zgm0W+1UleL7M5ulgnTlBTiuOsdlYVkE
HxeS/dK50Bp/3Hm0sIQDt15cTCm+JujDCkYeL01ceQFxUwxM/4t9iYs2sU5y23MujCFAx1c50vyW
h0BxtovdjflJm2VLeaYYtH8KY/6ojvY/Ppob4Pdva2ifv7X/+R+/kuBIn1z/xb9iuSHXEuCLocBD
ZRNhxfmv6pkHJI42MdFqjun7q1Dgv2K57X9wIKQIR0cS5wplUGpu/6qeRf8IqdFAgaOLjMSWFtwf
gOCO6q3kOx0URwTh2j7S4JVG92vLesSjlxJYBQDGNsbt3OPdR0v+EdzmqJPy91UcqoiocYjnPLbB
VUlX4zOHr4X7Ltolg+Ft2lLnTyldnC35XMYHJo63d0UDitELzRUyzOHu9V3lFkfMSIftZmgjzLrh
pFHHjdYHDYf3rkKQOIofyvQ8pqMerzWEmWxN1lcOcPY9grjijL3Nsv2lIvv57zLmr8Dtt2Pn0QGl
fUKqYkiq71FFvEVOLfqA7TLAL0ChgNFXOHzreWRARzPZDhY4ztvfX/OoHcrzonO99r2wpfDamrx9
v74VUek0dUHGEHK60j43jYYcnE5J2jah/8HtvXMpyvwu8phVKkl62utL2XVhVsWguBT7rQ1z1LKv
cVXHnSzyD3oL74yk79L7sukTrU35o7eClAFA8GUBeijr5BlxP/6p78ke8JgTXU9tFfzdZvjvtonW
UXx1vaNRnCHMw17jem1pLfVpYSW1sZMjvN0/flrkMqIv8mxuD+3g6yFMihDGXeU1KAcbMcaEkMt5
22fD8kRuQvPBxd4bxIOH0QwBnjGOry8WUdzjqDazZM+22g5ja18JH/EXhqN56+s/DyVnEJkLydXj
OyPCdP0If9HUjO6QECJjNxsrH9wNqTf2SgcMNin6gD//nn2se6TP0U/AnfHmUplB/LjFpQRx4G6b
ePus6z/iRK0D9Euz4vBW/HqVNzNuULedxQ15S3UtRJCehGpu7uhpupdrvfKuDYeHP39Bfr3k+kx/
GUPL8DxlaDbNMyX1bW/n/lUnFwK5cPF/MHOsY/Tm7kj7D+kQrrGSR58zcD7RLobg3EYy8mdV1TI2
QsJQf39D716Fl52PmaBzeqOvbyjxErcREZWPqiPwzNGVv8/Gyj/5/VXee9X9EC8grISILteRfIxU
xazNGlITjBafSxwSnXue+0Xys6g7cRsxX/UffFzvTYYMHdMhIZJ4C44+LmmQhZn59Hp7JPMnUCEe
sYg8k40X7H5/a+8NIA4JE6Gav6objt4IVAHkVVKpJ1oQQDshAuHWza3+gw/qWHLIu47DarXI0ARk
ITkW4QrAlEPulZSTndZBhOtMsUdZekf/J2UrXzkbEttOEuINERoT7LPhpI4m0XQ/Ss58e79IRWA/
4ANGNMfE/PqF4UhnjuPIKmOVfe5/KTvi0c6EMxQfyYCtdVJ//QGs/nX2Otg5PQ/pzesr6S4NhUW0
+4bWniJkzx73TVM7UGHbT6lv6PMWo8gOIauFhIo0NdS8nP6DuLf66Gwg/f2DrdDb6QbZhcUXuaZr
myihX/8+08z+yBg19CyTY/xmSqOCoI1+gsZKgoNd08kf/a/d0IOw/v079u6V7RULwAaXcT/SY8xj
HS1pw6wzCWvcDmlOgRpyJNL2lLrLYyWnj5KC3z5l7vWXKx59sLPtcAC2WJu0QzO4rSQEecLD4t/f
17tX4QEzcH6AwO/oKiHFNIcdJXGAM9U3gy5yPLpAa35/lbeTD/cCncKEaQJx5FhAWFbkoHcBvkCV
Rv5Xyo7NzlldiuaQy+c+a5f976/33tPilV3PHB7fyRtjoqoW8jlYlnw5uYRNNaFxYSdmGodh0X2y
xznqt5oYpo8cph9dN3z9flIc101Tuc2GYm17IaeqOiNRaPlEVFt7MeBEj00lrQ+mv/cGd91twsdg
A0/08euL6jqEl9oSfaQyy3sgh0cPOzsa5clURoQ+CTy8978f3rczO4JdzLtIXNlZk0r++ooDkVul
16UN4S2QVPymabe4d8eNUeo/33aylWYHg24XhytmgdeXome9qMmnJjNP9JJMtQx73Xsfbabf+Qq8
1Y/MERSzJcvQ66ug1vY77TN/0MlJrNjJAuWT2NEu858/q1cXOpq6y5lGiWvPuMOCmmKYou+tZPDF
bJRHpsNHzuB1cF5P3+u5Go8sbweS8QOl9ZetEt9xlgux0Lcdze5chEZxQofbPK8KL9zVgU8vbDIM
apMzaosPPvl3PgW0p65Ncpy/kmmOHlygNNqSntV/MfroJm88+5rc1yEmHLihYesvklCC5CMn0Dtv
5ho2zgrBNoD3xn79IDmT+L1jUYPzrGTY1E5EupQlBQHWhNr+/iN47wYPZ2VEN5iPjjVkIdGanZvW
bKhENV74AxDfglTn88yN7NM+CUisy5vuj6EPaJBWIZLNRoQ0oGPJcisae+l7ruoMlFpxOWXhGiXb
nXuVM1zpNdOoDKOOhNUx++CJvvlIDtw0giTo164KpaMnSvhQWTcNM0pKotLGNktnb1PG++OYbhy1
iARRLqNufzO3tAkdkWnhnV2y3lqDbMHicMTNT+kKlx+YD967I2YXtp/Avbjg0TxG3D+iv7onBZmw
IOSwg7E8jcS2fZRw8uatZORW5waPjMoAJ8DXb2W2yDqc6GTwVsJL6urZvTDzoThr9NB9sPK9dyn8
OdDxUB2y0B5dql/FRvT6uFSTopIaobDVy0wcrzmf/v79f2/w2AvxCViwrK3jNbYpQmQkdo2g0zUz
/CHsdcUkmt0fX2VdZvi8GDxASUdlhy4NRASzgCnMo/tiAlOFiF58JNF/Z9TYUK/1PK6Bzvto2pit
tLZll+Dg8XAMETlo7yodyi9Jky6Pv7+hdy+1ThdAA1cH+fr3v8zJgV00wkjVGpY8JPteEb+q0JTF
lEQ+SC545wFhFPq/VzraF5TV3CT0IetN5I93SG+dXWkn9Qfv2/pDXi0xdBYoT3IZRJOk6ByNnNXT
aqrQyKO/q8zLRurmpnCm6ixKPXfZVJPWJ78fP2v9iW+uiHoTNySyS3zJrwdwaXKZ47iqNm4aMYDI
07ZQSgCtRSNhvsJLxGmpx3Q3Z150QjaY/dOYjfPOK+u9cCb19fe/znuDzINcU6moz+LBfv3bpGVe
DGHCmxNE47I1aoNUyLB8+fOLoFm1Vz8R1dPjQSZoFV1n7cFpylqbfv8k/X7bEY/4hz5TirLsFSKX
shFKcBSTR69M4ipSJmZezlKWaP6E429ATexJ8Dgte+MjiOV7Y0cUBC8P/nyk7kdz1aA7DNBjVW+C
3ksu1Dg3ZzWz6PbPBy+k4IHwhnULRtnrJxTkyPPmlBlRdkV7WQ2i2GnPyT4ox75zLwwbhyhmRB7U
8cgptLYqyuiszlMgrvIpcmMro+f3x/fCVahVsmpxmDouqYTLaPTG+u6rzEE6Mmt7WydluPv9Vd5W
OnCmmkQ4eUiQ8VccygK/zFGIQZGRFAHe1CHJLo05dPZWk59XE4H0vjlehZP3tSayateIILmg3n3u
R3X9wfryZn/FL4Gj2qFNsGagHB8ylsYc6OeSK7v4ow3DRYuu/IxG2RwvvWGayEWaojw7a0eUyx9s
7d6Z1DgNAD2y8QawzTpadIi/9IiPjiBJANVSsTAJ8J3q7NJxUzdGmMSfvx/x994eYl6oQWNtYtCP
vwQ70AViPea0Vco8dQ5y4GL56Et4u/SA/SHBgbyc1QV5fByg5pzqNuCx+iID0xoG1dlcLsEZLduP
3MJvR5BLhRhLiHZDfuAerXLMlT6SS0awUh7aqrkixx+dj7D+ipCN/xDEEyYffOfrZu31urCmSXH8
xdNBi/I42ECoxtNp45BbUhbGFuaJd9cM0/LcDEG+tazSfqYMoi9q4VSnRWt3T79/hG9fV1w0bAzw
BBH1RAfy9TQDGwx2BSL1jUnuxzb3gx9k9D15JQWqhgT1zeB+tKt8+9KsV+TQSjeNKuvxub+bMpnZ
VkNoNOI/hBXDcMqn8pHt+J2Xhshv9pNswijf2EevJtFYgULpQgYfgpC9R/BsH0eJJW4x/DkfMeXA
DB09RYprGDEp2TJXQzgyj4bRGslS6hwSct3CzY3Tgen6xRCWsWqFZHejUbRaGx3Zc7SbdTjXl7Ay
aueE7X0DL9wLq2a7IMdD8833UxAiLu1Len/GiOIgQN1AHGk1nkXOkquTKaHfeT6FnZftQ6ebq9OV
YkGWrlSJc85LPafnyTR1+RkhcFa1DWCgidN0UMI7XZtJw0nXREP5Wbh5h7FAJSogkF2KNX5btCFY
kcR6rFl8VNzmxMDE3bSyFREqowNUPjyDr16l8mkThB32jg4RWr4NqzS1QKpkUicX4ZSQ0hwWSs8n
iFYlqav4QX4UZUKiKNAL9jqmlVnLuYv2f03YHZHPNjzNBKOC743boFP9GaLHVT0lbcKm01CjZPS7
lOxuPH8cD2bq2tnOCqu23cGike1p3llKw8vyUpBvcAaQ8NnoKzfTMLAHwEdmlueGn2MItydQoidE
y2t/G02OLOIKEsQLMA+ERktBstxQs5PbuqKwzA2Jof20JmVOxQntMZtHiHKk3hB8DiNIQ7waY0NQ
yNiPFAYxF49Rlp4PgQ489rATUd3mtCTTnidQwBYxF6NCZdOm4Z6YYxgFalp8f7cKmAtUJg72Lptv
v9oNY5WF5DEX7UwMOKniiN2XQ0D4cggLdw/B4cqbu/EsNQgTWSkThIvnpDWuWBC0Ojgy21KSFd8h
9A2R9I2nzZpRrqNykDvnEF1uVdZEjLlI+3HLATo7G6B4zpdENzM6XTmYaEfLGYVvBC38PmtISC8m
tyc+WObLvM8OIepZjtizB5KA6LnKhmIrD5HrggCoc4mU/mfQzO1f85rNLqBPaOgVa2Q7Ks+gjAsV
BTs8NVaz61FGfnfaDOM0Zdn8yfdmTu5VaUdXi7KqK5WHwjmZW2cpiJvoizxG6of2KGfZ5yC3Zssv
h5j5JQnEI5QfwufHgRz6OZT5A2gKD2k2KfXFIbBeHMLrEbprjgBrpH2Dtu2zS4W12oZWQug99gF5
p6oomLf5moqfN+VIhHNWoNMO1tx8J3CI0AcOI78QczsPJyDiCNnvD4H7dUQc4a5aRswY3iGUf4Te
15HRTla/rlPx01vWAH9a2PoyOcT6t0JL/BWkSSuMPlOh9p4FBQBqB3gT1a9wAOTS5QlWmlLcjNaK
DwhkZ2fQbVasAL1a52cWFZSsEOoj7TWqZgAGAF+2pqM1dF/zA6aAw4/9xffS5j5zkCluhgPSYIH9
UO+aFCPA1jtgD0xpgEDgS8mvcaOY7aWzMhLKAy4hMw1k/YaEoqCd0nxRsPKA/ixt2z4Qnx7pb+zE
veJCJLJP97rAPH5uFEVTXxqeipAxqyxvLi1ZecnnxiVT5TI1+/phca1Z3KVl1CTfxx67+I3dgP3Y
84TC4EuDXNU+dZNakVJglpN/3mdGS8Q234m3zU0/WS7K0bb1tsGBNpy3VeRNWzJcSTXH0sH9YQfx
U+uMRUe3J625pP5eNYFIThqjSFBCJpMJhK8XydZ02q7YB3BcgI0gkKRThN4teh4Q/Rq0+lmx09PE
Ahj6heRU2z03JLv1fZS4uGe0HsrlLErsqf4MOqDwH9YXwXnJ3BGfEM+ltWW6MevJ1F8UG8TyHq+F
kjfljMrxnBXApc7v6iRXd0mKF6M8HSIcVCNEZBY3TMJem2rrVFdTnWiYOaFsfxIQmRLHD8fMuch0
PvPkJzNj5mw8JdXnOQyJEqnCUU3XiDKdZD/ZBvANE0Z7i+7T4aYq283h+rhpq+1PXdLW5QWRpWjT
qxTLx5e/E8q5WyZiNit2tGlWBgGqVVGyt5V9de+qSNv72VHzcqeGNAVS87eEnNoexUaRquGTbwWD
faM5fdjo/Vtlh5etIi5nT5hfOMWtGxXt9RJ2NH5HVRh6V4dZ4sfIxwGLDRyZblMn0NdmMNU3TmKR
oVQ7RG9sqqLzv/tWx85lSjzKqOTw5vjkEBI8Ls7STagccz7VPmjnDRt57B58gXZ5ia98tFa0e1jA
v7CMz7CTPQMl4UCwzZzZeMvWWKt7YdAj3PXr0W+nkjy9yo1GXglKjCZ0+Eo+FEFOGBjRD+2L5l8v
sYVAlAo9+GDGx01SxVmkQXzlruJbCi15+2npAtg8QK6WLHaCmh4wa/XgxSM82usZDFp0VhpW+LXK
7dQ8r8U4zJvBjOZrbySHhARZwSQd1GoMzzGHEeU/d7L84ZYqMTZTWTY/5Jy61ymEC3SW+MGI4B8X
D2bMVBV3orR9+FxJUz0AgRyafZvL6qYyvMzZ4LAmJDuP0vyzFcw6YGWq8gId0tKR6JNZyRIH0i5A
qPeDekF4IuZY5uE4saWrej/OOie3n7y87pBEz2lzFSUlzgXbyAaN5SYIkLmyIfyLwy7q2Gou7BuA
CJPaK4EsmOJEqvKdO9jdc+ioAftNgM4f03yTPqHNJr6KSWW58Je5fnQ5+JDfW8xpFBPC2j4uoWXc
tXomNthfiD/YJN7S/xit3sHs0egfU63Ed0ogGAthND3iFc3ceBKp8dPpp+EzRY38uR/hpmyQhEKH
qBeyiGdnjL5HBmLqEx5Z9uh29fLcTpU6d3NpoZ1yw+5HtOjqO80f4KjubJN3xbbHWQF5WQdGxQib
C0BZ0XRizl5wB8pQWLt8ALoW664yjJ3KKhh4ozPlvCQ9+tIdlFMk83YCj+mE6Hx5m02V56Lwr7zn
rveGdF9KBxhENUSlGxvOxK4lHBosTjY732BLfyu78gC6TKfQcW0RC4NIng3eLOVfFstMe5YKfIQb
F514tMHCBdWAhmA+Pk3mnOMIgmGXkMg6+5MFIcoOeIikMJtVLDtZXycyETb6XFWNcZ8kto1hEynX
FnMaElk/wrizcWXA7scvB/sbev/iInWqhYiqoCOFfLFx0Z3giXPExl4y+dTg45ygxsCt2ZS0g/ae
R7YoSOpC4blNw2Iv3Zz/dJoM+0mZ+eOTI630rsUMkJy6aTLZfCDJdJEPeroHURVVcWTl9TVMqZD0
XphfiKa7we/3TtWZnPGiRUWEeXWYUcQIeB5tsSVcupCF6e2Woai/enIwNxI2DGQ3leL5nHxD9ptC
Bxg2oWb4nweDgTnzAuAy4IKcKI1dSwaPOsWlB33G8OorfGf2aZXKwjurnFwn/HPDHbd5MFho/jlx
jRvmFtaFbsncfM+yZ1zjzEpAUoipO7cyDvHYgXx2BCEBFRvHBvKBtcRKH0XaBNbWUUGkdnykCN2H
iHV36wcZm6CkLIOLKJcBDggKi4SVmULnsUTU+K13Rzntx6i1l43oxEIHKCrVy+w147hho5h+cbQZ
fHMNK292CEyTaevTGH9Y+tTFg1J6Zr+XIsscTgGqv3KIQ3qYbBGx4VhS86ZQzMeQU2amKrMfRi+G
rFfxsnltA0Vdt96d0CIgItGR3mUblupLmSAgjIUzpl+XIGX3WxuNvtBjwi805qlUqCd6cT8udWRv
/cpNdYyGKEJBK3T2eW5s+0ln5GpDSsdm1ZtOyvSNHzOLy2Q0EfwvlvtXa5vzE1kzKL9VMAK98yMD
308U+rm1AVrLnKqdiUKKPUbmpQ79RmTfpYXvIB7ZnIpNSeQ1Jza3Y3VchgS+CcbB9EeJuRG/hgjt
el/xgKK9C+cbpM0I7mrLSBZfORw33xXuCEr3ROM3+7n2u+40CnJgNLDRgazUg3TYsbRtPu/nuaRN
4Xez/RUMT8rxAdBcuA9k1Z1xW/3P3HbIWVtIdZ0riTVp6YPqxSzN5TnsAjzEyPZcvXVE4HfbWtbp
rqIAzddoo25gGdduugM/GH2xsG/d2v3C5MBOI3O3SCe923YO2YP00mq30GmSL+bcZczCSVWcRn1b
5J8szP5tPNSjcVUrTrEb0FvZ2ZxHYXqqZp9zp5xrGFoYYUw/dkJlnScOisVNsbjrqxH2/udJ6OCv
sMYBGdt9Xb6MppxuhqqP7sE4CUG7phsvJL4KyHelG9zYWa1/+koOLJZ94n8Z2bt/micdUYiy+VwH
29AiNjkL/YWbAoWaohnwRUuBBSHTRvWyiG75OkIx7TYpaKF79La9E0e2Gm+I9pqebKDtsCjNbDwL
l6QNz1kB53DDQmQDcOLQWJ10RsWytYDDsnFCY0zehGWCIZ+QzOpWLko2pymAZ76DGhkqTtVI4qLN
sjHc1taQPCSzbr6mLvA+9NgjrvwZcS4JeoudJHHot+VCeoFt5rFDLb+NQz6VlPdT6n3eiujJjsoM
66iYnf5Uiyy6RApWi+ccb7S/X9x6LRIA/fyKUBmlkeoy7EBU60A1tb3ZTruwof68Q2ITeQMNfTof
0RyHdPrHZQCuN5ZmgXhHsR0/a5Ig+cF2WE6fjGUY2lONz6o9cQzfa27YT0cmjc5e+nuUoq6N59xE
zr7kRAvjPjHm+2EaFNWBCB0NJl1B6VMfLKzWwc7KcRxrq7u6XDFwY3jlZcP8mh+MsEAWOGyBkscg
a6rVLLscjLPqYKKl7I+htjyYa4EYlv4FtiWWUpSx3nBpHyy5oBng9gSrU9c8mHa9ymjuh4OVVxVh
xBkGJugjO211C/ME2292sACXQcv+kOyT4s4/mIQb2c345w/mYTNRbJPng6nYRf34NB2sxsHBdjys
DmRfpUu+XZlUQ2wdTMrRshqWV7gbdNGDkXmQwdjEZCIkP4qD1Tn/2/Ysy+RsOZiho4Mx2vrbJG2N
0os5gjs4m1cfdWcPGL2qjG4BCwzrOV7rf1qvRWctTghjoPYPPm2jWibV/aUOhu5DDfH/W1D+10vZ
A647+/Hv/0Z2yppm/v+OccGC8u0///fzt9culMM/+qcLxXH/QZOKLoiD+8KnL0YR8Z8ZLk74D0J9
IhjpVJ3XcHjqh//KcMG7AnkjoEuJHBVRytqG76qhF//+b0b4D8dEqrLq6ek4oISL/sSHAuvidRkT
iQfsBjoISK+RsLvH4hCV8M6VeZMjARHtXW3l8qm1hvTWBYwaYMPsjf4M+3NyV9Wm/yPNyaUt7BXM
4dRJf5HWuvoZ1GV6vtS96PamDKyZ9dFi8TMDcGuYdpOFEJh6IcVLoXLJ41HbIdWSQX0ODT24W0GG
KhWNus2e9f9h7zyWG8fStH0rE/8eFfBm8W9gaEVSlJc2CKWkhPceVz8PWDXTKVVHKmrWXd1VKaVE
gjgO57zfa/ICCHLoEDej1K4L8ql8KZtdcfKrZ4hqwXPDWY6jp5HKLF8gfmikFb9DI1YU9eD6SpKi
qpVRU+bd5RCMvjHl+ScA3plFw8wR4xAUsh+N/D4ptY54cd2sLFb3WbsnczrGiSMRNdFW+k68UeYJ
cXCK18pVxNQOj9Ni3uIaYyS/iEz1akPpl71KqArp9ZRGQ71qfD/XvVke5U1F7CRiRJhaUA9y0iso
R7XVrUgAEQVYlOFvlplZ5A6W1a1AMhYK52xG/j61UnNsVbNWb6nDqPO6ysQEUHIwfdxXBWpcRO8m
+lZfzORksRieM7kiRGvOK/2ACVf0yikdZpEi+lPvqvClw13ZFOp9MSQT5tsEEnJAqttmcK0+6Uj3
I3tWoFxkjoCVSg54EFtldhTb3AAtDXy2MPkseuiJJqTSqa4+R1oXCjQ3Kan2ALAzO1CbhdDVJbRF
jj9XI8fQIOJ4hMWZdFeQ+4f2lANL7g6tUp87JTNFO51HLHcIlunMhxI0OeNicvGzzOsq3MS1IIWO
lYv6E9W3ttvKwZA9J2nbKRDQImuLYHEMnH6e/EddKBFR9oKUtB4mriiQLBTcxtoQOBa7ZiDHDLvU
x/rDzzX2+AV7QImj6ug/4l2j4eAYN4HicGoV7o22ic6AICreEnUkmKegGTHmqRuNozqO3o2BAcay
LZ4SQV13ll/u82mMBK8WiToE+muI4o4NI7mBA1wBBgSEQe2nwgRsLKWo1+xWiaN6W0lKQV2yxr0I
Ow912BtqHhIohCH1D2SMc0iyyGworl72hKiqQVqNjpjimWPjMZE9SmkxPI6BplzDXg8zIj0XB9S+
adoDp07/yTDz6SdhOpbm4EOYGZ6FnZLmwDFjPxbLOSn3mtU293RSltpjOWByM1dTrwOwV2m5Ctoo
eBFSpM0YBgzJfTojgbJnI0lv2Qj1lavJvvUBBi3Lq75u+mu/9Vu+D6LUtaKu0VY6WwIMFwRJvpZN
P2xXJXT/ayWLxieE/q3GYUWkCmXBUVe2bEGGFpYm1FMPe/WpszVcnQlhUI2ArKwUj1WhSdhQDPh9
kDsLbCFTM8kxazIjQ7oeotF4a/JwfFOy2m/dQG+FtwqHzscM1bk4gnZB6SUsHPtrtbmRm3o4SyCB
MBXkWNLWSQpI6YAC9XB3LGsmLdfitO/OtawVnpwOISri3Jpat1bG6TxavfGzUUSObWGYGz/yPqkK
BLMJHtQdh9GIfOcMmx3EaiZmCVobkGTUZZlit73Y7qchqyvGoq/IdjxoNTm0Optqi501CeX0xQuq
c/KnszgvdlXMyciNwNtVZ4oxUnWlnqoPSBGIygjkc12jZSWzXUv7+0AdLVZXakGcPkZ0y8TJkz29
AQM4iH6UPqezJR0xN0ADz5LDcT4t6EIc66EF2lDp6us8EfqGbmH3YIsFMyIfJgDhdKxiEfv+KiZ0
l2iLsy6oyk8Vnw9QAmGeCLztM/0cRH6XuoVIYDBMdyX5kAEJ3gU9oFxcpErLgJZkzD20MdYfjCmI
jBVH9zJ0iSgeqWD3saKueZrOSCMUqqQufi7qthnFUbX9PivJwiNAudoJRuXvlbSBkKTGCTIHsIt4
xBcpL1E5hj02FiNmT0+jWu39UdW1QxcQLYJHCBbI4OxVgukztrQ4Q0HXm2xIAtMdZmNGtVUDMuzr
kJoTQ1RSHvsqA3dSoPjku1A0kOQDs2mrNEi0+0KppJpA6g7czSJefSNUAZs/TsLyR8VJ4MhzRacT
hCnoNmFVDhtNBBBcJ/hnM5MjXUptJcV5RGtE46OeBH+ikjX49+R966FDhCiREzR9V3tt3gXNSkvD
asPwMetVX4qxZiMAB5OrwWOOU4io3+tTorQwOjPl8zC3oBjjOGbgDdVw17KEPsizUjF3Yql9rvUg
2lXdSISqTkozYPrUF/dWX0KbJJyQPLMkqTk1YqouHQJ8lEKvEbvo1VBn/76kJgfngeDrNwVaN+B4
HKq3fqLSblHT969yMAnvlTFAB/rP7rOO3trPG0monr/dfX7U+Wv2o3v77CHIdoWX/bX/lC3cANlt
WezxFuf6JYbwr/2nKv2BizVsyCXWhDg7HWLEX/tP8Q+c9MFOLNKgiNvhy39tP60/cBdELkqmJ5IF
8hL0f7L9vHAI/0WFgHABsdDgKMv2Fy02HJ7PXIQ5oNCphdJ5v3o5BZ69Xdvb1Wm1tVerw+qGf7b2
mq9sz/MC29ltdj83pTPYP93NZvNzsM+33xARv3jd//3zLNyJX/hEKnIlTP6ls/vk3q3Wtud4m2/I
HxdKzu9u+QtNISkEPIQiLnHYHOynlbvqbXtrP69X9o29sm2u6W4c19077n51dmxv737zCS6Cyt99
gi9k4iyuG5XMwPNhdXrZru5WtK/z6mx2zu03V4LW8ul08bf2/GoO23Aa93tu9kAP77m7pV+X//Hn
6WV12Ling709vBxWL4dTZburw+HlhU9kX6239s32Zr1dr9feen1lH72Ns3P2G0bC89WVs3Fs+8p2
jhs+tbuhwTauc947tmNvvN3Z2e9dh+Gy+WV+Xf/ZQr9Kwr8bHeYXCVKLOaTcMjpW7vnpxymwT7b3
fHRE+7tmu8g1f9NDXzMDkt6Ax0IP7d2D67qHE1PiwKy4DEh7Vdkn+uwHs8KmwQ7LT/hFJszqxuav
tvxwGUeMJ6aTfbT5EV8tg3m7XR/5c3NLW7o753yg3Zhvh9XS+67rHJ3Vauvxi3y/2znOMgZXB8bI
abU0aGhv6DFeQ3+tXHpkzy/S+k+H09IJJ5fX/L7Jvx1AXwhuZuAXgkFLcEnukU9nrw/u9tIUNrfA
p+L/zjcdoFwIZr/rAPXzOjAbBLainzuvnmjOw+3GWRqBL9yT6+y32wOD7oWBu+Vflym8XXteZfPl
akOTHtzN6sVeuU+r9Wr14m5PJ7qDNe10E9j2Iyvcilakn7wdE+LJvnF29mU0bdfb0/bmYxvYHzfL
m/64O71E9t1s/wjsLcNte3NzuuHbjw9WypXNJDjeMmn587y59W43P+nYzebWvrvZbkfbDuw1s+bx
6nh8PO423v12t3m/PTve2jk77sHxvFvXfr1aepBxdstssb3d7opFYLehuV3WnctCxJ3/ZEE6uMyu
zcbh9raMmL2z8Y6MhMsvPtzy18v8vHX356cn17113r8ZB59hir8vJF9oek1FmLmxdAhLyBMNwUBw
rhwGqrPZ81kd57sngbYs9b8bAl8eTVlrcs5ZrnjaMvydn5ttZNOhy0Bnxp24SeYV3zJd+I+9o+eX
b93T6s69294c3KeCTl/bT/sfy/zhA5/W9vruul9WeKbpDYPGufWYZV5pe8fX2N4xznauK9vumZXw
xbLvveMyr11743o8Cuzdshp8M8OkZdH63X1+eeT5Ugu7gPs8uC9322Xq3/6+69RLCu/vrvDlicdz
X+Ioz2rGwDmx4CzPgf3SdtzlsgAxtBhIjC9mDgNtT1MxvFm2+Jb24GcbxuTB9XZ8yW+vtjT/hp/y
/OBrZoLDnHJ5XvOWvP3yK6uC12/v6DwWC+beZUFcrrhdOS/8Ch/BduiF5df5xrOX6bThuvwu73i9
PvH2TAHeiqm83XrLans4PLk8r7Z3Ng3Fa3gYLSOQlZMPx+t5v+XNnCu+YIk48ImYiuxq6NcHb7f8
qrfb0v/Hy6rFXW/WBTdP19orb8N4Xtb5ZQ3ns6155Y3zyrsy6ZzdcZnaSzPRUMurGRgZKw7d5fDX
v++yz0MfVJJalowmBxNptn+kCnxe/SKVKj/mxiHMiTE4BnPvO92Q9Xsh1HqcRQWI/eP4HRF3WVL/
NUr+uuhipoE0YxHFfVnpY7NoISeMlH1IBz0nOPp6M9yVb27tC2vzz1tjS4tWEw0BG8/Pt0ZadADJ
jFsLzUHCMMoSltDCSYOxp+XFNxf7N7ckESlgLI0JUvd1v6BRxTVgh4e2NEUL9JT56wJ21Or3vfVv
bunTVb4QUbEQlEF5uEof+tzRUJo3yFzImhhb/59pB5bW46xAeNhCeOcM8OVSXSeFeu3j8oo3hLYe
TFW0q242vruhi9Lh81jgUI/nOUoI8kylr6TsOUUiqqiQYmTM4vCLDUnYtkt5Fh5TM8gfhMV2xQkp
owkr8of6Qyv3MigRdrhkjrXp9GCSmTs6QyLE4XZSOu114pQLNd+PZAUWZwd7KMj1vkVbGnI8D0yK
zWuctges6lrQRsyMxTg7YzMr5w7wAFJbFBWEgpoC9Bg3xXgP/nSZ4DfdwLCa7U6SKaiZEBp+zgUA
tpeVdbYBoRQHr9YTBOWdT0TH2sLX+mEgJiLcyXKv4nepMvZGPO3eCzO3augofjjZ+Zy1YEXo6qlc
C22NfyviwAmb0SY/iQinH5RGyYpDCPCSOnO46B1CfWD2KBrgzgoa7aBC/pNJYTL1AIGdDq8yhGye
I4EWaur3dh3NaupEypTd+2JlQExQQ5wOSRYkNppgsQi6r1CntScLlfXUh2n1XNQGlFGkUwUmzJGC
uS7649LyxNBSD2MiDLITt2Ul2W2oSKQzJGYYukqaWO+z2IlwtcpCyx3sM6mhUs9u6g3Bu7AcqRFk
yaGC3lk7YLa9tjKqOj6TeCAJdl2I+k9dL6WfWVxpEowgY7IOi0JO9aZOhrQvWKV1bLGQUTZpgde0
XaJKgU0bl/UpLYPBxD0yU19zOShvG0NOn42qSn/UuYZ3joGveOdWtRpDwNHF+DBJaqp7KiBkc99n
RRis9FwdR6c1R/DjeNSqn3nb95B7WmtgastqHnllOc+3ddKPutMKyyfIkyK8wsRVFWxk9Urv1nIV
vuBSlxylvMgGF6xQzV0xkGgWnHV6wSNjp5VWijWkz13XYxsbh1Zz6KHc4IhbZQlAUalari+kJkr2
pgs8K6WgssnKPnmEf6dFbkZ3gQUVcAcd0ujhAS+60cqmq6zbrCnKejWZc517NUpF7A8Z8B/Q9c1D
FgfQpabcHCcgH1iRTjq0bbJpwmR8rtq+lWxQhuwKxAciNg4mxk81KQMISVXR5kdVCzDcTxqU744v
pf15Yh15SyUolaQIRSC7ZtRmN1Q66uRu7BkjcOJH4X7EyoGopgI4uZ5N4Uwme557gqJ2O0Ljsnxl
Cma50EbadnQqZtG0MOnihyKqMGuECC8zF0WCGh2iafyDAieHaMUsmGKn9GViucmRnzXKM2phenWN
lcxGauPmjP2M2WFg0+VnEfgYWoSU9+GmxqyxvuqUVss87DQL0fVHSQlXdavgBtu3pYUBYWE0cC9l
q7z1l+pNLEbym3Qp6TQilfHmUuiphwEOQH0pAIlLLQiOFGWhKrG6ehUt1SKM/ikciUqeVBssUOWX
qvDNxJ2qbAyPlFvyq5q6HfN+qUPls8BSC3uJ8pSqZ9p9i37V4pGVUsAallpWI0LudJMKe/VNdSl3
RWZeA8ReymADawqpckt1jJAPCmUlppIUzUY1wkDxz2IaRuuWAxkleIalUpHYcCm85XUeegFZBRq0
wqU4h8Yq/EFMLSW7Uq27zMW+3b+DI4hvbZbRE/Ol1EcUAmW/xhz00A0UEgTt+VIaZEYBYupLxTBc
aofyUkX0hUlHEyHO4x2EY/19bDr/AV281W4pnlCsh/QV3Fm9Er0gD8aq6YIpKhd4UQ/6V+GCOYam
qNyqFyQyr63orbrgk+SNC/eEz0aveK2DX2owTw/pBdVsLginf0E7NT0q7o0LBlqZ2Mw6zQKNtlHc
PfusU3DLFug0rBVA1KybMndcoNUQrep5uOCtuprCgqgWGBZfZ2F2hgs6O16QWn0BbccK/skKY9ge
+QJG8kQJIyYLnb6y/PvmgvxKcWJ+qAscXF6Q4fSCEusXxDhawOP6giMzf3hoEdngH6MFaJ7LvOmg
QwE/F4FqUXrrmOVbLFy1e0GEBLNqUc5A2CrVfEc5Gi+HfgG2c1zaJ9q96o5BXOjVFpnJdGfi6Tmx
P1qwcTXTY3By/O110HfVFD25FFTtAOFkPy3wenNB2gt9LIj+KJtodLQLGo/QBGQ+MBeQnvQQ8PoL
dt9ecHwpFtStdkH3KZyD9JOXhNHyfKkAZKKOYapgaoGx0i9Fgku9YAlw9I8JAXx7VM+TiKdrV/su
AXbdK5xN9amR8Ki34xJTeVuT9eQV83FCK5VQCh8bkY/mRGIWrue+0CK7n6vmXViMgSmEjrDb+jjv
WGjwSx+cvoRv71gQOSlidx2VhKEJmD8VwtLMrQQjeGPh0eQtVdnJy7oSPp6Y45pLVIAl/Ah6H8hc
HEvqP0HfpDck78yKnegMNyeaUtV3J6qIjSNSeh/dQs07wh7wgUocUY79ZOUbUXcjhBbPaEwvSFbI
o1m31pJURSNbcuyXPRjVdbAqKG7nuyASWBYEnVtw50YO74xmwhenLBrrp2CpY3fFW4V3GPmPsmO0
QtEdYgSg2P3CzGcHXFP/zCeSdtcBSvnUnTOtHr0stAr6fM4CChvw2KgYkxknQzysEeJNfZbrTPhG
lzeNJjfNTUBoxElqJ72x4zRIr0ZLKiJov1J/O1Ht81dwxqV7n4EkrYYhLkeb4quFGxGU41zhJms5
T96MMqPkORZzeE9pKLuHtJycJrVUzpEyl2sGbL+2QoRApEeHPB+SWfnAp4Mub9FPn02BHT8e9Yow
OoHsR7d5Q4HbQZ2ji+y/GSqlH2EKPkmh/xKXTT+v9FqICZyY+hZLclyqvAzmAzQ1Kh6Wgyc6dcqM
PHtYNXHZJqgERLN084iECmcKs0CzzcSon2oj4ZmJmIhhZjD5JAedl3bEZDoavblh5NnsPpRnfyqr
o95p/mmcCkZdky19DxuEcMxp+ChKc7ibIHCZTin0AeW2BHaZEzDqr2KzTl/UTkzeuwR2oyvofnEt
6vWk23pFvdoZRAsi2oADcP8NRvC3cwytZsnU5VDyIhz8qqzLKpxKs9B4siJMISqFzdCIN/I3F/nb
MWa5yKKuJsEOV1TxK96iRCqsXZ4+PAItT6kUbadAkYVRW0c8rC9npv/wl37lLy0Gqb8cJd3X9vWv
Hx9fs4////9uouK/3j/+a/eaf0T15yrSny/9Hy9dCkJ4U8kGdnIcY+Ee/auKpP5xsRkTET0RRQyH
6H+rSIIswnDioG1hdoupHnztf5WRZOUPdEB47ZDdTMTf8rr/u5suph7YbaC7xqAaptWFLvVr1Wbq
yj42Ko6EVtJoSL3xNzB9fV7/0jj/Bv7/MkCxgsWrl+GPmxQBnFhwfIYOdOww/TAlmkigir2SVCm0
Me2P3JBnwz8DDpZLGVhHc19LfY7y/udLpZTgRrkPYNJ0VbgvrDwn4B2N2e9v6AvMc7kKLDKVHgLo
4Z/PV4HkmWRGA18LM/LpVI+ysat7kqPESc5OcZll9zADpOvfX/TftCJVQ+qRF1c8hsDnixYI+bDi
U6nUC5wCegnFHTZu2VlqhXT7+0vJn6FNPLgMeSlisphwMQhuX3qsnPWafBeUoEbe55YTJWlzj/l+
QkTVBDEDBRAsDikpGwInMoQIptYMhynD8Mo2IsKl7GCOs+s0ntiNtnmLRtxKDHayNVQyt8p0+Tw1
oUTyN4xrzUbDWJqL39948/v7+FJ3Wu4D3EXVJbx/gGD493ObqYUQ561hAGgMEA3sXpon/Ql1uNLe
19j030hm30BEabTqJkmGQr2SMihGa2S1Y7xCmNa/1uBpb0FjwRatpjw9zK2P3jIuFb3+ZlAtbfoL
dHP5rHxEXGMgJ5p4ZX/+rAKK10iUyiWHa052egLDRRjy7LlRIuRHQ4lgaSplnz1NP3q/b6e/Dy2F
jsbbwlrmqPk1TVaoKmFAzTk6dWu+VHOf3bdSJ56Sovsu1PvfXAmnycUWl4OiyGnx800GjYao05KR
hbJBJfmSDYJbTGzL7VmdPn5/V18evkuDIiRcCu4wNUkQ/wLG4nE/ZgXOSI4xTqnX1uO7KFXBN8De
19DL5SpEsuOYhec5vmRf/X4Ry1dKPHe94wuQ0MYeXlWckdcD3zPb4WlceIjcUqQgsXrAWCT90LJJ
+mbVW9gIX8cOsZ6YubD68dz4aowwzf0QFKANYC2lAJSJ0cReE6puNcM7W2W+viQlBbrXSewaEejl
OzUR4b4N6qi8KKGJWrBuik1l5ihQiwBpY+vX2lUr5fBZ/nGvLGsmtlUkuuJ2/qUUnGlhphTo6pwC
4q49Tiqfj63r5p9fBdoGT13AavZGyzj8hY4QDL2ch1PckwERt+zokSBpxSR+0+7LzurzlFV5fuM9
vhipQMX4ci8Juk2jtTCJjYYyP6RqI5HXAZ8HP4HKzbrR/wbfVS4z8csVcYVlOGPOuOwsvswfcbRI
MSFo0EmqMsgcxVpiS1RArQdlyovIi6VGxi61wJjCUca2ugu7tCLXUVNY/pLOMh+VMMQ8Mu708AcB
PKHlDojfnmchF32b9JNxcBIp7h5YCYSbdrTqR7krY14AbrYBhFE/pq5P2eYnuZWtoN0SOm1NEvgr
BkD1YPMAQxDuWwSngfFGGkFFTfksFIAfDjEyzR2Px0VrUhbiY4XIhwhAs49uBTE1b/ICRrFjhFBW
M39QQcAKf7pBUszBoa46/W4k/aJ1MDyE5RhilSDbWUdMTTYHHF4gTrXk2mQASI5o+hayLbCpZzkX
SRuMpzTfi3HJ0yZKDI3NeCUztMMRiwIUI2b5BKu3eUCszjlEjTv0JY3eqhhsDvl8AMSCFVgq/Fo1
GMTWYbMISiz7Y7DvtDgV7Dicm+7Rmiax8nRDiJ/1vOglp8Sw5MFKA03m5GOqN+lkSD85lBHlZmWd
2Lh1a80PQVoPGXzcFO3ZROBkvQtyVbyVSGQqPcypK98p2U/IKEqHXrLzoeoRQ0eZeU76oZ9pwaB7
rxNl7rHNIOXI7eZeOuZhXAe2FZbtc2WU0P8SU+jqfa33QrOqlS4sroCnapWluBXjbSGVeoEQXiVf
8L7wKxH8VVew/+javMJ4lNVvLZC9KSLy0OAkxz40XAcYTtqhuxThapbGuG3zlDOgKNXTwVIxNFj5
reEHyDDwJvC0uBBVD1339BYCRYuOQDgLyHDWJ7HbJAP01H4MJdSCRZifmd5GfZQmq4vhECaQf9xe
B+l9VaFw59cx9EsVBJggGw3+sVoNWyD6Ud8DdvrylV5X2AR0vTA4hCoHs60THVHZ/pJh40Wa0BAe
EWHz4hiY7McQryPUZM3sx/eaSOAa1oSFYblR1yJ5muaYRDIr1sIfPL4kjtlij/ClIT2pXPlYiHfe
gFD4MfF15loPo/y1RvHzo000ZNZQspmSuG8aD11jzdJVV0/hj2bUMK1t4vRWF3PptpgrCLAhpPV3
dsqc//26LcCMpNCE+z5btGnazwXLWTCThEMdAGxv7sQrjLll/ppQDFjnxJsRkB2I5kog8Yqv/Zqx
KY2AIG6gMjEQdlUpFP9Js65LdLCtNxPkogMPNKY3t0DgvmlGx0aNiydzLqd3OYszRk49Ta9ZpcYS
h/ZEEJwenDC1Z9MsHtI0kh4ruSJaCUlGlHl9pKULiJBlsUsaLFHxIhlOR3xRlV3Riz3RlpNa5XZI
dHKMzXKYnNXYmhLUpUp8bgoAotwJMdm9WnqsWE1RIArHSUuTaIeXcRZhYay0uRcM08R+VCErisFo
Zaey0GfTYaVbhEi5aDCAU3EkoxDi6KswKco9eESIZSh++q0j4yqH8ldrVcshUbA4jcyJnjSatiOv
EROXY8B+LyVdCbH4UttBht6APa/VLm3f0MZVoF6jmlDBYupf13k2LA5xvnGqEhmpY5Aambgxkd8N
Thf41nhd4c7+wEkdQvdoYCu+y/qg3ORdBpSfjYPUuXFYj6dYwRoDVnqrzKtxCorRScfRuDXrOK72
Lfp/3W5lnCvsmMqI79JLauOhltL32A1yPJBysb/LOrAsZzDB33B7qMJ0peJ44U1g57o7CHV23QwB
0UxWVsa1l0UDMpXJBJ9vxjI9dG1TvspK2xRI3OTudlIJiQK1ntIHqatoJWy7SIak1Jn9CLnvN7Gr
C9QQYVO8VSZgvltyBgM2RQlt4zgE/DKNmGWEIV4RTpr0sMmnPOHBaXXY9EDfnvHtkZAXIQNpcuQz
sTEEx87o8s6Tyti4EZAsv0XoAMuVHvpoJ6a6hkMLEd7ALbKS0BkEWF5co4IQzPWAuuKuIssY1crc
a7GrsvE0bU3VSIIErYF+nyl1avP2+rEwJOl58seBB5nZJpbzT3cimHGhR8Ini8c5pdnPOxF5Ept0
lrGA1GecbuJCmLf+SFHm91f5++EBnyUqv2xEAIU5y3++SsEiSbKd2VAEjCiOiY21TWWZrFRTEzyT
sGMkFCPeNz6avj8v/R9E6FdEyGJU/NIjf0OEbl9zMCIHoKiO8tdPdOQ/X/o/iBAqtEUu9hepmEPD
/yJCmkJOkm6QAYS0bdnh/YoIaX8siTo6e2a0dUtw+S+IEFRloBtysnVJUxdTpX+CCH05oHFWXq4s
4QOGq+iflOhfN86sVgN531SnctjRTlyp/p0+tMpmVor+7ZcW+jew0Jfz2Z+XWiLVAUhR234ly7Sd
kZOI3GcurAnD6SXE7mgs3v8vF8HoEvQNOMP6chDgQB1ggtcSs4u5sRfmoujmgzV/Q3pjs//5KMDN
WGRbYUWPGT3sjQtf+5cDh2ARkyaXxLObeYBoCQOQxh2FdDoWM+lxB4IDSTktczwHyb5ViK+YBwhk
ttAiIdiLLfCI3dT+ML+LQyASYtkIdWcpTkvlAjeLTDFSTJx8eHXXMlZHFu4oWrwmo9CMVoTtjrkb
1xF52gLOCeMGAbuAowQ+JZS+9T6Y3CV58kMOANLzaOjf00AJZhepmiziJebHCtrCDPsvIchwQZDH
uUw2mlCTtsijRvhZ49ZyKDoJzEPDuwDPJTnuPpCG4EcxFOxiHFIzhttRN1oeN2QD3udm4R+lLmHf
lPnY8TojsvDImY1MGpCadPHgYrvEvjJCCfSIa8nQUZYb8DCTE0mEdNHl2DThwadTF51gHjiSqLY/
CThHI0L5GPnNTPbGgybHGoZcoy6/teAbO0VAVM8pXI5feX/MYnuJ8FoKWA2F1FIgIIUavBzKe2TR
+VE0Yh11XWlopLiybbdjmYw6e+pNzvMFlgG6jQyyH/h7TgF50JuGo+tJfmVOCWXcCmRTxS5qpoIR
mXVnbiJBH5OrCc+40NGNusE+QQGsPEuVCPwZ5rr2EuJigQfGONbnvJUjcVNpGHTZmJc36OgQ5R3E
KqsffPb6LfSaKb4becL+wAomWAzORnFeDNvI50uStJTQHmpjvSemnuyIFgMZdZ9Io0oTGGr84UuB
f+8nxXCnoAJqcYDpo3bmhtkzOI1hlhNHiqC+gYtQvIBQxNdahgrPJuY9fQgTs3qRMeUSHXms01PO
A8Z3g1LSHxIxyw+Updt9nkUm7CAl7ybPD4zu5GuTNW3KsDWflMjSf9R1hKEHXAchwiVLLa60WJUO
UqHTE12ZNHdWkCe3fWMZW3zr8Y4LS61+wkRnSNzQwATNlgph2ggJ/q58jrB+0RrQPh7dbCBsq1Ua
zMoZuq/9ELfQfOSyDtcpWdmtMxnooGxNmKPXIgA7RZXYa2zyMTmSsLmJ4ZaIIoFkjlZDhWKbOAfb
mDMSdI66BRyRNKIpbROx2DkI235yJDnFybaaZWToMxvHgAPMkL028lie+8LQ3ymC+puxxijBrlNd
eMJo4KWQzJRJVovqo4+PU2R3iT6P1NR0wtblSJZre+qG5oyRPBHZ6qxytjJ9dgze5Ks+mWnIjRJH
FwJpr4+jeBq1jmNPLM9t5TRYDCGVy3DwaUyh8Z0CyPVNF8aGU10ulgQjCwujhdTnYNtwjhy9ThXZ
EuJDVvregCMUqEAVYa1RZwL7KWU0KtnRW5MicNuN0EAq5JIUUzFPtzWcxrczfq6Im6Q8O2PUsPR6
gUMMyltQLVDWPI12MtYsCuQdMSXn2Jz0VdY1gWRToiVQT+wJ1CR7uMtbh2FE4HuLEmxwK2JCfA4v
cdutE31Ibiukei6kHIzAA19awn3lqlCczpzYSxEhH3Cwi8oMdpsw6zMRCxMnELJuw0cFZBszCvxz
ozVeiKXEIUfS5XWBUQDLkzpVIcvYVDyL4TL9E8qFtctUNO+DtGtFL6pHHISmiSwtr0BQKjCqyKtd
WCBkGNfCaLxrPkXUKw1d2W0W+v1T2RXGycgaRffq2S9aL7PycD3NcrlYq7U4BSsNfjJYouHo6cxp
IT+h4+UQA19UFNzQgjTqEKcQRE5SZ71qp4KSnyWzNW8IPOKTCo2mu35RBLIj6F2o4zYlPyCmM9Yg
ygLa4LlWXrFhzXDBkLGdrwFmek/CLpWTjt+Jd5g/yjuTVO8e9WISvjdJFDzL5OzITkcMa+TofhWz
kiqZMNlN0i+2OqOUYHwUW/JjmsrhSSOnjakckk+Nw9jY40hoWBGaVbEc11YjGD85kGM3kw9h7tsl
EJTgpnGddm6bKuE1uFY2uhKi3JulRXrodZp/hVGm9AQ6Q+Hcr3KktGma55njj3F55EurITZ1kO/G
RB4fBtKoR48i9eLaYvTW09BJ5svMKL5Ky7IkLIi9S+4KTcXpmNRi7ELByocfbZHNgwM2ENHbQcra
LNRMHTs00vTNB05DvA0HZdfJIEkukltgK73vGmiJdV0WTjtrxbXWlNLRNHlEe2klB09mrIvPWVPD
b4LdsZz9/ErbwXicED+amFrYGN+ob00vdJWX+eP0GnGplPK2mjzivxILUEmC7AmVIP6xqVn6d4og
T/e4LQr/zd55LMeuZOv5iXADHolpFVDe0pMTBM0mvDcJ4On1YR8putU3QgrN1YMTm2yyiCokMtf6
12928J/MhhzexcGlUDDM9FJbhWGm8VTdq8wsvmDBZF+yxIptPQVEIi+eUbg/okDVLzLqDc1LVdu4
z1FWPAGmZTRcGkb3xVA7V62FluXFem9uUErHeyguKbSJAgW92sAf5NBUmk2Ov5VGziuq9tUsFeic
IdlEzMxTCGOhmeAXm1PWPSphnD4pydDDjYHk+CrHOPwkwwkOiN2r85+M6Aoi6nINOl2pduCVsstj
omynju05MWX+2LgJ26Bt5tOJGfZ8rck/f+SsyowV3WS1r/IC0w7AXsw34yTIE8Yhhf6GWROsxjSL
2vdxqOWLqZdaADwoLLzgpXWekZQHq8ah3ML4IAcYz9BNjysIARAqnFD9qSSeR7vchdxMEzzN9wJj
kFtRBpByFOIPHmyrUL5bqLQZNl2LJakgaZKPCebcqcwsDPCCjqQo1o/F+apPA3528dhD+sFYpTsr
OOi9uinvc3T7+NSHZvM6G+kAswGsNOIIOcm2Tq8WHJ1ibXA8PY7wWmNoAlNH9Di+iEeyEi0wE3h6
J8mpMoDXlQQaa6n7nEWx8Rp3ZSc2eYMfHBHqhHHXg0O4sowb+ZJgLXppAK6w7nP0NDo6qoU1XOpW
GAAUKKOJq8aU9CUR0sW1zYiVUzNKfWBThPkIYGuUt5ZIZAxcdbyPfQWo2fYro2jugaMGP1Op8SBP
EJs/U8Mej64c4N26cYAVNDa2Wcc5mw0Yelppm3IkNdGvPjODWgXKXH+5U2srDBeb8plju/jocdYN
Nlgbanu86jRGXWZonbGrra/KaCePFiLjBLOlTN3DrimnFU6U5aOLq+1LHTrWC6WIIJqA97uaMTSq
N6nb2d8jKSTAla0TXslBa0FMqORxPu0Eq4JtnBVEqj21VSfi10JKoayjupC/DHPHm5v0EP0irJtO
wqlAPmRSB4Mng0yX/xdw/791XjrUzoWyrek6U4v/nO+OttALyLSlZ6VKfc+UyvWoWrHexTrj9f/c
FP2HOMxeUilM9AILy8BmPvqftvxwE5sl1qD28BM1njC+KxXmr0rwUQtcJletM6Hat+WE02JmmnW8
cStr+s2n2jX81NKrF83pFpJVm1ba0WjgwAG/RBgs4emhEQgtyyd8JYTqcV/1P30zzLaHxVe172LN
uQBEJL9QEto7Zi3ThwVKihZ9tMpiXZWp+zn2xvihkUVNIns1inuXw82yG3P+KmSWP2Ie1OIMJOmP
/plN/X8o49+gDGOhm/zbcvlvUMZT+Q2YERftv6MY//O3/heKYf0XcAPtNNAYwUgkJP8LxYC7Qqad
LTQLJcNCJf8Xr8X6L0xeGDKDcCxzZtD1f6EYmvFfjOnU5X/Ma13YL/8vKIbOCO5/b8iJ+VLRYoOa
2IxEmc79R+MfjgbuohW829KaikNpiAin2lHKDc6S3YZWeN6P5syxkw8ihbAwKuEzD4p1ZQvrHoK2
MX2HEeq2ShN84Iqw2BKQ+EfQa+CkqotDzuQvXNlKbR/VykKmkCrdQN3Xk2JPi/2mAjhcy4ZnTEuM
EmuRQfmOXU1+Yji7KSvrNjmDukcaUR7rUHOfxzx80wJn/LBSE9Nppwge0HGUl6LqtXcz1Hv4XVVz
y4Ti5WHw07tKcdLpFJ+7JBKbgFH3zxDoA/M0XEY3Y1jUV7d1Wq+D0n9MBhVTUYVaRQ6QFoEKHM9J
nJ72yO21a4bl7g5tR3ozxvQRRw2tWXfmXG6Cvm8xPAjsS1AF8yqsJsyes665R8WHo2FU0RnDB4RO
UTNzxMSySrE9x8jVXONtjhOJGr82KhS+zJDh8yTosiIwGixQ8/xQO/nezqZrGWOmP2PAu5Wq1S0k
xXQzjlm8Fg524Z50Eswmx2TOKcYdgxcehn0S9KWfjcOwNrPedgi9D2KcjLQaW8/A8Z0A3qBvGJ0d
+Mx3+uw7rQWxWSE2fzsi6xt3r4xTcp2XOn8x0gwUcUg4jF66VMoj3P38ipy9Y9SVurtQQylhMX+E
ZD5MxaYSotiUBYNrFQqMs537tG74bt5/YkUFa9VRISAWJr0AZexOOMJX0tFvVNmf0uRba76wkV3p
Yt6oZjrtrDB8N2X7OhMCDljyYs7xNg2KbR1Aew//lGb0C33wMEjEQ6n2Rw3zZ+oLZDjYj2e2sY/d
Yh/CTLcN5Zyn6kbrxstUhg9dmh+JrTnWebRjsNteMFI0PL1s8b/DZ6c+wOesN7WWU2KbjZdPj30c
69a6mJR7jy/R4lpTZTAp27h4SmjoMQ/SGN8l4qwrTuG3GsoCUeycIPXjxN13jeoLFTt43diO+vCO
2fdW1mKjD199YN4Vy087+8GMXoPpQ4M5TJc7BLjSdMug2tjYcRdeZs3xWYdbtUhh05YbmeHbGRsN
dojDvbVtGL3uuMHud9sbmDD3nBhT/Ipx6c5KK78TUERt+8Vp4NJWy2tYdPpZh2mzjo3sL+ooav5q
wRX2QTVsa7rnLfqzwavd5LmujGTDZPYJF9hTn03NWjXr6jdLTUYYys3E5jWz3OeOPjFSoXpgSEmv
qFQII9SzWf2JI2thR1teblNu1XiLrtICsySoR6qfIkxYOVgYkQ+wlUaGVZOqfhSlm53tJMU9H0MX
ut9XzY19QxZoUJQdhlUQcF08tcHdyln/nZw+2kZkzZrWvVPDH57aV/wiCUBa16F7zc3znBp/TAtO
sRo+jyU8XLdoMdYtlGubYlUa98WnlikpA6mCrn5MHiJSD2ggsmug6udA4Pms0r2DA4pboMWMuRhF
tra8AfDcR8t678f61RqwXnEz5cRY9DGuWWUV7F+9aO9ql73jBMv6TM/l4hKoF3tskf0+XLqHMpmQ
gmhfoWy/ZdO99GQI4AtFDGOeKV+cJ58UbUet13fEHrzUUf0sYuRSQ5h8BIVWcL2611kMiadW3HtB
z6kpGxn316G316iO6ls5QvWro2QjcaxmFiVKlmfK8z236tHubpExe0X5MRbDxmniE6jeOlXejFGs
+waieSjmzyBgy7GTrduPK4PQXRZoj+OzFq/r6hK52m7GeK21+49B5tMntf9GB4PQ0+cqOKpsg6ra
/0529wtusMqx4l9NTgj/Iph+x7qhdcvv9uJkNTeINzK68NFvw+gjqLFwM9y1Uig3ziPWbHRUCLyy
AqBC01pjtIa7mxIqa0TH+dqC1l0H7XcNrrlx7eJ1yuUNiGaDUfCzsEGXhvZrLjO/dLUUa+AaT0oF
G0X0bUYrh3UGU2i2ht9eF9dkVl9oDS+oLW/kAOwBagtc38mVqBJj1Q+EB6gySvdJW9s4tzKvJ5qD
EWKBlzbkV6jb0EdpJOTiQPQcYniPi+Uuz3XiZ7Tuxy6Cp1FtfxyMZ495Ap4n6enRLVVEKgT7zt4q
6FgWoVNjkXilpTl26LEtmauDRMfz3irOSQMyKvtzmFQ/hEBJvp2cxtrkQ86x+MfXlpaDcFRyk9AW
yu4ST+VLnFNtmoGvqdwJhA+02zy6Vz1nJajlAz60aA9q/XXM2+5VBcn9HSta9xmztFXmtju58KOm
slG3aoVNds1Wj5BqvLDJfGtxdk0DTbkPWuJDZKx5dM0jKLW7tslPNlrrylFu4MMarSszXaM2eK/n
H6vJ/cBAh9c/mirsVCM6BU39KGIDcyXtO4nUYlP0Wr8D0cD97Dup6oaFGCPjwjpXMbwGsG1n1M0B
rZN5ldjS72T7EdH+TBbhaNoS8wn02JH+IZn4NfDN6YMRXdY3ciz3jZbt9DncRFGwTu13NDh71Y42
4M9rQWOfDbchE1BlioPUw6sLtDikqZewfjPlrcWxNQIEsvaZYEzMAN/uIg8r3oMOqoYHsqdl3D9X
p3JQvTD6FeotLgqvs7Nt5AY0t9FFLb4Ls35n0LWqamMtx/DU25knI/O1dGu24sIrxwz4SX7QN65H
KouVFg6kZ5QXBACbqHV2mg7BjsrfHTC3ciKfuf7R0hB+KsB/pLx01UwIHPSyPn9LM2PftxMMf+Nc
LQaCYvgAzzpqEmSK/hLODCaK+qYANgArPlnWV1IaNxXrtloucQHOtiy1e8RSMYxfHOvYWMJDBe8F
a74BEzExgxs44Uc+VF6ivrYzj06LtWCXXZuc34Ia5BdtTVuDObQpD0hPufoCZz0NA/ZGYOzexvhV
g4PD7zikQt+PQ7wOcbxzo7LcKD0dupynXStMD2Pi3sfDuzxTW2ZrTpl+3VfRctOfOJE8i2omQmB7
dAsn2I5V/NPk7XQ1K+RAgbuZ6tY64LAsNqPhfNtxdi6wZkScEtersLf30VyDkqRXNN6bXNVfTFXz
MQA/B23Fjihottvq7Ggk13OLejjDq4GR2kVAtDKj41w0v41CsbO2oJZ5wZTXl5rU8rUDF8ljCvBU
a3bmS03EGMm1rjcQebNOQQAAvWvTG3Ta7IIfr0IQUzAoCSdQi7dBPG4LS/tqy9Qf9HgvHcdPqoAr
Da92rHzGceAXPUe8O5RHcozXiUnEQD3kW6CsDZIhxmp/w8xHr60mv56Mc1nKA/JivyWTGiPGPaWd
bzJtcu3Gd8Q5zhTPoCrJEOqrCu7OkvgGQwveA8parUQIS0iCVuCEHaXTtjOZsrzpBlXSqkeUpCg9
nszklqRORHBFZq6FzfwoNP3YfKj6C9XserAywmTNleh2mj3sDKfnoYNPYSBxTC2I+NlItiH9CkTp
nULKUJ6+dEtyWFOejFnovsgmz0jEJuYDSScxeBoH5c6WT3n3Vk3bSr2L6WWYgp0B1FLP9QYN8osC
xafrpzUjshGEz3gFGwLYu2k9GV65+gdv4x0jmMVKkKTKdBvZ9EPyPRpt9GXipWVjDsWvrlXemNV7
LbcUj9GqF8X6quObMSW9KRc96fBUC+SCLBC3R4QyM6DJxkObjF6YxhttttmEa8CcpGMeC/awUsBb
Q/WsZU+5+5bUe1koFyuzD8LGXS50fdf2XXaCLEJuikFgnOLmCXukWuuGjL1S8qKN4gdouWBIbERR
mXsosvVyQ7e2q8fbni8UEI1iPg6Z5c14oB7IRGm9NvskBO+95YF30iD3zaF5LNj3ZbOYYuoe/Ktb
3lP/ksE1PUZlsLKdq+VG51YjokovNnY3bXkK9lGVI+dq5N4mD4DbHhZ/mqp2diHZRFgcrPI62U8M
W+izV+kUPLTdC/wo+DfGSxcTVqM1K6GRM290yVNgxL5KrkoOgsoQwyNiStk2zE0NjdkU0v/2lLra
ajK6bYs8kuUvOFa78JmN5V6r6tZFG5n1Su2PJtZ/ge6D3cFVwg+71aoWqzp9pPjGzjqwIBjGE8pF
/EZnOR+DNN8OhkYSV8n0Pw3D6KDhdzir1To18nGrQs2xsGPYwBXzjBCCnEQeMEfC3XXNK5Q7vy30
QzJk/gC5qm3BKaOL0RQVcndJMRE+mIpTXiziNVY28U/NyLalv84xXE9TuZTtxDMMJbXoSDwm1TSs
ecgs31IYR+CPj1EDJHW9pIa3EoFoJYHwzHOXHIXF56v6ySy9rHZCxHmXOkxPTvRnQCBrmV+98g4w
nW3VpNiMEVkzlfWAn+pRdesVsWA+DLTHOqZ8mB/wxV8F6WetPmGnvwu4WzH98FwXFwm8/li6er7u
LWI7JmvTRIDRHN6Aio7flONeSyT8unDu/yhjx/ZS9v5Q6kc54bxYKtoqt4f0Goh4bU3Be+qIPYwj
Tx0pOGPcTDXDwfGwyo7OaBwdh2q1KhUf2V55EFFDtn3fMiFho56YgqIRHCcvLXps4e1UJMmmscbA
9GkvnPBoh4k9AROP9VcGcdAczCYnACpe+F9DgiyPci1/mQLiq7s5oYWMuz+BFKcwTTcukP4ur0W2
SwKTFRgpaneaxtrZd4B8qc8UWil2kdb34RWnhaq9k0c9at6gVI5yIKUHennuGc64CUBPeyiUNkU0
lfgNK0aaWuHj6E0xmSrfthP6THV52122tqCLjfp0njU06na2yTi6g2lnsJD8qsHfkVn6Ns+WmK0o
oBFIEneAkiB0gb+EahmHoMn58UHar8gMmi8bmMDTa5V4jKDL3maUDefGCPL6E+JrJEnsImgKrWx0
68hgqa4k/JWhX0s1VEDRizj01aJsOdNd/QUAZDgQNjBdmV6xQ45V+ZSzOe470ZRXMuwAN0qqP/Sq
UvmFuKee+wKHT1zxxJ85NzR7NeHrurYtdiA16wKiKAz7YSTA4tXiM/Qhky7LceAuzzaTnJaDYAoJ
0CFLST+pSvmFTYS9sUrnoaqKaGcPvGHUNSZRYaLwhyGCpa1y/XlvB+skrobDHDqjNyPyXsVRl33h
k6GQ+sAUg76+PDqMz95NJ3c+GGcsNHLCUCAbuM5HTMAkkpOQr0msAzgR8VA/Lt3VFsGOe1J7yZeq
VI6CQYVcW/pIEUE8RnxvldY9kWQE6CPKKboTlYKmt0WcsBfEuVxSDsALHp7i0iELO80px0Mr3Pgo
g1GcXSInDgUhsXpjP4HWl2jde3vXAmI/C52WLMURIy0KLomnWd2ZMoFjuQzB5ll+A3U1D2rYyQ3+
JsulF8mnnMlOVcuMEWnuZluhTPWjnFWcmtN4uaau6fZta/ODTc3rgRP5skgGd91OvGrpDsFVSuUF
mQdiaE3icTsYlOzLn2yrGqrh0IpzlLXxxoEHukP6bXittSTyyY46evmbYZmPT2LO+2uZl+055e5S
HcTRXdRFdK/Mod3VXZmux4z0hMb5UfWK15Wq4cnUCK6mPouzNPIsXIfu8k8yHg4oxvkX2YHX1nW5
lGyQm9JWDLTsZDABQI6A+HV0V4NBbP95p7qIj0RkBMAa5rjEGv60VpRgRB4Z72EW6O9hDGGV2SEv
vHy25ZDxgTQJj1aOz26J4bLfwlykoKpuUkYucKB1kFBFtuSRBVcUCQKXnpZGGk9wgwJF0ahZ51fs
e+W2qpTHts15YwarqJ7y7xaf/zVU9uCqxsqPGhqmx6dKLInu/qguD0RYOtm21Mnqa0lWvHT0lu9J
oT78XUx/L2BWp0846R9lEoMRNmP2EJIXsA1d5UUGXPjfi8OyWvhp3vIWlg/IZOq7NXGVpnFTPeHi
KGI4Fh054GGq0pbCewuuWWDHO1IqmH+Py9Fu2BSDzuie2gDxHTEiI9twHG64HzZDRAabuHejSRZb
c+D2YLX+YeAN4/+9TFDyH3MIX8sx5DIHaF2pSAuvTaR7klX4+vfiuiCRa+Zr1gOPHH2QyfW3qtG8
mVMgmMfxR5xMHNh/i01YEqEcyuWT6Wixls8PS6GDMKpbURdLmNsPtsQjgRh8LpIR7koM2DOHIXQL
Rk8/ZsqF4PVRkNNF7pMWfSs27ASGtuyJUAD9Zln8ogYtZ262rCflx3CDl5bMFc8hDmNDiUb/BjII
3UB5KbUFoxX8MbUwb6IvfgIkCauQGtCLgjnDH6SGzLT8eVxVDmnHevr7LmEz862hCHa6O3yaHS+K
8ZC7WKXziI9D2a3nAckH2Rws7SrgUsys2xNzJHz8jApOCbWAPjEfUrgMSzgaL8eW8/eqoHG4p77I
LiRW1NuCJAgs3ZeF0lbqrs2W+7i8wxKx1FWMfCmdAWFUO2QPMtYNr+hG5aiYUpxhiYutMjbFAZEg
+0Uto/vf1SnrefyCSNm8lUjnj1Dv3VM48PelZGWEaH//udVmBCut6qGWF+o0KWTosPf8faLChh3n
nxFFPvEKURsvVGZWsdsrj7RMIBEkacyrxq3FwuJA1hI3gn142dLqhv8nRNXu4T/TvGWK4tz7+MNu
dNB0qwg2cR8aTz1J7bsgDaunTpVofWNNOxCsoXhL3spp1Hv1zTUTtrZ+t8DsXU0hGjalys1Ski1H
kH2Hh6OsO1lfhf7gWgNs8nLT1uED7t109VBGgn6kD6Dy20xRC0wVWb9JXaxno8LzAK8BOzeOlTM+
yK79w7Rd8xVR+qJFY6FFhrXpK2hG1dDvg5lfntRzY8pmx4Nw7PpKeYlwuFiN43TolpwYW+NEqx1k
MmWW3fq+q64V/3Ab+ccVwzsROMUWSdRnaSqnnqoXGerO7KsPuw9vgrW/ivFMUqOfLCDcLjomUtm0
w/jaG+YfJgzYnbef7GA3ZGr2O9mU34WWHNNQ2RfGvNJ1eV2odKIbiz09p7FrVGyQCLV8hzkPTltb
JdtxDYfBpVQs7n3Y3dF2fJMEpftKpYZrq+ia7WTae0zM185kgc1qr2NfPjZmMfs0LzPxqLiI3AuB
yEMaz6T/7K1evJp2eWpMw72PA0hViNs/Yaoj+FIY9NAnDPlTy2qXkpuxyjmwQG0qEwuK6aWJEp7G
0N02Vt3w8eovjeswz4IiMfPY4RqQRK3+Am3rTx+bO+kGh6HVH3DC2ihG5ge2u3Ire0Xw3CVbwpxS
HQaCrVX1pqgTiARJ/TzBMaNBuURR4hPj4okOElODWYnQMcNX/YjRAaowcSwt7cGCAeK5hTb6CTo1
vMKmddNHL0M1vZHTZnoTfBVqXQrkJq29GFxsZbNZxVZ8KGzGGWoqrDWqkD3z4IpGveh8EdeaR7qp
ulNt6LNDVL40bfUm69he5FCJXylutnEWYxPZWOYKik7huVLQIpcJcEUarSpw7HU34BBhEcb72PYf
WiA8q+Ld4IiBqgpuKZxekR3cbEz3Gkbgu4qHaRWo2ficUXB/DH2Q7JXZ6GGZcnmkA+Zb3n0GU6bD
40bifZENYrgSBpoh8RlmH8KUhoCNzmGc5nTrlgb5h4VybxT4w5mJ4crQ2j4jSRyJlNp8whjph4lP
dtACODx21BEiwE6xgcsdH3V0qMQqKe3roNW9B4rf3AgMbTBpwTeGP2Bspd2mv3hxaOyaAl2d1Sj5
Vqus9OIYQ/oWd7FzSBgjRQBQ7sa2ae/aKlE5tgr3ELKwodQOtrNvLY1sOCyqX0JBUJZsqFtjcjXp
PsY+Wvdqr2PfVkBxtiYLxIqYr0NbKOkGNyBuhhVqH3golVRqqQn7MKtrEq/G+pttlfAmcsf2WRsZ
xPEqifqBaR12O3aVh0crrJh9RV2cb8LGZhMNuEErJXfmFRS56tz1MePDaXJecJQJ0EtBBspIbfUg
qqCIEhXPbkaALaTLgTAPXZsYFYUUcKtGRrDGdO3DjjBOKjh88DccGwCToLy2Vm+gr5ndVYLmZO12
8Mx6swpPY59hwYL7ymclolSjL3HVo6rUGm25/lYJwhN1BvL7qsSjX3Q5QvdlaA0jZkTgKHuHBQnF
0/DUgkoUIvgUb2dtAmwwSXJCUjLsSWqKpA/zhgqwLKnRYk7gUxC6wRshNMkn9m3LcaRAtEsz3T2Z
EGR2Ej7J2SSfFNFe5T6Cimr89uxWP0KTxTYkge79b8krJTHcJB+5sOVcq0rf286mwC0TxV1ZjsSb
Z5hGaHH/lK2aHh8Fuq+LmbaLiDglb3rubLDSXOlnf7kF+BNwZAJsM+5hANptsEYIzknP216NST/+
hJrO3py2+iUNudEeJDYnBruV2HDZHQ4wWJ41b3JcSlKRUaT9U2gTorBDbmuR5pr2M4d9QY1PBEn2
gCdbeCFBIv/MZoPs5qGwPwyrbq8TUaTPg24mp7gOgvNkZ9YDVkb5Lu8V24vrgflOplvzzm1UYtMK
Ai22sHsXtDqG2a3qUpCIYBTbNOXshPm+mvPBeW6VuDr3VhncmhnfpmgGFA+rOLxOvUONXbHu1Nxu
NuoS1RG6zoOO6uZc9MzSgbg710NYiVJvnnLc+LLY2jK4JpXH6UXrIu+PUgASq//VjQFJYKMluyCe
5XGktqbnzudNa8HoJ+029+cwKbZ5aQe3edbpbaGvnUgyjhgVd7EFvKe12g8QtnEycy27MQBuwfR1
l/aC6C+cGCweMWNAX6cwFr8i7xTqpmTQ94DhQfY6/ZPaXU+EXZCe/h5nWv5n4YNtLbvE/pP31b2k
vSnZjclFecgzK9gFJEJuCSy3Xi1LYWJbEcXwkzkqzkoQ07QrpgyzXywZ4jSw3Q9BZPpejjn8fFJN
2g+YRaGzGonAvogm1o892aPNMnqO94Fr9fGmyCzECZpkeNSYfEBDCAJJ9G94isJSwIsn3IiMzsrt
T5YzLO6MOPRtmpSnYlWmlvNWKQmEUQSGg+/GZvLV6gEowjQk9XYqB+eSi4HczQKx/arR4/TmRJHu
JUmIaR+xGguiqzZwjQVqS192krWrKsuyX6r7ylbTo1YLiqG+6YicaWuTh0UYhKqFWpqhcS7sc8YT
bK7VskRsrDIWhYLWGOLSB71zS5Wq2hgkwz8zqgOZp8w/B4qSbMK/4fBgQS+Zbevhl0unTSfV9Zp+
KpdWZR1xriIXTWoeqmLKlJkTE2HazvybQF8ZMKyIw3GUYzbGBtAc5a/ia/WUAp8ZTgy3UUmbg1tK
7d35m25fDQ2sewyyzOQI/EbQnTN2rTfjtpafaqywfkh4lp9IalEp9FqyOFY4IclHjbQgB3A/WV0c
JnDagkZ5TgwMRBJXDei48P4CUoSGeMBokAAZ4BSm5iLSrRNZROKi5XK+pfUS/JL1rj5BxpntA2c1
kPIQWM0r8cAMOhPV4Y2nGlGSSqc578RVoWHV48aHaMaMquoYZ9IqtdkeNnOxZ6t9itrxPlVljWS8
JJMTGcSPNckD1d2jScbtnYhEsHYz3A0YCABOxGTdwHaddzFuew+E08D3LOT0Zdb9DYq3espCBbTQ
4WeDWSybOhRZWpgh9VmgphcTzXnHMcYiX1sftipcRX/ohHWi8bHvNjGR2ylGLlT1UX1vssg8QtK1
PxwbA7F62YxqdykscSU8znBJv8ZYQUFKfXHAggxWCCNWgqYGaX3GozUcc9mb3/AG0DcG2Jk9NkIf
i00HS77c2XE+jnt3RP2N45mN7QYqcXfcygp5fEUVEHgEXhevVd9j8Yrv2nhkzwy3kQGfB7jdFtKz
BmxFkcKak+OR7YoPWzi119o0jdKvYziDa6ZG5aPWCOfbgh99xaNU+xi0fthNdRiWK03TqG8DR38x
cA5exvlpaRANprtfVYmow9KZmDRm+hwQnflRVgnMlemrtxzxwCY38FQWTrebBnf6tuB19YDkEIhX
QBNsSTSmlApCs+EmgdkjRE3QQTvNsMeFI3ya4yBIttXo1teKtQt+jYwqqKaE4KvEcq4AvLQH41AB
5gneoJmx11N5RMYhm2zw+8GFzZ1pA/sM8VufStxG21FWjAxygC+zMM8LG8LLMoU7nXNiQB2gTbKc
ElJLo4FgAWR6QVw4VH1a/sG22N9CY6hPk2oPb22q/6RsY2uiyGEVQzNGyMDNDTVkEPDMV5NLaHo/
WjgYkLH6pM+J/WFb3SEuKf5WgTamO8UwqGmsNL6Nrhl8u7U2UGy3BpSjxtqD5VDXqFC7U9Fd9UIU
jy0R5IhWrK2BvH2FXv2saT3nrMa0D+ZxE4aPtT28duFVN+cBuEzZQ3TKmT4ybrwPajFc2kLmD0Cg
YudgrHZQs768sIEafhDjfNaUcbZh/zH2iI7TX9xTl2RvxTy3MHSPmV4rsALq8BZMbCGmU7cPhMX7
MJ7TdQMaeC9kTDfjBvnOwX+Wz7sPLjpctBBB1GB5cVVjm4fG9Qy/wm8KZMyRouebOpzDE6A8NBit
hBiSFWQ9jWrq9YUwnjoJ5abS0b717vzupLa9ltziN3w0zG0trCOxWbeUlN61Wxn5jukv0Go0KhDW
2skLgwi8G5H+Tgt025sn0pfHtPuN8pT9vgo/IU3GLHWF5wMKO7R1F8K3or3XmvJg1Fp173CffQj1
MNhguUBHjWAOSTsbV6V0L5WGczHE2wbwO7AuWZc57xZhgtdRN53fcDamS5SliUQRgLuSLAV4W+Zu
qd0uVGvJXXfGfrdwxG8Aa92nhUvFNlO79tNCjnAIpoIBMVSwbdiHNWg0kiyhlyHD2ipgpjHzn3DA
AqMwhy0ALOF5GjcdTwKMZJpqtk4KvtK7GnFixX0Jw22Oz4pnELibkeyuamelweu8ycv8mAjso+mf
4ONVUviQij0ijrdpXz0lZroNU8ETJ3UzvlRMoA5ZazQ3d4yMNT6K7RNygelAvWXT3YMt/YPwzBxW
Ryos0CChoZ1L1RbIF7H+Q4MrBuPCMNxPgOK+CS3BxyCU452jyPwf7J1XjuRKmqW3UhvgBbUABgO0
C7oIrSPyhQiV1KTRzCh3M2uZjc3HrKrpyttdja7HAebx3kiP8PAgab845zs3EsjxnlllF+uqY++R
GfMOzxIZToteBdCed+OjH7yEtaHOQjvZDZv0cq/bbAYYXakTi7Dl6AYtFkQnS7ez4VpPfmE1F0uV
pCc9IcFinMLWO211fo29RJ/supk4lthkNHTnW0sa1U0BQTkmFSq6lrUfXQxllF92wqCCAVl06isR
xn65ckaSeU5PWSJ48WgfewxyV52lerJkGTiaPOFwBFxijDLdrWvhwHhgpwKDa3ZCvHD5kCuCYisW
ko4kqwDC9TI+Ct32l3noF1xBvrNrPdRITsTzLaXpRevJChWrCH6WiuhZdluGbV2OKxMb6EpwW1U4
jFLIr9UZMwbzZb1El4FX44BMbJeg6jTnsKv7XpwyP1IbrYxpbyCaP5HVmHyEQR5dL/VUvEtZ69Pg
uEyLux70SE6ZhmoPmy0jyMys7klDT79c2s4zme/6XM6TGC4Z/iU3DhO0C3e2mObPjfXSh9phNc58
oOkYHY5Y5BmtMg2UHSPQENbjr7liIZnZNjVzX5SZrCQcYL3fDk3fi3La8IA1T76m4XrRYN4mxnEg
Ithz84tfCw/Y38z5kCieAoP1Qktvw0Qup+8CDU0vIklB/OLZmEjGj2b2AiCUpe9IJvu9iaI0hmdC
85KWmnqvZwHCRIpq59dQ11nH+7YdMeT1pflpB8u28keEBnp+N6NlvMMlle6rihR56QMTJc7ePoXz
ukMjoxazk2s8KtrEOBrlsxk85ApVHQyTWxVN6zJPEGc+M6OJumAD+7i9JdOs2XTOeFcWk4xllOSx
T0W1YSTZndF8BTcpHJKd1VPKWEhfZw5odJYqCA+LEZxnLwi2KEURVYqaiiZpdwtwFrVJWGJgGitN
e2diJHk3dajisgmXa8OcSEvvo+5iyl17m838ji2SbU6quaBeCrxbJzoT94auSNTZw+yF02eKt3PT
4xichhr8eslkl5R4RsOmzdFU8uB+J7JueizrpXughoouWc5V965Jg/xLKNx0fLCmHlLQODaFdljY
3YMCiXg5THOEVTrkajF9Zu2MYPMLNxzpg3OMfEeXgxIYx5S5ydsvJf2/ZDC4Ed/Ng5bf3/rqXfyP
9aWfrSAQEw/pL5Ljv//XzfAtdS+//8I/VH+JGZu/67xt/vya376F+p+/vowueBX2//Yf+18BvXf9
t5zvvxWUkr+DI9d/+d/94l++f32Xx1nAwXz/wqC5Qy8v/5TBhrMkArf2zxOA/415yP/+X785DP76
kr87DKI/QqiZVgRi0cFFFvyDwwByJhYBN3Dx25sAEXAR/C1/zf3DhbFJvgL1HW4CO0T0ryhF1vhf
6w8YXYAXcNhA7CcH8V/CJPzO2/B4Y3DFIrx6K3AjhJuH++Af7P6OkTaFnaIy1Wmv8egwTsf4yFtr
GdTIATl801jzDmbyunIxVkvVP3xc/wk8wfrdLrS+Ayrq0OKnk/thWX9Gy+JlT/pSu9hyoZbj0Bu6
MTnOpTR+OGGdvGYeQONdTtv/CnYpLzgyVMpRCRCcE9EZKWVn2zMPsjdoi4oCF//aGyYf//Xb/J3x
8OtdEnmB0yNAELbyJH7/nMy8gR1EACuqBrO512y8H5nIFof/+qfgjvqT2yP0+e7Ee7MN9FZryZ/d
HnmKZzXlKZNCUag2ASVGzaIn8D8L8oDxDk9wv93EYnYYJqF4cKNxutFEQzyGoSqxDYR5gnaM9f+8
N5SB88gAeiBvRDlH45aH2kB28ARL9ZLk1NG6TQh5ca/yMJ3sB7dlXkeha8wovmccY6fUap2FrTMe
tLOP92J55nxa7Njq/fYlCGCfb+e07KKtW2YOjzRMpizLLDjWf11Nt6aQ/t1oZeyhw8Lomosp0sYQ
y7yE8eUqZG1xCJrDj82prKJd6TlCMoO1mRC6TsNXmRXV481cuBCRGExX5e1AaYTpP2wC6FZ6mcxM
bCzmOeqswoyU6qappoCjZylxzttZcvTdAedvplxWVUzG9LTzMRznx6WdRYPj2RDLKS2JyGWe6oIK
zRWY67VNxeEsKpG1B4MdktzSmST5Sbk9cvYRL/sVFyy5vKEI4VhK9HxstNhLSSKMlf1KnoJgjBCZ
7KAKLATUl7i5zZ3HbPk1WupM74sqok2h05ztq9RrabNZLC/2VgaLf91lqfGSYxeutwEZ3CwHlzRk
/4trnFuzoCfcJB6uT9qaCOF/LQdLxbYcTfncYAONThQrdsGRRu29hXhliucU35K+7rGgYCNk5vTo
a1m5+6LOjeiIvNH0T8xaQu80JvVEgkfvi/lHvTS6fuTqF+OuCcPwSUjHbk8qYbexDcrG6fcOtpkv
TzviXJcWZ1GGWV0ewnAg8R6BV9Rd5QZDUeyV2SoWRBmLOr8hhRW5mOvmtyBofYk6f8rJny0srAZl
0PTsdCEmoDIdGMJw9RT4+1zXY32dWCa1fpm74fOUWm79nIxG/ZU2okDc6TKuQCSk3Cef9oYBKKIz
OqOxnO1LBsYIDlW/hPeJ1Wavhe35n2bdmfI0ZQLZnd+M09F0lsy4Hjvf73GnZ91riHR33CjWCm8K
ZQ3wu7b48nNP10eBluROjKN/RywBFvU8HCTDXksyZLCUfzaZmk4PjmXP3BKqTARx0WVkHkZaio5F
PE7qrdMCYD8uyqQywrlQs4UO5M9hXti7yJkFR0KkAAnjQiPJdEMXLRmda5vHHitruHIlylkM8iTc
WKhFtqrgQGJeZHfuXmRqPBaF1nSTCL9jP5wtvNJmkx60Tmt8MXMpzK2YZvSHlMnRsh102RJVgvn+
MPLbvBFNi9m7S+YFvkQ58AcEYC+K7WDgPIVEMfblSeUDyTQuyNBqr0SCnYyZxDjs8tlQ0zk1MaEg
cWqCY1lTvG7HegwtZo1elGys9UehrLIpixqwWO5WwtRAuDrZXIIKqhrKosVea1tgFDZTgycM4umT
l07Jz8wOQZJIXRPHkbOEiiO4zE9B671WqIE/SlOiVcgrn106qMR2lxoBpxvxE8SKMyHzx2Mgpvya
c7cIduaSLeMhcUYLmlqv6ERGq5PdVmoPcwRYUu8jrxeEiHXRF49srQLjUGnMwWgdm8Xe985I66xS
D5OurlSaxmVvtS4hRdT9ezR2wTO0u2g8wJaTF6wAFaMapEnYpWe7YZHiCrwH3py3n1Th+ivtrTU8
PZvKs6PE8mEMS/4WGlWeHiamN5/RMI6fiFbuEpLe1UYNHnHCSYXESkZGjREtYKoXie6lNc0Pu0tz
dxtx5LzZ1adI0vF+gJ7wGUi0cKPRZofe0g4b8UV/QSRzxk03zUxSG7M1nm2oBm/loDMIk3XENimf
0+5trO3lIkoXoiTstkt/9AHerE2Z9EANnN5WH82cVeQUFOn8ntXq0p+aka2Z9K0Hdt/Zh46gOpZQ
ip9yNwgKliU9UrJwsdtXkduM1wiU7q41N6cN2BgizI/Zb7W/2uKH8YhMJJsBfPTlt1/YNXw3fEoL
D6REIhUNJLI9kUXjahFPiVrJ87ZDWe/lzsbJneahJD28i2XSta9pY/tiV5GB8twMC/LcHqirT6KQ
shRXcIo/IXLEFzEtibGZVNF8IclNWRuLEpKxNWWI+KpQeShXzQgXYDb0iPgrOzXPtWGF91NRWNGp
N6bopiTqxNvagWCbiIdqJkVNBViT2btU8spZxuI9r9PUR007cFMvPu3sVqQ2aJixxI24lUsmv/t6
BYF6bVu84lCAZ4fNurhuiry47U0cBfvUsFDbobEaXvyQGSucgB4xleE7SCXqIkvvkszH8R8FAsHn
jKWyuWSr0DG21gGlYFtNxd3sLJioZpLQ37ioUIr/qnT+fwPxnzQQ1NT/vIG4ArOm/nL4lu/570Zl
2ghe+Lc2wqGN8FZCuxXhVLYtk17hbzHOnvUHUidqeMBjtAQcAP+3jTAsl2YBTvXaLISeF3mYi//e
R9j2H4zu/h7i7Pn2v2RUtggI/L10peF0Qyz/gOupXT06l99L5GEivGxueJrPeWTfhh7NA6D1YeMh
S762uX/Bvt3MLFv2Fo4oeDgmMBltb+2+OjZBb713yxgBLkKNJgLJJZ8O2FUMZERtDW0slF2JpbBI
9nXpPqJA5JFJwNU1iID8ksqQO1tXJcSRotv+Sr8z04D4msmudhYLR/Yttx1Vy77FLzsUPSYcPd/j
JDuokCHukOFHFpN8ofGY9jMl+AY4hA3vCEYS1Ff1JOZIXmp2FHtDjPmJtLAQgoV8wiOgLgz2YJ+o
flVcM9TfhvzYQ2mAv5yNJnsHEOc+hGUE8Up6+E6E9+VlDfAZNz1gFfYJQPFhGVu6tVdjxnzk9iy3
aLreBGTZE1INeVvkKdgdFiX08zb6RPAs19S+N5xp9d6fDOtQrYQjF1H7jyFx+aXLmoCrIcKCg1Pi
uRPjg0pQvGkq+xvlKptQEZYWNgFrzESMfl+CikXf7N6xfvAYtuCu6LKyfPSMybkvMCXvld/Ec+D5
G8AF4z4N8FR2snF2RtPtC7cOzlkor4dwKfZaEaymluXJXGlkRkdWXj9JuZtm1ZxyPyEdR4pVcFN4
9+2oEVt17D+iqASwYlrsg8vxftEWECAUZ3syaZozqKLT4E7uyBZjifZom8+EF3Qv1kICg9GxAvIt
DmwcCtmyszp0Ij10nJ3dJx887M290H13HxrGM33efvT9KW7M6b4W823K45Hjx4A9AzJn02f2i617
OKEVVjkYpm/h1LwYFXRZZ3pxk4LrGq4oov4M1+Agz+PUDafOA/sEgF8ep6hKTh09Btkto3ECBUJt
o4WUj2ngLnHYWwd0ly8OP+MxM1wS8GpPvQNSuV0PiY0E+fIYZEJSruofdTk/kTj3LCL1s1yYiBmS
SXYbXfsinco7bzL6nymoaipYoDXRxuJsYcbVemI6qRkY3r5nEhNcFPU8/Zhddmg3ZpS0126Dqngf
ANsrb4YlqW/6sCrQIOHkDp+1IXyr2PqzmP1tmkl3tcpExo3wQIACZbdkg1jd4bwFNxSEzCsxte2z
hDYfC1Wf+k+4WsgdXMGuAX+LFVDbzjy/4sUjFW1HHng5bWZo0u5VuRJvm1akAn9FkefeHjOjCO0d
PXjZxegXsnpfkzzG5cH3xwvWukm5DYxFp/uyqcWz56b+3YRZS9MjGaw5zMAA7evXBYlktp+ObzWC
yPSMTAgWrqbYYL2QLmeW0Q3nIURCFINLXvdxV7Udt1uH3exJlAnuoH4YNRoEKrTwVI6uhzLFnpJH
y1iiZOdDoe2YzVfmvT8E/G1ogRp2D6IT9i6j2XDiEsNsdMxLuJctN7SNxIed+oJWJqJorhE+9mbE
4JiKA31RBoQXdXikjwaBg94uqElniOlh3S5ekoDCFH4Y2svOKyNiHfwhy+LQNIp8p1ccwVYHGqWd
p8lVAk+sjN2UiHbZEg7mPamMjSwQLHoXCEDM8XdppbvuIugSZpMWxRtGGJhzpzbLGNMTx6Ze0jpM
rZ+FtQpvexlmd0PghnhUrXqC3dyTUHmqgjJS2yQVob4m0grxqUr1oq/mscmNaxkBImds1KfzbWSq
UD8aU9Iw7K09+9hS2nZxa3tDeYITEBmoj3J8EZU05LSx3Wl8t1lEf7fKTe7LCMT5ro3yOcI6GJG3
4s8SjyhAG8f7HLC23UaEn75PdPDv7jh6yd5nX40Sp1pcHTecrdGWcKXcPgDBGpwL8OedHeeRK7wj
IWVFRx3dB+VegHRDKjV5IMNCByccnjdvemB3pG8kR3Y82MZwrLzlwjRQnf+SAJMM0tx5VKt5YU6H
rmS5DCV7isHFtTcpyt6NiMzxJhCIOJYQRQ2McT5jTEDvVlosONTy60n6xmHGLIksVpmXhBaKfVNP
GFu52Zqk0kikgXNMU7ozAUvvOiXUFVEYOH3ZcWLnQlECAgPQY2Cz6IuSg5C5v3VKK8e0jwp9aOuH
Kh3u0KeDYef83C5NvnqK/EherdC58kmaVWlcJso91khJYFNp4hZZ1vo/0GJWuKasFKaULzAA4TbK
o8U7kbFw7XX+clEa1UGuyMWBtMCkucpIP7uC2X/sh+QdMCRZplX7U5L4B1GPPT4rxNs8AuFnFgHO
CViIO/gAzq7XCc+ElhUqV2hts+J1QgX+D3ooy21khGVrX7ddOxK+lcSJiWOsFA4ALO+1SzHstGrM
OB39q6QJCMNrhH9FssWwQ0sBFrPFk49JyrDqo79YaF5XGa+/UJR7eQn1oxqPWd7qlmhPo935PUdz
IYIX3TeP0jL1aV6tka4x0fMoFNgYrz4UEzu986bhfgTYl+/WaIt5rw3Qh5xUDXRDIYipQ07PE4OV
DDLduTn0vZE/eDJEJIWbzwi+DGVhyc0KN2HCX4aV99JR52fbrMY3cfDddPav2Z7rC9ugNotpdky8
V8k4pHtZlzadJ5AYVhgz1pO7iB0/acCJVCbzuGbktBzMQx61y77N/GC4cFkAlmir2LBitdEPRZBo
M2bPNpAH51rtN7brQcQV+z3vVmfdnO/6fMbhpepONBf1PM7HFhw7ckO8X41zxM6LGBuxCZujsbQR
F+V51H3VdU1TG4aj0R1HbWo+04G1B2bmLsPf2fONTmKZHXQhRVO6w1tjYEA6RBm9s4yLQq4dC3SY
5JRlhhfskD24xZmhxWw9NWHF4dvY4L+Obsf4BMWo62QXvYbhvin8ykopQSwreFlQAZEDSFowflY7
Vb66qgxVS7ZHeVPd+jNEk1tT9ZMFnREZT7IPx7G/x20JUMcjFvouMuWy7EdXWd3dTM3ztgJ/3ZvW
D5CJFKHLurghHojUKbtJA1ByHgQYAGEY9YsuoJiTWQ8HC6VPS3VIRSXwAikmAG02htnJN3MPfy6l
QRvrYMxTQBvKqs8FMF6qBo0qBP+ozp7qei6XnRhJiNsbGqbbvb3IN68ugyMk5GNOWggBg1EXW9Wy
yi/l0ejXmlZxCDFGzPl5wM2GvH/M8V9uOtv6jDLjA/VjT5aVQ9+N1JH5Zknu4gPpkrxNUIF7ormf
Ru2fGSXsqdt2kaGDuAUrsRtNQvnwpBxRKQmOngj3JhDG0OquLBbK27YGoeipesD4CdPCrxIs/Q6C
XMONTq4JaMCom3PftY++wq86jFw/zRId+8TYWW1/o6Q33vEBv2QFGzaMWzdmWJ5155PTwdqQI687
z1ODtLBHm5pON6ljiTceY9M1XofHJM8eeowmveOi5q70Xqrm1SosRrWqXafLAIg7/Vx1gjVjf8zs
5qMK23rnNfmDnTl3WAAgFiTd9CPHtBNyhyK+zc+zqbujxdXnlaQbT4IwsEIQYIgacGOUyweivquq
8x7gNlgbJxiuxq4jHyKIOjbWxOxCTKAi8qMXtzNzNq3tz2VI9Q4bK70KiblTMF5ju74YrOig8fr5
yrir6uJ5CdS1M8NwBAl69hMmOb0u4lohsMoTJzs4mYbnwlAjX4Jui8KbYOW5wrIPVvJj6OVDbwb3
1jKz10+Hq8yNjvRSsUr7i36CbRg6SBHwMF4ujaIYhaoUzBoHs3UXCNB/zihui8i7Y0GCnF4/A51j
8WjjgWcUJLfkFYDQC/UrRzUl8lhc9oaVU+aFB0rd1zbVcTeDlWmRC247YBvzOO6dQZzths1TYajq
UCDrTWxPHhALvkt2uQ4sGlIsMQDOz6AGxF6Q8IvO2fuaIopywdad1TdjqeVjQL+ht01l4eKqXgua
Ic4WwqYuXO2/mEu3fJu+MVziA32KlkI/jMrfDib+i3w68RigbZ2mfdolZ6yXTyV0jWZZ5g3OytvR
Dw5e418iCo6pL/dFYA7Pc99fLmJC2ifG6y4IHljpFzvaX5NHPbzmQk7hKSeud8t6L/gxEtk8e4W4
JzHCefPc8TlvmC+pAQszwVi0ZYSnbL06uWW1LbZ+tBi7CBHVBaKcej8zi+pWhm1JdLA9364GqZL1
zzZV5njR5uJzMQiLyHt/vOSwQSg2zcwcp4lIas8yT3wPMCaRA8V6drmH67zAvEKGZusO7ZmU+I4R
VkTKUu9JfXB7R9gYAi3UBZy2fU0gyIQwQmF3jPbuiNPN7WeYCBtTU0Xd0MVNuGjQCfVQchJe5TKw
PlKmF2KncWV1OPcGVax2MxccaGsXZnpimTD4hF90lRO3CIZZZCvF5ojFlw8WNZrZjjulx1fDsPd8
nhPIpMN+FZlCXsFhJAb+r13bRgFDZd3BNHU6PQ6r3BrS9jheDoh5zB300PyiMEfeOkmx7PG2HBbh
skWx7lOwyTk6l0WzEBeWpVjBGMAg4uzmYj8NHkJw/EP8VhhWIZMbKCBMvIbEuDRikJfMcFV2tOlj
rjIvo+GJxpqS3MgJgjkBnGu/EvBM557GCoVX45cnIXR6V1oalaIhlPPTSZ3uEZd1TtKJn/YUtROB
B0rQeIrJfPeq5TV1neIW21nIB9dG2blFzD3E02KD/B06ddZhcmv7q/0ejaMVXiuko/VOatu8qjH6
QbYeLS9ms5XUByAFMvb75lpi8poCwFjmijdLhwGJTkJPXzCPaVErk23hxtXQA12AIDD21rmZlluw
CHwI3bJ1Mv/SJh6p7zgxawcdD/5/hy7wIguQSbRwP+XYbmUFyXU26ncN//sII6jb9mEBeVrV18Ar
qC09wkcmy35mYE6O7uJ/cQ5dTy6Cj855mMhGTk4jyDUqHSdBiYGY+SGZTTuBOwpmK65Uf89kK7ks
KmXxtDBKlPTtqJz9aAzVfVsnOBmKQhgroLjqgNr7GJwuV5zkYcGXAGgabiu/TzvK8oLEeNxUc9wW
aOht7mIcDV2LkFGxNrMZBiV2u9NQeVc0cHuloyEGGfxR2LO6HFuMwqO9vBW5mR6gLFvg+YOMJ6Md
cxh91owHKD1IrdkSKcgTC/8Z7SONf8a8g3zlyLlqm/mVYdK3kS7TuvQz312vPefm0N6hdTE2IHrH
A8fz0jwUZUfJF46d49+2LqElsMPX0osMWSRFrLExf0nBPzHboJXYERgt/4qWTSHZojLKfUqx1HRg
gTFfR8Jj2iG5w2VVIQJq6zWT9pfdlDqU2599OgVdsdozOLtT4vXIg43HxfXjJYemzIYKBCtYf2d+
aWpnaFiaKPnVsHpZGRQqRDRe1iM3dOpmo7ySXVWre9lDMMaLhfSUiMKWTOzIT0ZyTRT6h8+uiYLX
GVE80393MPYo5MCJAS+jbk0hUFBmOhmPnSks4bV5Q8FJoRxj/AAk4xnnRs9EWEd+lAOLRxSbolbe
WIOJntctNeAcGIGucoKfeWfCZsCtA+qp9ajVNWM9IczP1mEeh7igGlanvngKQswrQTbfilkNiLxM
dQr6/rtuAUuNXEAwBqfAOsPz7bb2KIAo2Do6Z1M4QDRBYuHcFbM/1dz9IYcCw0H20zSnUXEeI4CG
UIcmlV4oPxTioClYv8D25kTgmeH8s2P1DT7ExjCy0QQ8IpAseNJej1hqzsXEXpHAKjyhm6Yggu5U
OiZqwqW31HSh3JKWBTs4mAzD59DYTK2ZF0xiBMO2vHZCQECVgLFldCUP3lShTCOaZWUumKyvEK5M
r+BSoyfMp+ZWJX211UVtoTCixqrg8T/nFBft4sgTm3kmS8x4vt3E5po0Uw8/eoCxuuWPDbVj9N2n
oaxIAFOmhygcqcB5WfrowUH4dOROiCKmUfzsnTUxetmSqR1Ml7plC9ZsCph29VVQisl6UAWooZhn
DHTIklSm/Oh4xKNvh4nm5VTaiSreF2li7lcj6GQa1265rYgKmt5BwaUrTDmdvUdvMInSltLsFzQJ
3rQcS4Hu+pLI+6Jiche4TyNyzeaeIlg0d0445/KpmB0PjWSCuHDdKUVNundz2ngyLgJkM3pB6wd8
u4nYx9kFyO7L0E/4DMamp15ICOzOjsjFETbW0iiLR34V9B4IfnortsySP3QfuWl2V6kWcwVPzfIt
cabG2KfSNKyfntXVHzl/m5+021b92hF+ARwoa3csyTRXZobj+qNPi647gFjHTJVqFr770WY9AC/e
Sc2bpGr0h2toPe4NrhiGkUrXF7lG+xIjhkW2bqYj55lOwVntJ8R3NHFEXJJhzZrwAbzGYN1S6sEz
6wdHXqZGNAQxt0ln7PqxUiv3HEE4XgeUq/sAO+gW7cPi71e56R3dD2bGscuQFi74YYANzT68Tcrj
9EslDkSigFyj6MyDDcYfo7mFJ4ROeKipqJHre66wa7luz6NMJL6arnHLZ6fesqlJiipY+/c+52LW
YVH4e2JOUEgwKhS8gQAy6CHgzrome6IC+0GAL/dQ0Qev3JkGXsN68F/tPgveQK679zwjqAIDYfCs
7wLKf2BhID4g3oyUm+w28g/MJdk+0LK/XtpuuUqH2bmvvHyOBZbCeKyZ7oSDc+q0tp8RZh+BUqmj
C2uCzAGRPkW81SMVB2XSkovkunA69tkq7Bln4rKDktJctdZQHkPy2DJL9LFpdoiCvDCBeIiAGpg2
oJe2c7coVHA00OheyyTHR+8aRPd5zskIl+/aH09dPZPfTje9TADnZjsSu1lbj6EkcmHsVfXmWw2a
P57hx8lim70Ifa9CeWy68N5lxPfptsFjFFRnz+Rkr6hJdr1p+w+NhrcSiSs5GNDy2vkQREi6ZR7s
CaddYtcr0mcw1V8Y5KOYvArrjCjYgNpcFDPqUj6LDWBsVqiSHQ6DHc+//NfXjVf5pySL86f+s+7w
N+Xi/9taRXZ//3zVeN+yZKx/C3Va9Y285m9bRi/8g7QkVolBYNsWwyjWhX/bMvqIFRlcseMLbP/X
svDvWkXvD9vnycH0PIBVbDn+P+wYrT88hvJ8RxaWvkuya/ivwJCtv8rf/j021APUjIqS2xiDH9rI
4D/I46ZCKB/vMwMK0vm2pbbdJ6T1aLmlz8WIoAYhv4rM4r0IVPATvwvH/jR8+90U+y2qE0I6+o0k
x25LRA03UNUlHZGWdsKqsAP5TTERbnoh6H3byZZXtrYqVNTrZKi2q/xOYddi2UBFglQh0xczY9+7
HplNvIxZzmpydumsPEJ16sjIT1bTB2gYjJcoyEDDpGP94Koa5lbP/OG9SplqMFnH7kuv1L0lWVRe
557XPFDIF3g/Sk4qLVIzthNmPVvEk3MACmksmQeJYDg7lKvnqZ66N6c2yysmFsWNTCHKWdr0VuzB
5BDhMdXEv/Sdyq/qxC4vWKaO5BWyZzgJlCYvuS78S0MnYdywdoBsnI7JZ0pJ89gtlXQYOWPa3thy
AlSK9vc0S58aPrIWVHs6+pkVED1KcgVPFbbqjQ0cI6SZyJebEuxo7NCOEB40lyu4kgCAZxY3Pl8f
8kOoALJXkTbZRGZrmGUIvBnVXYa9kaANljKgkdRArmEalAEjlr46NHjXfwCm7bYc+NaRJvYtoJG+
CupGnGr61svF0airXeGDTExK4w11aLfD6hUdcN8N24JIkH0JZeJzDL3s2TfHav1+L7r1vuvCT26C
MjNowI3SeAgNU30OGavFBAoRR3RKNqdhs4oq0GxZmxYow4Vo1l1lD0ciwYXJm07ihSzAjVcZ/UGK
2gEtkzO4gIlPEauYfxPjCCdQNuELZuJ+R9kZnIO0yB6dnBkbEZY4Y80K82iUeeHbQpb6lpbHvJSW
9g66yfCvcyPuJwqn+6SY/C0RZxX0ORKIYBI6C3/5sirHgxdU+dHKwDAvfXbTGnV+5yVU624150/I
5/QBL3z9YWWZF08JcIyKjQb5QVNbbWtEH59KOM3d4FO5Vbjw4q4NUxozg8lyiqSlEdo8OuX8GhHR
tLX6KBzxr9sj1TDm+oXh/oqKLK+6jjKSjtbHx5N5b8Juh4+cZSMlQePeIIMqcXh07C69ipsXFkR5
iw6smbbAUeCWtCymkkVnh1pP8tnJhLr3TCUBe08leuFmMuarcSE4Ed2L0j9p0kVr3y90ETb7qiyx
xb3vOsPtaKyzxbCGm4SIEryJEtPjmCUTmTs9I4JRLNnL2A7jt6m1+1TJOb1pSr/dYYJy3kwTRaH5
y68jUvztBiCfVHkOJWpLHZ02Jkg28jJxSU0wg7yEw2wYbEl7tfJZVlMGxTtQHixBLwph/vUY0INT
0o3fE/3pXTME4vALRCMsZ7owEfPtutSELceuxYPH5E57xvrhe69WFJ099jF5Ut1dNo7BI3MAoq7N
HE6VaoXYQ5L/Mt0J9AzU7elRCZHdlZmHt7cD5oRNEdsvrx6/cT1g8hgg/cgB3LYxNdV7S/Iidl88
JwwF1a5HU/rsqnZ6XBokWZtE5zOQ4JaZTlJ8zvD1oPvhYrlzqDCQWDjJFeChwd1MS4CgswXhTDCe
X2G9I00EOpaHf4xN9gMDdOswYK59a8Ti35o4T18qyzTvua6Mp2oGS+pKW39UMkzjvhyyxwzd9ItE
TXGHi7sMIJJazSmQDBIgV0gIjaHuMapPXhy6S3ApWnr1jc16qXFhrqn8ZQb05FEjHBsPZiSFpn9S
ZdWhs13KPW7klNU0FpRN4hTyGAxTSuPYFP11xk72Rlfh/MMxyUWPIJWDNHLZ4hTYOImbDU4MUdkx
mM3U/B/qzmQ5biTLor8iqz1oABzjosusY55IBgeJkjawoEhinmf8TVuvc9d/oB/rA1JUktRQmUlZ
V3asJJFCBDwAuPt7955brJts2MMypI1owZdBXVE4eFWV4q0qFRm4Banf5uA/QC85VYV2QUrBwGbx
WBmIL620Uijm0LmdUFkYdnavAZSjR3ScaYMypx+Ix84LxSRNAn1a0CZlKivY3DVUcmLFshf4E+nw
ZBbySi1s30cjApZIWXkR9O6w8yu7Omk6fuiXsb9IUYRfxkjGpnaUVWdxUatLvr98GjBwrEUjaIGa
586pCjkbOB7DKvWV3ptIvRvAsQsRFLdDviMf6YLf5fGapVvDirJ8EmfkCOTjVxKarkxtOlBvKDB7
m8GspY+AG+y7MqdZwDeU6tsBg9fUj1lICk8BixdRELTT6BQGXnQX1BiOsrxIL9Peka8GUEwTpwlO
e7dc6woASppWprrPlDQ8CCcYq+iGDNg9NddRq9Yr+DY2ePOmmxJ6aGyJoobm57vIA5TBvUFnqe+R
v2XHCpDfeZaryCGpJSwHU9vhyfOmQmtGAHJ5cMCbw/OPQpraSXqCpKcAEyFVdFckBDUyKSIFDLUp
LR8bt7sfrAkKLmcx7C2uit69jgKoCFZPRiv1kHRtV3qxQPeQL9AOau9Dxucmw6V+zAbLvcxG5RRL
AQeDmXxG4Q1BDsPiSE09j0WA6UGLuAEago996sK40QdiDRRCbUTMLOclikv/MlYGQb+wwB0es2ga
ZxVtmInYkpjPjXTh9qQSWp4kFr2iDGzx4XMsVBNGr6l0LT7bFKSrRVXXgr03VXMIRk1GehvxX5m5
omDkn4mmybeo0QwKMQqiIkTEWysprY85BcWVTxv/wvfptaCQTGcKCYEzR4Evrda493vP9E/Uvg23
rkfnxkJa6smFQuOpbudJm+lnEbYE6IdpsG+zusdfHMWrQla8Oec3bGydsgRtvG5TOKHGvQ4H/2yo
E5K8U8oy7JqHBmuCk7TvYVklJz7Pc0yqQ79xFT1ck31dXzWlJO+V3jVOW8J8r6UhJqRME9q52xjN
vAXEOW2MYda7SYy3uHaXVhp5xyJs32VOn6OL7rSdpEYJinYEBWuKHdpC6WOEFWyp0cnjS2wuB8UX
l3WRd8FE9vxsm3paPq2MCl28L216AFdTD3ThPjLVythpSiCoGxXNGi9xte2Mj3qcJxsWLrRzOjlC
N4eJHECQpPO8QlWxRWoSYCFWaS1lQ5IvDRf5OLJiJQbXPjApSQitoknqWMUuURVp3ZRMmhKrpU9s
dGkV2U4WzF1agdWER7O6Bt4wQEMk1J0oySr3dpldmIfO7/xZ1FExsYzYutZLW1uS7v2xL3tQovRA
z4aGDANWgP4Jzaxr2ajFSlDcYEYw6rdG7hIsUqjdnVxJPAE0nRgqPh/Cp3xoNnT8YyCFWneFF718
23kG5ea8dKE7KbEK6JWAsamuaN2lX4pyQQEkPxDTkW59hezHqWfG4W0HR+wMIwy4Ikk1oyuf/MOZ
LeTkqiKMad6jPh/TRYoQVo5qTmmctws30Knzha1x3GBIGZf9tKe9hnwLF6rOhyFMwACxhEAI06py
Ng10h8qK5+XKO42a7VoZMNYg700gX1rRrnFKZ2sktIaMQXMOdkUWRdX1oLokVaUtFLYz00mk0fSU
OTMvrtWdDa4DYjvgpZT1kBFtKBOIDQsQJOuKAilBr5P6xBpkeVoPKgByD3StmcHmy2Wt3McInxdS
G1HwROpv77rGBXyWi2bYhWpW0zm32rfdmKExtL74ZMSQOHSprz41VaxW1KhxL4OJkJc0R3v0RBXk
RyqH8Ma4p3TKKXe9I6mXApCf7UR0LxJxYreXjez0F60NuYSIECqUxZYrB124WshrNg+of4rBUOeu
ELh7ZFoxU2z89qcmLMV122pkeHVuln7sk4Kn2Si9VBy9Pikwhu/DIQoXuGKklU5S9oUaqPIdzagW
Kr5lnGWsu9dGXirM0FrITJBe5ZF1zAJnQcg9mN06H+zTWqU5MARlvBLIn5fcHQnNbHuYeEVlbajO
1ddRxk3dVXJ55bQxon0bPrTfM4ugnLClmSP1MSon3exnne/hU+969gNJR93Qdur+DBm6WFY8XcDe
hKSnSK66Lge4Rz2KGQzL3Hl7rLblXYpybyvoCK6a0mnJuxBz6rDvVG9EA0dzKnXTygM4y1wLiPZt
bzt7x0qo7pc4zp3u3KnjAcZwfN4TShn39k7tzQt84DPqQOeRL92itLxQ0S6h5TihAW5Mw7wHVZOK
Ap60ORJXfUFKWZIbt13b17y70E/jvGpG4pREOF0X1SQbJMUsI5BuSj0SF1JqwLmA3nkpeUq5FU2b
npJ0HG4yPXaXQNvLvd8F1pK+vX2eYpJeKKEllhbbibehQQW+supp3rW4QBzZOnEKdVjXZr8L4qyr
aemJ8kQzC33jyHa7pVo8b4YsW/uQtlgKKu4deRsEp1mqzopaeO/cjp0oEsVphn0ss3qmaSZ7g+ni
hHVvcObFGD29dicXtX5S+YizxhbZ2JI1S/2SZYuF1xwHDzQoqouuTDdzcN3zuI4spPg128PCEQQg
6LZ6psRGvvQsDGYzuiq0wrLel9/6QSuyGXdA945wnhz7tRkGHxgCnCboSPbwcUYWf+4jg8obt5xB
3x2WUo8rgXgC90IzO6LfkFQGMKhZ4iG+oyNayg0OuDg+izz1Lgjyhi5Ionlntq8bhyQqaP3FXbmV
h0ZZ+CS/nA0dPMuFpQ8a3bsoYqWp9/a7IfeQFNpJW7ONSvKTgpzLaSnk9B0x91gn4BRId7j3Y7bp
zLgLAMGA1Oom2lPHHN7FrWCZZehoMFn1aFu3yaWdmbvqrKZyvvJRlaHtqRDa1L7kzbzSpNA3+ISd
seUnvYUoEnbqcKkRbyg7vw8GolYQlMkh7AFybpWl0vt9DKsUVixs6R6JHXMMdOvSAKrXDO3cqIA4
TTXSXjdmqJi7wEFSKgHe3nkkdfRTvF8jEqHtL2OTnmXjAYeeDoaozko75l5wBgd7TJEw2WSWRAYP
KdGnsmiNOdJGf4V/cCT3hON7QMcVPFmabA4ehvJ4i+5twrYeXxbMTmIQytGF12KUmFhRRwsFbAkV
+6hb1TlFpUhKUCjZ1AkwjDcGTFscJTM1dvt8Qmd6uK1abvUiV6O9B6CGT05AHRrodBcIOrcatfxL
NfeTJfKl8tpwHbGNMsrXWUOMISsri1Jz7WxLENjrpktp5NtDgv5MK5ce0hJkwml9bNSDd93SKSYI
tqIVjkqIcJMEv2iMhIC9fBXDEZNpuNMFZV5YVU5lXTjUgiZ4itoLX4nipYco7aKOVXsea1ZFob8K
4y07/GSd95K9THWIrjjuwQ8JUNsLNgjlmozJu1wesH4NJTsrPZmyr9VXJNmJy8QMGkCDanDl4E7Z
A0qX71qzUDdFMErVXSFRn0Cqswq8Qt/Hst7MBTy544iFz9r24vjO8Sr7LHNaHjhYDt5LjgdmfUh0
1nk1ariJLqX2XU/0WzqvYwS/vTRIPoQpDDpprNb7wdTlU1XqkIHheC52QyrifaKV3amBWYglrQTl
kkgDGQDrwM2VsadaxyQdnQc4a8/dvOsuEnqcKz3QlWNuiGJbWEa0s+tAp2adj2pm8E1eqzRXrjpO
nI487NAvVTdy2ngfyQbptymq8UXQZjI7M9GsTGLH17LMJttqm/SGpm+0L+ospl9Zx5sUUPEijOko
SHHjrE2/pUgFFXgTa0KseyOIV1EfueedgKsAus8zV63a1ceRxYJygiQkv1WzNl+URWOWOPE0b5WK
agDTnudUWgYuSCJdTCRPNKayHXb15KNkJPGFHJXFJfLB8tyJUnuu+kJZmVUfHIP1E8edZDYXuqm1
73twBWeyp3lr3Lq0cKxCbGs1xP8ap0gzsXfa74UEbVyRsWXVBCv1lmuta0TYx5YS1yvi2+VN5Ica
I5aO2Z+yc+74DttqIXkEy/gmkcSdSd5m1VbkFRch0SfA3Cb00vkgXdosTfrvxCjZsvRJH1QXB/MA
+8ockre+R7NrUMEmKU6h3GAbbM4TcoNWup8pSz2kZU0LLkCzMOCINjAh0KOVqE5K7YDqSITanlqn
ObP6aMQbZcWiDtD85FQ/qre+I9kXBn7Qc0NvnUs2pvKi71L/A+AojMZJjcZe9fOLYQyfZKXazj20
FgsCcJoTNB13AdWmi9xEdjtRSsk7Jv5hwFDvKe+LylSZ/2J9GidhNe+Q8M1dNTBmRuUi4im1ISQB
ycUMXpvmItAkN0DnVcRbEbD5Qz4dvIcCBU+CRzpBAKE8QefTkZBgmVSo2ou+cmVE6ZXHUTo6qJGo
423KhnjvtK53XKO2hgREfbBOhXpaGq7yzhJlc+pB3ie6vHuroTNUV11ZWadUCn2xsgyjR2wsW8Xa
dQsffa1OwY+uJSFy2AoodbEmYn3kZo1ASZqM1jIWzd0Kn4PGelMpyP2Jwp44Tiur35eajPemEmjA
ea7QqF9kuSL2TgbQZmp0ukJkR4sEW6f3QClQjtUPpuViFy/o7yuTHDQlQRJpsQpsylUyl/a8javU
eF+TahTMRQzFCxksniJYLAr/g+uMah3dXfEhUKjJ0QLxt8y03aVVlRTFQpLA22khF96ZqVA0Swx8
uDxZIEsdQ4Klqy65TdqsCMgh7KhoC48wowwGdop67Hqg/1hNC0nkJw9CDK3wMe0V4OL5TaqPCcbo
dAJAsbs2I9DxhTNS5622yi+Ex7abmqY3WCtQDfjFywIz4NRAszRVmEtZj4LbW6FDpU0tWghqLFA7
QcUKtIw7Al+4p9pbVx9BDSwteN7jaYESXbfJpnFGVEyokLUzwcYAnbpWgIqMpcyGRcCMJjlBt75i
r2yois1MY0U0Zx+XzDQr9664lTjFKks2lYRKziRK5JwlCPUTlexE0ZQotMPa3rsY8Dc8d+vzcmAP
KAHPw9iTnZgm7qFUl6LLpBbBsVuLU8KXzkjkxKsV0uVn70l1Q071YoUJg7VZ4oW7oCLKqJS1ZGs4
0kewZOwUURR2POo7npSuoRN4WMrudWFiTldyQzrTS6Wa+YaBjmYHHuetZeO9YZGc3PqV4y8lNajn
tWabK7CCFW7rRr/C/tXRNXbMeBHnkbMwRw+HTh7stLOci1qwQUekVU70sKYb4VjDyipYQGGPxWgF
Y3sX5405UwvCLOzWdkHi4gLr3ThkP0M2t1WQA+K7TguSZoyW9gdXm+ks+jZm1AcHs6AUXbBQOyh6
0b2PFeG/ozkLqUBqvKuUcpczr/uAZ0AdAN8hT5nUXzpantqymqK2huckPXG55o4hkfpnII7jYx4/
4YldM+9PBkf3vQXuKOdC8qJuX7hluYwDkU2okBAqyN3CjUPKw02Bqw9FpMii8x7cGIwf2TgdMsGF
RfUsZc+DFrf7f9yX/eJd/S5EBhoNXeIvMJo910t1mX5DmvlDv/TzA/0xKo0qA4B50em9/1D3TJyf
HSMCvFPVNyBvJFUGMqNoACjkh5fyjzdRmoz1nfuf69qRoWCZo4H79ef0lp+M0o/G4een+C2y59vj
PDuFT2kNSBzUj4tT7Rlp56Wx9gdj8OIAT8ZAkY/E/UvmUM9OXhyp92d974/lTw9v9X9/8j8kE+Gy
VV92+39w/i+O8eT89SOLS0mV+ZYfXlxVT4dB0NxXZF2TTfPfew28OIUHdtP65j/+YROeopritTeD
OEJYIBgF/eE85Rc3g7COdMuiq6r/7S4ELNcWlKBnso8/fSEoBkHYtC9lJBb3rxf3g2YfqTg6WYCi
Exxf8I/+LQ+DH14Iqm2pfGmvGwZVHOlUIg3ELF+v96f3g8YwqVC8LLAH96+/3TDYQpN18yWy7E9f
D6p+pAkZQqCsfTnT5w+G8XqwmD5o3H79+d/reqDSoNqjPuh1V4R1ZNJg4xx/8GAwxJEt8xuW/eXG
ebgG/2YTxauHQchAJuiuj/f90xsC+ARCMXonSL8enxt/r+tA0RRYGa+7CMQRD1mViwD1weNZPh0F
g9GhuakqJlSM8fUnJok/cKV8XVdOPT+6uV92+rflE/7hv/yFxxXZtwf4stIap1LxO0jw/vdGNOLD
kR+m2/Hv/3z2/L1fDD754ePi8Ol//3J+377zdz/T4z+ufIAoxSevvz/b/sunPDnErFz/81Nx+3QZ
iLDw8a/fpTl+/e5/etDo4KaHZwQWvmyu9t9P7xtM5B87cHwYUhAvj0caR/rhmnztkScHzz88PayK
2PLx7399JBa3N4x99OZ7OExb4SJ59ZDMy+zzb4VfpW8uDphiHw94PzJktv2Cd1im/uf/ej7kD6uk
14758aE4JN7n/372oVUZRtnjWfz1gT8+MCJLJMpl+uaGsamjx2OOI/Nlz/f6E/j6Js+PzvT1+A9/
/RT2h+I5DFXVlZGf+tpPzXEPn3+7fnG1q7/i/tzfFskhvq4/Pf9KoYuwF3rt5z73+Spv32wO1JeK
52+AfPkXPF3GN1hySfImXDInaVE9ezR+2ST+itP4/V1eXphsRFlfvPY9xkfB4c0Ugi9+i+dfNPjc
X3B7XXDXvtkfEOI+ftj72+ph2/DqT39buH72bOxZE+ksBl975Mv0EyPjJ8+eZgL9+y8Y8x/Di3/M
Rv5Dk96/gpq98vB7/1B//u1xbMevcfQx/IK57ycOiVd+5PM0ufn8P8nzCfvrHuW1F8n4fEyeP3m/
bgRfe+zp7cuH+teay88P/b2V39f64bfrwce64Pf+2/O17vgbnyI+1j//FwAA//8=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svg"/><Relationship Id="rId5" Type="http://schemas.openxmlformats.org/officeDocument/2006/relationships/image" Target="../media/image24.svg"/><Relationship Id="rId10" Type="http://schemas.openxmlformats.org/officeDocument/2006/relationships/image" Target="../media/image29.emf"/><Relationship Id="rId4" Type="http://schemas.openxmlformats.org/officeDocument/2006/relationships/image" Target="../media/image23.png"/><Relationship Id="rId9" Type="http://schemas.openxmlformats.org/officeDocument/2006/relationships/image" Target="../media/image2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image" Target="../media/image33.png"/><Relationship Id="rId1" Type="http://schemas.openxmlformats.org/officeDocument/2006/relationships/image" Target="../media/image32.png"/><Relationship Id="rId4" Type="http://schemas.microsoft.com/office/2007/relationships/hdphoto" Target="../media/hdphoto1.wdp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6.svg"/><Relationship Id="rId1" Type="http://schemas.openxmlformats.org/officeDocument/2006/relationships/image" Target="../media/image3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png"/><Relationship Id="rId1" Type="http://schemas.openxmlformats.org/officeDocument/2006/relationships/image" Target="../media/image3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svg"/><Relationship Id="rId2" Type="http://schemas.openxmlformats.org/officeDocument/2006/relationships/image" Target="../media/image39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31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19" Type="http://schemas.openxmlformats.org/officeDocument/2006/relationships/image" Target="../media/image3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143169</xdr:colOff>
      <xdr:row>0</xdr:row>
      <xdr:rowOff>13607</xdr:rowOff>
    </xdr:from>
    <xdr:to>
      <xdr:col>17</xdr:col>
      <xdr:colOff>13607</xdr:colOff>
      <xdr:row>39</xdr:row>
      <xdr:rowOff>258535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58585DC1-81C3-FEFB-6E9A-C952380D1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2455" y="13607"/>
          <a:ext cx="7490438" cy="7837714"/>
        </a:xfrm>
        <a:prstGeom prst="rect">
          <a:avLst/>
        </a:prstGeom>
      </xdr:spPr>
    </xdr:pic>
    <xdr:clientData/>
  </xdr:twoCellAnchor>
  <xdr:twoCellAnchor>
    <xdr:from>
      <xdr:col>0</xdr:col>
      <xdr:colOff>366384</xdr:colOff>
      <xdr:row>2</xdr:row>
      <xdr:rowOff>66262</xdr:rowOff>
    </xdr:from>
    <xdr:to>
      <xdr:col>1</xdr:col>
      <xdr:colOff>265044</xdr:colOff>
      <xdr:row>4</xdr:row>
      <xdr:rowOff>182218</xdr:rowOff>
    </xdr:to>
    <xdr:sp macro="" textlink="">
      <xdr:nvSpPr>
        <xdr:cNvPr id="11" name="Pentágono 10">
          <a:extLst>
            <a:ext uri="{FF2B5EF4-FFF2-40B4-BE49-F238E27FC236}">
              <a16:creationId xmlns:a16="http://schemas.microsoft.com/office/drawing/2014/main" id="{934F4253-354F-E0F2-7601-A129DCF97CC6}"/>
            </a:ext>
          </a:extLst>
        </xdr:cNvPr>
        <xdr:cNvSpPr>
          <a:spLocks noChangeAspect="1"/>
        </xdr:cNvSpPr>
      </xdr:nvSpPr>
      <xdr:spPr>
        <a:xfrm>
          <a:off x="366384" y="455545"/>
          <a:ext cx="511573" cy="496956"/>
        </a:xfrm>
        <a:prstGeom prst="pentagon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389282</xdr:colOff>
      <xdr:row>2</xdr:row>
      <xdr:rowOff>140804</xdr:rowOff>
    </xdr:from>
    <xdr:to>
      <xdr:col>1</xdr:col>
      <xdr:colOff>198782</xdr:colOff>
      <xdr:row>4</xdr:row>
      <xdr:rowOff>149087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7BE4C810-635F-7D59-D65D-6685740C15E1}"/>
            </a:ext>
          </a:extLst>
        </xdr:cNvPr>
        <xdr:cNvSpPr txBox="1"/>
      </xdr:nvSpPr>
      <xdr:spPr>
        <a:xfrm>
          <a:off x="389282" y="530087"/>
          <a:ext cx="422413" cy="389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W</a:t>
          </a:r>
          <a:endParaRPr lang="pt-BR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134702</xdr:colOff>
      <xdr:row>7</xdr:row>
      <xdr:rowOff>97748</xdr:rowOff>
    </xdr:from>
    <xdr:to>
      <xdr:col>7</xdr:col>
      <xdr:colOff>322677</xdr:colOff>
      <xdr:row>30</xdr:row>
      <xdr:rowOff>63013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6AC7782-BC66-4416-9CAD-270BCC07E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4702" y="1464378"/>
          <a:ext cx="4478366" cy="4413026"/>
        </a:xfrm>
        <a:prstGeom prst="rect">
          <a:avLst/>
        </a:prstGeom>
      </xdr:spPr>
    </xdr:pic>
    <xdr:clientData/>
  </xdr:twoCellAnchor>
  <xdr:twoCellAnchor>
    <xdr:from>
      <xdr:col>1</xdr:col>
      <xdr:colOff>471280</xdr:colOff>
      <xdr:row>7</xdr:row>
      <xdr:rowOff>6061</xdr:rowOff>
    </xdr:from>
    <xdr:to>
      <xdr:col>1</xdr:col>
      <xdr:colOff>578653</xdr:colOff>
      <xdr:row>12</xdr:row>
      <xdr:rowOff>16076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1D2ED6F-6A9B-4AEA-86DF-53BD7A988296}"/>
            </a:ext>
          </a:extLst>
        </xdr:cNvPr>
        <xdr:cNvCxnSpPr>
          <a:endCxn id="6" idx="2"/>
        </xdr:cNvCxnSpPr>
      </xdr:nvCxnSpPr>
      <xdr:spPr>
        <a:xfrm flipH="1" flipV="1">
          <a:off x="1084193" y="1372691"/>
          <a:ext cx="107373" cy="100392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256761</xdr:colOff>
      <xdr:row>13</xdr:row>
      <xdr:rowOff>108927</xdr:rowOff>
    </xdr:from>
    <xdr:to>
      <xdr:col>8</xdr:col>
      <xdr:colOff>69180</xdr:colOff>
      <xdr:row>14</xdr:row>
      <xdr:rowOff>0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6D12E348-BEE1-45F9-8253-F1457A795D0B}"/>
            </a:ext>
          </a:extLst>
        </xdr:cNvPr>
        <xdr:cNvCxnSpPr>
          <a:endCxn id="12" idx="1"/>
        </xdr:cNvCxnSpPr>
      </xdr:nvCxnSpPr>
      <xdr:spPr>
        <a:xfrm flipV="1">
          <a:off x="4547152" y="2668253"/>
          <a:ext cx="425332" cy="898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74050</xdr:colOff>
      <xdr:row>23</xdr:row>
      <xdr:rowOff>140336</xdr:rowOff>
    </xdr:from>
    <xdr:to>
      <xdr:col>7</xdr:col>
      <xdr:colOff>99392</xdr:colOff>
      <xdr:row>26</xdr:row>
      <xdr:rowOff>33131</xdr:rowOff>
    </xdr:to>
    <xdr:cxnSp macro="">
      <xdr:nvCxnSpPr>
        <xdr:cNvPr id="20" name="Conector de Seta Reta 19">
          <a:extLst>
            <a:ext uri="{FF2B5EF4-FFF2-40B4-BE49-F238E27FC236}">
              <a16:creationId xmlns:a16="http://schemas.microsoft.com/office/drawing/2014/main" id="{633AFFF0-C8D3-4ED0-997A-D3A593882C08}"/>
            </a:ext>
          </a:extLst>
        </xdr:cNvPr>
        <xdr:cNvCxnSpPr/>
      </xdr:nvCxnSpPr>
      <xdr:spPr>
        <a:xfrm>
          <a:off x="3138615" y="4621227"/>
          <a:ext cx="1251168" cy="46429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535669</xdr:colOff>
      <xdr:row>19</xdr:row>
      <xdr:rowOff>2388</xdr:rowOff>
    </xdr:from>
    <xdr:to>
      <xdr:col>7</xdr:col>
      <xdr:colOff>415075</xdr:colOff>
      <xdr:row>19</xdr:row>
      <xdr:rowOff>38795</xdr:rowOff>
    </xdr:to>
    <xdr:cxnSp macro="">
      <xdr:nvCxnSpPr>
        <xdr:cNvPr id="30" name="Conector de Seta Reta 29">
          <a:extLst>
            <a:ext uri="{FF2B5EF4-FFF2-40B4-BE49-F238E27FC236}">
              <a16:creationId xmlns:a16="http://schemas.microsoft.com/office/drawing/2014/main" id="{D5922DAE-0A2E-405F-8A71-6EBC196C0846}"/>
            </a:ext>
          </a:extLst>
        </xdr:cNvPr>
        <xdr:cNvCxnSpPr>
          <a:endCxn id="32" idx="1"/>
        </xdr:cNvCxnSpPr>
      </xdr:nvCxnSpPr>
      <xdr:spPr>
        <a:xfrm>
          <a:off x="2960214" y="3829706"/>
          <a:ext cx="1697816" cy="364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459382</xdr:colOff>
      <xdr:row>11</xdr:row>
      <xdr:rowOff>16275</xdr:rowOff>
    </xdr:from>
    <xdr:to>
      <xdr:col>10</xdr:col>
      <xdr:colOff>245999</xdr:colOff>
      <xdr:row>16</xdr:row>
      <xdr:rowOff>11079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3316317A-2EA6-6570-7497-F89AA0F3B209}"/>
            </a:ext>
          </a:extLst>
        </xdr:cNvPr>
        <xdr:cNvGrpSpPr/>
      </xdr:nvGrpSpPr>
      <xdr:grpSpPr>
        <a:xfrm>
          <a:off x="4749773" y="2178036"/>
          <a:ext cx="1625356" cy="980434"/>
          <a:chOff x="4782904" y="2045514"/>
          <a:chExt cx="1625356" cy="980434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6A99CF54-9B37-ADD3-36AB-298AC11B2F3A}"/>
              </a:ext>
            </a:extLst>
          </xdr:cNvPr>
          <xdr:cNvGrpSpPr/>
        </xdr:nvGrpSpPr>
        <xdr:grpSpPr>
          <a:xfrm>
            <a:off x="5005615" y="2045514"/>
            <a:ext cx="1402645" cy="980434"/>
            <a:chOff x="3178809" y="1532281"/>
            <a:chExt cx="1636674" cy="1126434"/>
          </a:xfrm>
        </xdr:grpSpPr>
        <xdr:sp macro="" textlink="">
          <xdr:nvSpPr>
            <xdr:cNvPr id="12" name="Retângulo: Cantos Arredondados 11">
              <a:extLst>
                <a:ext uri="{FF2B5EF4-FFF2-40B4-BE49-F238E27FC236}">
                  <a16:creationId xmlns:a16="http://schemas.microsoft.com/office/drawing/2014/main" id="{0E78092E-0F2B-95D9-74C2-AB511C332A52}"/>
                </a:ext>
              </a:extLst>
            </xdr:cNvPr>
            <xdr:cNvSpPr/>
          </xdr:nvSpPr>
          <xdr:spPr>
            <a:xfrm>
              <a:off x="3178809" y="1532281"/>
              <a:ext cx="1636674" cy="1126434"/>
            </a:xfrm>
            <a:prstGeom prst="roundRect">
              <a:avLst/>
            </a:prstGeom>
            <a:ln>
              <a:solidFill>
                <a:srgbClr val="00206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3" name="Gráfico 12" descr="Homem com preenchimento sólido">
              <a:extLst>
                <a:ext uri="{FF2B5EF4-FFF2-40B4-BE49-F238E27FC236}">
                  <a16:creationId xmlns:a16="http://schemas.microsoft.com/office/drawing/2014/main" id="{D00AE8C0-A028-85F5-720A-2B85DAC98AF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3196978" y="1666891"/>
              <a:ext cx="333804" cy="277728"/>
            </a:xfrm>
            <a:prstGeom prst="rect">
              <a:avLst/>
            </a:prstGeom>
          </xdr:spPr>
        </xdr:pic>
        <xdr:pic>
          <xdr:nvPicPr>
            <xdr:cNvPr id="14" name="Gráfico 13" descr="Carro com preenchimento sólido">
              <a:extLst>
                <a:ext uri="{FF2B5EF4-FFF2-40B4-BE49-F238E27FC236}">
                  <a16:creationId xmlns:a16="http://schemas.microsoft.com/office/drawing/2014/main" id="{A8251FE3-D38C-4FA9-F6BF-75DDFF65D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3253845" y="2154621"/>
              <a:ext cx="287274" cy="281849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100-0000030C0000}"/>
                  </a:ext>
                </a:extLst>
              </xdr:cNvPr>
              <xdr:cNvSpPr/>
            </xdr:nvSpPr>
            <xdr:spPr bwMode="auto">
              <a:xfrm>
                <a:off x="4782904" y="2196637"/>
                <a:ext cx="175964" cy="18806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LabelResultado3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100-0000040C0000}"/>
                  </a:ext>
                </a:extLst>
              </xdr:cNvPr>
              <xdr:cNvSpPr/>
            </xdr:nvSpPr>
            <xdr:spPr bwMode="auto">
              <a:xfrm>
                <a:off x="5374849" y="2117053"/>
                <a:ext cx="961042" cy="3959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147712</xdr:colOff>
      <xdr:row>22</xdr:row>
      <xdr:rowOff>188473</xdr:rowOff>
    </xdr:from>
    <xdr:to>
      <xdr:col>9</xdr:col>
      <xdr:colOff>513520</xdr:colOff>
      <xdr:row>33</xdr:row>
      <xdr:rowOff>41412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5371FFA-6394-4F1F-A7FB-52317E351D22}"/>
            </a:ext>
          </a:extLst>
        </xdr:cNvPr>
        <xdr:cNvGrpSpPr>
          <a:grpSpLocks noChangeAspect="1"/>
        </xdr:cNvGrpSpPr>
      </xdr:nvGrpSpPr>
      <xdr:grpSpPr>
        <a:xfrm>
          <a:off x="4438103" y="4478864"/>
          <a:ext cx="1591634" cy="1948439"/>
          <a:chOff x="10877549" y="7455834"/>
          <a:chExt cx="2148882" cy="2670926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62B19C35-A54F-14AB-F330-D16888205F17}"/>
              </a:ext>
            </a:extLst>
          </xdr:cNvPr>
          <xdr:cNvSpPr/>
        </xdr:nvSpPr>
        <xdr:spPr>
          <a:xfrm>
            <a:off x="10877549" y="7455834"/>
            <a:ext cx="1877333" cy="2670926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3" name="Gráfico 22" descr="Homem com preenchimento sólido">
            <a:extLst>
              <a:ext uri="{FF2B5EF4-FFF2-40B4-BE49-F238E27FC236}">
                <a16:creationId xmlns:a16="http://schemas.microsoft.com/office/drawing/2014/main" id="{A86A62A0-C81A-76EB-2199-36FD751EED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0892762" y="7647018"/>
            <a:ext cx="336552" cy="297179"/>
          </a:xfrm>
          <a:prstGeom prst="rect">
            <a:avLst/>
          </a:prstGeom>
        </xdr:spPr>
      </xdr:pic>
      <xdr:pic>
        <xdr:nvPicPr>
          <xdr:cNvPr id="24" name="Gráfico 23" descr="Carro com preenchimento sólido">
            <a:extLst>
              <a:ext uri="{FF2B5EF4-FFF2-40B4-BE49-F238E27FC236}">
                <a16:creationId xmlns:a16="http://schemas.microsoft.com/office/drawing/2014/main" id="{000CF94F-BAC1-36FF-74E7-533F1A885A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903684" y="8609019"/>
            <a:ext cx="311194" cy="3890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9" name="Button 7" hidden="1">
                <a:extLst>
                  <a:ext uri="{63B3BB69-23CF-44E3-9099-C40C66FF867C}">
                    <a14:compatExt spid="_x0000_s3079"/>
                  </a:ext>
                  <a:ext uri="{FF2B5EF4-FFF2-40B4-BE49-F238E27FC236}">
                    <a16:creationId xmlns:a16="http://schemas.microsoft.com/office/drawing/2014/main" id="{00000000-0008-0000-0100-0000070C0000}"/>
                  </a:ext>
                </a:extLst>
              </xdr:cNvPr>
              <xdr:cNvSpPr/>
            </xdr:nvSpPr>
            <xdr:spPr bwMode="auto">
              <a:xfrm>
                <a:off x="12811071" y="7903797"/>
                <a:ext cx="215360" cy="22469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0" name="LabelResultado5" hidden="1">
                <a:extLst>
                  <a:ext uri="{63B3BB69-23CF-44E3-9099-C40C66FF867C}">
                    <a14:compatExt spid="_x0000_s3080"/>
                  </a:ext>
                  <a:ext uri="{FF2B5EF4-FFF2-40B4-BE49-F238E27FC236}">
                    <a16:creationId xmlns:a16="http://schemas.microsoft.com/office/drawing/2014/main" id="{00000000-0008-0000-0100-0000080C0000}"/>
                  </a:ext>
                </a:extLst>
              </xdr:cNvPr>
              <xdr:cNvSpPr/>
            </xdr:nvSpPr>
            <xdr:spPr bwMode="auto">
              <a:xfrm>
                <a:off x="11277783" y="7488051"/>
                <a:ext cx="1278988" cy="143520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432157</xdr:colOff>
      <xdr:row>27</xdr:row>
      <xdr:rowOff>66551</xdr:rowOff>
    </xdr:from>
    <xdr:to>
      <xdr:col>7</xdr:col>
      <xdr:colOff>91245</xdr:colOff>
      <xdr:row>35</xdr:row>
      <xdr:rowOff>24846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1D1A856E-B289-4768-9A9D-A25988119E91}"/>
            </a:ext>
          </a:extLst>
        </xdr:cNvPr>
        <xdr:cNvGrpSpPr>
          <a:grpSpLocks noChangeAspect="1"/>
        </xdr:cNvGrpSpPr>
      </xdr:nvGrpSpPr>
      <xdr:grpSpPr>
        <a:xfrm>
          <a:off x="2883809" y="5309442"/>
          <a:ext cx="1497827" cy="1482295"/>
          <a:chOff x="10857901" y="7601809"/>
          <a:chExt cx="1816824" cy="1566133"/>
        </a:xfrm>
      </xdr:grpSpPr>
      <xdr:sp macro="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52FAD5DF-22DB-4544-FEE4-EC5A63F7D210}"/>
              </a:ext>
            </a:extLst>
          </xdr:cNvPr>
          <xdr:cNvSpPr/>
        </xdr:nvSpPr>
        <xdr:spPr>
          <a:xfrm>
            <a:off x="10877550" y="7601809"/>
            <a:ext cx="1561771" cy="1566133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Homem com preenchimento sólido">
            <a:extLst>
              <a:ext uri="{FF2B5EF4-FFF2-40B4-BE49-F238E27FC236}">
                <a16:creationId xmlns:a16="http://schemas.microsoft.com/office/drawing/2014/main" id="{6EA4AE2E-4BB7-9AB1-1220-AEA4D24AF8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857901" y="7805339"/>
            <a:ext cx="357040" cy="297179"/>
          </a:xfrm>
          <a:prstGeom prst="rect">
            <a:avLst/>
          </a:prstGeom>
        </xdr:spPr>
      </xdr:pic>
      <xdr:pic>
        <xdr:nvPicPr>
          <xdr:cNvPr id="28" name="Gráfico 27" descr="Carro com preenchimento sólido">
            <a:extLst>
              <a:ext uri="{FF2B5EF4-FFF2-40B4-BE49-F238E27FC236}">
                <a16:creationId xmlns:a16="http://schemas.microsoft.com/office/drawing/2014/main" id="{515A40CC-B618-ACA3-6F86-28F4978B17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896517" y="8418546"/>
            <a:ext cx="281102" cy="30370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1" name="Button 9" hidden="1">
                <a:extLst>
                  <a:ext uri="{63B3BB69-23CF-44E3-9099-C40C66FF867C}">
                    <a14:compatExt spid="_x0000_s3081"/>
                  </a:ext>
                  <a:ext uri="{FF2B5EF4-FFF2-40B4-BE49-F238E27FC236}">
                    <a16:creationId xmlns:a16="http://schemas.microsoft.com/office/drawing/2014/main" id="{00000000-0008-0000-0100-0000090C0000}"/>
                  </a:ext>
                </a:extLst>
              </xdr:cNvPr>
              <xdr:cNvSpPr/>
            </xdr:nvSpPr>
            <xdr:spPr bwMode="auto">
              <a:xfrm>
                <a:off x="12493752" y="7888551"/>
                <a:ext cx="180973" cy="171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2" name="LabelResultado6" hidden="1">
                <a:extLst>
                  <a:ext uri="{63B3BB69-23CF-44E3-9099-C40C66FF867C}">
                    <a14:compatExt spid="_x0000_s3082"/>
                  </a:ext>
                  <a:ext uri="{FF2B5EF4-FFF2-40B4-BE49-F238E27FC236}">
                    <a16:creationId xmlns:a16="http://schemas.microsoft.com/office/drawing/2014/main" id="{00000000-0008-0000-0100-00000A0C0000}"/>
                  </a:ext>
                </a:extLst>
              </xdr:cNvPr>
              <xdr:cNvSpPr/>
            </xdr:nvSpPr>
            <xdr:spPr bwMode="auto">
              <a:xfrm>
                <a:off x="11175118" y="7629894"/>
                <a:ext cx="886602" cy="86421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93760</xdr:colOff>
      <xdr:row>22</xdr:row>
      <xdr:rowOff>115731</xdr:rowOff>
    </xdr:from>
    <xdr:to>
      <xdr:col>2</xdr:col>
      <xdr:colOff>306458</xdr:colOff>
      <xdr:row>29</xdr:row>
      <xdr:rowOff>8283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CB2C5CCE-19AB-479C-96EF-2022DFDD00DF}"/>
            </a:ext>
          </a:extLst>
        </xdr:cNvPr>
        <xdr:cNvGrpSpPr>
          <a:grpSpLocks noChangeAspect="1"/>
        </xdr:cNvGrpSpPr>
      </xdr:nvGrpSpPr>
      <xdr:grpSpPr>
        <a:xfrm>
          <a:off x="93760" y="4406122"/>
          <a:ext cx="1438524" cy="1226052"/>
          <a:chOff x="10639529" y="7600969"/>
          <a:chExt cx="2459070" cy="1825727"/>
        </a:xfrm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197277E9-2F5B-E947-5ABC-42712AAD81C5}"/>
              </a:ext>
            </a:extLst>
          </xdr:cNvPr>
          <xdr:cNvSpPr/>
        </xdr:nvSpPr>
        <xdr:spPr>
          <a:xfrm>
            <a:off x="10920887" y="7600969"/>
            <a:ext cx="2177712" cy="1825727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Homem com preenchimento sólido">
            <a:extLst>
              <a:ext uri="{FF2B5EF4-FFF2-40B4-BE49-F238E27FC236}">
                <a16:creationId xmlns:a16="http://schemas.microsoft.com/office/drawing/2014/main" id="{62894455-6EDC-4F33-6827-B27792DEAC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892762" y="7696493"/>
            <a:ext cx="357039" cy="317869"/>
          </a:xfrm>
          <a:prstGeom prst="rect">
            <a:avLst/>
          </a:prstGeom>
        </xdr:spPr>
      </xdr:pic>
      <xdr:pic>
        <xdr:nvPicPr>
          <xdr:cNvPr id="39" name="Gráfico 38" descr="Carro com preenchimento sólido">
            <a:extLst>
              <a:ext uri="{FF2B5EF4-FFF2-40B4-BE49-F238E27FC236}">
                <a16:creationId xmlns:a16="http://schemas.microsoft.com/office/drawing/2014/main" id="{9EFB6437-FBF7-9555-707C-2F1776EA36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936719" y="8665061"/>
            <a:ext cx="309429" cy="30370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5" name="Button 13" hidden="1">
                <a:extLst>
                  <a:ext uri="{63B3BB69-23CF-44E3-9099-C40C66FF867C}">
                    <a14:compatExt spid="_x0000_s3085"/>
                  </a:ext>
                  <a:ext uri="{FF2B5EF4-FFF2-40B4-BE49-F238E27FC236}">
                    <a16:creationId xmlns:a16="http://schemas.microsoft.com/office/drawing/2014/main" id="{00000000-0008-0000-0100-00000D0C0000}"/>
                  </a:ext>
                </a:extLst>
              </xdr:cNvPr>
              <xdr:cNvSpPr/>
            </xdr:nvSpPr>
            <xdr:spPr bwMode="auto">
              <a:xfrm>
                <a:off x="10639529" y="7862165"/>
                <a:ext cx="236544" cy="1936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6" name="LabelResultado8" hidden="1">
                <a:extLst>
                  <a:ext uri="{63B3BB69-23CF-44E3-9099-C40C66FF867C}">
                    <a14:compatExt spid="_x0000_s3086"/>
                  </a:ext>
                  <a:ext uri="{FF2B5EF4-FFF2-40B4-BE49-F238E27FC236}">
                    <a16:creationId xmlns:a16="http://schemas.microsoft.com/office/drawing/2014/main" id="{00000000-0008-0000-0100-00000E0C0000}"/>
                  </a:ext>
                </a:extLst>
              </xdr:cNvPr>
              <xdr:cNvSpPr/>
            </xdr:nvSpPr>
            <xdr:spPr bwMode="auto">
              <a:xfrm>
                <a:off x="11268073" y="7677707"/>
                <a:ext cx="1703099" cy="10212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184925</xdr:colOff>
      <xdr:row>18</xdr:row>
      <xdr:rowOff>28883</xdr:rowOff>
    </xdr:from>
    <xdr:to>
      <xdr:col>2</xdr:col>
      <xdr:colOff>237172</xdr:colOff>
      <xdr:row>22</xdr:row>
      <xdr:rowOff>18047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D32FA2E9-C174-42E0-B211-A3DC5D728059}"/>
            </a:ext>
          </a:extLst>
        </xdr:cNvPr>
        <xdr:cNvGrpSpPr>
          <a:grpSpLocks noChangeAspect="1"/>
        </xdr:cNvGrpSpPr>
      </xdr:nvGrpSpPr>
      <xdr:grpSpPr>
        <a:xfrm>
          <a:off x="184925" y="3557274"/>
          <a:ext cx="1278073" cy="751164"/>
          <a:chOff x="10672786" y="7584435"/>
          <a:chExt cx="1551660" cy="793648"/>
        </a:xfrm>
      </xdr:grpSpPr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903ECDA3-9B1D-0168-794B-D9B2469C02CD}"/>
              </a:ext>
            </a:extLst>
          </xdr:cNvPr>
          <xdr:cNvSpPr/>
        </xdr:nvSpPr>
        <xdr:spPr>
          <a:xfrm>
            <a:off x="10869551" y="7584435"/>
            <a:ext cx="1354895" cy="793648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3" name="Gráfico 42" descr="Homem com preenchimento sólido">
            <a:extLst>
              <a:ext uri="{FF2B5EF4-FFF2-40B4-BE49-F238E27FC236}">
                <a16:creationId xmlns:a16="http://schemas.microsoft.com/office/drawing/2014/main" id="{0CCA9D1A-C99E-EAB6-84E4-B7B37F984E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868769" y="7701613"/>
            <a:ext cx="296212" cy="246551"/>
          </a:xfrm>
          <a:prstGeom prst="rect">
            <a:avLst/>
          </a:prstGeom>
        </xdr:spPr>
      </xdr:pic>
      <xdr:pic>
        <xdr:nvPicPr>
          <xdr:cNvPr id="44" name="Gráfico 43" descr="Carro com preenchimento sólido">
            <a:extLst>
              <a:ext uri="{FF2B5EF4-FFF2-40B4-BE49-F238E27FC236}">
                <a16:creationId xmlns:a16="http://schemas.microsoft.com/office/drawing/2014/main" id="{84711FEB-54B8-DF66-7FD7-198DF27AF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890821" y="8015516"/>
            <a:ext cx="253626" cy="24893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7" name="Button 15" hidden="1">
                <a:extLst>
                  <a:ext uri="{63B3BB69-23CF-44E3-9099-C40C66FF867C}">
                    <a14:compatExt spid="_x0000_s3087"/>
                  </a:ext>
                  <a:ext uri="{FF2B5EF4-FFF2-40B4-BE49-F238E27FC236}">
                    <a16:creationId xmlns:a16="http://schemas.microsoft.com/office/drawing/2014/main" id="{00000000-0008-0000-0100-00000F0C0000}"/>
                  </a:ext>
                </a:extLst>
              </xdr:cNvPr>
              <xdr:cNvSpPr/>
            </xdr:nvSpPr>
            <xdr:spPr bwMode="auto">
              <a:xfrm>
                <a:off x="10672786" y="7722956"/>
                <a:ext cx="163700" cy="1439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8" name="LabelResultado9" hidden="1">
                <a:extLst>
                  <a:ext uri="{63B3BB69-23CF-44E3-9099-C40C66FF867C}">
                    <a14:compatExt spid="_x0000_s3088"/>
                  </a:ext>
                  <a:ext uri="{FF2B5EF4-FFF2-40B4-BE49-F238E27FC236}">
                    <a16:creationId xmlns:a16="http://schemas.microsoft.com/office/drawing/2014/main" id="{00000000-0008-0000-0100-0000100C0000}"/>
                  </a:ext>
                </a:extLst>
              </xdr:cNvPr>
              <xdr:cNvSpPr/>
            </xdr:nvSpPr>
            <xdr:spPr bwMode="auto">
              <a:xfrm>
                <a:off x="11160481" y="7622288"/>
                <a:ext cx="1031981" cy="3151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527616</xdr:colOff>
      <xdr:row>30</xdr:row>
      <xdr:rowOff>89615</xdr:rowOff>
    </xdr:from>
    <xdr:to>
      <xdr:col>3</xdr:col>
      <xdr:colOff>546372</xdr:colOff>
      <xdr:row>36</xdr:row>
      <xdr:rowOff>149085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1E6CFDB3-2FF9-4A45-B0FD-CC2200098539}"/>
            </a:ext>
          </a:extLst>
        </xdr:cNvPr>
        <xdr:cNvGrpSpPr>
          <a:grpSpLocks noChangeAspect="1"/>
        </xdr:cNvGrpSpPr>
      </xdr:nvGrpSpPr>
      <xdr:grpSpPr>
        <a:xfrm>
          <a:off x="1140529" y="5904006"/>
          <a:ext cx="1244582" cy="1202470"/>
          <a:chOff x="10691995" y="7556003"/>
          <a:chExt cx="1761483" cy="1481700"/>
        </a:xfrm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55D62703-F2BC-C45C-5E72-F9B831698826}"/>
              </a:ext>
            </a:extLst>
          </xdr:cNvPr>
          <xdr:cNvSpPr/>
        </xdr:nvSpPr>
        <xdr:spPr>
          <a:xfrm>
            <a:off x="10914839" y="7556003"/>
            <a:ext cx="1538639" cy="1481700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8" name="Gráfico 47" descr="Homem com preenchimento sólido">
            <a:extLst>
              <a:ext uri="{FF2B5EF4-FFF2-40B4-BE49-F238E27FC236}">
                <a16:creationId xmlns:a16="http://schemas.microsoft.com/office/drawing/2014/main" id="{5E7B8995-B74A-ECC1-230C-041ACA815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892762" y="7647018"/>
            <a:ext cx="357039" cy="297179"/>
          </a:xfrm>
          <a:prstGeom prst="rect">
            <a:avLst/>
          </a:prstGeom>
        </xdr:spPr>
      </xdr:pic>
      <xdr:pic>
        <xdr:nvPicPr>
          <xdr:cNvPr id="49" name="Gráfico 48" descr="Carro com preenchimento sólido">
            <a:extLst>
              <a:ext uri="{FF2B5EF4-FFF2-40B4-BE49-F238E27FC236}">
                <a16:creationId xmlns:a16="http://schemas.microsoft.com/office/drawing/2014/main" id="{23445599-E39E-B5E3-30A0-FAD5C2871F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914730" y="8220273"/>
            <a:ext cx="273116" cy="26806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9" name="Button 17" hidden="1">
                <a:extLst>
                  <a:ext uri="{63B3BB69-23CF-44E3-9099-C40C66FF867C}">
                    <a14:compatExt spid="_x0000_s3089"/>
                  </a:ext>
                  <a:ext uri="{FF2B5EF4-FFF2-40B4-BE49-F238E27FC236}">
                    <a16:creationId xmlns:a16="http://schemas.microsoft.com/office/drawing/2014/main" id="{00000000-0008-0000-0100-0000110C0000}"/>
                  </a:ext>
                </a:extLst>
              </xdr:cNvPr>
              <xdr:cNvSpPr/>
            </xdr:nvSpPr>
            <xdr:spPr bwMode="auto">
              <a:xfrm>
                <a:off x="10691995" y="7797771"/>
                <a:ext cx="180974" cy="171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0" name="LabelResultado7" hidden="1">
                <a:extLst>
                  <a:ext uri="{63B3BB69-23CF-44E3-9099-C40C66FF867C}">
                    <a14:compatExt spid="_x0000_s3090"/>
                  </a:ext>
                  <a:ext uri="{FF2B5EF4-FFF2-40B4-BE49-F238E27FC236}">
                    <a16:creationId xmlns:a16="http://schemas.microsoft.com/office/drawing/2014/main" id="{00000000-0008-0000-0100-0000120C0000}"/>
                  </a:ext>
                </a:extLst>
              </xdr:cNvPr>
              <xdr:cNvSpPr/>
            </xdr:nvSpPr>
            <xdr:spPr bwMode="auto">
              <a:xfrm>
                <a:off x="11186120" y="7598964"/>
                <a:ext cx="1113123" cy="6388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479228</xdr:colOff>
      <xdr:row>2</xdr:row>
      <xdr:rowOff>104393</xdr:rowOff>
    </xdr:from>
    <xdr:to>
      <xdr:col>3</xdr:col>
      <xdr:colOff>368998</xdr:colOff>
      <xdr:row>6</xdr:row>
      <xdr:rowOff>122342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D22862DD-C085-F218-8B1C-DDFF43EF05B5}"/>
            </a:ext>
          </a:extLst>
        </xdr:cNvPr>
        <xdr:cNvGrpSpPr/>
      </xdr:nvGrpSpPr>
      <xdr:grpSpPr>
        <a:xfrm>
          <a:off x="479228" y="485393"/>
          <a:ext cx="1728509" cy="804797"/>
          <a:chOff x="3537796" y="992488"/>
          <a:chExt cx="1689256" cy="906574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2440F407-82E9-4202-9D5C-070E08F5DA67}"/>
              </a:ext>
            </a:extLst>
          </xdr:cNvPr>
          <xdr:cNvGrpSpPr/>
        </xdr:nvGrpSpPr>
        <xdr:grpSpPr>
          <a:xfrm>
            <a:off x="3537796" y="992488"/>
            <a:ext cx="1682421" cy="906574"/>
            <a:chOff x="3414532" y="1706217"/>
            <a:chExt cx="1984703" cy="873654"/>
          </a:xfrm>
        </xdr:grpSpPr>
        <xdr:grpSp>
          <xdr:nvGrpSpPr>
            <xdr:cNvPr id="5" name="Agrupar 4">
              <a:extLst>
                <a:ext uri="{FF2B5EF4-FFF2-40B4-BE49-F238E27FC236}">
                  <a16:creationId xmlns:a16="http://schemas.microsoft.com/office/drawing/2014/main" id="{80758744-9054-5BD3-14A9-913F00304A90}"/>
                </a:ext>
              </a:extLst>
            </xdr:cNvPr>
            <xdr:cNvGrpSpPr/>
          </xdr:nvGrpSpPr>
          <xdr:grpSpPr>
            <a:xfrm>
              <a:off x="3414532" y="1706217"/>
              <a:ext cx="1738711" cy="873654"/>
              <a:chOff x="3178808" y="1532283"/>
              <a:chExt cx="2095977" cy="1012247"/>
            </a:xfrm>
          </xdr:grpSpPr>
          <xdr:sp macro="" textlink="">
            <xdr:nvSpPr>
              <xdr:cNvPr id="6" name="Retângulo: Cantos Arredondados 5">
                <a:extLst>
                  <a:ext uri="{FF2B5EF4-FFF2-40B4-BE49-F238E27FC236}">
                    <a16:creationId xmlns:a16="http://schemas.microsoft.com/office/drawing/2014/main" id="{BC24AAD7-1BAE-B62F-D8AD-64FBFB509F7C}"/>
                  </a:ext>
                </a:extLst>
              </xdr:cNvPr>
              <xdr:cNvSpPr/>
            </xdr:nvSpPr>
            <xdr:spPr>
              <a:xfrm>
                <a:off x="3178808" y="1532283"/>
                <a:ext cx="2095977" cy="1012247"/>
              </a:xfrm>
              <a:prstGeom prst="roundRect">
                <a:avLst/>
              </a:prstGeom>
              <a:ln>
                <a:solidFill>
                  <a:srgbClr val="002060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7" name="Gráfico 6" descr="Homem com preenchimento sólido">
                <a:extLst>
                  <a:ext uri="{FF2B5EF4-FFF2-40B4-BE49-F238E27FC236}">
                    <a16:creationId xmlns:a16="http://schemas.microsoft.com/office/drawing/2014/main" id="{3FC103A3-E750-5BA8-FC2B-1D37214DD8F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3215375" y="1680108"/>
                <a:ext cx="426454" cy="315598"/>
              </a:xfrm>
              <a:prstGeom prst="rect">
                <a:avLst/>
              </a:prstGeom>
            </xdr:spPr>
          </xdr:pic>
          <xdr:pic>
            <xdr:nvPicPr>
              <xdr:cNvPr id="8" name="Gráfico 7" descr="Carro com preenchimento sólido">
                <a:extLst>
                  <a:ext uri="{FF2B5EF4-FFF2-40B4-BE49-F238E27FC236}">
                    <a16:creationId xmlns:a16="http://schemas.microsoft.com/office/drawing/2014/main" id="{EF7FF402-3905-081B-1627-10C90A5534B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3253845" y="2154620"/>
                <a:ext cx="369587" cy="362607"/>
              </a:xfrm>
              <a:prstGeom prst="rect">
                <a:avLst/>
              </a:prstGeom>
            </xdr:spPr>
          </xdr:pic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3" name="Button 1" hidden="1">
                  <a:extLst>
                    <a:ext uri="{63B3BB69-23CF-44E3-9099-C40C66FF867C}">
                      <a14:compatExt spid="_x0000_s3073"/>
                    </a:ext>
                    <a:ext uri="{FF2B5EF4-FFF2-40B4-BE49-F238E27FC236}">
                      <a16:creationId xmlns:a16="http://schemas.microsoft.com/office/drawing/2014/main" id="{00000000-0008-0000-0100-0000010C0000}"/>
                    </a:ext>
                  </a:extLst>
                </xdr:cNvPr>
                <xdr:cNvSpPr/>
              </xdr:nvSpPr>
              <xdr:spPr bwMode="auto">
                <a:xfrm>
                  <a:off x="5199212" y="1898082"/>
                  <a:ext cx="200023" cy="180974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endPara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endParaRPr>
                </a:p>
                <a:p>
                  <a:pPr algn="ctr" rtl="0">
                    <a:defRPr sz="1000"/>
                  </a:pPr>
                  <a:endPara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endParaRP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4" name="LabelResultado1" hidden="1">
                  <a:extLst>
                    <a:ext uri="{63B3BB69-23CF-44E3-9099-C40C66FF867C}">
                      <a14:compatExt spid="_x0000_s3074"/>
                    </a:ext>
                    <a:ext uri="{FF2B5EF4-FFF2-40B4-BE49-F238E27FC236}">
                      <a16:creationId xmlns:a16="http://schemas.microsoft.com/office/drawing/2014/main" id="{00000000-0008-0000-0100-0000020C0000}"/>
                    </a:ext>
                  </a:extLst>
                </xdr:cNvPr>
                <xdr:cNvSpPr/>
              </xdr:nvSpPr>
              <xdr:spPr bwMode="auto">
                <a:xfrm>
                  <a:off x="3855431" y="1740763"/>
                  <a:ext cx="1195060" cy="41532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1" name="AtualizarArt1" hidden="1">
                <a:extLst>
                  <a:ext uri="{63B3BB69-23CF-44E3-9099-C40C66FF867C}">
                    <a14:compatExt spid="_x0000_s3091"/>
                  </a:ext>
                  <a:ext uri="{FF2B5EF4-FFF2-40B4-BE49-F238E27FC236}">
                    <a16:creationId xmlns:a16="http://schemas.microsoft.com/office/drawing/2014/main" id="{00000000-0008-0000-0100-0000130C0000}"/>
                  </a:ext>
                </a:extLst>
              </xdr:cNvPr>
              <xdr:cNvSpPr/>
            </xdr:nvSpPr>
            <xdr:spPr bwMode="auto">
              <a:xfrm>
                <a:off x="3914076" y="1484528"/>
                <a:ext cx="1012378" cy="3861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2" name="Button 20" hidden="1">
                <a:extLst>
                  <a:ext uri="{63B3BB69-23CF-44E3-9099-C40C66FF867C}">
                    <a14:compatExt spid="_x0000_s3092"/>
                  </a:ext>
                  <a:ext uri="{FF2B5EF4-FFF2-40B4-BE49-F238E27FC236}">
                    <a16:creationId xmlns:a16="http://schemas.microsoft.com/office/drawing/2014/main" id="{00000000-0008-0000-0100-0000140C0000}"/>
                  </a:ext>
                </a:extLst>
              </xdr:cNvPr>
              <xdr:cNvSpPr/>
            </xdr:nvSpPr>
            <xdr:spPr bwMode="auto">
              <a:xfrm>
                <a:off x="5055602" y="1553317"/>
                <a:ext cx="171450" cy="1787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6</xdr:col>
      <xdr:colOff>47883</xdr:colOff>
      <xdr:row>3</xdr:row>
      <xdr:rowOff>188350</xdr:rowOff>
    </xdr:from>
    <xdr:to>
      <xdr:col>9</xdr:col>
      <xdr:colOff>58659</xdr:colOff>
      <xdr:row>9</xdr:row>
      <xdr:rowOff>152596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46FE0058-64B0-CB91-2C55-105D51433A51}"/>
            </a:ext>
          </a:extLst>
        </xdr:cNvPr>
        <xdr:cNvGrpSpPr>
          <a:grpSpLocks noChangeAspect="1"/>
        </xdr:cNvGrpSpPr>
      </xdr:nvGrpSpPr>
      <xdr:grpSpPr>
        <a:xfrm>
          <a:off x="3725361" y="759850"/>
          <a:ext cx="1849515" cy="1156942"/>
          <a:chOff x="8311244" y="1355422"/>
          <a:chExt cx="1844443" cy="1367414"/>
        </a:xfrm>
      </xdr:grpSpPr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ED04710C-867A-40B0-B3D5-110983442EFB}"/>
              </a:ext>
            </a:extLst>
          </xdr:cNvPr>
          <xdr:cNvGrpSpPr/>
        </xdr:nvGrpSpPr>
        <xdr:grpSpPr>
          <a:xfrm>
            <a:off x="8311244" y="1355422"/>
            <a:ext cx="1831193" cy="1367414"/>
            <a:chOff x="7673069" y="791766"/>
            <a:chExt cx="1831193" cy="1525495"/>
          </a:xfrm>
        </xdr:grpSpPr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19188F77-2528-E852-65E3-6969A6677E77}"/>
                </a:ext>
              </a:extLst>
            </xdr:cNvPr>
            <xdr:cNvSpPr/>
          </xdr:nvSpPr>
          <xdr:spPr>
            <a:xfrm>
              <a:off x="7673069" y="791766"/>
              <a:ext cx="1594118" cy="1525495"/>
            </a:xfrm>
            <a:prstGeom prst="roundRect">
              <a:avLst/>
            </a:prstGeom>
            <a:ln>
              <a:solidFill>
                <a:srgbClr val="00206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8" name="Gráfico 17" descr="Homem com preenchimento sólido">
              <a:extLst>
                <a:ext uri="{FF2B5EF4-FFF2-40B4-BE49-F238E27FC236}">
                  <a16:creationId xmlns:a16="http://schemas.microsoft.com/office/drawing/2014/main" id="{9F56751A-AB34-B51C-1CBA-1CCD034B8C0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7694241" y="970359"/>
              <a:ext cx="306570" cy="305018"/>
            </a:xfrm>
            <a:prstGeom prst="rect">
              <a:avLst/>
            </a:prstGeom>
          </xdr:spPr>
        </xdr:pic>
        <xdr:pic>
          <xdr:nvPicPr>
            <xdr:cNvPr id="19" name="Gráfico 18" descr="Carro com preenchimento sólido">
              <a:extLst>
                <a:ext uri="{FF2B5EF4-FFF2-40B4-BE49-F238E27FC236}">
                  <a16:creationId xmlns:a16="http://schemas.microsoft.com/office/drawing/2014/main" id="{2B67BFE7-EDF4-8C5D-5242-FFE8F112B4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7707272" y="1681161"/>
              <a:ext cx="309212" cy="348691"/>
            </a:xfrm>
            <a:prstGeom prst="rect">
              <a:avLst/>
            </a:prstGeom>
          </xdr:spPr>
        </xdr:pic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7" name="Button 5" hidden="1">
                  <a:extLst>
                    <a:ext uri="{63B3BB69-23CF-44E3-9099-C40C66FF867C}">
                      <a14:compatExt spid="_x0000_s3077"/>
                    </a:ext>
                    <a:ext uri="{FF2B5EF4-FFF2-40B4-BE49-F238E27FC236}">
                      <a16:creationId xmlns:a16="http://schemas.microsoft.com/office/drawing/2014/main" id="{00000000-0008-0000-0100-0000050C0000}"/>
                    </a:ext>
                  </a:extLst>
                </xdr:cNvPr>
                <xdr:cNvSpPr/>
              </xdr:nvSpPr>
              <xdr:spPr bwMode="auto">
                <a:xfrm>
                  <a:off x="9313760" y="1109800"/>
                  <a:ext cx="190502" cy="212304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pt-BR"/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8" name="LabelResultado2" hidden="1">
                  <a:extLst>
                    <a:ext uri="{63B3BB69-23CF-44E3-9099-C40C66FF867C}">
                      <a14:compatExt spid="_x0000_s3078"/>
                    </a:ext>
                    <a:ext uri="{FF2B5EF4-FFF2-40B4-BE49-F238E27FC236}">
                      <a16:creationId xmlns:a16="http://schemas.microsoft.com/office/drawing/2014/main" id="{00000000-0008-0000-0100-0000060C0000}"/>
                    </a:ext>
                  </a:extLst>
                </xdr:cNvPr>
                <xdr:cNvSpPr/>
              </xdr:nvSpPr>
              <xdr:spPr bwMode="auto">
                <a:xfrm>
                  <a:off x="8028065" y="845946"/>
                  <a:ext cx="1083543" cy="83326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3" name="AtualizarArt2" hidden="1">
                <a:extLst>
                  <a:ext uri="{63B3BB69-23CF-44E3-9099-C40C66FF867C}">
                    <a14:compatExt spid="_x0000_s3093"/>
                  </a:ext>
                  <a:ext uri="{FF2B5EF4-FFF2-40B4-BE49-F238E27FC236}">
                    <a16:creationId xmlns:a16="http://schemas.microsoft.com/office/drawing/2014/main" id="{00000000-0008-0000-0100-0000150C0000}"/>
                  </a:ext>
                </a:extLst>
              </xdr:cNvPr>
              <xdr:cNvSpPr/>
            </xdr:nvSpPr>
            <xdr:spPr bwMode="auto">
              <a:xfrm>
                <a:off x="8677276" y="2188168"/>
                <a:ext cx="1087325" cy="4815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4" name="Button 22" hidden="1">
                <a:extLst>
                  <a:ext uri="{63B3BB69-23CF-44E3-9099-C40C66FF867C}">
                    <a14:compatExt spid="_x0000_s3094"/>
                  </a:ext>
                  <a:ext uri="{FF2B5EF4-FFF2-40B4-BE49-F238E27FC236}">
                    <a16:creationId xmlns:a16="http://schemas.microsoft.com/office/drawing/2014/main" id="{00000000-0008-0000-0100-0000160C0000}"/>
                  </a:ext>
                </a:extLst>
              </xdr:cNvPr>
              <xdr:cNvSpPr/>
            </xdr:nvSpPr>
            <xdr:spPr bwMode="auto">
              <a:xfrm>
                <a:off x="9965186" y="2279302"/>
                <a:ext cx="190501" cy="190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</mc:Choice>
        <mc:Fallback/>
      </mc:AlternateContent>
    </xdr:grpSp>
    <xdr:clientData/>
  </xdr:twoCellAnchor>
  <xdr:twoCellAnchor>
    <xdr:from>
      <xdr:col>1</xdr:col>
      <xdr:colOff>291660</xdr:colOff>
      <xdr:row>15</xdr:row>
      <xdr:rowOff>158330</xdr:rowOff>
    </xdr:from>
    <xdr:to>
      <xdr:col>2</xdr:col>
      <xdr:colOff>118891</xdr:colOff>
      <xdr:row>17</xdr:row>
      <xdr:rowOff>162936</xdr:rowOff>
    </xdr:to>
    <xdr:cxnSp macro="">
      <xdr:nvCxnSpPr>
        <xdr:cNvPr id="3099" name="Conector de Seta Reta 3098">
          <a:extLst>
            <a:ext uri="{FF2B5EF4-FFF2-40B4-BE49-F238E27FC236}">
              <a16:creationId xmlns:a16="http://schemas.microsoft.com/office/drawing/2014/main" id="{ADB78E01-F8D7-AED1-B2C0-AD3C2DCA4F9E}"/>
            </a:ext>
          </a:extLst>
        </xdr:cNvPr>
        <xdr:cNvCxnSpPr>
          <a:endCxn id="42" idx="0"/>
        </xdr:cNvCxnSpPr>
      </xdr:nvCxnSpPr>
      <xdr:spPr>
        <a:xfrm flipH="1">
          <a:off x="904573" y="3115221"/>
          <a:ext cx="440144" cy="38560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306456</xdr:colOff>
      <xdr:row>22</xdr:row>
      <xdr:rowOff>35233</xdr:rowOff>
    </xdr:from>
    <xdr:to>
      <xdr:col>3</xdr:col>
      <xdr:colOff>417428</xdr:colOff>
      <xdr:row>25</xdr:row>
      <xdr:rowOff>157257</xdr:rowOff>
    </xdr:to>
    <xdr:cxnSp macro="">
      <xdr:nvCxnSpPr>
        <xdr:cNvPr id="3103" name="Conector de Seta Reta 3102">
          <a:extLst>
            <a:ext uri="{FF2B5EF4-FFF2-40B4-BE49-F238E27FC236}">
              <a16:creationId xmlns:a16="http://schemas.microsoft.com/office/drawing/2014/main" id="{5F89E0E7-D0CA-CDF5-F676-8F3ECDEA0B49}"/>
            </a:ext>
          </a:extLst>
        </xdr:cNvPr>
        <xdr:cNvCxnSpPr>
          <a:endCxn id="37" idx="3"/>
        </xdr:cNvCxnSpPr>
      </xdr:nvCxnSpPr>
      <xdr:spPr>
        <a:xfrm flipH="1">
          <a:off x="1532282" y="4325624"/>
          <a:ext cx="723885" cy="69352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546372</xdr:colOff>
      <xdr:row>27</xdr:row>
      <xdr:rowOff>107674</xdr:rowOff>
    </xdr:from>
    <xdr:to>
      <xdr:col>4</xdr:col>
      <xdr:colOff>207065</xdr:colOff>
      <xdr:row>33</xdr:row>
      <xdr:rowOff>119350</xdr:rowOff>
    </xdr:to>
    <xdr:cxnSp macro="">
      <xdr:nvCxnSpPr>
        <xdr:cNvPr id="3109" name="Conector de Seta Reta 3108">
          <a:extLst>
            <a:ext uri="{FF2B5EF4-FFF2-40B4-BE49-F238E27FC236}">
              <a16:creationId xmlns:a16="http://schemas.microsoft.com/office/drawing/2014/main" id="{53360FBF-4C84-ECF8-8185-963FEEA1C39F}"/>
            </a:ext>
          </a:extLst>
        </xdr:cNvPr>
        <xdr:cNvCxnSpPr>
          <a:endCxn id="47" idx="3"/>
        </xdr:cNvCxnSpPr>
      </xdr:nvCxnSpPr>
      <xdr:spPr>
        <a:xfrm flipH="1">
          <a:off x="2385111" y="5350565"/>
          <a:ext cx="273606" cy="11546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316923</xdr:colOff>
      <xdr:row>24</xdr:row>
      <xdr:rowOff>135082</xdr:rowOff>
    </xdr:from>
    <xdr:to>
      <xdr:col>5</xdr:col>
      <xdr:colOff>479221</xdr:colOff>
      <xdr:row>27</xdr:row>
      <xdr:rowOff>66553</xdr:rowOff>
    </xdr:to>
    <xdr:cxnSp macro="">
      <xdr:nvCxnSpPr>
        <xdr:cNvPr id="3113" name="Conector de Seta Reta 3112">
          <a:extLst>
            <a:ext uri="{FF2B5EF4-FFF2-40B4-BE49-F238E27FC236}">
              <a16:creationId xmlns:a16="http://schemas.microsoft.com/office/drawing/2014/main" id="{BA532137-CE93-C649-F189-12996AE3E0C0}"/>
            </a:ext>
          </a:extLst>
        </xdr:cNvPr>
        <xdr:cNvCxnSpPr>
          <a:endCxn id="26" idx="0"/>
        </xdr:cNvCxnSpPr>
      </xdr:nvCxnSpPr>
      <xdr:spPr>
        <a:xfrm>
          <a:off x="2768575" y="4806473"/>
          <a:ext cx="775211" cy="50297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324826</xdr:colOff>
      <xdr:row>10</xdr:row>
      <xdr:rowOff>90725</xdr:rowOff>
    </xdr:from>
    <xdr:to>
      <xdr:col>6</xdr:col>
      <xdr:colOff>372718</xdr:colOff>
      <xdr:row>13</xdr:row>
      <xdr:rowOff>8283</xdr:rowOff>
    </xdr:to>
    <xdr:cxnSp macro="">
      <xdr:nvCxnSpPr>
        <xdr:cNvPr id="3117" name="Conector de Seta Reta 3116">
          <a:extLst>
            <a:ext uri="{FF2B5EF4-FFF2-40B4-BE49-F238E27FC236}">
              <a16:creationId xmlns:a16="http://schemas.microsoft.com/office/drawing/2014/main" id="{B5D3F111-7C4E-18FA-05CB-A7D15896EABD}"/>
            </a:ext>
          </a:extLst>
        </xdr:cNvPr>
        <xdr:cNvCxnSpPr>
          <a:endCxn id="17" idx="2"/>
        </xdr:cNvCxnSpPr>
      </xdr:nvCxnSpPr>
      <xdr:spPr>
        <a:xfrm flipH="1" flipV="1">
          <a:off x="4002304" y="2053703"/>
          <a:ext cx="47892" cy="51390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562701</xdr:colOff>
          <xdr:row>21</xdr:row>
          <xdr:rowOff>165653</xdr:rowOff>
        </xdr:from>
        <xdr:to>
          <xdr:col>14</xdr:col>
          <xdr:colOff>1175072</xdr:colOff>
          <xdr:row>37</xdr:row>
          <xdr:rowOff>52758</xdr:rowOff>
        </xdr:to>
        <xdr:pic>
          <xdr:nvPicPr>
            <xdr:cNvPr id="3127" name="Imagem 3126">
              <a:extLst>
                <a:ext uri="{FF2B5EF4-FFF2-40B4-BE49-F238E27FC236}">
                  <a16:creationId xmlns:a16="http://schemas.microsoft.com/office/drawing/2014/main" id="{0C4FEDBC-8C23-C684-9B14-58A29A6082D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elexia!$P$66:$AE$81" spid="_x0000_s387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8918" y="4265544"/>
              <a:ext cx="3801176" cy="29351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309525</xdr:colOff>
          <xdr:row>2</xdr:row>
          <xdr:rowOff>8283</xdr:rowOff>
        </xdr:from>
        <xdr:to>
          <xdr:col>14</xdr:col>
          <xdr:colOff>1184994</xdr:colOff>
          <xdr:row>11</xdr:row>
          <xdr:rowOff>107674</xdr:rowOff>
        </xdr:to>
        <xdr:pic>
          <xdr:nvPicPr>
            <xdr:cNvPr id="3128" name="Imagem 3127">
              <a:extLst>
                <a:ext uri="{FF2B5EF4-FFF2-40B4-BE49-F238E27FC236}">
                  <a16:creationId xmlns:a16="http://schemas.microsoft.com/office/drawing/2014/main" id="{8FBD4682-88A8-4976-FFA5-E8F613C15A5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Wp!$B$94:$E$106" spid="_x0000_s3877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438655" y="389283"/>
              <a:ext cx="3451361" cy="188015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13</xdr:row>
          <xdr:rowOff>95250</xdr:rowOff>
        </xdr:from>
        <xdr:to>
          <xdr:col>10</xdr:col>
          <xdr:colOff>161925</xdr:colOff>
          <xdr:row>15</xdr:row>
          <xdr:rowOff>95250</xdr:rowOff>
        </xdr:to>
        <xdr:sp macro="" textlink="">
          <xdr:nvSpPr>
            <xdr:cNvPr id="3263" name="AtualizarArt3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415439</xdr:colOff>
      <xdr:row>16</xdr:row>
      <xdr:rowOff>45564</xdr:rowOff>
    </xdr:from>
    <xdr:to>
      <xdr:col>9</xdr:col>
      <xdr:colOff>602816</xdr:colOff>
      <xdr:row>22</xdr:row>
      <xdr:rowOff>136587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5180C92D-421A-EE8F-5227-2C8C90F37611}"/>
            </a:ext>
          </a:extLst>
        </xdr:cNvPr>
        <xdr:cNvGrpSpPr/>
      </xdr:nvGrpSpPr>
      <xdr:grpSpPr>
        <a:xfrm>
          <a:off x="4705830" y="3192955"/>
          <a:ext cx="1413203" cy="1234023"/>
          <a:chOff x="4705830" y="3192955"/>
          <a:chExt cx="1413203" cy="1234023"/>
        </a:xfrm>
      </xdr:grpSpPr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59E45717-7C8D-4E56-9B73-D2AA0BFC12F8}"/>
              </a:ext>
            </a:extLst>
          </xdr:cNvPr>
          <xdr:cNvGrpSpPr>
            <a:grpSpLocks noChangeAspect="1"/>
          </xdr:cNvGrpSpPr>
        </xdr:nvGrpSpPr>
        <xdr:grpSpPr>
          <a:xfrm>
            <a:off x="4705830" y="3192955"/>
            <a:ext cx="1413203" cy="1234023"/>
            <a:chOff x="10877550" y="7534276"/>
            <a:chExt cx="2268332" cy="1724024"/>
          </a:xfrm>
        </xdr:grpSpPr>
        <xdr:sp macro="" textlink="">
          <xdr:nvSpPr>
            <xdr:cNvPr id="32" name="Retângulo: Cantos Arredondados 31">
              <a:extLst>
                <a:ext uri="{FF2B5EF4-FFF2-40B4-BE49-F238E27FC236}">
                  <a16:creationId xmlns:a16="http://schemas.microsoft.com/office/drawing/2014/main" id="{47D9DBC0-AC66-E996-0E0E-D0569C3D4247}"/>
                </a:ext>
              </a:extLst>
            </xdr:cNvPr>
            <xdr:cNvSpPr/>
          </xdr:nvSpPr>
          <xdr:spPr>
            <a:xfrm>
              <a:off x="10877550" y="7534276"/>
              <a:ext cx="1948816" cy="1724024"/>
            </a:xfrm>
            <a:prstGeom prst="roundRect">
              <a:avLst/>
            </a:prstGeom>
            <a:ln>
              <a:solidFill>
                <a:srgbClr val="00206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33" name="Gráfico 32" descr="Homem com preenchimento sólido">
              <a:extLst>
                <a:ext uri="{FF2B5EF4-FFF2-40B4-BE49-F238E27FC236}">
                  <a16:creationId xmlns:a16="http://schemas.microsoft.com/office/drawing/2014/main" id="{F800B0AF-1BEF-3B8D-86EE-8E79FB4D6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892760" y="7692137"/>
              <a:ext cx="395621" cy="329294"/>
            </a:xfrm>
            <a:prstGeom prst="rect">
              <a:avLst/>
            </a:prstGeom>
          </xdr:spPr>
        </xdr:pic>
        <xdr:pic>
          <xdr:nvPicPr>
            <xdr:cNvPr id="34" name="Gráfico 33" descr="Carro com preenchimento sólido">
              <a:extLst>
                <a:ext uri="{FF2B5EF4-FFF2-40B4-BE49-F238E27FC236}">
                  <a16:creationId xmlns:a16="http://schemas.microsoft.com/office/drawing/2014/main" id="{9BF3A644-4413-AD8C-5DD4-55B2E9B37F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10897538" y="8579167"/>
              <a:ext cx="309429" cy="303706"/>
            </a:xfrm>
            <a:prstGeom prst="rect">
              <a:avLst/>
            </a:prstGeom>
          </xdr:spPr>
        </xdr:pic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83" name="Button 11" hidden="1">
                  <a:extLst>
                    <a:ext uri="{63B3BB69-23CF-44E3-9099-C40C66FF867C}">
                      <a14:compatExt spid="_x0000_s3083"/>
                    </a:ext>
                    <a:ext uri="{FF2B5EF4-FFF2-40B4-BE49-F238E27FC236}">
                      <a16:creationId xmlns:a16="http://schemas.microsoft.com/office/drawing/2014/main" id="{00000000-0008-0000-0100-00000B0C0000}"/>
                    </a:ext>
                  </a:extLst>
                </xdr:cNvPr>
                <xdr:cNvSpPr/>
              </xdr:nvSpPr>
              <xdr:spPr bwMode="auto">
                <a:xfrm>
                  <a:off x="12912683" y="7812004"/>
                  <a:ext cx="233199" cy="20942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endPara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endParaRPr>
                </a:p>
                <a:p>
                  <a:pPr algn="ctr" rtl="0">
                    <a:defRPr sz="1000"/>
                  </a:pPr>
                  <a:endPara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endParaRP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84" name="LabelResultado4" hidden="1">
                  <a:extLst>
                    <a:ext uri="{63B3BB69-23CF-44E3-9099-C40C66FF867C}">
                      <a14:compatExt spid="_x0000_s3084"/>
                    </a:ext>
                    <a:ext uri="{FF2B5EF4-FFF2-40B4-BE49-F238E27FC236}">
                      <a16:creationId xmlns:a16="http://schemas.microsoft.com/office/drawing/2014/main" id="{00000000-0008-0000-0100-00000C0C0000}"/>
                    </a:ext>
                  </a:extLst>
                </xdr:cNvPr>
                <xdr:cNvSpPr/>
              </xdr:nvSpPr>
              <xdr:spPr bwMode="auto">
                <a:xfrm>
                  <a:off x="11236327" y="7601952"/>
                  <a:ext cx="1454522" cy="90674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266" name="AtualizarArt4" hidden="1">
                <a:extLst>
                  <a:ext uri="{63B3BB69-23CF-44E3-9099-C40C66FF867C}">
                    <a14:compatExt spid="_x0000_s3266"/>
                  </a:ext>
                  <a:ext uri="{FF2B5EF4-FFF2-40B4-BE49-F238E27FC236}">
                    <a16:creationId xmlns:a16="http://schemas.microsoft.com/office/drawing/2014/main" id="{00000000-0008-0000-0100-0000C20C0000}"/>
                  </a:ext>
                </a:extLst>
              </xdr:cNvPr>
              <xdr:cNvSpPr/>
            </xdr:nvSpPr>
            <xdr:spPr bwMode="auto">
              <a:xfrm>
                <a:off x="4914900" y="3921814"/>
                <a:ext cx="924339" cy="45968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28</xdr:row>
          <xdr:rowOff>123825</xdr:rowOff>
        </xdr:from>
        <xdr:to>
          <xdr:col>9</xdr:col>
          <xdr:colOff>161925</xdr:colOff>
          <xdr:row>32</xdr:row>
          <xdr:rowOff>161925</xdr:rowOff>
        </xdr:to>
        <xdr:sp macro="" textlink="">
          <xdr:nvSpPr>
            <xdr:cNvPr id="3267" name="AtualizarArt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31</xdr:row>
          <xdr:rowOff>161925</xdr:rowOff>
        </xdr:from>
        <xdr:to>
          <xdr:col>6</xdr:col>
          <xdr:colOff>209550</xdr:colOff>
          <xdr:row>34</xdr:row>
          <xdr:rowOff>171450</xdr:rowOff>
        </xdr:to>
        <xdr:sp macro="" textlink="">
          <xdr:nvSpPr>
            <xdr:cNvPr id="3268" name="AtualizarArt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33</xdr:row>
          <xdr:rowOff>85725</xdr:rowOff>
        </xdr:from>
        <xdr:to>
          <xdr:col>3</xdr:col>
          <xdr:colOff>428625</xdr:colOff>
          <xdr:row>36</xdr:row>
          <xdr:rowOff>66675</xdr:rowOff>
        </xdr:to>
        <xdr:sp macro="" textlink="">
          <xdr:nvSpPr>
            <xdr:cNvPr id="3269" name="AtualizarArt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26</xdr:row>
          <xdr:rowOff>123825</xdr:rowOff>
        </xdr:from>
        <xdr:to>
          <xdr:col>2</xdr:col>
          <xdr:colOff>104775</xdr:colOff>
          <xdr:row>28</xdr:row>
          <xdr:rowOff>142875</xdr:rowOff>
        </xdr:to>
        <xdr:sp macro="" textlink="">
          <xdr:nvSpPr>
            <xdr:cNvPr id="3270" name="AtualizarArt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19</xdr:row>
          <xdr:rowOff>171450</xdr:rowOff>
        </xdr:from>
        <xdr:to>
          <xdr:col>2</xdr:col>
          <xdr:colOff>209550</xdr:colOff>
          <xdr:row>21</xdr:row>
          <xdr:rowOff>161925</xdr:rowOff>
        </xdr:to>
        <xdr:sp macro="" textlink="">
          <xdr:nvSpPr>
            <xdr:cNvPr id="3271" name="AtualizarArt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33</xdr:row>
          <xdr:rowOff>133350</xdr:rowOff>
        </xdr:from>
        <xdr:to>
          <xdr:col>2</xdr:col>
          <xdr:colOff>28575</xdr:colOff>
          <xdr:row>34</xdr:row>
          <xdr:rowOff>85725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32</xdr:row>
          <xdr:rowOff>9525</xdr:rowOff>
        </xdr:from>
        <xdr:to>
          <xdr:col>7</xdr:col>
          <xdr:colOff>104775</xdr:colOff>
          <xdr:row>32</xdr:row>
          <xdr:rowOff>161925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20</xdr:row>
          <xdr:rowOff>95250</xdr:rowOff>
        </xdr:from>
        <xdr:to>
          <xdr:col>9</xdr:col>
          <xdr:colOff>581025</xdr:colOff>
          <xdr:row>21</xdr:row>
          <xdr:rowOff>47625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14</xdr:row>
          <xdr:rowOff>0</xdr:rowOff>
        </xdr:from>
        <xdr:to>
          <xdr:col>8</xdr:col>
          <xdr:colOff>19050</xdr:colOff>
          <xdr:row>14</xdr:row>
          <xdr:rowOff>180975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26</xdr:row>
          <xdr:rowOff>161925</xdr:rowOff>
        </xdr:from>
        <xdr:to>
          <xdr:col>0</xdr:col>
          <xdr:colOff>209550</xdr:colOff>
          <xdr:row>27</xdr:row>
          <xdr:rowOff>114300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20</xdr:row>
          <xdr:rowOff>76200</xdr:rowOff>
        </xdr:from>
        <xdr:to>
          <xdr:col>0</xdr:col>
          <xdr:colOff>323850</xdr:colOff>
          <xdr:row>21</xdr:row>
          <xdr:rowOff>28575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28</xdr:row>
          <xdr:rowOff>85725</xdr:rowOff>
        </xdr:from>
        <xdr:to>
          <xdr:col>9</xdr:col>
          <xdr:colOff>495300</xdr:colOff>
          <xdr:row>29</xdr:row>
          <xdr:rowOff>38100</xdr:rowOff>
        </xdr:to>
        <xdr:sp macro="" textlink="">
          <xdr:nvSpPr>
            <xdr:cNvPr id="3295" name="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1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241205</xdr:colOff>
      <xdr:row>0</xdr:row>
      <xdr:rowOff>180287</xdr:rowOff>
    </xdr:from>
    <xdr:to>
      <xdr:col>4</xdr:col>
      <xdr:colOff>347839</xdr:colOff>
      <xdr:row>0</xdr:row>
      <xdr:rowOff>1295399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B5A1B2-8E6D-45AD-B125-CD585F2E58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75" t="32631" r="15307" b="33427"/>
        <a:stretch/>
      </xdr:blipFill>
      <xdr:spPr>
        <a:xfrm>
          <a:off x="736505" y="180287"/>
          <a:ext cx="4526233" cy="1115112"/>
        </a:xfrm>
        <a:prstGeom prst="rect">
          <a:avLst/>
        </a:prstGeom>
      </xdr:spPr>
    </xdr:pic>
    <xdr:clientData/>
  </xdr:twoCellAnchor>
  <xdr:twoCellAnchor editAs="oneCell">
    <xdr:from>
      <xdr:col>16</xdr:col>
      <xdr:colOff>96612</xdr:colOff>
      <xdr:row>67</xdr:row>
      <xdr:rowOff>107496</xdr:rowOff>
    </xdr:from>
    <xdr:to>
      <xdr:col>16</xdr:col>
      <xdr:colOff>391008</xdr:colOff>
      <xdr:row>67</xdr:row>
      <xdr:rowOff>395496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1B338E7-67E3-4046-8B30-FFFA4CB85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56362" y="23758071"/>
          <a:ext cx="294396" cy="288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94128</xdr:colOff>
      <xdr:row>68</xdr:row>
      <xdr:rowOff>65315</xdr:rowOff>
    </xdr:from>
    <xdr:to>
      <xdr:col>16</xdr:col>
      <xdr:colOff>390614</xdr:colOff>
      <xdr:row>68</xdr:row>
      <xdr:rowOff>353315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4FE2C14-23FE-4F81-9C79-B3C829E2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53878" y="24173090"/>
          <a:ext cx="296486" cy="288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114300</xdr:colOff>
      <xdr:row>69</xdr:row>
      <xdr:rowOff>57150</xdr:rowOff>
    </xdr:from>
    <xdr:to>
      <xdr:col>16</xdr:col>
      <xdr:colOff>408696</xdr:colOff>
      <xdr:row>69</xdr:row>
      <xdr:rowOff>345150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66AD049-4B5F-45E5-8AF2-B3EB3F4F8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6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74050" y="24603075"/>
          <a:ext cx="294396" cy="288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114300</xdr:colOff>
      <xdr:row>69</xdr:row>
      <xdr:rowOff>447676</xdr:rowOff>
    </xdr:from>
    <xdr:to>
      <xdr:col>16</xdr:col>
      <xdr:colOff>408696</xdr:colOff>
      <xdr:row>70</xdr:row>
      <xdr:rowOff>285401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6BDE0BC-2F20-4CD2-BD1B-054C9717A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74050" y="24993601"/>
          <a:ext cx="294396" cy="29492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112059</xdr:colOff>
      <xdr:row>70</xdr:row>
      <xdr:rowOff>330575</xdr:rowOff>
    </xdr:from>
    <xdr:to>
      <xdr:col>16</xdr:col>
      <xdr:colOff>406455</xdr:colOff>
      <xdr:row>71</xdr:row>
      <xdr:rowOff>169537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7AEC5CF-7A29-46C2-8D38-0D248D58D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0971809" y="25333700"/>
          <a:ext cx="294396" cy="286637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16</xdr:col>
      <xdr:colOff>123265</xdr:colOff>
      <xdr:row>76</xdr:row>
      <xdr:rowOff>56030</xdr:rowOff>
    </xdr:from>
    <xdr:to>
      <xdr:col>16</xdr:col>
      <xdr:colOff>411193</xdr:colOff>
      <xdr:row>76</xdr:row>
      <xdr:rowOff>321808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AAF63B20-E0CD-460C-8DEA-FBDA0AC835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819" t="13048" r="8823" b="11136"/>
        <a:stretch/>
      </xdr:blipFill>
      <xdr:spPr>
        <a:xfrm>
          <a:off x="20983015" y="26821280"/>
          <a:ext cx="287928" cy="265778"/>
        </a:xfrm>
        <a:prstGeom prst="rect">
          <a:avLst/>
        </a:prstGeom>
        <a:ln>
          <a:noFill/>
        </a:ln>
      </xdr:spPr>
    </xdr:pic>
    <xdr:clientData/>
  </xdr:twoCellAnchor>
  <xdr:oneCellAnchor>
    <xdr:from>
      <xdr:col>16</xdr:col>
      <xdr:colOff>123265</xdr:colOff>
      <xdr:row>77</xdr:row>
      <xdr:rowOff>56030</xdr:rowOff>
    </xdr:from>
    <xdr:ext cx="287129" cy="265778"/>
    <xdr:pic>
      <xdr:nvPicPr>
        <xdr:cNvPr id="9" name="Imagem 8">
          <a:extLst>
            <a:ext uri="{FF2B5EF4-FFF2-40B4-BE49-F238E27FC236}">
              <a16:creationId xmlns:a16="http://schemas.microsoft.com/office/drawing/2014/main" id="{3090EFD7-2B3F-4BCB-98B9-24DE8625B6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819" t="13048" r="8823" b="11136"/>
        <a:stretch/>
      </xdr:blipFill>
      <xdr:spPr>
        <a:xfrm>
          <a:off x="20983015" y="27202280"/>
          <a:ext cx="287129" cy="265778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16</xdr:col>
      <xdr:colOff>123265</xdr:colOff>
      <xdr:row>78</xdr:row>
      <xdr:rowOff>56030</xdr:rowOff>
    </xdr:from>
    <xdr:ext cx="287129" cy="265778"/>
    <xdr:pic>
      <xdr:nvPicPr>
        <xdr:cNvPr id="10" name="Imagem 9">
          <a:extLst>
            <a:ext uri="{FF2B5EF4-FFF2-40B4-BE49-F238E27FC236}">
              <a16:creationId xmlns:a16="http://schemas.microsoft.com/office/drawing/2014/main" id="{65BFDAAE-677F-4B81-9B3B-7FF7B42FE2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819" t="13048" r="8823" b="11136"/>
        <a:stretch/>
      </xdr:blipFill>
      <xdr:spPr>
        <a:xfrm>
          <a:off x="20983015" y="27583280"/>
          <a:ext cx="287129" cy="265778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16</xdr:col>
      <xdr:colOff>123265</xdr:colOff>
      <xdr:row>79</xdr:row>
      <xdr:rowOff>56030</xdr:rowOff>
    </xdr:from>
    <xdr:ext cx="287129" cy="265778"/>
    <xdr:pic>
      <xdr:nvPicPr>
        <xdr:cNvPr id="11" name="Imagem 10">
          <a:extLst>
            <a:ext uri="{FF2B5EF4-FFF2-40B4-BE49-F238E27FC236}">
              <a16:creationId xmlns:a16="http://schemas.microsoft.com/office/drawing/2014/main" id="{C893E338-5597-43BD-8F82-0F129EF069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contrast="-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819" t="13048" r="8823" b="11136"/>
        <a:stretch/>
      </xdr:blipFill>
      <xdr:spPr>
        <a:xfrm>
          <a:off x="20983015" y="27964280"/>
          <a:ext cx="287129" cy="265778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9</xdr:col>
      <xdr:colOff>163285</xdr:colOff>
      <xdr:row>71</xdr:row>
      <xdr:rowOff>40820</xdr:rowOff>
    </xdr:from>
    <xdr:to>
      <xdr:col>9</xdr:col>
      <xdr:colOff>630114</xdr:colOff>
      <xdr:row>72</xdr:row>
      <xdr:rowOff>14653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A8649703-3869-F807-B0E9-90A38835F6E3}"/>
            </a:ext>
          </a:extLst>
        </xdr:cNvPr>
        <xdr:cNvSpPr/>
      </xdr:nvSpPr>
      <xdr:spPr>
        <a:xfrm>
          <a:off x="12780247" y="29062762"/>
          <a:ext cx="466829" cy="2229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Link</a:t>
          </a:r>
        </a:p>
      </xdr:txBody>
    </xdr:sp>
    <xdr:clientData/>
  </xdr:twoCellAnchor>
  <xdr:twoCellAnchor>
    <xdr:from>
      <xdr:col>9</xdr:col>
      <xdr:colOff>153865</xdr:colOff>
      <xdr:row>72</xdr:row>
      <xdr:rowOff>36634</xdr:rowOff>
    </xdr:from>
    <xdr:to>
      <xdr:col>9</xdr:col>
      <xdr:colOff>630115</xdr:colOff>
      <xdr:row>72</xdr:row>
      <xdr:rowOff>234461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525B376E-3E9C-CF14-1C95-DA39FD123416}"/>
            </a:ext>
          </a:extLst>
        </xdr:cNvPr>
        <xdr:cNvSpPr/>
      </xdr:nvSpPr>
      <xdr:spPr>
        <a:xfrm>
          <a:off x="12770827" y="29307692"/>
          <a:ext cx="476250" cy="19782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Link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174625</xdr:colOff>
      <xdr:row>0</xdr:row>
      <xdr:rowOff>206376</xdr:rowOff>
    </xdr:from>
    <xdr:to>
      <xdr:col>10</xdr:col>
      <xdr:colOff>234121</xdr:colOff>
      <xdr:row>1</xdr:row>
      <xdr:rowOff>285750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35203FC-ACAF-41D9-AB02-FACD4AB6D303}"/>
            </a:ext>
          </a:extLst>
        </xdr:cNvPr>
        <xdr:cNvGrpSpPr>
          <a:grpSpLocks noChangeAspect="1"/>
        </xdr:cNvGrpSpPr>
      </xdr:nvGrpSpPr>
      <xdr:grpSpPr>
        <a:xfrm>
          <a:off x="11903329" y="199518"/>
          <a:ext cx="2028980" cy="796988"/>
          <a:chOff x="9848022" y="256761"/>
          <a:chExt cx="795130" cy="364435"/>
        </a:xfrm>
      </xdr:grpSpPr>
      <xdr:sp macro="[0]!ImportarDadosTI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CF12C38C-ADB4-3E32-A08D-C7CE5B56A57D}"/>
              </a:ext>
            </a:extLst>
          </xdr:cNvPr>
          <xdr:cNvSpPr/>
        </xdr:nvSpPr>
        <xdr:spPr>
          <a:xfrm>
            <a:off x="9848022" y="256761"/>
            <a:ext cx="795130" cy="364435"/>
          </a:xfrm>
          <a:prstGeom prst="roundRect">
            <a:avLst/>
          </a:prstGeom>
          <a:ln w="1905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2800">
                <a:latin typeface="Times New Roman" panose="02020603050405020304" pitchFamily="18" charset="0"/>
                <a:cs typeface="Times New Roman" panose="02020603050405020304" pitchFamily="18" charset="0"/>
              </a:rPr>
              <a:t>Atualizar</a:t>
            </a:r>
          </a:p>
        </xdr:txBody>
      </xdr:sp>
      <xdr:pic macro="[0]!ImportarDadosTI">
        <xdr:nvPicPr>
          <xdr:cNvPr id="4" name="Gráfico 3" descr="Seta circular com preenchimento sólido">
            <a:extLst>
              <a:ext uri="{FF2B5EF4-FFF2-40B4-BE49-F238E27FC236}">
                <a16:creationId xmlns:a16="http://schemas.microsoft.com/office/drawing/2014/main" id="{77692C92-26AC-2D74-903F-6EA849E9E3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848022" y="356152"/>
            <a:ext cx="190500" cy="1905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176893</xdr:colOff>
      <xdr:row>0</xdr:row>
      <xdr:rowOff>0</xdr:rowOff>
    </xdr:from>
    <xdr:to>
      <xdr:col>27</xdr:col>
      <xdr:colOff>497052</xdr:colOff>
      <xdr:row>26</xdr:row>
      <xdr:rowOff>176892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C7CB6DB-43E5-9769-9DAE-C42CDA0A6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93" y="0"/>
          <a:ext cx="19193266" cy="51298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139155</xdr:colOff>
      <xdr:row>0</xdr:row>
      <xdr:rowOff>81642</xdr:rowOff>
    </xdr:from>
    <xdr:to>
      <xdr:col>2</xdr:col>
      <xdr:colOff>347206</xdr:colOff>
      <xdr:row>1</xdr:row>
      <xdr:rowOff>-1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8588627-ACE8-42FA-B310-90CFBF42FC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75" t="32631" r="15307" b="33427"/>
        <a:stretch/>
      </xdr:blipFill>
      <xdr:spPr>
        <a:xfrm>
          <a:off x="139155" y="81642"/>
          <a:ext cx="2147687" cy="5764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68710</xdr:rowOff>
    </xdr:from>
    <xdr:to>
      <xdr:col>2</xdr:col>
      <xdr:colOff>156123</xdr:colOff>
      <xdr:row>42</xdr:row>
      <xdr:rowOff>642638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EAFA192-604C-4097-BC5A-86F8E91C74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75" t="32631" r="15307" b="33427"/>
        <a:stretch/>
      </xdr:blipFill>
      <xdr:spPr>
        <a:xfrm>
          <a:off x="0" y="12503165"/>
          <a:ext cx="2095759" cy="57392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</xdr:row>
      <xdr:rowOff>51955</xdr:rowOff>
    </xdr:from>
    <xdr:to>
      <xdr:col>12</xdr:col>
      <xdr:colOff>17319</xdr:colOff>
      <xdr:row>19</xdr:row>
      <xdr:rowOff>17318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F243720-DBCD-4B93-8E73-B93F7B6B5413}"/>
            </a:ext>
          </a:extLst>
        </xdr:cNvPr>
        <xdr:cNvCxnSpPr/>
      </xdr:nvCxnSpPr>
      <xdr:spPr>
        <a:xfrm flipH="1">
          <a:off x="2362200" y="480580"/>
          <a:ext cx="0" cy="3308638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922688</xdr:colOff>
      <xdr:row>18</xdr:row>
      <xdr:rowOff>180603</xdr:rowOff>
    </xdr:from>
    <xdr:to>
      <xdr:col>12</xdr:col>
      <xdr:colOff>748393</xdr:colOff>
      <xdr:row>21</xdr:row>
      <xdr:rowOff>128650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7270E74D-B9B5-4659-9DA2-001384B21755}"/>
            </a:ext>
          </a:extLst>
        </xdr:cNvPr>
        <xdr:cNvSpPr txBox="1"/>
      </xdr:nvSpPr>
      <xdr:spPr>
        <a:xfrm>
          <a:off x="2362200" y="3762003"/>
          <a:ext cx="0" cy="5195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>
              <a:solidFill>
                <a:srgbClr val="FF0000"/>
              </a:solidFill>
            </a:rPr>
            <a:t>IPCA</a:t>
          </a:r>
        </a:p>
      </xdr:txBody>
    </xdr:sp>
    <xdr:clientData/>
  </xdr:twoCellAnchor>
  <xdr:twoCellAnchor>
    <xdr:from>
      <xdr:col>17</xdr:col>
      <xdr:colOff>884465</xdr:colOff>
      <xdr:row>17</xdr:row>
      <xdr:rowOff>68036</xdr:rowOff>
    </xdr:from>
    <xdr:to>
      <xdr:col>17</xdr:col>
      <xdr:colOff>886939</xdr:colOff>
      <xdr:row>19</xdr:row>
      <xdr:rowOff>174420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8053FA61-A098-453A-A8C6-B8FDA7F937FE}"/>
            </a:ext>
          </a:extLst>
        </xdr:cNvPr>
        <xdr:cNvCxnSpPr/>
      </xdr:nvCxnSpPr>
      <xdr:spPr>
        <a:xfrm>
          <a:off x="7361465" y="3458936"/>
          <a:ext cx="2474" cy="487384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689017</xdr:colOff>
      <xdr:row>19</xdr:row>
      <xdr:rowOff>127658</xdr:rowOff>
    </xdr:from>
    <xdr:to>
      <xdr:col>17</xdr:col>
      <xdr:colOff>1472046</xdr:colOff>
      <xdr:row>24</xdr:row>
      <xdr:rowOff>183076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3D11AB3B-986B-433E-A61F-437CD7D4C850}"/>
            </a:ext>
          </a:extLst>
        </xdr:cNvPr>
        <xdr:cNvSpPr txBox="1"/>
      </xdr:nvSpPr>
      <xdr:spPr>
        <a:xfrm>
          <a:off x="5603917" y="3899558"/>
          <a:ext cx="2345129" cy="1007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2000" i="1">
              <a:solidFill>
                <a:srgbClr val="FF0000"/>
              </a:solidFill>
            </a:rPr>
            <a:t>Pouco</a:t>
          </a:r>
          <a:r>
            <a:rPr lang="pt-BR" sz="2000" i="1" baseline="0">
              <a:solidFill>
                <a:srgbClr val="FF0000"/>
              </a:solidFill>
            </a:rPr>
            <a:t> saldo contratual</a:t>
          </a:r>
          <a:endParaRPr lang="pt-BR" sz="2000" i="1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697676</xdr:colOff>
      <xdr:row>14</xdr:row>
      <xdr:rowOff>143494</xdr:rowOff>
    </xdr:from>
    <xdr:to>
      <xdr:col>15</xdr:col>
      <xdr:colOff>714994</xdr:colOff>
      <xdr:row>23</xdr:row>
      <xdr:rowOff>71746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9070B788-F659-4F04-ACBD-02142714069A}"/>
            </a:ext>
          </a:extLst>
        </xdr:cNvPr>
        <xdr:cNvCxnSpPr/>
      </xdr:nvCxnSpPr>
      <xdr:spPr>
        <a:xfrm>
          <a:off x="19568382" y="3370788"/>
          <a:ext cx="17318" cy="2068576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280147</xdr:colOff>
      <xdr:row>22</xdr:row>
      <xdr:rowOff>84539</xdr:rowOff>
    </xdr:from>
    <xdr:to>
      <xdr:col>17</xdr:col>
      <xdr:colOff>857643</xdr:colOff>
      <xdr:row>27</xdr:row>
      <xdr:rowOff>139957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25D14E8D-00A3-4CBC-AC02-EDD0899F1C52}"/>
            </a:ext>
          </a:extLst>
        </xdr:cNvPr>
        <xdr:cNvSpPr txBox="1"/>
      </xdr:nvSpPr>
      <xdr:spPr>
        <a:xfrm>
          <a:off x="3880597" y="4427939"/>
          <a:ext cx="3454046" cy="1007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i="1">
              <a:solidFill>
                <a:srgbClr val="002060"/>
              </a:solidFill>
            </a:rPr>
            <a:t>Crescimento significativo</a:t>
          </a:r>
          <a:r>
            <a:rPr lang="pt-BR" sz="2000" i="1" baseline="0">
              <a:solidFill>
                <a:srgbClr val="002060"/>
              </a:solidFill>
            </a:rPr>
            <a:t> </a:t>
          </a:r>
          <a:r>
            <a:rPr lang="pt-BR" sz="2000" i="1">
              <a:solidFill>
                <a:srgbClr val="002060"/>
              </a:solidFill>
            </a:rPr>
            <a:t>após absorver contratos XXXX</a:t>
          </a:r>
        </a:p>
      </xdr:txBody>
    </xdr:sp>
    <xdr:clientData/>
  </xdr:twoCellAnchor>
  <xdr:twoCellAnchor>
    <xdr:from>
      <xdr:col>18</xdr:col>
      <xdr:colOff>683559</xdr:colOff>
      <xdr:row>17</xdr:row>
      <xdr:rowOff>44824</xdr:rowOff>
    </xdr:from>
    <xdr:to>
      <xdr:col>18</xdr:col>
      <xdr:colOff>686033</xdr:colOff>
      <xdr:row>19</xdr:row>
      <xdr:rowOff>151208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5E4B42A1-C76C-4A3A-8369-E783A6C96940}"/>
            </a:ext>
          </a:extLst>
        </xdr:cNvPr>
        <xdr:cNvCxnSpPr/>
      </xdr:nvCxnSpPr>
      <xdr:spPr>
        <a:xfrm>
          <a:off x="8722659" y="3435724"/>
          <a:ext cx="2474" cy="487384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89647</xdr:colOff>
      <xdr:row>19</xdr:row>
      <xdr:rowOff>123264</xdr:rowOff>
    </xdr:from>
    <xdr:to>
      <xdr:col>19</xdr:col>
      <xdr:colOff>100854</xdr:colOff>
      <xdr:row>24</xdr:row>
      <xdr:rowOff>145676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6F34F41A-3E6C-4D3B-B628-5D0B9D87A328}"/>
            </a:ext>
          </a:extLst>
        </xdr:cNvPr>
        <xdr:cNvSpPr txBox="1"/>
      </xdr:nvSpPr>
      <xdr:spPr>
        <a:xfrm>
          <a:off x="8128747" y="3895164"/>
          <a:ext cx="1239932" cy="974912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1">
              <a:solidFill>
                <a:srgbClr val="FF0000"/>
              </a:solidFill>
            </a:rPr>
            <a:t>Saldo Contratual</a:t>
          </a:r>
          <a:r>
            <a:rPr lang="pt-BR" sz="1800" b="1" baseline="0">
              <a:solidFill>
                <a:srgbClr val="FF0000"/>
              </a:solidFill>
            </a:rPr>
            <a:t> Exedido</a:t>
          </a:r>
        </a:p>
        <a:p>
          <a:endParaRPr lang="pt-BR" sz="1100"/>
        </a:p>
      </xdr:txBody>
    </xdr:sp>
    <xdr:clientData/>
  </xdr:twoCellAnchor>
  <xdr:twoCellAnchor editAs="oneCell">
    <xdr:from>
      <xdr:col>0</xdr:col>
      <xdr:colOff>33618</xdr:colOff>
      <xdr:row>4</xdr:row>
      <xdr:rowOff>246529</xdr:rowOff>
    </xdr:from>
    <xdr:to>
      <xdr:col>0</xdr:col>
      <xdr:colOff>2338909</xdr:colOff>
      <xdr:row>5</xdr:row>
      <xdr:rowOff>342388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90970F15-CAC6-4522-B886-5CB7406F1C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775" t="32631" r="15307" b="33427"/>
        <a:stretch/>
      </xdr:blipFill>
      <xdr:spPr>
        <a:xfrm>
          <a:off x="33618" y="1288676"/>
          <a:ext cx="2305291" cy="521683"/>
        </a:xfrm>
        <a:prstGeom prst="rect">
          <a:avLst/>
        </a:prstGeom>
      </xdr:spPr>
    </xdr:pic>
    <xdr:clientData/>
  </xdr:twoCellAnchor>
  <xdr:twoCellAnchor>
    <xdr:from>
      <xdr:col>23</xdr:col>
      <xdr:colOff>1355912</xdr:colOff>
      <xdr:row>7</xdr:row>
      <xdr:rowOff>11205</xdr:rowOff>
    </xdr:from>
    <xdr:to>
      <xdr:col>24</xdr:col>
      <xdr:colOff>22412</xdr:colOff>
      <xdr:row>18</xdr:row>
      <xdr:rowOff>123264</xdr:rowOff>
    </xdr:to>
    <xdr:cxnSp macro="">
      <xdr:nvCxnSpPr>
        <xdr:cNvPr id="12" name="Conector de Seta Reta 11">
          <a:extLst>
            <a:ext uri="{FF2B5EF4-FFF2-40B4-BE49-F238E27FC236}">
              <a16:creationId xmlns:a16="http://schemas.microsoft.com/office/drawing/2014/main" id="{8542A685-3231-934A-E506-BE1D4D8D6F8F}"/>
            </a:ext>
          </a:extLst>
        </xdr:cNvPr>
        <xdr:cNvCxnSpPr/>
      </xdr:nvCxnSpPr>
      <xdr:spPr>
        <a:xfrm>
          <a:off x="14466794" y="2241176"/>
          <a:ext cx="33618" cy="2297206"/>
        </a:xfrm>
        <a:prstGeom prst="straightConnector1">
          <a:avLst/>
        </a:prstGeom>
        <a:ln w="38100" cap="flat" cmpd="sng" algn="ctr">
          <a:solidFill>
            <a:srgbClr val="FF0000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986116</xdr:colOff>
      <xdr:row>18</xdr:row>
      <xdr:rowOff>67233</xdr:rowOff>
    </xdr:from>
    <xdr:to>
      <xdr:col>24</xdr:col>
      <xdr:colOff>773205</xdr:colOff>
      <xdr:row>23</xdr:row>
      <xdr:rowOff>100852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C657B46B-46BD-4E3C-9C10-2FB7E2BA59F5}"/>
            </a:ext>
          </a:extLst>
        </xdr:cNvPr>
        <xdr:cNvSpPr txBox="1"/>
      </xdr:nvSpPr>
      <xdr:spPr>
        <a:xfrm>
          <a:off x="14096998" y="4482351"/>
          <a:ext cx="1154207" cy="986119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rgbClr val="FF0000"/>
              </a:solidFill>
            </a:rPr>
            <a:t>Renovação</a:t>
          </a:r>
          <a:r>
            <a:rPr lang="pt-BR" sz="1400" b="1" baseline="0">
              <a:solidFill>
                <a:srgbClr val="FF0000"/>
              </a:solidFill>
            </a:rPr>
            <a:t>  de contrato para todas as UFVS.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35297</xdr:colOff>
      <xdr:row>2</xdr:row>
      <xdr:rowOff>128795</xdr:rowOff>
    </xdr:from>
    <xdr:to>
      <xdr:col>6</xdr:col>
      <xdr:colOff>504263</xdr:colOff>
      <xdr:row>16</xdr:row>
      <xdr:rowOff>123265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658FB50-444C-75B8-DC2F-1A1008196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78442</xdr:colOff>
      <xdr:row>9</xdr:row>
      <xdr:rowOff>78442</xdr:rowOff>
    </xdr:from>
    <xdr:to>
      <xdr:col>18</xdr:col>
      <xdr:colOff>600075</xdr:colOff>
      <xdr:row>10</xdr:row>
      <xdr:rowOff>123265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BD80799-B54B-43CA-2F01-729108A46A3C}"/>
            </a:ext>
          </a:extLst>
        </xdr:cNvPr>
        <xdr:cNvGrpSpPr/>
      </xdr:nvGrpSpPr>
      <xdr:grpSpPr>
        <a:xfrm>
          <a:off x="14802971" y="2375648"/>
          <a:ext cx="521633" cy="235323"/>
          <a:chOff x="13736464" y="1792942"/>
          <a:chExt cx="453594" cy="235323"/>
        </a:xfrm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367A5268-44B0-5E3D-0DA1-031BFA57869E}"/>
              </a:ext>
            </a:extLst>
          </xdr:cNvPr>
          <xdr:cNvSpPr/>
        </xdr:nvSpPr>
        <xdr:spPr>
          <a:xfrm>
            <a:off x="13736464" y="1792942"/>
            <a:ext cx="453594" cy="235323"/>
          </a:xfrm>
          <a:prstGeom prst="round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Link</a:t>
            </a:r>
          </a:p>
          <a:p>
            <a:pPr algn="l"/>
            <a:endParaRPr lang="pt-BR" sz="1100"/>
          </a:p>
        </xdr:txBody>
      </xdr:sp>
      <xdr:pic>
        <xdr:nvPicPr>
          <xdr:cNvPr id="12" name="Gráfico 11" descr="Gráfico de barras com preenchimento sólido">
            <a:extLst>
              <a:ext uri="{FF2B5EF4-FFF2-40B4-BE49-F238E27FC236}">
                <a16:creationId xmlns:a16="http://schemas.microsoft.com/office/drawing/2014/main" id="{C1B04453-14DA-D675-F952-49FFA32E87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061030" y="1801586"/>
            <a:ext cx="112059" cy="112059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66675</xdr:colOff>
      <xdr:row>6</xdr:row>
      <xdr:rowOff>28575</xdr:rowOff>
    </xdr:from>
    <xdr:to>
      <xdr:col>18</xdr:col>
      <xdr:colOff>619125</xdr:colOff>
      <xdr:row>7</xdr:row>
      <xdr:rowOff>73398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59A67CB-6AC8-4A12-9F76-E125B151BE4B}"/>
            </a:ext>
          </a:extLst>
        </xdr:cNvPr>
        <xdr:cNvGrpSpPr/>
      </xdr:nvGrpSpPr>
      <xdr:grpSpPr>
        <a:xfrm>
          <a:off x="14791204" y="1171575"/>
          <a:ext cx="552450" cy="616323"/>
          <a:chOff x="13736464" y="1792942"/>
          <a:chExt cx="453594" cy="235323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DBAFFD66-B054-8686-60D0-BC9E0CFDC7D7}"/>
              </a:ext>
            </a:extLst>
          </xdr:cNvPr>
          <xdr:cNvSpPr/>
        </xdr:nvSpPr>
        <xdr:spPr>
          <a:xfrm>
            <a:off x="13736464" y="1792942"/>
            <a:ext cx="453594" cy="235323"/>
          </a:xfrm>
          <a:prstGeom prst="round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Link</a:t>
            </a:r>
          </a:p>
          <a:p>
            <a:pPr algn="l"/>
            <a:endParaRPr lang="pt-BR" sz="1100"/>
          </a:p>
        </xdr:txBody>
      </xdr:sp>
      <xdr:pic>
        <xdr:nvPicPr>
          <xdr:cNvPr id="23" name="Gráfico 22" descr="Gráfico de barras com preenchimento sólido">
            <a:extLst>
              <a:ext uri="{FF2B5EF4-FFF2-40B4-BE49-F238E27FC236}">
                <a16:creationId xmlns:a16="http://schemas.microsoft.com/office/drawing/2014/main" id="{60FABF92-20E9-0563-8D2D-4B0C249F5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061030" y="1801586"/>
            <a:ext cx="112059" cy="112059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53788</xdr:colOff>
      <xdr:row>8</xdr:row>
      <xdr:rowOff>44823</xdr:rowOff>
    </xdr:from>
    <xdr:to>
      <xdr:col>18</xdr:col>
      <xdr:colOff>587188</xdr:colOff>
      <xdr:row>8</xdr:row>
      <xdr:rowOff>310962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241D670F-3CEE-4ADB-8C5F-C656609691FE}"/>
            </a:ext>
          </a:extLst>
        </xdr:cNvPr>
        <xdr:cNvGrpSpPr/>
      </xdr:nvGrpSpPr>
      <xdr:grpSpPr>
        <a:xfrm>
          <a:off x="14778317" y="1949823"/>
          <a:ext cx="533400" cy="266139"/>
          <a:chOff x="13736464" y="1792942"/>
          <a:chExt cx="453594" cy="235323"/>
        </a:xfrm>
      </xdr:grpSpPr>
      <xdr:sp macro="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F17630D6-DECB-AE65-3265-20B4BA91783E}"/>
              </a:ext>
            </a:extLst>
          </xdr:cNvPr>
          <xdr:cNvSpPr/>
        </xdr:nvSpPr>
        <xdr:spPr>
          <a:xfrm>
            <a:off x="13736464" y="1792942"/>
            <a:ext cx="453594" cy="235323"/>
          </a:xfrm>
          <a:prstGeom prst="round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Link</a:t>
            </a:r>
          </a:p>
          <a:p>
            <a:pPr algn="l"/>
            <a:endParaRPr lang="pt-BR" sz="1100"/>
          </a:p>
        </xdr:txBody>
      </xdr:sp>
      <xdr:pic>
        <xdr:nvPicPr>
          <xdr:cNvPr id="32" name="Gráfico 31" descr="Gráfico de barras com preenchimento sólido">
            <a:extLst>
              <a:ext uri="{FF2B5EF4-FFF2-40B4-BE49-F238E27FC236}">
                <a16:creationId xmlns:a16="http://schemas.microsoft.com/office/drawing/2014/main" id="{0A6C592D-E860-AC6C-EF10-BD74C61498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061030" y="1801586"/>
            <a:ext cx="112059" cy="11205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571500</xdr:colOff>
      <xdr:row>2</xdr:row>
      <xdr:rowOff>123266</xdr:rowOff>
    </xdr:from>
    <xdr:to>
      <xdr:col>13</xdr:col>
      <xdr:colOff>1165412</xdr:colOff>
      <xdr:row>16</xdr:row>
      <xdr:rowOff>145677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19E08AA2-7E70-E9E6-0BDD-07E244BAD7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66675</xdr:colOff>
      <xdr:row>1</xdr:row>
      <xdr:rowOff>0</xdr:rowOff>
    </xdr:from>
    <xdr:to>
      <xdr:col>18</xdr:col>
      <xdr:colOff>549089</xdr:colOff>
      <xdr:row>2</xdr:row>
      <xdr:rowOff>89647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9BD601F-3739-409B-BAB1-8CF69A8567FD}"/>
            </a:ext>
          </a:extLst>
        </xdr:cNvPr>
        <xdr:cNvGrpSpPr/>
      </xdr:nvGrpSpPr>
      <xdr:grpSpPr>
        <a:xfrm>
          <a:off x="14791204" y="190500"/>
          <a:ext cx="482414" cy="280147"/>
          <a:chOff x="13736464" y="1792942"/>
          <a:chExt cx="453594" cy="235323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E30BF053-F877-8DCB-D075-D575A5AAA5AD}"/>
              </a:ext>
            </a:extLst>
          </xdr:cNvPr>
          <xdr:cNvSpPr/>
        </xdr:nvSpPr>
        <xdr:spPr>
          <a:xfrm>
            <a:off x="13736464" y="1792942"/>
            <a:ext cx="453594" cy="235323"/>
          </a:xfrm>
          <a:prstGeom prst="roundRect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Link</a:t>
            </a:r>
          </a:p>
          <a:p>
            <a:pPr algn="l"/>
            <a:endParaRPr lang="pt-BR" sz="1100"/>
          </a:p>
        </xdr:txBody>
      </xdr:sp>
      <xdr:pic>
        <xdr:nvPicPr>
          <xdr:cNvPr id="4" name="Gráfico 3" descr="Gráfico de barras com preenchimento sólido">
            <a:extLst>
              <a:ext uri="{FF2B5EF4-FFF2-40B4-BE49-F238E27FC236}">
                <a16:creationId xmlns:a16="http://schemas.microsoft.com/office/drawing/2014/main" id="{06E18E99-2012-52F6-03FA-5AB1DC8659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061030" y="1801586"/>
            <a:ext cx="112059" cy="112059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306480</xdr:colOff>
      <xdr:row>5</xdr:row>
      <xdr:rowOff>324972</xdr:rowOff>
    </xdr:from>
    <xdr:to>
      <xdr:col>0</xdr:col>
      <xdr:colOff>308161</xdr:colOff>
      <xdr:row>6</xdr:row>
      <xdr:rowOff>1367119</xdr:rowOff>
    </xdr:to>
    <xdr:cxnSp macro="">
      <xdr:nvCxnSpPr>
        <xdr:cNvPr id="2" name="Straight Arrow Connector 15">
          <a:extLst>
            <a:ext uri="{FF2B5EF4-FFF2-40B4-BE49-F238E27FC236}">
              <a16:creationId xmlns:a16="http://schemas.microsoft.com/office/drawing/2014/main" id="{2F71503F-67DD-4E2B-8B8F-496E6260AC1D}"/>
            </a:ext>
          </a:extLst>
        </xdr:cNvPr>
        <xdr:cNvCxnSpPr/>
      </xdr:nvCxnSpPr>
      <xdr:spPr>
        <a:xfrm flipH="1" flipV="1">
          <a:off x="306480" y="324972"/>
          <a:ext cx="1681" cy="2842372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93013</xdr:colOff>
      <xdr:row>5</xdr:row>
      <xdr:rowOff>1266266</xdr:rowOff>
    </xdr:from>
    <xdr:to>
      <xdr:col>0</xdr:col>
      <xdr:colOff>526676</xdr:colOff>
      <xdr:row>6</xdr:row>
      <xdr:rowOff>431986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7A26ACAF-77BC-4117-BED4-76DA371C3F27}"/>
            </a:ext>
          </a:extLst>
        </xdr:cNvPr>
        <xdr:cNvSpPr txBox="1"/>
      </xdr:nvSpPr>
      <xdr:spPr>
        <a:xfrm rot="16200000">
          <a:off x="-173128" y="1532407"/>
          <a:ext cx="965945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1</xdr:col>
      <xdr:colOff>561699</xdr:colOff>
      <xdr:row>7</xdr:row>
      <xdr:rowOff>188959</xdr:rowOff>
    </xdr:from>
    <xdr:to>
      <xdr:col>2</xdr:col>
      <xdr:colOff>2409265</xdr:colOff>
      <xdr:row>7</xdr:row>
      <xdr:rowOff>215852</xdr:rowOff>
    </xdr:to>
    <xdr:cxnSp macro="">
      <xdr:nvCxnSpPr>
        <xdr:cNvPr id="4" name="Straight Arrow Connector 15">
          <a:extLst>
            <a:ext uri="{FF2B5EF4-FFF2-40B4-BE49-F238E27FC236}">
              <a16:creationId xmlns:a16="http://schemas.microsoft.com/office/drawing/2014/main" id="{4251E1A9-DF18-4084-B8D0-30D3C4AF9923}"/>
            </a:ext>
          </a:extLst>
        </xdr:cNvPr>
        <xdr:cNvCxnSpPr>
          <a:stCxn id="6" idx="3"/>
          <a:endCxn id="5" idx="1"/>
        </xdr:cNvCxnSpPr>
      </xdr:nvCxnSpPr>
      <xdr:spPr>
        <a:xfrm>
          <a:off x="1095099" y="3751309"/>
          <a:ext cx="4562191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2409265</xdr:colOff>
      <xdr:row>7</xdr:row>
      <xdr:rowOff>117940</xdr:rowOff>
    </xdr:from>
    <xdr:to>
      <xdr:col>2</xdr:col>
      <xdr:colOff>2986651</xdr:colOff>
      <xdr:row>7</xdr:row>
      <xdr:rowOff>313763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576F238-57E0-4D81-A796-3EE408A9C41D}"/>
            </a:ext>
          </a:extLst>
        </xdr:cNvPr>
        <xdr:cNvSpPr txBox="1"/>
      </xdr:nvSpPr>
      <xdr:spPr>
        <a:xfrm>
          <a:off x="5657290" y="368029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0</xdr:col>
      <xdr:colOff>1026460</xdr:colOff>
      <xdr:row>7</xdr:row>
      <xdr:rowOff>91047</xdr:rowOff>
    </xdr:from>
    <xdr:to>
      <xdr:col>1</xdr:col>
      <xdr:colOff>561699</xdr:colOff>
      <xdr:row>7</xdr:row>
      <xdr:rowOff>286870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7482ECEB-7F01-4091-9010-833101EF28D0}"/>
            </a:ext>
          </a:extLst>
        </xdr:cNvPr>
        <xdr:cNvSpPr txBox="1"/>
      </xdr:nvSpPr>
      <xdr:spPr>
        <a:xfrm>
          <a:off x="531160" y="3653397"/>
          <a:ext cx="563939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1</xdr:col>
      <xdr:colOff>2229969</xdr:colOff>
      <xdr:row>7</xdr:row>
      <xdr:rowOff>73117</xdr:rowOff>
    </xdr:from>
    <xdr:to>
      <xdr:col>2</xdr:col>
      <xdr:colOff>454122</xdr:colOff>
      <xdr:row>7</xdr:row>
      <xdr:rowOff>336176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AA163AB9-49C1-4714-B812-E1DA1612F8C3}"/>
            </a:ext>
          </a:extLst>
        </xdr:cNvPr>
        <xdr:cNvSpPr txBox="1"/>
      </xdr:nvSpPr>
      <xdr:spPr>
        <a:xfrm>
          <a:off x="2763369" y="3635467"/>
          <a:ext cx="938778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URGENCIA</a:t>
          </a:r>
        </a:p>
      </xdr:txBody>
    </xdr:sp>
    <xdr:clientData/>
  </xdr:twoCellAnchor>
  <xdr:twoCellAnchor>
    <xdr:from>
      <xdr:col>0</xdr:col>
      <xdr:colOff>306480</xdr:colOff>
      <xdr:row>5</xdr:row>
      <xdr:rowOff>324972</xdr:rowOff>
    </xdr:from>
    <xdr:to>
      <xdr:col>0</xdr:col>
      <xdr:colOff>308161</xdr:colOff>
      <xdr:row>6</xdr:row>
      <xdr:rowOff>1367119</xdr:rowOff>
    </xdr:to>
    <xdr:cxnSp macro="">
      <xdr:nvCxnSpPr>
        <xdr:cNvPr id="10" name="Straight Arrow Connector 15">
          <a:extLst>
            <a:ext uri="{FF2B5EF4-FFF2-40B4-BE49-F238E27FC236}">
              <a16:creationId xmlns:a16="http://schemas.microsoft.com/office/drawing/2014/main" id="{A57A1FFE-DD49-486E-B7E5-5A92B1DEECC7}"/>
            </a:ext>
          </a:extLst>
        </xdr:cNvPr>
        <xdr:cNvCxnSpPr/>
      </xdr:nvCxnSpPr>
      <xdr:spPr>
        <a:xfrm flipH="1" flipV="1">
          <a:off x="306480" y="324972"/>
          <a:ext cx="1681" cy="2842372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93013</xdr:colOff>
      <xdr:row>5</xdr:row>
      <xdr:rowOff>1266266</xdr:rowOff>
    </xdr:from>
    <xdr:to>
      <xdr:col>0</xdr:col>
      <xdr:colOff>526676</xdr:colOff>
      <xdr:row>6</xdr:row>
      <xdr:rowOff>431986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63BFEA8B-763D-4D1D-A528-FE9897DFBF6A}"/>
            </a:ext>
          </a:extLst>
        </xdr:cNvPr>
        <xdr:cNvSpPr txBox="1"/>
      </xdr:nvSpPr>
      <xdr:spPr>
        <a:xfrm rot="16200000">
          <a:off x="-173128" y="1532407"/>
          <a:ext cx="965945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1</xdr:col>
      <xdr:colOff>561699</xdr:colOff>
      <xdr:row>7</xdr:row>
      <xdr:rowOff>188959</xdr:rowOff>
    </xdr:from>
    <xdr:to>
      <xdr:col>2</xdr:col>
      <xdr:colOff>2409265</xdr:colOff>
      <xdr:row>7</xdr:row>
      <xdr:rowOff>215852</xdr:rowOff>
    </xdr:to>
    <xdr:cxnSp macro="">
      <xdr:nvCxnSpPr>
        <xdr:cNvPr id="12" name="Straight Arrow Connector 15">
          <a:extLst>
            <a:ext uri="{FF2B5EF4-FFF2-40B4-BE49-F238E27FC236}">
              <a16:creationId xmlns:a16="http://schemas.microsoft.com/office/drawing/2014/main" id="{DF1E610B-ED49-4A66-8E4A-D253A65E9D55}"/>
            </a:ext>
          </a:extLst>
        </xdr:cNvPr>
        <xdr:cNvCxnSpPr>
          <a:stCxn id="14" idx="3"/>
          <a:endCxn id="13" idx="1"/>
        </xdr:cNvCxnSpPr>
      </xdr:nvCxnSpPr>
      <xdr:spPr>
        <a:xfrm>
          <a:off x="1095099" y="3751309"/>
          <a:ext cx="4562191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2409265</xdr:colOff>
      <xdr:row>7</xdr:row>
      <xdr:rowOff>117940</xdr:rowOff>
    </xdr:from>
    <xdr:to>
      <xdr:col>2</xdr:col>
      <xdr:colOff>2986651</xdr:colOff>
      <xdr:row>7</xdr:row>
      <xdr:rowOff>313763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77555765-5ECD-424E-BEB4-A6901D9A4C32}"/>
            </a:ext>
          </a:extLst>
        </xdr:cNvPr>
        <xdr:cNvSpPr txBox="1"/>
      </xdr:nvSpPr>
      <xdr:spPr>
        <a:xfrm>
          <a:off x="5657290" y="368029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0</xdr:col>
      <xdr:colOff>1026460</xdr:colOff>
      <xdr:row>7</xdr:row>
      <xdr:rowOff>91047</xdr:rowOff>
    </xdr:from>
    <xdr:to>
      <xdr:col>1</xdr:col>
      <xdr:colOff>561699</xdr:colOff>
      <xdr:row>7</xdr:row>
      <xdr:rowOff>286870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04C15C7-0BCA-42B1-9C56-32E1BACCB774}"/>
            </a:ext>
          </a:extLst>
        </xdr:cNvPr>
        <xdr:cNvSpPr txBox="1"/>
      </xdr:nvSpPr>
      <xdr:spPr>
        <a:xfrm>
          <a:off x="531160" y="3653397"/>
          <a:ext cx="563939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1</xdr:col>
      <xdr:colOff>2229969</xdr:colOff>
      <xdr:row>7</xdr:row>
      <xdr:rowOff>73117</xdr:rowOff>
    </xdr:from>
    <xdr:to>
      <xdr:col>2</xdr:col>
      <xdr:colOff>454122</xdr:colOff>
      <xdr:row>7</xdr:row>
      <xdr:rowOff>336176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25CA788B-49B6-4FC3-A9E8-82C578CC5D2A}"/>
            </a:ext>
          </a:extLst>
        </xdr:cNvPr>
        <xdr:cNvSpPr txBox="1"/>
      </xdr:nvSpPr>
      <xdr:spPr>
        <a:xfrm>
          <a:off x="2763369" y="3635467"/>
          <a:ext cx="938778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URGENCIA</a:t>
          </a:r>
        </a:p>
      </xdr:txBody>
    </xdr:sp>
    <xdr:clientData/>
  </xdr:twoCellAnchor>
  <xdr:twoCellAnchor>
    <xdr:from>
      <xdr:col>0</xdr:col>
      <xdr:colOff>306480</xdr:colOff>
      <xdr:row>5</xdr:row>
      <xdr:rowOff>324972</xdr:rowOff>
    </xdr:from>
    <xdr:to>
      <xdr:col>0</xdr:col>
      <xdr:colOff>308161</xdr:colOff>
      <xdr:row>6</xdr:row>
      <xdr:rowOff>1367119</xdr:rowOff>
    </xdr:to>
    <xdr:cxnSp macro="">
      <xdr:nvCxnSpPr>
        <xdr:cNvPr id="18" name="Straight Arrow Connector 15">
          <a:extLst>
            <a:ext uri="{FF2B5EF4-FFF2-40B4-BE49-F238E27FC236}">
              <a16:creationId xmlns:a16="http://schemas.microsoft.com/office/drawing/2014/main" id="{A0E63F99-8872-446A-AE1B-C1F3C70185E3}"/>
            </a:ext>
          </a:extLst>
        </xdr:cNvPr>
        <xdr:cNvCxnSpPr/>
      </xdr:nvCxnSpPr>
      <xdr:spPr>
        <a:xfrm flipH="1" flipV="1">
          <a:off x="306480" y="324972"/>
          <a:ext cx="1681" cy="2842372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93013</xdr:colOff>
      <xdr:row>5</xdr:row>
      <xdr:rowOff>1266266</xdr:rowOff>
    </xdr:from>
    <xdr:to>
      <xdr:col>0</xdr:col>
      <xdr:colOff>526676</xdr:colOff>
      <xdr:row>6</xdr:row>
      <xdr:rowOff>431986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ED504B5D-3CB1-4FCC-B622-34C3527F8516}"/>
            </a:ext>
          </a:extLst>
        </xdr:cNvPr>
        <xdr:cNvSpPr txBox="1"/>
      </xdr:nvSpPr>
      <xdr:spPr>
        <a:xfrm rot="16200000">
          <a:off x="-173128" y="1532407"/>
          <a:ext cx="965945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1</xdr:col>
      <xdr:colOff>561699</xdr:colOff>
      <xdr:row>7</xdr:row>
      <xdr:rowOff>188959</xdr:rowOff>
    </xdr:from>
    <xdr:to>
      <xdr:col>2</xdr:col>
      <xdr:colOff>2409265</xdr:colOff>
      <xdr:row>7</xdr:row>
      <xdr:rowOff>215852</xdr:rowOff>
    </xdr:to>
    <xdr:cxnSp macro="">
      <xdr:nvCxnSpPr>
        <xdr:cNvPr id="20" name="Straight Arrow Connector 15">
          <a:extLst>
            <a:ext uri="{FF2B5EF4-FFF2-40B4-BE49-F238E27FC236}">
              <a16:creationId xmlns:a16="http://schemas.microsoft.com/office/drawing/2014/main" id="{F5907434-ACDB-49FC-8D2A-25EACEA67E70}"/>
            </a:ext>
          </a:extLst>
        </xdr:cNvPr>
        <xdr:cNvCxnSpPr>
          <a:stCxn id="22" idx="3"/>
          <a:endCxn id="21" idx="1"/>
        </xdr:cNvCxnSpPr>
      </xdr:nvCxnSpPr>
      <xdr:spPr>
        <a:xfrm>
          <a:off x="1095099" y="3751309"/>
          <a:ext cx="4562191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2409265</xdr:colOff>
      <xdr:row>7</xdr:row>
      <xdr:rowOff>117940</xdr:rowOff>
    </xdr:from>
    <xdr:to>
      <xdr:col>2</xdr:col>
      <xdr:colOff>2986651</xdr:colOff>
      <xdr:row>7</xdr:row>
      <xdr:rowOff>313763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6E2F304-4883-4C4B-BDE6-CAB88F29D398}"/>
            </a:ext>
          </a:extLst>
        </xdr:cNvPr>
        <xdr:cNvSpPr txBox="1"/>
      </xdr:nvSpPr>
      <xdr:spPr>
        <a:xfrm>
          <a:off x="5657290" y="368029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0</xdr:col>
      <xdr:colOff>1026460</xdr:colOff>
      <xdr:row>7</xdr:row>
      <xdr:rowOff>91047</xdr:rowOff>
    </xdr:from>
    <xdr:to>
      <xdr:col>1</xdr:col>
      <xdr:colOff>561699</xdr:colOff>
      <xdr:row>7</xdr:row>
      <xdr:rowOff>286870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5692AF13-09F4-4773-A31E-9A9BD77C9B9F}"/>
            </a:ext>
          </a:extLst>
        </xdr:cNvPr>
        <xdr:cNvSpPr txBox="1"/>
      </xdr:nvSpPr>
      <xdr:spPr>
        <a:xfrm>
          <a:off x="531160" y="3653397"/>
          <a:ext cx="563939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1</xdr:col>
      <xdr:colOff>2229969</xdr:colOff>
      <xdr:row>7</xdr:row>
      <xdr:rowOff>73117</xdr:rowOff>
    </xdr:from>
    <xdr:to>
      <xdr:col>2</xdr:col>
      <xdr:colOff>454122</xdr:colOff>
      <xdr:row>7</xdr:row>
      <xdr:rowOff>336176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8BB73515-FE85-4811-B836-1E8AE4B7175C}"/>
            </a:ext>
          </a:extLst>
        </xdr:cNvPr>
        <xdr:cNvSpPr txBox="1"/>
      </xdr:nvSpPr>
      <xdr:spPr>
        <a:xfrm>
          <a:off x="2763369" y="3635467"/>
          <a:ext cx="938778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URGÊNCIA</a:t>
          </a:r>
        </a:p>
      </xdr:txBody>
    </xdr:sp>
    <xdr:clientData/>
  </xdr:twoCellAnchor>
  <xdr:twoCellAnchor>
    <xdr:from>
      <xdr:col>0</xdr:col>
      <xdr:colOff>1</xdr:colOff>
      <xdr:row>6</xdr:row>
      <xdr:rowOff>1311024</xdr:rowOff>
    </xdr:from>
    <xdr:to>
      <xdr:col>0</xdr:col>
      <xdr:colOff>527539</xdr:colOff>
      <xdr:row>6</xdr:row>
      <xdr:rowOff>1663211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13EED6E8-991C-4EF1-8190-A1D817EE3222}"/>
            </a:ext>
          </a:extLst>
        </xdr:cNvPr>
        <xdr:cNvSpPr txBox="1"/>
      </xdr:nvSpPr>
      <xdr:spPr>
        <a:xfrm>
          <a:off x="1" y="3113447"/>
          <a:ext cx="527538" cy="352187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rgbClr val="00B050"/>
              </a:solidFill>
            </a:rPr>
            <a:t>BAIXA</a:t>
          </a:r>
        </a:p>
      </xdr:txBody>
    </xdr:sp>
    <xdr:clientData/>
  </xdr:twoCellAnchor>
  <xdr:twoCellAnchor>
    <xdr:from>
      <xdr:col>0</xdr:col>
      <xdr:colOff>62433</xdr:colOff>
      <xdr:row>5</xdr:row>
      <xdr:rowOff>108013</xdr:rowOff>
    </xdr:from>
    <xdr:to>
      <xdr:col>1</xdr:col>
      <xdr:colOff>8084</xdr:colOff>
      <xdr:row>5</xdr:row>
      <xdr:rowOff>319527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545ADC64-E172-4377-87E3-F9CCFDDAA52D}"/>
            </a:ext>
          </a:extLst>
        </xdr:cNvPr>
        <xdr:cNvSpPr txBox="1"/>
      </xdr:nvSpPr>
      <xdr:spPr>
        <a:xfrm>
          <a:off x="62433" y="1501384"/>
          <a:ext cx="479051" cy="211514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50" b="1">
              <a:solidFill>
                <a:srgbClr val="FF0000"/>
              </a:solidFill>
            </a:rPr>
            <a:t>ALTA</a:t>
          </a:r>
          <a:endParaRPr lang="pt-B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561699</xdr:colOff>
      <xdr:row>7</xdr:row>
      <xdr:rowOff>188959</xdr:rowOff>
    </xdr:from>
    <xdr:to>
      <xdr:col>6</xdr:col>
      <xdr:colOff>2409265</xdr:colOff>
      <xdr:row>7</xdr:row>
      <xdr:rowOff>215852</xdr:rowOff>
    </xdr:to>
    <xdr:cxnSp macro="">
      <xdr:nvCxnSpPr>
        <xdr:cNvPr id="26" name="Straight Arrow Connector 15">
          <a:extLst>
            <a:ext uri="{FF2B5EF4-FFF2-40B4-BE49-F238E27FC236}">
              <a16:creationId xmlns:a16="http://schemas.microsoft.com/office/drawing/2014/main" id="{9132C067-0473-4B37-8953-C7C6B4EE36A9}"/>
            </a:ext>
          </a:extLst>
        </xdr:cNvPr>
        <xdr:cNvCxnSpPr>
          <a:stCxn id="28" idx="3"/>
          <a:endCxn id="27" idx="1"/>
        </xdr:cNvCxnSpPr>
      </xdr:nvCxnSpPr>
      <xdr:spPr>
        <a:xfrm>
          <a:off x="1092378" y="5141959"/>
          <a:ext cx="4568994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2409265</xdr:colOff>
      <xdr:row>7</xdr:row>
      <xdr:rowOff>117940</xdr:rowOff>
    </xdr:from>
    <xdr:to>
      <xdr:col>6</xdr:col>
      <xdr:colOff>2986651</xdr:colOff>
      <xdr:row>7</xdr:row>
      <xdr:rowOff>313763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1798B596-8C69-48FE-AD23-A47FDB16C381}"/>
            </a:ext>
          </a:extLst>
        </xdr:cNvPr>
        <xdr:cNvSpPr txBox="1"/>
      </xdr:nvSpPr>
      <xdr:spPr>
        <a:xfrm>
          <a:off x="5661372" y="507094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3</xdr:col>
      <xdr:colOff>1026460</xdr:colOff>
      <xdr:row>7</xdr:row>
      <xdr:rowOff>91047</xdr:rowOff>
    </xdr:from>
    <xdr:to>
      <xdr:col>5</xdr:col>
      <xdr:colOff>561699</xdr:colOff>
      <xdr:row>7</xdr:row>
      <xdr:rowOff>286870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326A8837-E8BB-48C2-80AE-4E93FF008142}"/>
            </a:ext>
          </a:extLst>
        </xdr:cNvPr>
        <xdr:cNvSpPr txBox="1"/>
      </xdr:nvSpPr>
      <xdr:spPr>
        <a:xfrm>
          <a:off x="531160" y="5044047"/>
          <a:ext cx="561218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5</xdr:col>
      <xdr:colOff>2229969</xdr:colOff>
      <xdr:row>7</xdr:row>
      <xdr:rowOff>73117</xdr:rowOff>
    </xdr:from>
    <xdr:to>
      <xdr:col>6</xdr:col>
      <xdr:colOff>454122</xdr:colOff>
      <xdr:row>7</xdr:row>
      <xdr:rowOff>336176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EF0A357F-5ADA-487C-B322-3910EAA13F32}"/>
            </a:ext>
          </a:extLst>
        </xdr:cNvPr>
        <xdr:cNvSpPr txBox="1"/>
      </xdr:nvSpPr>
      <xdr:spPr>
        <a:xfrm>
          <a:off x="2760648" y="5026117"/>
          <a:ext cx="945581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URGENCIA</a:t>
          </a:r>
        </a:p>
      </xdr:txBody>
    </xdr:sp>
    <xdr:clientData/>
  </xdr:twoCellAnchor>
  <xdr:twoCellAnchor>
    <xdr:from>
      <xdr:col>5</xdr:col>
      <xdr:colOff>561699</xdr:colOff>
      <xdr:row>7</xdr:row>
      <xdr:rowOff>188959</xdr:rowOff>
    </xdr:from>
    <xdr:to>
      <xdr:col>6</xdr:col>
      <xdr:colOff>2409265</xdr:colOff>
      <xdr:row>7</xdr:row>
      <xdr:rowOff>215852</xdr:rowOff>
    </xdr:to>
    <xdr:cxnSp macro="">
      <xdr:nvCxnSpPr>
        <xdr:cNvPr id="30" name="Straight Arrow Connector 15">
          <a:extLst>
            <a:ext uri="{FF2B5EF4-FFF2-40B4-BE49-F238E27FC236}">
              <a16:creationId xmlns:a16="http://schemas.microsoft.com/office/drawing/2014/main" id="{6C4C19BC-8177-4493-9B48-C7D74EA4A181}"/>
            </a:ext>
          </a:extLst>
        </xdr:cNvPr>
        <xdr:cNvCxnSpPr>
          <a:stCxn id="32" idx="3"/>
          <a:endCxn id="31" idx="1"/>
        </xdr:cNvCxnSpPr>
      </xdr:nvCxnSpPr>
      <xdr:spPr>
        <a:xfrm>
          <a:off x="1092378" y="5141959"/>
          <a:ext cx="4568994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2409265</xdr:colOff>
      <xdr:row>7</xdr:row>
      <xdr:rowOff>117940</xdr:rowOff>
    </xdr:from>
    <xdr:to>
      <xdr:col>6</xdr:col>
      <xdr:colOff>2986651</xdr:colOff>
      <xdr:row>7</xdr:row>
      <xdr:rowOff>313763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A4332254-07C2-41A5-BFEE-A2021E82F772}"/>
            </a:ext>
          </a:extLst>
        </xdr:cNvPr>
        <xdr:cNvSpPr txBox="1"/>
      </xdr:nvSpPr>
      <xdr:spPr>
        <a:xfrm>
          <a:off x="5661372" y="507094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3</xdr:col>
      <xdr:colOff>1026460</xdr:colOff>
      <xdr:row>7</xdr:row>
      <xdr:rowOff>91047</xdr:rowOff>
    </xdr:from>
    <xdr:to>
      <xdr:col>5</xdr:col>
      <xdr:colOff>561699</xdr:colOff>
      <xdr:row>7</xdr:row>
      <xdr:rowOff>286870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A858A8B4-012A-42EE-8278-FA70BB22E781}"/>
            </a:ext>
          </a:extLst>
        </xdr:cNvPr>
        <xdr:cNvSpPr txBox="1"/>
      </xdr:nvSpPr>
      <xdr:spPr>
        <a:xfrm>
          <a:off x="531160" y="5044047"/>
          <a:ext cx="561218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5</xdr:col>
      <xdr:colOff>2229969</xdr:colOff>
      <xdr:row>7</xdr:row>
      <xdr:rowOff>73117</xdr:rowOff>
    </xdr:from>
    <xdr:to>
      <xdr:col>6</xdr:col>
      <xdr:colOff>454122</xdr:colOff>
      <xdr:row>7</xdr:row>
      <xdr:rowOff>336176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F88651EC-710D-4B78-A456-5766484BAAAC}"/>
            </a:ext>
          </a:extLst>
        </xdr:cNvPr>
        <xdr:cNvSpPr txBox="1"/>
      </xdr:nvSpPr>
      <xdr:spPr>
        <a:xfrm>
          <a:off x="2760648" y="5026117"/>
          <a:ext cx="945581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URGENCIA</a:t>
          </a:r>
        </a:p>
      </xdr:txBody>
    </xdr:sp>
    <xdr:clientData/>
  </xdr:twoCellAnchor>
  <xdr:twoCellAnchor>
    <xdr:from>
      <xdr:col>5</xdr:col>
      <xdr:colOff>561699</xdr:colOff>
      <xdr:row>7</xdr:row>
      <xdr:rowOff>188959</xdr:rowOff>
    </xdr:from>
    <xdr:to>
      <xdr:col>6</xdr:col>
      <xdr:colOff>2409265</xdr:colOff>
      <xdr:row>7</xdr:row>
      <xdr:rowOff>215852</xdr:rowOff>
    </xdr:to>
    <xdr:cxnSp macro="">
      <xdr:nvCxnSpPr>
        <xdr:cNvPr id="34" name="Straight Arrow Connector 15">
          <a:extLst>
            <a:ext uri="{FF2B5EF4-FFF2-40B4-BE49-F238E27FC236}">
              <a16:creationId xmlns:a16="http://schemas.microsoft.com/office/drawing/2014/main" id="{F5C68DEE-2F96-42B7-A6C2-C66ED6DA2666}"/>
            </a:ext>
          </a:extLst>
        </xdr:cNvPr>
        <xdr:cNvCxnSpPr>
          <a:stCxn id="36" idx="3"/>
          <a:endCxn id="35" idx="1"/>
        </xdr:cNvCxnSpPr>
      </xdr:nvCxnSpPr>
      <xdr:spPr>
        <a:xfrm>
          <a:off x="1092378" y="5141959"/>
          <a:ext cx="4568994" cy="26893"/>
        </a:xfrm>
        <a:prstGeom prst="straightConnector1">
          <a:avLst/>
        </a:prstGeom>
        <a:ln w="57150">
          <a:gradFill flip="none" rotWithShape="1">
            <a:gsLst>
              <a:gs pos="49600">
                <a:schemeClr val="bg1"/>
              </a:gs>
              <a:gs pos="0">
                <a:srgbClr val="FF0000"/>
              </a:gs>
              <a:gs pos="100000">
                <a:schemeClr val="accent2"/>
              </a:gs>
            </a:gsLst>
            <a:path path="circle">
              <a:fillToRect l="100000" t="100000"/>
            </a:path>
            <a:tileRect r="-100000" b="-100000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2409265</xdr:colOff>
      <xdr:row>7</xdr:row>
      <xdr:rowOff>117940</xdr:rowOff>
    </xdr:from>
    <xdr:to>
      <xdr:col>6</xdr:col>
      <xdr:colOff>2986651</xdr:colOff>
      <xdr:row>7</xdr:row>
      <xdr:rowOff>313763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271E51D1-70B5-4807-8C11-288E37B83E86}"/>
            </a:ext>
          </a:extLst>
        </xdr:cNvPr>
        <xdr:cNvSpPr txBox="1"/>
      </xdr:nvSpPr>
      <xdr:spPr>
        <a:xfrm>
          <a:off x="5661372" y="5070940"/>
          <a:ext cx="577386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3</xdr:col>
      <xdr:colOff>1026460</xdr:colOff>
      <xdr:row>7</xdr:row>
      <xdr:rowOff>91047</xdr:rowOff>
    </xdr:from>
    <xdr:to>
      <xdr:col>5</xdr:col>
      <xdr:colOff>561699</xdr:colOff>
      <xdr:row>7</xdr:row>
      <xdr:rowOff>286870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9407F7A5-DA68-46C4-87AA-D6C2ADBB41E0}"/>
            </a:ext>
          </a:extLst>
        </xdr:cNvPr>
        <xdr:cNvSpPr txBox="1"/>
      </xdr:nvSpPr>
      <xdr:spPr>
        <a:xfrm>
          <a:off x="531160" y="5044047"/>
          <a:ext cx="561218" cy="19582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BAIXA</a:t>
          </a:r>
        </a:p>
      </xdr:txBody>
    </xdr:sp>
    <xdr:clientData/>
  </xdr:twoCellAnchor>
  <xdr:twoCellAnchor>
    <xdr:from>
      <xdr:col>5</xdr:col>
      <xdr:colOff>2229969</xdr:colOff>
      <xdr:row>7</xdr:row>
      <xdr:rowOff>73117</xdr:rowOff>
    </xdr:from>
    <xdr:to>
      <xdr:col>6</xdr:col>
      <xdr:colOff>454122</xdr:colOff>
      <xdr:row>7</xdr:row>
      <xdr:rowOff>336176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6AC253E3-142F-4E0D-B675-3EFF926B67EB}"/>
            </a:ext>
          </a:extLst>
        </xdr:cNvPr>
        <xdr:cNvSpPr txBox="1"/>
      </xdr:nvSpPr>
      <xdr:spPr>
        <a:xfrm>
          <a:off x="2760648" y="5026117"/>
          <a:ext cx="945581" cy="263059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0"/>
            <a:t>URGÊNCIA</a:t>
          </a:r>
        </a:p>
      </xdr:txBody>
    </xdr:sp>
    <xdr:clientData/>
  </xdr:twoCellAnchor>
  <xdr:twoCellAnchor>
    <xdr:from>
      <xdr:col>4</xdr:col>
      <xdr:colOff>306480</xdr:colOff>
      <xdr:row>5</xdr:row>
      <xdr:rowOff>324972</xdr:rowOff>
    </xdr:from>
    <xdr:to>
      <xdr:col>4</xdr:col>
      <xdr:colOff>308161</xdr:colOff>
      <xdr:row>6</xdr:row>
      <xdr:rowOff>1367119</xdr:rowOff>
    </xdr:to>
    <xdr:cxnSp macro="">
      <xdr:nvCxnSpPr>
        <xdr:cNvPr id="38" name="Straight Arrow Connector 15">
          <a:extLst>
            <a:ext uri="{FF2B5EF4-FFF2-40B4-BE49-F238E27FC236}">
              <a16:creationId xmlns:a16="http://schemas.microsoft.com/office/drawing/2014/main" id="{CB38CB73-5039-48A4-AB6E-DCD739A0DED5}"/>
            </a:ext>
          </a:extLst>
        </xdr:cNvPr>
        <xdr:cNvCxnSpPr/>
      </xdr:nvCxnSpPr>
      <xdr:spPr>
        <a:xfrm flipH="1" flipV="1">
          <a:off x="306480" y="1712901"/>
          <a:ext cx="1681" cy="2838289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93013</xdr:colOff>
      <xdr:row>5</xdr:row>
      <xdr:rowOff>1266266</xdr:rowOff>
    </xdr:from>
    <xdr:to>
      <xdr:col>4</xdr:col>
      <xdr:colOff>526676</xdr:colOff>
      <xdr:row>6</xdr:row>
      <xdr:rowOff>431986</xdr:rowOff>
    </xdr:to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46088793-23B4-47E2-8C22-3F2659D1D93E}"/>
            </a:ext>
          </a:extLst>
        </xdr:cNvPr>
        <xdr:cNvSpPr txBox="1"/>
      </xdr:nvSpPr>
      <xdr:spPr>
        <a:xfrm rot="16200000">
          <a:off x="-171086" y="2918294"/>
          <a:ext cx="961862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4</xdr:col>
      <xdr:colOff>51548</xdr:colOff>
      <xdr:row>5</xdr:row>
      <xdr:rowOff>113457</xdr:rowOff>
    </xdr:from>
    <xdr:to>
      <xdr:col>4</xdr:col>
      <xdr:colOff>616324</xdr:colOff>
      <xdr:row>5</xdr:row>
      <xdr:rowOff>324971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2226C54E-96E5-4311-8605-73EA246523C6}"/>
            </a:ext>
          </a:extLst>
        </xdr:cNvPr>
        <xdr:cNvSpPr txBox="1"/>
      </xdr:nvSpPr>
      <xdr:spPr>
        <a:xfrm>
          <a:off x="51548" y="1501386"/>
          <a:ext cx="479051" cy="211514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4</xdr:col>
      <xdr:colOff>306480</xdr:colOff>
      <xdr:row>5</xdr:row>
      <xdr:rowOff>324972</xdr:rowOff>
    </xdr:from>
    <xdr:to>
      <xdr:col>4</xdr:col>
      <xdr:colOff>308161</xdr:colOff>
      <xdr:row>6</xdr:row>
      <xdr:rowOff>1367119</xdr:rowOff>
    </xdr:to>
    <xdr:cxnSp macro="">
      <xdr:nvCxnSpPr>
        <xdr:cNvPr id="41" name="Straight Arrow Connector 15">
          <a:extLst>
            <a:ext uri="{FF2B5EF4-FFF2-40B4-BE49-F238E27FC236}">
              <a16:creationId xmlns:a16="http://schemas.microsoft.com/office/drawing/2014/main" id="{9B6D67E8-85C5-493C-BC93-91FCCC3C67E2}"/>
            </a:ext>
          </a:extLst>
        </xdr:cNvPr>
        <xdr:cNvCxnSpPr/>
      </xdr:nvCxnSpPr>
      <xdr:spPr>
        <a:xfrm flipH="1" flipV="1">
          <a:off x="306480" y="1712901"/>
          <a:ext cx="1681" cy="2838289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93013</xdr:colOff>
      <xdr:row>5</xdr:row>
      <xdr:rowOff>1266266</xdr:rowOff>
    </xdr:from>
    <xdr:to>
      <xdr:col>4</xdr:col>
      <xdr:colOff>526676</xdr:colOff>
      <xdr:row>6</xdr:row>
      <xdr:rowOff>431986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AEEFA7DC-63AE-44E9-BB79-7D6C750F3BBD}"/>
            </a:ext>
          </a:extLst>
        </xdr:cNvPr>
        <xdr:cNvSpPr txBox="1"/>
      </xdr:nvSpPr>
      <xdr:spPr>
        <a:xfrm rot="16200000">
          <a:off x="-171086" y="2918294"/>
          <a:ext cx="961862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4</xdr:col>
      <xdr:colOff>51548</xdr:colOff>
      <xdr:row>5</xdr:row>
      <xdr:rowOff>113457</xdr:rowOff>
    </xdr:from>
    <xdr:to>
      <xdr:col>4</xdr:col>
      <xdr:colOff>616324</xdr:colOff>
      <xdr:row>5</xdr:row>
      <xdr:rowOff>324971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4FE43C0D-23EC-4523-96CB-8D863D9811DA}"/>
            </a:ext>
          </a:extLst>
        </xdr:cNvPr>
        <xdr:cNvSpPr txBox="1"/>
      </xdr:nvSpPr>
      <xdr:spPr>
        <a:xfrm>
          <a:off x="51548" y="1501386"/>
          <a:ext cx="479051" cy="211514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4</xdr:col>
      <xdr:colOff>306480</xdr:colOff>
      <xdr:row>5</xdr:row>
      <xdr:rowOff>324972</xdr:rowOff>
    </xdr:from>
    <xdr:to>
      <xdr:col>4</xdr:col>
      <xdr:colOff>308161</xdr:colOff>
      <xdr:row>6</xdr:row>
      <xdr:rowOff>1367119</xdr:rowOff>
    </xdr:to>
    <xdr:cxnSp macro="">
      <xdr:nvCxnSpPr>
        <xdr:cNvPr id="44" name="Straight Arrow Connector 15">
          <a:extLst>
            <a:ext uri="{FF2B5EF4-FFF2-40B4-BE49-F238E27FC236}">
              <a16:creationId xmlns:a16="http://schemas.microsoft.com/office/drawing/2014/main" id="{A88AE4EB-D33B-4DC1-8127-F20CB9237C79}"/>
            </a:ext>
          </a:extLst>
        </xdr:cNvPr>
        <xdr:cNvCxnSpPr/>
      </xdr:nvCxnSpPr>
      <xdr:spPr>
        <a:xfrm flipH="1" flipV="1">
          <a:off x="306480" y="1712901"/>
          <a:ext cx="1681" cy="2838289"/>
        </a:xfrm>
        <a:prstGeom prst="straightConnector1">
          <a:avLst/>
        </a:prstGeom>
        <a:ln w="57150">
          <a:gradFill>
            <a:gsLst>
              <a:gs pos="49600">
                <a:schemeClr val="bg1"/>
              </a:gs>
              <a:gs pos="0">
                <a:srgbClr val="00B050"/>
              </a:gs>
              <a:gs pos="100000">
                <a:srgbClr val="FF0000"/>
              </a:gs>
            </a:gsLst>
            <a:lin ang="5400000" scaled="1"/>
          </a:gra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93013</xdr:colOff>
      <xdr:row>5</xdr:row>
      <xdr:rowOff>1266266</xdr:rowOff>
    </xdr:from>
    <xdr:to>
      <xdr:col>4</xdr:col>
      <xdr:colOff>526676</xdr:colOff>
      <xdr:row>6</xdr:row>
      <xdr:rowOff>431986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C8CAE1D-892D-49D1-BAC2-7C783BB97D73}"/>
            </a:ext>
          </a:extLst>
        </xdr:cNvPr>
        <xdr:cNvSpPr txBox="1"/>
      </xdr:nvSpPr>
      <xdr:spPr>
        <a:xfrm rot="16200000">
          <a:off x="-171086" y="2918294"/>
          <a:ext cx="961862" cy="433663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IMPACTO NA </a:t>
          </a:r>
        </a:p>
        <a:p>
          <a:pPr algn="ctr"/>
          <a:r>
            <a:rPr lang="pt-BR" sz="1100"/>
            <a:t>GERAÇÃO</a:t>
          </a:r>
        </a:p>
      </xdr:txBody>
    </xdr:sp>
    <xdr:clientData/>
  </xdr:twoCellAnchor>
  <xdr:twoCellAnchor>
    <xdr:from>
      <xdr:col>4</xdr:col>
      <xdr:colOff>1</xdr:colOff>
      <xdr:row>6</xdr:row>
      <xdr:rowOff>1311024</xdr:rowOff>
    </xdr:from>
    <xdr:to>
      <xdr:col>4</xdr:col>
      <xdr:colOff>527539</xdr:colOff>
      <xdr:row>6</xdr:row>
      <xdr:rowOff>1663211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0BEC6217-E030-455E-BFB8-4FE5E8C03C3F}"/>
            </a:ext>
          </a:extLst>
        </xdr:cNvPr>
        <xdr:cNvSpPr txBox="1"/>
      </xdr:nvSpPr>
      <xdr:spPr>
        <a:xfrm>
          <a:off x="1" y="4495095"/>
          <a:ext cx="527538" cy="352187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rgbClr val="00B050"/>
              </a:solidFill>
            </a:rPr>
            <a:t>BAIXA</a:t>
          </a:r>
        </a:p>
      </xdr:txBody>
    </xdr:sp>
    <xdr:clientData/>
  </xdr:twoCellAnchor>
  <xdr:twoCellAnchor>
    <xdr:from>
      <xdr:col>4</xdr:col>
      <xdr:colOff>51548</xdr:colOff>
      <xdr:row>5</xdr:row>
      <xdr:rowOff>113457</xdr:rowOff>
    </xdr:from>
    <xdr:to>
      <xdr:col>4</xdr:col>
      <xdr:colOff>616324</xdr:colOff>
      <xdr:row>5</xdr:row>
      <xdr:rowOff>324971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6282FD37-EA69-4D95-BFE6-77AF5B6B7618}"/>
            </a:ext>
          </a:extLst>
        </xdr:cNvPr>
        <xdr:cNvSpPr txBox="1"/>
      </xdr:nvSpPr>
      <xdr:spPr>
        <a:xfrm>
          <a:off x="51548" y="1501386"/>
          <a:ext cx="479051" cy="211514"/>
        </a:xfrm>
        <a:prstGeom prst="rect">
          <a:avLst/>
        </a:prstGeom>
        <a:solidFill>
          <a:schemeClr val="lt1">
            <a:alpha val="5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ALTA</a:t>
          </a:r>
        </a:p>
      </xdr:txBody>
    </xdr:sp>
    <xdr:clientData/>
  </xdr:twoCellAnchor>
  <xdr:twoCellAnchor>
    <xdr:from>
      <xdr:col>2</xdr:col>
      <xdr:colOff>1636059</xdr:colOff>
      <xdr:row>5</xdr:row>
      <xdr:rowOff>156882</xdr:rowOff>
    </xdr:from>
    <xdr:to>
      <xdr:col>2</xdr:col>
      <xdr:colOff>2955589</xdr:colOff>
      <xdr:row>5</xdr:row>
      <xdr:rowOff>603287</xdr:rowOff>
    </xdr:to>
    <xdr:sp macro="" textlink="">
      <xdr:nvSpPr>
        <xdr:cNvPr id="48" name="Caixa de Texto 20">
          <a:extLst>
            <a:ext uri="{FF2B5EF4-FFF2-40B4-BE49-F238E27FC236}">
              <a16:creationId xmlns:a16="http://schemas.microsoft.com/office/drawing/2014/main" id="{C2FBD743-C02B-72D6-A1B3-36CEC4801F61}"/>
            </a:ext>
          </a:extLst>
        </xdr:cNvPr>
        <xdr:cNvSpPr txBox="1"/>
      </xdr:nvSpPr>
      <xdr:spPr>
        <a:xfrm>
          <a:off x="4885765" y="1546411"/>
          <a:ext cx="1319530" cy="446405"/>
        </a:xfrm>
        <a:prstGeom prst="rect">
          <a:avLst/>
        </a:prstGeom>
        <a:solidFill>
          <a:srgbClr val="9ED561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ACIONAMENTO DAS EQUIPES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1669677</xdr:colOff>
      <xdr:row>5</xdr:row>
      <xdr:rowOff>1367117</xdr:rowOff>
    </xdr:from>
    <xdr:to>
      <xdr:col>1</xdr:col>
      <xdr:colOff>2677422</xdr:colOff>
      <xdr:row>5</xdr:row>
      <xdr:rowOff>1636992</xdr:rowOff>
    </xdr:to>
    <xdr:sp macro="" textlink="">
      <xdr:nvSpPr>
        <xdr:cNvPr id="49" name="Caixa de Texto 20">
          <a:extLst>
            <a:ext uri="{FF2B5EF4-FFF2-40B4-BE49-F238E27FC236}">
              <a16:creationId xmlns:a16="http://schemas.microsoft.com/office/drawing/2014/main" id="{822C64CF-4FDA-19E2-B57F-506B83E5BB43}"/>
            </a:ext>
          </a:extLst>
        </xdr:cNvPr>
        <xdr:cNvSpPr txBox="1"/>
      </xdr:nvSpPr>
      <xdr:spPr>
        <a:xfrm>
          <a:off x="2207559" y="2756646"/>
          <a:ext cx="1007745" cy="269875"/>
        </a:xfrm>
        <a:prstGeom prst="rect">
          <a:avLst/>
        </a:prstGeom>
        <a:solidFill>
          <a:srgbClr val="9ED561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SUPRIMENTO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1848971</xdr:colOff>
      <xdr:row>5</xdr:row>
      <xdr:rowOff>1725705</xdr:rowOff>
    </xdr:from>
    <xdr:to>
      <xdr:col>1</xdr:col>
      <xdr:colOff>2342366</xdr:colOff>
      <xdr:row>6</xdr:row>
      <xdr:rowOff>222548</xdr:rowOff>
    </xdr:to>
    <xdr:sp macro="" textlink="">
      <xdr:nvSpPr>
        <xdr:cNvPr id="50" name="Caixa de Texto 20">
          <a:extLst>
            <a:ext uri="{FF2B5EF4-FFF2-40B4-BE49-F238E27FC236}">
              <a16:creationId xmlns:a16="http://schemas.microsoft.com/office/drawing/2014/main" id="{1B483873-5D31-440D-BBEA-E73523ED8DDA}"/>
            </a:ext>
          </a:extLst>
        </xdr:cNvPr>
        <xdr:cNvSpPr txBox="1"/>
      </xdr:nvSpPr>
      <xdr:spPr>
        <a:xfrm>
          <a:off x="2386853" y="3115234"/>
          <a:ext cx="493395" cy="30099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CFTV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493059</xdr:colOff>
      <xdr:row>6</xdr:row>
      <xdr:rowOff>0</xdr:rowOff>
    </xdr:from>
    <xdr:to>
      <xdr:col>2</xdr:col>
      <xdr:colOff>1355389</xdr:colOff>
      <xdr:row>6</xdr:row>
      <xdr:rowOff>446405</xdr:rowOff>
    </xdr:to>
    <xdr:sp macro="" textlink="">
      <xdr:nvSpPr>
        <xdr:cNvPr id="51" name="Caixa de Texto 20">
          <a:extLst>
            <a:ext uri="{FF2B5EF4-FFF2-40B4-BE49-F238E27FC236}">
              <a16:creationId xmlns:a16="http://schemas.microsoft.com/office/drawing/2014/main" id="{8A11F60C-DE77-C319-96B3-413B94CAD939}"/>
            </a:ext>
          </a:extLst>
        </xdr:cNvPr>
        <xdr:cNvSpPr txBox="1"/>
      </xdr:nvSpPr>
      <xdr:spPr>
        <a:xfrm>
          <a:off x="3742765" y="3193676"/>
          <a:ext cx="862330" cy="446405"/>
        </a:xfrm>
        <a:prstGeom prst="rect">
          <a:avLst/>
        </a:prstGeom>
        <a:solidFill>
          <a:srgbClr val="FF99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PARADAS ANUAIS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1815353</xdr:colOff>
      <xdr:row>6</xdr:row>
      <xdr:rowOff>33618</xdr:rowOff>
    </xdr:from>
    <xdr:to>
      <xdr:col>2</xdr:col>
      <xdr:colOff>2999628</xdr:colOff>
      <xdr:row>6</xdr:row>
      <xdr:rowOff>334608</xdr:rowOff>
    </xdr:to>
    <xdr:sp macro="" textlink="">
      <xdr:nvSpPr>
        <xdr:cNvPr id="52" name="Caixa de Texto 20">
          <a:extLst>
            <a:ext uri="{FF2B5EF4-FFF2-40B4-BE49-F238E27FC236}">
              <a16:creationId xmlns:a16="http://schemas.microsoft.com/office/drawing/2014/main" id="{4CC5EEE6-7A0C-6646-EBD6-D31A12CC8BB0}"/>
            </a:ext>
          </a:extLst>
        </xdr:cNvPr>
        <xdr:cNvSpPr txBox="1"/>
      </xdr:nvSpPr>
      <xdr:spPr>
        <a:xfrm>
          <a:off x="5065059" y="3227294"/>
          <a:ext cx="1184275" cy="30099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PREVENTIVAS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2229971</xdr:colOff>
      <xdr:row>6</xdr:row>
      <xdr:rowOff>750795</xdr:rowOff>
    </xdr:from>
    <xdr:to>
      <xdr:col>2</xdr:col>
      <xdr:colOff>702422</xdr:colOff>
      <xdr:row>6</xdr:row>
      <xdr:rowOff>1207995</xdr:rowOff>
    </xdr:to>
    <xdr:sp macro="" textlink="">
      <xdr:nvSpPr>
        <xdr:cNvPr id="53" name="Caixa de Texto 20">
          <a:extLst>
            <a:ext uri="{FF2B5EF4-FFF2-40B4-BE49-F238E27FC236}">
              <a16:creationId xmlns:a16="http://schemas.microsoft.com/office/drawing/2014/main" id="{BAB29015-3A4B-8D89-9DE6-EF8288F01426}"/>
            </a:ext>
          </a:extLst>
        </xdr:cNvPr>
        <xdr:cNvSpPr txBox="1"/>
      </xdr:nvSpPr>
      <xdr:spPr>
        <a:xfrm>
          <a:off x="2767853" y="3944471"/>
          <a:ext cx="1184275" cy="457200"/>
        </a:xfrm>
        <a:prstGeom prst="rect">
          <a:avLst/>
        </a:prstGeom>
        <a:solidFill>
          <a:srgbClr val="FF99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RELATÓRIOS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DE ENGENHARIA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784412</xdr:colOff>
      <xdr:row>6</xdr:row>
      <xdr:rowOff>257736</xdr:rowOff>
    </xdr:from>
    <xdr:to>
      <xdr:col>1</xdr:col>
      <xdr:colOff>1968687</xdr:colOff>
      <xdr:row>6</xdr:row>
      <xdr:rowOff>714936</xdr:rowOff>
    </xdr:to>
    <xdr:sp macro="" textlink="">
      <xdr:nvSpPr>
        <xdr:cNvPr id="54" name="Caixa de Texto 20">
          <a:extLst>
            <a:ext uri="{FF2B5EF4-FFF2-40B4-BE49-F238E27FC236}">
              <a16:creationId xmlns:a16="http://schemas.microsoft.com/office/drawing/2014/main" id="{81E92A06-60E4-4AFD-05E5-6AA9346B5D29}"/>
            </a:ext>
          </a:extLst>
        </xdr:cNvPr>
        <xdr:cNvSpPr txBox="1"/>
      </xdr:nvSpPr>
      <xdr:spPr>
        <a:xfrm>
          <a:off x="1322294" y="3451412"/>
          <a:ext cx="1184275" cy="457200"/>
        </a:xfrm>
        <a:prstGeom prst="rect">
          <a:avLst/>
        </a:prstGeom>
        <a:solidFill>
          <a:srgbClr val="FF99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ESTUDOS DE EFICIÊNCIA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403412</xdr:colOff>
      <xdr:row>5</xdr:row>
      <xdr:rowOff>414617</xdr:rowOff>
    </xdr:from>
    <xdr:to>
      <xdr:col>5</xdr:col>
      <xdr:colOff>870137</xdr:colOff>
      <xdr:row>5</xdr:row>
      <xdr:rowOff>666077</xdr:rowOff>
    </xdr:to>
    <xdr:sp macro="" textlink="">
      <xdr:nvSpPr>
        <xdr:cNvPr id="55" name="Caixa de Texto 20">
          <a:extLst>
            <a:ext uri="{FF2B5EF4-FFF2-40B4-BE49-F238E27FC236}">
              <a16:creationId xmlns:a16="http://schemas.microsoft.com/office/drawing/2014/main" id="{33B6E85D-C781-4C19-008C-E72456D514D1}"/>
            </a:ext>
          </a:extLst>
        </xdr:cNvPr>
        <xdr:cNvSpPr txBox="1"/>
      </xdr:nvSpPr>
      <xdr:spPr>
        <a:xfrm>
          <a:off x="8012206" y="1804146"/>
          <a:ext cx="466725" cy="25146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HSE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403412</xdr:colOff>
      <xdr:row>5</xdr:row>
      <xdr:rowOff>750794</xdr:rowOff>
    </xdr:from>
    <xdr:to>
      <xdr:col>5</xdr:col>
      <xdr:colOff>1411157</xdr:colOff>
      <xdr:row>5</xdr:row>
      <xdr:rowOff>1188944</xdr:rowOff>
    </xdr:to>
    <xdr:sp macro="" textlink="">
      <xdr:nvSpPr>
        <xdr:cNvPr id="56" name="Caixa de Texto 20">
          <a:extLst>
            <a:ext uri="{FF2B5EF4-FFF2-40B4-BE49-F238E27FC236}">
              <a16:creationId xmlns:a16="http://schemas.microsoft.com/office/drawing/2014/main" id="{0B813113-EB40-2760-D2E1-6326DD1200E9}"/>
            </a:ext>
          </a:extLst>
        </xdr:cNvPr>
        <xdr:cNvSpPr txBox="1"/>
      </xdr:nvSpPr>
      <xdr:spPr>
        <a:xfrm>
          <a:off x="8012206" y="2140323"/>
          <a:ext cx="1007745" cy="438150"/>
        </a:xfrm>
        <a:prstGeom prst="rect">
          <a:avLst/>
        </a:prstGeom>
        <a:solidFill>
          <a:srgbClr val="9ED561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LOGÍSTICA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VEÍCULOS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1322294</xdr:colOff>
      <xdr:row>5</xdr:row>
      <xdr:rowOff>1624853</xdr:rowOff>
    </xdr:from>
    <xdr:to>
      <xdr:col>5</xdr:col>
      <xdr:colOff>2557369</xdr:colOff>
      <xdr:row>6</xdr:row>
      <xdr:rowOff>251871</xdr:rowOff>
    </xdr:to>
    <xdr:sp macro="" textlink="">
      <xdr:nvSpPr>
        <xdr:cNvPr id="57" name="Caixa de Texto 20">
          <a:extLst>
            <a:ext uri="{FF2B5EF4-FFF2-40B4-BE49-F238E27FC236}">
              <a16:creationId xmlns:a16="http://schemas.microsoft.com/office/drawing/2014/main" id="{0B4FBFEB-E61B-2297-40E6-AD23EB34D73E}"/>
            </a:ext>
          </a:extLst>
        </xdr:cNvPr>
        <xdr:cNvSpPr txBox="1"/>
      </xdr:nvSpPr>
      <xdr:spPr>
        <a:xfrm>
          <a:off x="8931088" y="3014382"/>
          <a:ext cx="1235075" cy="431165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RH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FOLHA DE PONTO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313765</xdr:colOff>
      <xdr:row>5</xdr:row>
      <xdr:rowOff>1692088</xdr:rowOff>
    </xdr:from>
    <xdr:to>
      <xdr:col>5</xdr:col>
      <xdr:colOff>1264995</xdr:colOff>
      <xdr:row>6</xdr:row>
      <xdr:rowOff>148926</xdr:rowOff>
    </xdr:to>
    <xdr:sp macro="" textlink="">
      <xdr:nvSpPr>
        <xdr:cNvPr id="58" name="Caixa de Texto 20">
          <a:extLst>
            <a:ext uri="{FF2B5EF4-FFF2-40B4-BE49-F238E27FC236}">
              <a16:creationId xmlns:a16="http://schemas.microsoft.com/office/drawing/2014/main" id="{0DD591CC-3EA9-9589-28BC-58C80CE48E6F}"/>
            </a:ext>
          </a:extLst>
        </xdr:cNvPr>
        <xdr:cNvSpPr txBox="1"/>
      </xdr:nvSpPr>
      <xdr:spPr>
        <a:xfrm>
          <a:off x="7922559" y="3081617"/>
          <a:ext cx="951230" cy="26098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FINANCEIRO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56029</xdr:colOff>
      <xdr:row>6</xdr:row>
      <xdr:rowOff>425824</xdr:rowOff>
    </xdr:from>
    <xdr:to>
      <xdr:col>6</xdr:col>
      <xdr:colOff>1008529</xdr:colOff>
      <xdr:row>6</xdr:row>
      <xdr:rowOff>733164</xdr:rowOff>
    </xdr:to>
    <xdr:sp macro="" textlink="">
      <xdr:nvSpPr>
        <xdr:cNvPr id="59" name="Caixa de Texto 20">
          <a:extLst>
            <a:ext uri="{FF2B5EF4-FFF2-40B4-BE49-F238E27FC236}">
              <a16:creationId xmlns:a16="http://schemas.microsoft.com/office/drawing/2014/main" id="{3C4D0502-A7CA-D2D3-1DDD-DDC75096DCB7}"/>
            </a:ext>
          </a:extLst>
        </xdr:cNvPr>
        <xdr:cNvSpPr txBox="1"/>
      </xdr:nvSpPr>
      <xdr:spPr>
        <a:xfrm>
          <a:off x="10376647" y="3619500"/>
          <a:ext cx="952500" cy="30734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JURIDICO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44823</xdr:colOff>
      <xdr:row>6</xdr:row>
      <xdr:rowOff>795618</xdr:rowOff>
    </xdr:from>
    <xdr:to>
      <xdr:col>6</xdr:col>
      <xdr:colOff>1229098</xdr:colOff>
      <xdr:row>6</xdr:row>
      <xdr:rowOff>1252818</xdr:rowOff>
    </xdr:to>
    <xdr:sp macro="" textlink="">
      <xdr:nvSpPr>
        <xdr:cNvPr id="60" name="Caixa de Texto 20">
          <a:extLst>
            <a:ext uri="{FF2B5EF4-FFF2-40B4-BE49-F238E27FC236}">
              <a16:creationId xmlns:a16="http://schemas.microsoft.com/office/drawing/2014/main" id="{1ED8397E-E6DB-B2E0-2BAC-FF41DB99D02A}"/>
            </a:ext>
          </a:extLst>
        </xdr:cNvPr>
        <xdr:cNvSpPr txBox="1"/>
      </xdr:nvSpPr>
      <xdr:spPr>
        <a:xfrm>
          <a:off x="10365441" y="3989294"/>
          <a:ext cx="1184275" cy="4572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RH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/>
          <a:r>
            <a:rPr lang="pt-BR" sz="1100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RECRUTAMENTO</a:t>
          </a:r>
          <a:endParaRPr lang="pt-B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74545</xdr:colOff>
      <xdr:row>2</xdr:row>
      <xdr:rowOff>28158</xdr:rowOff>
    </xdr:from>
    <xdr:to>
      <xdr:col>9</xdr:col>
      <xdr:colOff>629479</xdr:colOff>
      <xdr:row>19</xdr:row>
      <xdr:rowOff>165651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93CC45A9-483B-438B-9C12-92F864520E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32495" y="409158"/>
              <a:ext cx="4031559" cy="33759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B50DFD-CBF3-4EB1-9A39-552A75668B95}" name="Tabela1" displayName="Tabela1" ref="B3:F52" totalsRowShown="0" headerRowDxfId="5">
  <autoFilter ref="B3:F52" xr:uid="{125BF3E1-4C64-4CAB-9287-25D8B18F5E25}"/>
  <tableColumns count="5">
    <tableColumn id="1" xr3:uid="{7C6FDAE3-930C-4C95-9055-2F1318B2CE52}" name="Nome" dataDxfId="4">
      <calculatedColumnFormula>IF(Helexia!C3="","",LEFT(Helexia!C3,FIND(" ",Helexia!C3&amp;" ")-1)
&amp;" "&amp;
LEFT(
    MID(
        Helexia!C3,
        FIND(" ",Helexia!C3)+1,
        FIND(" ",Helexia!C3&amp;" ",FIND(" ",Helexia!C3)+1)-FIND(" ",Helexia!C3)-1
    ),
1
)&amp;".")</calculatedColumnFormula>
    </tableColumn>
    <tableColumn id="2" xr3:uid="{68BF8E2F-09DB-4E84-B515-89CD085DBA99}" name="Cidade" dataDxfId="3">
      <calculatedColumnFormula>TRIM(IF(Helexia!E3="", "",
LEFT(
    Helexia!E3,
    MIN(
        IFERROR(FIND(" /",Helexia!E3),9999),
        IFERROR(FIND("'-",Helexia!E3),9999),
        IFERROR(FIND("/",Helexia!E3),9999),
        IFERROR(FIND(" '- ",Helexia!E3),9999)
    ) - 1
)))</calculatedColumnFormula>
    </tableColumn>
    <tableColumn id="5" xr3:uid="{0E4CA67B-F8E3-4EE0-9277-4B6C220B8055}" name="Estado" dataDxfId="2">
      <calculatedColumnFormula>TRIM(Helexia!F3)</calculatedColumnFormula>
    </tableColumn>
    <tableColumn id="6" xr3:uid="{B47340F8-CF21-419B-B1CE-B0BEC4D38963}" name="País" dataDxfId="1"/>
    <tableColumn id="3" xr3:uid="{6708E6C5-D70D-4D10-8192-3191376497B1}" name="Carros" dataDxfId="0">
      <calculatedColumnFormula>CONCATENATE(Helexia!J3," ",Helexia!K3)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9.emf"/><Relationship Id="rId21" Type="http://schemas.openxmlformats.org/officeDocument/2006/relationships/image" Target="../media/image10.emf"/><Relationship Id="rId34" Type="http://schemas.openxmlformats.org/officeDocument/2006/relationships/control" Target="../activeX/activeX16.xml"/><Relationship Id="rId42" Type="http://schemas.openxmlformats.org/officeDocument/2006/relationships/ctrlProp" Target="../ctrlProps/ctrlProp3.xml"/><Relationship Id="rId47" Type="http://schemas.openxmlformats.org/officeDocument/2006/relationships/ctrlProp" Target="../ctrlProps/ctrlProp8.xml"/><Relationship Id="rId50" Type="http://schemas.openxmlformats.org/officeDocument/2006/relationships/ctrlProp" Target="../ctrlProps/ctrlProp11.xml"/><Relationship Id="rId55" Type="http://schemas.openxmlformats.org/officeDocument/2006/relationships/ctrlProp" Target="../ctrlProps/ctrlProp16.x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4.emf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40" Type="http://schemas.openxmlformats.org/officeDocument/2006/relationships/ctrlProp" Target="../ctrlProps/ctrlProp1.xml"/><Relationship Id="rId45" Type="http://schemas.openxmlformats.org/officeDocument/2006/relationships/ctrlProp" Target="../ctrlProps/ctrlProp6.xml"/><Relationship Id="rId53" Type="http://schemas.openxmlformats.org/officeDocument/2006/relationships/ctrlProp" Target="../ctrlProps/ctrlProp14.xml"/><Relationship Id="rId5" Type="http://schemas.openxmlformats.org/officeDocument/2006/relationships/image" Target="../media/image2.emf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Relationship Id="rId43" Type="http://schemas.openxmlformats.org/officeDocument/2006/relationships/ctrlProp" Target="../ctrlProps/ctrlProp4.xml"/><Relationship Id="rId48" Type="http://schemas.openxmlformats.org/officeDocument/2006/relationships/ctrlProp" Target="../ctrlProps/ctrlProp9.xml"/><Relationship Id="rId56" Type="http://schemas.openxmlformats.org/officeDocument/2006/relationships/ctrlProp" Target="../ctrlProps/ctrlProp17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12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46" Type="http://schemas.openxmlformats.org/officeDocument/2006/relationships/ctrlProp" Target="../ctrlProps/ctrlProp7.xml"/><Relationship Id="rId20" Type="http://schemas.openxmlformats.org/officeDocument/2006/relationships/control" Target="../activeX/activeX9.xml"/><Relationship Id="rId41" Type="http://schemas.openxmlformats.org/officeDocument/2006/relationships/ctrlProp" Target="../ctrlProps/ctrlProp2.xml"/><Relationship Id="rId54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trlProp" Target="../ctrlProps/ctrlProp10.xml"/><Relationship Id="rId57" Type="http://schemas.openxmlformats.org/officeDocument/2006/relationships/ctrlProp" Target="../ctrlProps/ctrlProp18.xml"/><Relationship Id="rId10" Type="http://schemas.openxmlformats.org/officeDocument/2006/relationships/control" Target="../activeX/activeX4.xml"/><Relationship Id="rId31" Type="http://schemas.openxmlformats.org/officeDocument/2006/relationships/image" Target="../media/image15.emf"/><Relationship Id="rId44" Type="http://schemas.openxmlformats.org/officeDocument/2006/relationships/ctrlProp" Target="../ctrlProps/ctrlProp5.xml"/><Relationship Id="rId52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 tint="0.39997558519241921"/>
    <pageSetUpPr fitToPage="1"/>
  </sheetPr>
  <dimension ref="A1:AC45"/>
  <sheetViews>
    <sheetView view="pageBreakPreview" topLeftCell="A12" zoomScale="70" zoomScaleNormal="100" zoomScaleSheetLayoutView="70" workbookViewId="0">
      <selection activeCell="G46" sqref="G46"/>
    </sheetView>
  </sheetViews>
  <sheetFormatPr defaultRowHeight="15" x14ac:dyDescent="0.25"/>
  <cols>
    <col min="1" max="1" width="9.140625" customWidth="1"/>
    <col min="5" max="5" width="2.140625" customWidth="1"/>
    <col min="17" max="17" width="11" customWidth="1"/>
    <col min="18" max="18" width="9.140625" customWidth="1"/>
  </cols>
  <sheetData>
    <row r="1" spans="1:17" ht="15.75" customHeight="1" x14ac:dyDescent="0.25">
      <c r="A1" s="4"/>
      <c r="B1" s="4"/>
      <c r="C1" s="4"/>
      <c r="D1" s="4"/>
      <c r="E1" s="4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</row>
    <row r="2" spans="1:17" ht="15" customHeight="1" x14ac:dyDescent="0.35">
      <c r="A2" s="4"/>
      <c r="B2" s="399" t="s">
        <v>0</v>
      </c>
      <c r="C2" s="399"/>
      <c r="D2" s="399"/>
      <c r="E2" s="6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5" customHeight="1" x14ac:dyDescent="0.35">
      <c r="A3" s="4"/>
      <c r="B3" s="399"/>
      <c r="C3" s="399"/>
      <c r="D3" s="399"/>
      <c r="E3" s="6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15" customHeight="1" x14ac:dyDescent="0.35">
      <c r="A4" s="4"/>
      <c r="B4" s="399"/>
      <c r="C4" s="399"/>
      <c r="D4" s="399"/>
      <c r="E4" s="6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ht="15" customHeight="1" x14ac:dyDescent="0.35">
      <c r="A5" s="4"/>
      <c r="B5" s="399"/>
      <c r="C5" s="399"/>
      <c r="D5" s="399"/>
      <c r="E5" s="6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ht="15" customHeight="1" x14ac:dyDescent="0.4">
      <c r="A6" s="4"/>
      <c r="B6" s="4"/>
      <c r="C6" s="5"/>
      <c r="D6" s="5"/>
      <c r="E6" s="5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ht="15" customHeight="1" x14ac:dyDescent="0.35">
      <c r="A7" s="4"/>
      <c r="B7" s="6"/>
      <c r="C7" s="6"/>
      <c r="D7" s="6"/>
      <c r="E7" s="6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ht="15" customHeight="1" x14ac:dyDescent="0.25">
      <c r="A8" s="400" t="s">
        <v>1</v>
      </c>
      <c r="B8" s="400"/>
      <c r="C8" s="400"/>
      <c r="D8" s="400"/>
      <c r="E8" s="400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ht="26.25" customHeight="1" x14ac:dyDescent="0.25">
      <c r="A9" s="400"/>
      <c r="B9" s="400"/>
      <c r="C9" s="400"/>
      <c r="D9" s="400"/>
      <c r="E9" s="400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 customHeight="1" x14ac:dyDescent="0.25">
      <c r="A10" s="400"/>
      <c r="B10" s="400"/>
      <c r="C10" s="400"/>
      <c r="D10" s="400"/>
      <c r="E10" s="400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ht="15" customHeight="1" x14ac:dyDescent="0.25">
      <c r="A11" s="400"/>
      <c r="B11" s="400"/>
      <c r="C11" s="400"/>
      <c r="D11" s="400"/>
      <c r="E11" s="400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ht="15" customHeight="1" x14ac:dyDescent="0.25">
      <c r="A12" s="398" t="s">
        <v>2</v>
      </c>
      <c r="B12" s="398"/>
      <c r="C12" s="398"/>
      <c r="D12" s="398"/>
      <c r="E12" s="398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ht="15" customHeight="1" x14ac:dyDescent="0.25">
      <c r="A13" s="398"/>
      <c r="B13" s="398"/>
      <c r="C13" s="398"/>
      <c r="D13" s="398"/>
      <c r="E13" s="398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 ht="15" customHeight="1" x14ac:dyDescent="0.25">
      <c r="A14" s="4"/>
      <c r="B14" s="4"/>
      <c r="C14" s="4"/>
      <c r="D14" s="4"/>
      <c r="E14" s="4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 ht="15" customHeight="1" x14ac:dyDescent="0.25">
      <c r="A15" s="4"/>
      <c r="B15" s="4"/>
      <c r="C15" s="4"/>
      <c r="D15" s="4"/>
      <c r="E15" s="4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 ht="15" customHeight="1" x14ac:dyDescent="0.25">
      <c r="A16" s="4"/>
      <c r="B16" s="4"/>
      <c r="C16" s="4"/>
      <c r="D16" s="4"/>
      <c r="E16" s="4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29" ht="15" customHeight="1" x14ac:dyDescent="0.25">
      <c r="A17" s="4"/>
      <c r="B17" s="4"/>
      <c r="C17" s="4"/>
      <c r="D17" s="4"/>
      <c r="E17" s="4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29" ht="15" customHeight="1" x14ac:dyDescent="0.25">
      <c r="A18" s="4"/>
      <c r="B18" s="4"/>
      <c r="C18" s="4"/>
      <c r="D18" s="4"/>
      <c r="E18" s="4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29" ht="15" customHeight="1" x14ac:dyDescent="0.25">
      <c r="A19" s="4"/>
      <c r="B19" s="4"/>
      <c r="C19" s="4"/>
      <c r="D19" s="4"/>
      <c r="E19" s="4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29" ht="15" customHeight="1" x14ac:dyDescent="0.25">
      <c r="A20" s="4"/>
      <c r="B20" s="4"/>
      <c r="C20" s="4"/>
      <c r="D20" s="4"/>
      <c r="E20" s="4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29" ht="15" customHeight="1" x14ac:dyDescent="0.25">
      <c r="A21" s="4"/>
      <c r="B21" s="4"/>
      <c r="C21" s="4"/>
      <c r="D21" s="4"/>
      <c r="E21" s="4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29" ht="15" customHeight="1" x14ac:dyDescent="0.25">
      <c r="A22" s="4"/>
      <c r="B22" s="4"/>
      <c r="C22" s="4"/>
      <c r="D22" s="4"/>
      <c r="E22" s="4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29" ht="15" customHeight="1" x14ac:dyDescent="0.25">
      <c r="A23" s="4"/>
      <c r="B23" s="4"/>
      <c r="C23" s="4"/>
      <c r="D23" s="4"/>
      <c r="E23" s="4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AC23" s="1"/>
    </row>
    <row r="24" spans="1:29" ht="15" customHeight="1" x14ac:dyDescent="0.25">
      <c r="A24" s="397" t="s">
        <v>4</v>
      </c>
      <c r="B24" s="397"/>
      <c r="C24" s="8" t="s">
        <v>5</v>
      </c>
      <c r="D24" s="7"/>
      <c r="E24" s="7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29" ht="15" customHeight="1" x14ac:dyDescent="0.25">
      <c r="A25" s="397" t="s">
        <v>3</v>
      </c>
      <c r="B25" s="397"/>
      <c r="C25" s="8" t="s">
        <v>6</v>
      </c>
      <c r="D25" s="7"/>
      <c r="E25" s="7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29" ht="15" customHeight="1" x14ac:dyDescent="0.25">
      <c r="A26" s="397" t="s">
        <v>447</v>
      </c>
      <c r="B26" s="397"/>
      <c r="C26" s="8" t="s">
        <v>145</v>
      </c>
      <c r="D26" s="8"/>
      <c r="E26" s="7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29" ht="15" customHeight="1" x14ac:dyDescent="0.25">
      <c r="A27" s="7"/>
      <c r="B27" s="7"/>
      <c r="C27" s="7"/>
      <c r="D27" s="7"/>
      <c r="E27" s="7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29" ht="15" customHeight="1" x14ac:dyDescent="0.25">
      <c r="A28" s="4"/>
      <c r="B28" s="4"/>
      <c r="C28" s="4"/>
      <c r="D28" s="4"/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29" ht="15" customHeight="1" x14ac:dyDescent="0.25">
      <c r="A29" s="4"/>
      <c r="B29" s="4"/>
      <c r="C29" s="4"/>
      <c r="D29" s="4"/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29" ht="15" customHeight="1" x14ac:dyDescent="0.25">
      <c r="A30" s="4"/>
      <c r="B30" s="4"/>
      <c r="C30" s="4"/>
      <c r="D30" s="4"/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29" ht="15" customHeight="1" x14ac:dyDescent="0.25">
      <c r="A31" s="4"/>
      <c r="B31" s="4"/>
      <c r="C31" s="4"/>
      <c r="D31" s="4"/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29" ht="15" customHeight="1" x14ac:dyDescent="0.25">
      <c r="A32" s="4"/>
      <c r="B32" s="4"/>
      <c r="C32" s="4"/>
      <c r="D32" s="4"/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ht="15" customHeight="1" x14ac:dyDescent="0.25">
      <c r="A33" s="4"/>
      <c r="B33" s="4"/>
      <c r="C33" s="4"/>
      <c r="D33" s="4"/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 ht="15" customHeight="1" x14ac:dyDescent="0.25">
      <c r="A34" s="4"/>
      <c r="B34" s="4"/>
      <c r="C34" s="4"/>
      <c r="D34" s="4"/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ht="15" customHeight="1" x14ac:dyDescent="0.25">
      <c r="A35" s="4"/>
      <c r="B35" s="4"/>
      <c r="C35" s="4"/>
      <c r="D35" s="4"/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ht="15" customHeight="1" x14ac:dyDescent="0.25">
      <c r="A36" s="4"/>
      <c r="B36" s="4"/>
      <c r="C36" s="4"/>
      <c r="D36" s="4"/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ht="15" customHeight="1" x14ac:dyDescent="0.25">
      <c r="A37" s="4"/>
      <c r="B37" s="4"/>
      <c r="C37" s="4"/>
      <c r="D37" s="4"/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 ht="15" customHeight="1" x14ac:dyDescent="0.25">
      <c r="A38" s="4"/>
      <c r="B38" s="4"/>
      <c r="C38" s="4"/>
      <c r="D38" s="4"/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 ht="15" customHeight="1" x14ac:dyDescent="0.25">
      <c r="A39" s="4"/>
      <c r="B39" s="4"/>
      <c r="C39" s="4"/>
      <c r="D39" s="4"/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 ht="21.75" customHeight="1" x14ac:dyDescent="0.25">
      <c r="A40" s="4"/>
      <c r="B40" s="4"/>
      <c r="C40" s="4"/>
      <c r="D40" s="4"/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 ht="15" customHeight="1" x14ac:dyDescent="0.25">
      <c r="L41" s="87"/>
    </row>
    <row r="42" spans="1:17" ht="15" customHeight="1" x14ac:dyDescent="0.25">
      <c r="L42" s="87"/>
    </row>
    <row r="43" spans="1:17" ht="15" customHeight="1" x14ac:dyDescent="0.25">
      <c r="L43" s="87"/>
    </row>
    <row r="44" spans="1:17" ht="15" customHeight="1" x14ac:dyDescent="0.25">
      <c r="L44" s="87"/>
    </row>
    <row r="45" spans="1:17" ht="15" customHeight="1" x14ac:dyDescent="0.25">
      <c r="J45" s="260"/>
      <c r="K45" s="259"/>
      <c r="L45" s="87"/>
    </row>
  </sheetData>
  <mergeCells count="6">
    <mergeCell ref="A26:B26"/>
    <mergeCell ref="A12:E13"/>
    <mergeCell ref="A24:B24"/>
    <mergeCell ref="A25:B25"/>
    <mergeCell ref="B2:D5"/>
    <mergeCell ref="A8:E11"/>
  </mergeCells>
  <printOptions horizontalCentered="1" verticalCentered="1"/>
  <pageMargins left="0" right="0" top="0" bottom="0" header="0" footer="0"/>
  <pageSetup paperSize="9" scale="98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568EC-32D2-4322-8539-A366E67F266F}">
  <sheetPr codeName="Planilha4">
    <tabColor theme="3" tint="0.39997558519241921"/>
    <pageSetUpPr fitToPage="1"/>
  </sheetPr>
  <dimension ref="A1:AE65"/>
  <sheetViews>
    <sheetView view="pageBreakPreview" topLeftCell="A4" zoomScale="115" zoomScaleNormal="40" zoomScaleSheetLayoutView="115" workbookViewId="0">
      <selection activeCell="M19" sqref="M19"/>
    </sheetView>
  </sheetViews>
  <sheetFormatPr defaultColWidth="0" defaultRowHeight="15" customHeight="1" zeroHeight="1" x14ac:dyDescent="0.25"/>
  <cols>
    <col min="1" max="12" width="9.140625" customWidth="1"/>
    <col min="13" max="13" width="11" customWidth="1"/>
    <col min="14" max="14" width="9.140625" customWidth="1"/>
    <col min="15" max="15" width="18.42578125" customWidth="1"/>
    <col min="16" max="16" width="9.140625" customWidth="1"/>
    <col min="17" max="17" width="9.7109375" customWidth="1"/>
    <col min="18" max="18" width="9.140625" customWidth="1"/>
    <col min="19" max="19" width="11" customWidth="1"/>
    <col min="20" max="22" width="9.140625" customWidth="1"/>
    <col min="23" max="23" width="9.7109375" customWidth="1"/>
    <col min="24" max="24" width="9.140625" customWidth="1"/>
    <col min="25" max="25" width="11" customWidth="1"/>
    <col min="26" max="28" width="9.140625" customWidth="1"/>
    <col min="29" max="29" width="9.7109375" customWidth="1"/>
    <col min="30" max="30" width="9.140625" customWidth="1"/>
    <col min="31" max="31" width="11" customWidth="1"/>
    <col min="32" max="16384" width="9.140625" hidden="1"/>
  </cols>
  <sheetData>
    <row r="1" spans="1:31" ht="15" customHeight="1" x14ac:dyDescent="0.25">
      <c r="A1" s="401" t="s">
        <v>196</v>
      </c>
      <c r="B1" s="401"/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</row>
    <row r="2" spans="1:31" ht="15" customHeight="1" x14ac:dyDescent="0.25">
      <c r="A2" s="401"/>
      <c r="B2" s="401"/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  <c r="P2" s="401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ht="15" customHeight="1" x14ac:dyDescent="0.25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</row>
    <row r="4" spans="1:31" ht="15.75" customHeight="1" x14ac:dyDescent="0.25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</row>
    <row r="5" spans="1:31" ht="15.75" customHeight="1" x14ac:dyDescent="0.25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</row>
    <row r="6" spans="1:31" ht="15.75" customHeight="1" x14ac:dyDescent="0.25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</row>
    <row r="7" spans="1:31" ht="15.75" customHeight="1" x14ac:dyDescent="0.25">
      <c r="A7" s="87"/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</row>
    <row r="8" spans="1:31" ht="15.75" customHeight="1" x14ac:dyDescent="0.25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</row>
    <row r="9" spans="1:31" ht="15.75" customHeight="1" x14ac:dyDescent="0.25">
      <c r="A9" s="87"/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</row>
    <row r="10" spans="1:31" ht="15.75" customHeight="1" x14ac:dyDescent="0.25">
      <c r="A10" s="87"/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</row>
    <row r="11" spans="1:31" ht="15.75" customHeight="1" x14ac:dyDescent="0.25">
      <c r="A11" s="87"/>
      <c r="B11" s="87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</row>
    <row r="12" spans="1:31" ht="15.75" customHeight="1" x14ac:dyDescent="0.25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</row>
    <row r="13" spans="1:31" ht="15.75" customHeight="1" x14ac:dyDescent="0.25">
      <c r="A13" s="87"/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</row>
    <row r="14" spans="1:31" ht="15.75" customHeight="1" x14ac:dyDescent="0.25">
      <c r="A14" s="87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</row>
    <row r="15" spans="1:31" ht="15.75" customHeight="1" x14ac:dyDescent="0.25">
      <c r="A15" s="87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</row>
    <row r="16" spans="1:31" ht="15" customHeight="1" x14ac:dyDescent="0.25">
      <c r="A16" s="87"/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</row>
    <row r="17" spans="1:31" x14ac:dyDescent="0.25">
      <c r="A17" s="87"/>
      <c r="B17" s="87"/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</row>
    <row r="18" spans="1:31" x14ac:dyDescent="0.25">
      <c r="A18" s="87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</row>
    <row r="19" spans="1:31" x14ac:dyDescent="0.25">
      <c r="A19" s="87"/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</row>
    <row r="20" spans="1:31" x14ac:dyDescent="0.25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</row>
    <row r="21" spans="1:31" x14ac:dyDescent="0.25">
      <c r="A21" s="87"/>
      <c r="B21" s="87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</row>
    <row r="22" spans="1:31" x14ac:dyDescent="0.25">
      <c r="A22" s="87"/>
      <c r="B22" s="87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</row>
    <row r="23" spans="1:31" x14ac:dyDescent="0.25">
      <c r="A23" s="87"/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</row>
    <row r="24" spans="1:31" x14ac:dyDescent="0.2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</row>
    <row r="25" spans="1:3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</row>
    <row r="26" spans="1:31" x14ac:dyDescent="0.2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</row>
    <row r="27" spans="1:31" x14ac:dyDescent="0.2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</row>
    <row r="28" spans="1:31" x14ac:dyDescent="0.2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259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</row>
    <row r="29" spans="1:31" x14ac:dyDescent="0.2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</row>
    <row r="30" spans="1:31" x14ac:dyDescent="0.2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</row>
    <row r="31" spans="1:31" x14ac:dyDescent="0.2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</row>
    <row r="32" spans="1:31" x14ac:dyDescent="0.25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</row>
    <row r="33" spans="1:31" x14ac:dyDescent="0.25">
      <c r="A33" s="87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</row>
    <row r="34" spans="1:31" x14ac:dyDescent="0.25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E34" s="87"/>
    </row>
    <row r="35" spans="1:31" x14ac:dyDescent="0.25">
      <c r="A35" s="87"/>
      <c r="B35" s="87"/>
      <c r="C35" s="87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</row>
    <row r="36" spans="1:31" x14ac:dyDescent="0.25">
      <c r="A36" s="87"/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</row>
    <row r="37" spans="1:31" x14ac:dyDescent="0.25">
      <c r="A37" s="87"/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  <c r="AD37" s="87"/>
      <c r="AE37" s="87"/>
    </row>
    <row r="38" spans="1:31" x14ac:dyDescent="0.25">
      <c r="A38" s="87"/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</row>
    <row r="39" spans="1:31" x14ac:dyDescent="0.25">
      <c r="A39" s="87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</row>
    <row r="40" spans="1:31" x14ac:dyDescent="0.25">
      <c r="A40" s="87"/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</row>
    <row r="41" spans="1:31" x14ac:dyDescent="0.25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</row>
    <row r="42" spans="1:31" x14ac:dyDescent="0.25">
      <c r="A42" s="87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</row>
    <row r="43" spans="1:31" x14ac:dyDescent="0.25">
      <c r="A43" s="87"/>
      <c r="B43" s="87"/>
      <c r="C43" s="87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  <c r="AD43" s="87"/>
      <c r="AE43" s="87"/>
    </row>
    <row r="44" spans="1:31" x14ac:dyDescent="0.25">
      <c r="A44" s="87"/>
      <c r="B44" s="87"/>
      <c r="C44" s="87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</row>
    <row r="45" spans="1:31" x14ac:dyDescent="0.25">
      <c r="A45" s="87"/>
      <c r="B45" s="87"/>
      <c r="C45" s="87"/>
      <c r="D45" s="87"/>
      <c r="E45" s="87"/>
      <c r="F45" s="87"/>
      <c r="G45" s="87"/>
      <c r="H45" s="87"/>
      <c r="I45" s="87"/>
      <c r="J45" s="260"/>
      <c r="K45" s="259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</row>
    <row r="46" spans="1:31" x14ac:dyDescent="0.25">
      <c r="A46" s="87"/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</row>
    <row r="47" spans="1:31" x14ac:dyDescent="0.25">
      <c r="A47" s="87"/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</row>
    <row r="48" spans="1:31" x14ac:dyDescent="0.25">
      <c r="A48" s="87"/>
      <c r="B48" s="87"/>
      <c r="C48" s="87"/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</row>
    <row r="49" spans="1:31" x14ac:dyDescent="0.25">
      <c r="A49" s="87"/>
      <c r="B49" s="87"/>
      <c r="C49" s="87"/>
      <c r="D49" s="87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</row>
    <row r="50" spans="1:31" x14ac:dyDescent="0.25">
      <c r="A50" s="87"/>
      <c r="B50" s="87"/>
      <c r="C50" s="87"/>
      <c r="D50" s="87"/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</row>
    <row r="51" spans="1:31" x14ac:dyDescent="0.25">
      <c r="A51" s="87"/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</row>
    <row r="52" spans="1:31" x14ac:dyDescent="0.25">
      <c r="A52" s="87"/>
      <c r="B52" s="87"/>
      <c r="C52" s="87"/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</row>
    <row r="53" spans="1:31" x14ac:dyDescent="0.25">
      <c r="A53" s="87"/>
      <c r="B53" s="87"/>
      <c r="C53" s="87"/>
      <c r="D53" s="87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</row>
    <row r="65" x14ac:dyDescent="0.25"/>
  </sheetData>
  <mergeCells count="1">
    <mergeCell ref="A1:P2"/>
  </mergeCell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74" r:id="rId4" name="LabelResultado1">
          <controlPr defaultSize="0" autoLine="0" r:id="rId5">
            <anchor moveWithCells="1">
              <from>
                <xdr:col>1</xdr:col>
                <xdr:colOff>247650</xdr:colOff>
                <xdr:row>2</xdr:row>
                <xdr:rowOff>133350</xdr:rowOff>
              </from>
              <to>
                <xdr:col>3</xdr:col>
                <xdr:colOff>57150</xdr:colOff>
                <xdr:row>4</xdr:row>
                <xdr:rowOff>133350</xdr:rowOff>
              </to>
            </anchor>
          </controlPr>
        </control>
      </mc:Choice>
      <mc:Fallback>
        <control shapeId="3074" r:id="rId4" name="LabelResultado1"/>
      </mc:Fallback>
    </mc:AlternateContent>
    <mc:AlternateContent xmlns:mc="http://schemas.openxmlformats.org/markup-compatibility/2006">
      <mc:Choice Requires="x14">
        <control shapeId="3076" r:id="rId6" name="LabelResultado3">
          <controlPr defaultSize="0" autoLine="0" r:id="rId7">
            <anchor moveWithCells="1">
              <from>
                <xdr:col>8</xdr:col>
                <xdr:colOff>438150</xdr:colOff>
                <xdr:row>11</xdr:row>
                <xdr:rowOff>85725</xdr:rowOff>
              </from>
              <to>
                <xdr:col>10</xdr:col>
                <xdr:colOff>171450</xdr:colOff>
                <xdr:row>13</xdr:row>
                <xdr:rowOff>85725</xdr:rowOff>
              </to>
            </anchor>
          </controlPr>
        </control>
      </mc:Choice>
      <mc:Fallback>
        <control shapeId="3076" r:id="rId6" name="LabelResultado3"/>
      </mc:Fallback>
    </mc:AlternateContent>
    <mc:AlternateContent xmlns:mc="http://schemas.openxmlformats.org/markup-compatibility/2006">
      <mc:Choice Requires="x14">
        <control shapeId="3078" r:id="rId8" name="LabelResultado2">
          <controlPr defaultSize="0" autoLine="0" r:id="rId9">
            <anchor moveWithCells="1">
              <from>
                <xdr:col>6</xdr:col>
                <xdr:colOff>400050</xdr:colOff>
                <xdr:row>4</xdr:row>
                <xdr:rowOff>28575</xdr:rowOff>
              </from>
              <to>
                <xdr:col>8</xdr:col>
                <xdr:colOff>266700</xdr:colOff>
                <xdr:row>7</xdr:row>
                <xdr:rowOff>66675</xdr:rowOff>
              </to>
            </anchor>
          </controlPr>
        </control>
      </mc:Choice>
      <mc:Fallback>
        <control shapeId="3078" r:id="rId8" name="LabelResultado2"/>
      </mc:Fallback>
    </mc:AlternateContent>
    <mc:AlternateContent xmlns:mc="http://schemas.openxmlformats.org/markup-compatibility/2006">
      <mc:Choice Requires="x14">
        <control shapeId="3080" r:id="rId10" name="LabelResultado5">
          <controlPr defaultSize="0" autoLine="0" r:id="rId11">
            <anchor moveWithCells="1">
              <from>
                <xdr:col>7</xdr:col>
                <xdr:colOff>447675</xdr:colOff>
                <xdr:row>23</xdr:row>
                <xdr:rowOff>19050</xdr:rowOff>
              </from>
              <to>
                <xdr:col>9</xdr:col>
                <xdr:colOff>161925</xdr:colOff>
                <xdr:row>28</xdr:row>
                <xdr:rowOff>114300</xdr:rowOff>
              </to>
            </anchor>
          </controlPr>
        </control>
      </mc:Choice>
      <mc:Fallback>
        <control shapeId="3080" r:id="rId10" name="LabelResultado5"/>
      </mc:Fallback>
    </mc:AlternateContent>
    <mc:AlternateContent xmlns:mc="http://schemas.openxmlformats.org/markup-compatibility/2006">
      <mc:Choice Requires="x14">
        <control shapeId="3082" r:id="rId12" name="LabelResultado6">
          <controlPr defaultSize="0" autoLine="0" r:id="rId13">
            <anchor moveWithCells="1">
              <from>
                <xdr:col>5</xdr:col>
                <xdr:colOff>76200</xdr:colOff>
                <xdr:row>27</xdr:row>
                <xdr:rowOff>95250</xdr:rowOff>
              </from>
              <to>
                <xdr:col>6</xdr:col>
                <xdr:colOff>200025</xdr:colOff>
                <xdr:row>31</xdr:row>
                <xdr:rowOff>152400</xdr:rowOff>
              </to>
            </anchor>
          </controlPr>
        </control>
      </mc:Choice>
      <mc:Fallback>
        <control shapeId="3082" r:id="rId12" name="LabelResultado6"/>
      </mc:Fallback>
    </mc:AlternateContent>
    <mc:AlternateContent xmlns:mc="http://schemas.openxmlformats.org/markup-compatibility/2006">
      <mc:Choice Requires="x14">
        <control shapeId="3084" r:id="rId14" name="LabelResultado4">
          <controlPr defaultSize="0" autoLine="0" r:id="rId15">
            <anchor moveWithCells="1">
              <from>
                <xdr:col>8</xdr:col>
                <xdr:colOff>28575</xdr:colOff>
                <xdr:row>16</xdr:row>
                <xdr:rowOff>95250</xdr:rowOff>
              </from>
              <to>
                <xdr:col>9</xdr:col>
                <xdr:colOff>323850</xdr:colOff>
                <xdr:row>19</xdr:row>
                <xdr:rowOff>171450</xdr:rowOff>
              </to>
            </anchor>
          </controlPr>
        </control>
      </mc:Choice>
      <mc:Fallback>
        <control shapeId="3084" r:id="rId14" name="LabelResultado4"/>
      </mc:Fallback>
    </mc:AlternateContent>
    <mc:AlternateContent xmlns:mc="http://schemas.openxmlformats.org/markup-compatibility/2006">
      <mc:Choice Requires="x14">
        <control shapeId="3086" r:id="rId16" name="LabelResultado8">
          <controlPr defaultSize="0" autoLine="0" r:id="rId17">
            <anchor moveWithCells="1">
              <from>
                <xdr:col>0</xdr:col>
                <xdr:colOff>457200</xdr:colOff>
                <xdr:row>22</xdr:row>
                <xdr:rowOff>171450</xdr:rowOff>
              </from>
              <to>
                <xdr:col>2</xdr:col>
                <xdr:colOff>228600</xdr:colOff>
                <xdr:row>26</xdr:row>
                <xdr:rowOff>95250</xdr:rowOff>
              </to>
            </anchor>
          </controlPr>
        </control>
      </mc:Choice>
      <mc:Fallback>
        <control shapeId="3086" r:id="rId16" name="LabelResultado8"/>
      </mc:Fallback>
    </mc:AlternateContent>
    <mc:AlternateContent xmlns:mc="http://schemas.openxmlformats.org/markup-compatibility/2006">
      <mc:Choice Requires="x14">
        <control shapeId="3088" r:id="rId18" name="LabelResultado9">
          <controlPr defaultSize="0" autoLine="0" r:id="rId19">
            <anchor moveWithCells="1">
              <from>
                <xdr:col>0</xdr:col>
                <xdr:colOff>590550</xdr:colOff>
                <xdr:row>18</xdr:row>
                <xdr:rowOff>66675</xdr:rowOff>
              </from>
              <to>
                <xdr:col>2</xdr:col>
                <xdr:colOff>209550</xdr:colOff>
                <xdr:row>19</xdr:row>
                <xdr:rowOff>171450</xdr:rowOff>
              </to>
            </anchor>
          </controlPr>
        </control>
      </mc:Choice>
      <mc:Fallback>
        <control shapeId="3088" r:id="rId18" name="LabelResultado9"/>
      </mc:Fallback>
    </mc:AlternateContent>
    <mc:AlternateContent xmlns:mc="http://schemas.openxmlformats.org/markup-compatibility/2006">
      <mc:Choice Requires="x14">
        <control shapeId="3090" r:id="rId20" name="LabelResultado7">
          <controlPr defaultSize="0" autoLine="0" r:id="rId21">
            <anchor moveWithCells="1">
              <from>
                <xdr:col>2</xdr:col>
                <xdr:colOff>266700</xdr:colOff>
                <xdr:row>30</xdr:row>
                <xdr:rowOff>123825</xdr:rowOff>
              </from>
              <to>
                <xdr:col>3</xdr:col>
                <xdr:colOff>438150</xdr:colOff>
                <xdr:row>33</xdr:row>
                <xdr:rowOff>76200</xdr:rowOff>
              </to>
            </anchor>
          </controlPr>
        </control>
      </mc:Choice>
      <mc:Fallback>
        <control shapeId="3090" r:id="rId20" name="LabelResultado7"/>
      </mc:Fallback>
    </mc:AlternateContent>
    <mc:AlternateContent xmlns:mc="http://schemas.openxmlformats.org/markup-compatibility/2006">
      <mc:Choice Requires="x14">
        <control shapeId="3091" r:id="rId22" name="AtualizarArt1">
          <controlPr defaultSize="0" autoLine="0" r:id="rId23">
            <anchor moveWithCells="1">
              <from>
                <xdr:col>1</xdr:col>
                <xdr:colOff>247650</xdr:colOff>
                <xdr:row>4</xdr:row>
                <xdr:rowOff>152400</xdr:rowOff>
              </from>
              <to>
                <xdr:col>3</xdr:col>
                <xdr:colOff>57150</xdr:colOff>
                <xdr:row>6</xdr:row>
                <xdr:rowOff>95250</xdr:rowOff>
              </to>
            </anchor>
          </controlPr>
        </control>
      </mc:Choice>
      <mc:Fallback>
        <control shapeId="3091" r:id="rId22" name="AtualizarArt1"/>
      </mc:Fallback>
    </mc:AlternateContent>
    <mc:AlternateContent xmlns:mc="http://schemas.openxmlformats.org/markup-compatibility/2006">
      <mc:Choice Requires="x14">
        <control shapeId="3093" r:id="rId24" name="AtualizarArt2">
          <controlPr defaultSize="0" autoLine="0" r:id="rId25">
            <anchor moveWithCells="1">
              <from>
                <xdr:col>6</xdr:col>
                <xdr:colOff>419100</xdr:colOff>
                <xdr:row>7</xdr:row>
                <xdr:rowOff>95250</xdr:rowOff>
              </from>
              <to>
                <xdr:col>8</xdr:col>
                <xdr:colOff>276225</xdr:colOff>
                <xdr:row>9</xdr:row>
                <xdr:rowOff>104775</xdr:rowOff>
              </to>
            </anchor>
          </controlPr>
        </control>
      </mc:Choice>
      <mc:Fallback>
        <control shapeId="3093" r:id="rId24" name="AtualizarArt2"/>
      </mc:Fallback>
    </mc:AlternateContent>
    <mc:AlternateContent xmlns:mc="http://schemas.openxmlformats.org/markup-compatibility/2006">
      <mc:Choice Requires="x14">
        <control shapeId="3263" r:id="rId26" name="AtualizarArt3">
          <controlPr defaultSize="0" autoLine="0" r:id="rId27">
            <anchor moveWithCells="1">
              <from>
                <xdr:col>8</xdr:col>
                <xdr:colOff>438150</xdr:colOff>
                <xdr:row>13</xdr:row>
                <xdr:rowOff>95250</xdr:rowOff>
              </from>
              <to>
                <xdr:col>10</xdr:col>
                <xdr:colOff>161925</xdr:colOff>
                <xdr:row>15</xdr:row>
                <xdr:rowOff>95250</xdr:rowOff>
              </to>
            </anchor>
          </controlPr>
        </control>
      </mc:Choice>
      <mc:Fallback>
        <control shapeId="3263" r:id="rId26" name="AtualizarArt3"/>
      </mc:Fallback>
    </mc:AlternateContent>
    <mc:AlternateContent xmlns:mc="http://schemas.openxmlformats.org/markup-compatibility/2006">
      <mc:Choice Requires="x14">
        <control shapeId="3266" r:id="rId28" name="AtualizarArt4">
          <controlPr defaultSize="0" autoLine="0" r:id="rId29">
            <anchor moveWithCells="1">
              <from>
                <xdr:col>8</xdr:col>
                <xdr:colOff>9525</xdr:colOff>
                <xdr:row>20</xdr:row>
                <xdr:rowOff>9525</xdr:rowOff>
              </from>
              <to>
                <xdr:col>9</xdr:col>
                <xdr:colOff>323850</xdr:colOff>
                <xdr:row>22</xdr:row>
                <xdr:rowOff>95250</xdr:rowOff>
              </to>
            </anchor>
          </controlPr>
        </control>
      </mc:Choice>
      <mc:Fallback>
        <control shapeId="3266" r:id="rId28" name="AtualizarArt4"/>
      </mc:Fallback>
    </mc:AlternateContent>
    <mc:AlternateContent xmlns:mc="http://schemas.openxmlformats.org/markup-compatibility/2006">
      <mc:Choice Requires="x14">
        <control shapeId="3267" r:id="rId30" name="AtualizarArt5">
          <controlPr defaultSize="0" autoLine="0" r:id="rId31">
            <anchor moveWithCells="1">
              <from>
                <xdr:col>7</xdr:col>
                <xdr:colOff>447675</xdr:colOff>
                <xdr:row>28</xdr:row>
                <xdr:rowOff>123825</xdr:rowOff>
              </from>
              <to>
                <xdr:col>9</xdr:col>
                <xdr:colOff>161925</xdr:colOff>
                <xdr:row>32</xdr:row>
                <xdr:rowOff>161925</xdr:rowOff>
              </to>
            </anchor>
          </controlPr>
        </control>
      </mc:Choice>
      <mc:Fallback>
        <control shapeId="3267" r:id="rId30" name="AtualizarArt5"/>
      </mc:Fallback>
    </mc:AlternateContent>
    <mc:AlternateContent xmlns:mc="http://schemas.openxmlformats.org/markup-compatibility/2006">
      <mc:Choice Requires="x14">
        <control shapeId="3268" r:id="rId32" name="AtualizarArt6">
          <controlPr defaultSize="0" autoLine="0" autoPict="0" r:id="rId33">
            <anchor moveWithCells="1">
              <from>
                <xdr:col>5</xdr:col>
                <xdr:colOff>85725</xdr:colOff>
                <xdr:row>31</xdr:row>
                <xdr:rowOff>161925</xdr:rowOff>
              </from>
              <to>
                <xdr:col>6</xdr:col>
                <xdr:colOff>209550</xdr:colOff>
                <xdr:row>34</xdr:row>
                <xdr:rowOff>171450</xdr:rowOff>
              </to>
            </anchor>
          </controlPr>
        </control>
      </mc:Choice>
      <mc:Fallback>
        <control shapeId="3268" r:id="rId32" name="AtualizarArt6"/>
      </mc:Fallback>
    </mc:AlternateContent>
    <mc:AlternateContent xmlns:mc="http://schemas.openxmlformats.org/markup-compatibility/2006">
      <mc:Choice Requires="x14">
        <control shapeId="3269" r:id="rId34" name="AtualizarArt7">
          <controlPr defaultSize="0" autoLine="0" autoPict="0" r:id="rId35">
            <anchor moveWithCells="1">
              <from>
                <xdr:col>2</xdr:col>
                <xdr:colOff>266700</xdr:colOff>
                <xdr:row>33</xdr:row>
                <xdr:rowOff>85725</xdr:rowOff>
              </from>
              <to>
                <xdr:col>3</xdr:col>
                <xdr:colOff>428625</xdr:colOff>
                <xdr:row>36</xdr:row>
                <xdr:rowOff>66675</xdr:rowOff>
              </to>
            </anchor>
          </controlPr>
        </control>
      </mc:Choice>
      <mc:Fallback>
        <control shapeId="3269" r:id="rId34" name="AtualizarArt7"/>
      </mc:Fallback>
    </mc:AlternateContent>
    <mc:AlternateContent xmlns:mc="http://schemas.openxmlformats.org/markup-compatibility/2006">
      <mc:Choice Requires="x14">
        <control shapeId="3270" r:id="rId36" name="AtualizarArt8">
          <controlPr defaultSize="0" autoLine="0" autoPict="0" r:id="rId37">
            <anchor moveWithCells="1">
              <from>
                <xdr:col>0</xdr:col>
                <xdr:colOff>447675</xdr:colOff>
                <xdr:row>26</xdr:row>
                <xdr:rowOff>123825</xdr:rowOff>
              </from>
              <to>
                <xdr:col>2</xdr:col>
                <xdr:colOff>104775</xdr:colOff>
                <xdr:row>28</xdr:row>
                <xdr:rowOff>142875</xdr:rowOff>
              </to>
            </anchor>
          </controlPr>
        </control>
      </mc:Choice>
      <mc:Fallback>
        <control shapeId="3270" r:id="rId36" name="AtualizarArt8"/>
      </mc:Fallback>
    </mc:AlternateContent>
    <mc:AlternateContent xmlns:mc="http://schemas.openxmlformats.org/markup-compatibility/2006">
      <mc:Choice Requires="x14">
        <control shapeId="3271" r:id="rId38" name="AtualizarArt9">
          <controlPr defaultSize="0" autoLine="0" r:id="rId39">
            <anchor moveWithCells="1">
              <from>
                <xdr:col>0</xdr:col>
                <xdr:colOff>600075</xdr:colOff>
                <xdr:row>19</xdr:row>
                <xdr:rowOff>171450</xdr:rowOff>
              </from>
              <to>
                <xdr:col>2</xdr:col>
                <xdr:colOff>209550</xdr:colOff>
                <xdr:row>21</xdr:row>
                <xdr:rowOff>161925</xdr:rowOff>
              </to>
            </anchor>
          </controlPr>
        </control>
      </mc:Choice>
      <mc:Fallback>
        <control shapeId="3271" r:id="rId38" name="AtualizarArt9"/>
      </mc:Fallback>
    </mc:AlternateContent>
    <mc:AlternateContent xmlns:mc="http://schemas.openxmlformats.org/markup-compatibility/2006">
      <mc:Choice Requires="x14">
        <control shapeId="3073" r:id="rId40" name="Button 1">
          <controlPr defaultSize="0" autoFill="0" autoPict="0" macro="[0]!AtualizarLabelPorEstado1">
            <anchor moveWithCells="1" sizeWithCells="1">
              <from>
                <xdr:col>3</xdr:col>
                <xdr:colOff>190500</xdr:colOff>
                <xdr:row>3</xdr:row>
                <xdr:rowOff>95250</xdr:rowOff>
              </from>
              <to>
                <xdr:col>3</xdr:col>
                <xdr:colOff>361950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41" name="Button 3">
          <controlPr defaultSize="0" autoFill="0" autoPict="0" macro="[0]!AtualizarLabelPorEstado3">
            <anchor moveWithCells="1" sizeWithCells="1">
              <from>
                <xdr:col>7</xdr:col>
                <xdr:colOff>457200</xdr:colOff>
                <xdr:row>11</xdr:row>
                <xdr:rowOff>171450</xdr:rowOff>
              </from>
              <to>
                <xdr:col>8</xdr:col>
                <xdr:colOff>19050</xdr:colOff>
                <xdr:row>12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42" name="Button 5">
          <controlPr defaultSize="0" autoFill="0" autoPict="0" macro="[0]!AtualizarLabelPorEstado2">
            <anchor moveWithCells="1" sizeWithCells="1">
              <from>
                <xdr:col>8</xdr:col>
                <xdr:colOff>466725</xdr:colOff>
                <xdr:row>5</xdr:row>
                <xdr:rowOff>28575</xdr:rowOff>
              </from>
              <to>
                <xdr:col>9</xdr:col>
                <xdr:colOff>47625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43" name="Button 7">
          <controlPr defaultSize="0" autoFill="0" autoPict="0" macro="[0]!AtualizarLabelPorEstado5">
            <anchor moveWithCells="1" sizeWithCells="1">
              <from>
                <xdr:col>9</xdr:col>
                <xdr:colOff>352425</xdr:colOff>
                <xdr:row>24</xdr:row>
                <xdr:rowOff>133350</xdr:rowOff>
              </from>
              <to>
                <xdr:col>9</xdr:col>
                <xdr:colOff>514350</xdr:colOff>
                <xdr:row>25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44" name="Button 9">
          <controlPr defaultSize="0" autoFill="0" autoPict="0" macro="[0]!AtualizarLabelPorEstado6">
            <anchor moveWithCells="1" sizeWithCells="1">
              <from>
                <xdr:col>6</xdr:col>
                <xdr:colOff>552450</xdr:colOff>
                <xdr:row>28</xdr:row>
                <xdr:rowOff>142875</xdr:rowOff>
              </from>
              <to>
                <xdr:col>7</xdr:col>
                <xdr:colOff>95250</xdr:colOff>
                <xdr:row>29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45" name="Button 11">
          <controlPr defaultSize="0" autoFill="0" autoPict="0" macro="[0]!AtualizarLabelPorEstado4">
            <anchor moveWithCells="1" sizeWithCells="1">
              <from>
                <xdr:col>9</xdr:col>
                <xdr:colOff>457200</xdr:colOff>
                <xdr:row>17</xdr:row>
                <xdr:rowOff>57150</xdr:rowOff>
              </from>
              <to>
                <xdr:col>9</xdr:col>
                <xdr:colOff>600075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46" name="Button 13">
          <controlPr defaultSize="0" autoFill="0" autoPict="0" macro="[0]!AtualizarLabelPorEstado8">
            <anchor moveWithCells="1" sizeWithCells="1">
              <from>
                <xdr:col>0</xdr:col>
                <xdr:colOff>95250</xdr:colOff>
                <xdr:row>23</xdr:row>
                <xdr:rowOff>104775</xdr:rowOff>
              </from>
              <to>
                <xdr:col>0</xdr:col>
                <xdr:colOff>228600</xdr:colOff>
                <xdr:row>24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47" name="Button 15">
          <controlPr defaultSize="0" autoFill="0" autoPict="0" macro="[0]!AtualizarLabelPorEstado9">
            <anchor moveWithCells="1" sizeWithCells="1">
              <from>
                <xdr:col>0</xdr:col>
                <xdr:colOff>180975</xdr:colOff>
                <xdr:row>18</xdr:row>
                <xdr:rowOff>161925</xdr:rowOff>
              </from>
              <to>
                <xdr:col>0</xdr:col>
                <xdr:colOff>323850</xdr:colOff>
                <xdr:row>19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48" name="Button 17">
          <controlPr defaultSize="0" autoFill="0" autoPict="0" macro="[0]!AtualizarLabelPorEstado7">
            <anchor moveWithCells="1" sizeWithCells="1">
              <from>
                <xdr:col>1</xdr:col>
                <xdr:colOff>523875</xdr:colOff>
                <xdr:row>31</xdr:row>
                <xdr:rowOff>95250</xdr:rowOff>
              </from>
              <to>
                <xdr:col>2</xdr:col>
                <xdr:colOff>38100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49" name="Button 20">
          <controlPr defaultSize="0" autoFill="0" autoPict="0" macro="[0]!AtualizarArt1">
            <anchor moveWithCells="1" sizeWithCells="1">
              <from>
                <xdr:col>3</xdr:col>
                <xdr:colOff>190500</xdr:colOff>
                <xdr:row>5</xdr:row>
                <xdr:rowOff>9525</xdr:rowOff>
              </from>
              <to>
                <xdr:col>3</xdr:col>
                <xdr:colOff>371475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50" name="Button 22">
          <controlPr defaultSize="0" autoFill="0" autoPict="0" macro="[0]!AtualizarArt2">
            <anchor moveWithCells="1" sizeWithCells="1">
              <from>
                <xdr:col>8</xdr:col>
                <xdr:colOff>476250</xdr:colOff>
                <xdr:row>7</xdr:row>
                <xdr:rowOff>171450</xdr:rowOff>
              </from>
              <to>
                <xdr:col>9</xdr:col>
                <xdr:colOff>57150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2" r:id="rId51" name="Button 200">
          <controlPr defaultSize="0" autoFill="0" autoPict="0" macro="[0]!AtualizarArt7">
            <anchor moveWithCells="1" sizeWithCells="1">
              <from>
                <xdr:col>1</xdr:col>
                <xdr:colOff>514350</xdr:colOff>
                <xdr:row>33</xdr:row>
                <xdr:rowOff>133350</xdr:rowOff>
              </from>
              <to>
                <xdr:col>2</xdr:col>
                <xdr:colOff>28575</xdr:colOff>
                <xdr:row>34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3" r:id="rId52" name="Button 201">
          <controlPr defaultSize="0" autoFill="0" autoPict="0" macro="[0]!AtualizarArt6">
            <anchor moveWithCells="1" sizeWithCells="1">
              <from>
                <xdr:col>6</xdr:col>
                <xdr:colOff>561975</xdr:colOff>
                <xdr:row>32</xdr:row>
                <xdr:rowOff>9525</xdr:rowOff>
              </from>
              <to>
                <xdr:col>7</xdr:col>
                <xdr:colOff>104775</xdr:colOff>
                <xdr:row>32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5" r:id="rId53" name="Button 203">
          <controlPr defaultSize="0" autoFill="0" autoPict="0" macro="[0]!AtualizarArt4">
            <anchor moveWithCells="1" sizeWithCells="1">
              <from>
                <xdr:col>9</xdr:col>
                <xdr:colOff>447675</xdr:colOff>
                <xdr:row>20</xdr:row>
                <xdr:rowOff>95250</xdr:rowOff>
              </from>
              <to>
                <xdr:col>9</xdr:col>
                <xdr:colOff>581025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6" r:id="rId54" name="Button 204">
          <controlPr defaultSize="0" autoFill="0" autoPict="0" macro="[0]!AtualizarArt3">
            <anchor moveWithCells="1" sizeWithCells="1">
              <from>
                <xdr:col>7</xdr:col>
                <xdr:colOff>466725</xdr:colOff>
                <xdr:row>14</xdr:row>
                <xdr:rowOff>0</xdr:rowOff>
              </from>
              <to>
                <xdr:col>8</xdr:col>
                <xdr:colOff>19050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7" r:id="rId55" name="Button 205">
          <controlPr defaultSize="0" autoFill="0" autoPict="0" macro="[0]!AtualizarArt8">
            <anchor moveWithCells="1" sizeWithCells="1">
              <from>
                <xdr:col>0</xdr:col>
                <xdr:colOff>85725</xdr:colOff>
                <xdr:row>26</xdr:row>
                <xdr:rowOff>161925</xdr:rowOff>
              </from>
              <to>
                <xdr:col>0</xdr:col>
                <xdr:colOff>209550</xdr:colOff>
                <xdr:row>27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78" r:id="rId56" name="Button 206">
          <controlPr defaultSize="0" autoFill="0" autoPict="0" macro="[0]!AtualizarArt9">
            <anchor moveWithCells="1" sizeWithCells="1">
              <from>
                <xdr:col>0</xdr:col>
                <xdr:colOff>200025</xdr:colOff>
                <xdr:row>20</xdr:row>
                <xdr:rowOff>76200</xdr:rowOff>
              </from>
              <to>
                <xdr:col>0</xdr:col>
                <xdr:colOff>323850</xdr:colOff>
                <xdr:row>21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95" r:id="rId57" name="Button 223">
          <controlPr defaultSize="0" autoFill="0" autoPict="0" macro="[0]!AtualizarArt5">
            <anchor moveWithCells="1" sizeWithCells="1">
              <from>
                <xdr:col>9</xdr:col>
                <xdr:colOff>361950</xdr:colOff>
                <xdr:row>28</xdr:row>
                <xdr:rowOff>85725</xdr:rowOff>
              </from>
              <to>
                <xdr:col>9</xdr:col>
                <xdr:colOff>495300</xdr:colOff>
                <xdr:row>29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50396-7D93-4E8E-AF2D-0B23530D2333}">
  <sheetPr codeName="Planilha3">
    <tabColor theme="3" tint="0.39997558519241921"/>
    <pageSetUpPr fitToPage="1"/>
  </sheetPr>
  <dimension ref="A1:AE81"/>
  <sheetViews>
    <sheetView showGridLines="0" view="pageBreakPreview" topLeftCell="C64" zoomScale="55" zoomScaleNormal="25" zoomScaleSheetLayoutView="55" workbookViewId="0">
      <selection activeCell="K84" sqref="K84"/>
    </sheetView>
  </sheetViews>
  <sheetFormatPr defaultRowHeight="15" x14ac:dyDescent="0.25"/>
  <cols>
    <col min="1" max="1" width="5" customWidth="1"/>
    <col min="2" max="2" width="38.5703125" style="86" bestFit="1" customWidth="1"/>
    <col min="3" max="3" width="40" customWidth="1"/>
    <col min="4" max="4" width="26.140625" customWidth="1"/>
    <col min="5" max="5" width="23" style="86" customWidth="1"/>
    <col min="6" max="6" width="14.140625" customWidth="1"/>
    <col min="7" max="7" width="21.5703125" customWidth="1"/>
    <col min="8" max="8" width="17.28515625" customWidth="1"/>
    <col min="9" max="9" width="22.7109375" customWidth="1"/>
    <col min="10" max="10" width="25.28515625" customWidth="1"/>
    <col min="11" max="11" width="37.28515625" customWidth="1"/>
    <col min="12" max="13" width="26.5703125" customWidth="1"/>
    <col min="14" max="14" width="40.7109375" style="105" customWidth="1"/>
    <col min="15" max="15" width="5.42578125" customWidth="1"/>
    <col min="17" max="17" width="6.85546875" customWidth="1"/>
    <col min="18" max="18" width="16.7109375" bestFit="1" customWidth="1"/>
    <col min="19" max="19" width="17.7109375" bestFit="1" customWidth="1"/>
    <col min="20" max="20" width="6.5703125" customWidth="1"/>
    <col min="21" max="31" width="4.7109375" customWidth="1"/>
  </cols>
  <sheetData>
    <row r="1" spans="1:18" ht="107.25" customHeight="1" x14ac:dyDescent="0.25">
      <c r="A1" s="1"/>
      <c r="B1" s="251"/>
      <c r="C1" s="433" t="s">
        <v>95</v>
      </c>
      <c r="D1" s="433"/>
      <c r="E1" s="433"/>
      <c r="F1" s="433"/>
      <c r="G1" s="433"/>
      <c r="H1" s="433"/>
      <c r="I1" s="433"/>
      <c r="J1" s="433"/>
      <c r="K1" s="433"/>
      <c r="L1" s="433"/>
      <c r="M1" s="433"/>
      <c r="N1" s="433"/>
    </row>
    <row r="2" spans="1:18" ht="39" customHeight="1" x14ac:dyDescent="0.25">
      <c r="A2" s="1"/>
      <c r="B2" s="50" t="s">
        <v>397</v>
      </c>
      <c r="C2" s="48" t="s">
        <v>96</v>
      </c>
      <c r="D2" s="49" t="s">
        <v>97</v>
      </c>
      <c r="E2" s="50" t="s">
        <v>98</v>
      </c>
      <c r="F2" s="48" t="s">
        <v>99</v>
      </c>
      <c r="G2" s="48" t="s">
        <v>100</v>
      </c>
      <c r="H2" s="48" t="s">
        <v>248</v>
      </c>
      <c r="I2" s="192" t="s">
        <v>101</v>
      </c>
      <c r="J2" s="48" t="s">
        <v>102</v>
      </c>
      <c r="K2" s="48" t="s">
        <v>103</v>
      </c>
      <c r="L2" s="51" t="s">
        <v>104</v>
      </c>
      <c r="M2" s="51" t="s">
        <v>430</v>
      </c>
      <c r="N2" s="51" t="s">
        <v>405</v>
      </c>
    </row>
    <row r="3" spans="1:18" ht="33" customHeight="1" x14ac:dyDescent="0.25">
      <c r="A3" s="1"/>
      <c r="B3" s="52" t="s">
        <v>105</v>
      </c>
      <c r="C3" s="52" t="s">
        <v>448</v>
      </c>
      <c r="D3" s="53" t="s">
        <v>106</v>
      </c>
      <c r="E3" s="54" t="s">
        <v>107</v>
      </c>
      <c r="F3" s="55" t="str">
        <f t="shared" ref="F3:F23" si="0">RIGHT(E3,2)</f>
        <v>RN</v>
      </c>
      <c r="G3" s="56" t="s">
        <v>108</v>
      </c>
      <c r="H3" s="185">
        <v>44980</v>
      </c>
      <c r="I3" s="55">
        <f>IF(Salários!C3="CLT", Salários!A3, IF(Salários!C3="PJ", Salários!D3, Salários!D3))</f>
        <v>9572.7075514200187</v>
      </c>
      <c r="J3" s="55"/>
      <c r="K3" s="57"/>
      <c r="L3" s="55"/>
      <c r="M3" s="55"/>
      <c r="N3" s="283"/>
    </row>
    <row r="4" spans="1:18" ht="33" customHeight="1" x14ac:dyDescent="0.25">
      <c r="A4" s="1"/>
      <c r="B4" s="52" t="s">
        <v>110</v>
      </c>
      <c r="C4" s="52" t="s">
        <v>449</v>
      </c>
      <c r="D4" s="53" t="s">
        <v>106</v>
      </c>
      <c r="E4" s="54" t="s">
        <v>111</v>
      </c>
      <c r="F4" s="55" t="str">
        <f t="shared" si="0"/>
        <v>CE</v>
      </c>
      <c r="G4" s="56" t="s">
        <v>108</v>
      </c>
      <c r="H4" s="185">
        <v>45300</v>
      </c>
      <c r="I4" s="55">
        <f>IF(Salários!C4="CLT", Salários!A4, IF(Salários!C4="PJ", Salários!D4, Salários!D4))</f>
        <v>10333.626741802002</v>
      </c>
      <c r="J4" s="55" t="s">
        <v>112</v>
      </c>
      <c r="K4" s="55" t="s">
        <v>399</v>
      </c>
      <c r="L4" s="55">
        <v>2883.89</v>
      </c>
      <c r="M4" s="55" t="s">
        <v>431</v>
      </c>
      <c r="N4" s="283"/>
    </row>
    <row r="5" spans="1:18" ht="33" customHeight="1" x14ac:dyDescent="0.25">
      <c r="A5" s="1"/>
      <c r="B5" s="52" t="s">
        <v>115</v>
      </c>
      <c r="C5" s="52" t="s">
        <v>450</v>
      </c>
      <c r="D5" s="53" t="s">
        <v>106</v>
      </c>
      <c r="E5" s="54" t="s">
        <v>116</v>
      </c>
      <c r="F5" s="55" t="str">
        <f t="shared" si="0"/>
        <v>MS</v>
      </c>
      <c r="G5" s="56" t="s">
        <v>108</v>
      </c>
      <c r="H5" s="185">
        <v>45736</v>
      </c>
      <c r="I5" s="55">
        <f>IF(Salários!C5="CLT", Salários!A5, IF(Salários!C5="PJ", Salários!D5, Salários!D5))</f>
        <v>12490.488575678122</v>
      </c>
      <c r="J5" s="55" t="s">
        <v>112</v>
      </c>
      <c r="K5" s="55" t="s">
        <v>399</v>
      </c>
      <c r="L5" s="55">
        <v>2883.89</v>
      </c>
      <c r="M5" s="55" t="s">
        <v>431</v>
      </c>
      <c r="N5" s="283"/>
      <c r="R5" s="58"/>
    </row>
    <row r="6" spans="1:18" ht="33" customHeight="1" x14ac:dyDescent="0.25">
      <c r="A6" s="1"/>
      <c r="B6" s="52" t="s">
        <v>117</v>
      </c>
      <c r="C6" s="52" t="s">
        <v>451</v>
      </c>
      <c r="D6" s="53" t="s">
        <v>106</v>
      </c>
      <c r="E6" s="54" t="s">
        <v>118</v>
      </c>
      <c r="F6" s="55" t="str">
        <f t="shared" si="0"/>
        <v>SP</v>
      </c>
      <c r="G6" s="56" t="s">
        <v>108</v>
      </c>
      <c r="H6" s="185">
        <v>45444</v>
      </c>
      <c r="I6" s="55">
        <f>IF(Salários!C6="CLT", Salários!A6, IF(Salários!C6="PJ", Salários!D6, Salários!D6))</f>
        <v>12490.488575678122</v>
      </c>
      <c r="J6" s="55" t="s">
        <v>112</v>
      </c>
      <c r="K6" s="55" t="s">
        <v>399</v>
      </c>
      <c r="L6" s="55">
        <v>2883.89</v>
      </c>
      <c r="M6" s="55" t="s">
        <v>432</v>
      </c>
      <c r="N6" s="283" t="s">
        <v>410</v>
      </c>
    </row>
    <row r="7" spans="1:18" ht="33" customHeight="1" x14ac:dyDescent="0.25">
      <c r="A7" s="1"/>
      <c r="B7" s="52" t="s">
        <v>119</v>
      </c>
      <c r="C7" s="52" t="s">
        <v>452</v>
      </c>
      <c r="D7" s="53" t="s">
        <v>409</v>
      </c>
      <c r="E7" s="54" t="s">
        <v>120</v>
      </c>
      <c r="F7" s="55" t="str">
        <f t="shared" si="0"/>
        <v>SP</v>
      </c>
      <c r="G7" s="56" t="s">
        <v>108</v>
      </c>
      <c r="H7" s="185">
        <v>45609</v>
      </c>
      <c r="I7" s="55">
        <f>IF(Salários!C7="CLT", Salários!A7, IF(Salários!C7="PJ", Salários!D7, Salários!D7))</f>
        <v>8187.5285026298807</v>
      </c>
      <c r="J7" s="55" t="s">
        <v>112</v>
      </c>
      <c r="K7" s="55" t="s">
        <v>399</v>
      </c>
      <c r="L7" s="55">
        <v>2883.89</v>
      </c>
      <c r="M7" s="367" t="s">
        <v>431</v>
      </c>
      <c r="N7" s="283" t="s">
        <v>445</v>
      </c>
    </row>
    <row r="8" spans="1:18" ht="33" customHeight="1" x14ac:dyDescent="0.25">
      <c r="A8" s="1"/>
      <c r="B8" s="52" t="s">
        <v>415</v>
      </c>
      <c r="C8" s="52" t="s">
        <v>453</v>
      </c>
      <c r="D8" s="53" t="s">
        <v>109</v>
      </c>
      <c r="E8" s="54" t="s">
        <v>121</v>
      </c>
      <c r="F8" s="55" t="str">
        <f t="shared" si="0"/>
        <v>MS</v>
      </c>
      <c r="G8" s="56" t="s">
        <v>108</v>
      </c>
      <c r="H8" s="185">
        <v>45631</v>
      </c>
      <c r="I8" s="55">
        <f>IF(Salários!C8="CLT", Salários!A8, IF(Salários!C8="PJ", Salários!D8, Salários!D8))</f>
        <v>9572.7075514200187</v>
      </c>
      <c r="J8" s="55"/>
      <c r="K8" s="57"/>
      <c r="L8" s="55"/>
      <c r="M8" s="55"/>
      <c r="N8" s="283"/>
    </row>
    <row r="9" spans="1:18" ht="33" customHeight="1" x14ac:dyDescent="0.25">
      <c r="A9" s="1"/>
      <c r="B9" s="52" t="s">
        <v>122</v>
      </c>
      <c r="C9" s="52" t="s">
        <v>454</v>
      </c>
      <c r="D9" s="53" t="s">
        <v>109</v>
      </c>
      <c r="E9" s="54" t="s">
        <v>123</v>
      </c>
      <c r="F9" s="55" t="str">
        <f t="shared" si="0"/>
        <v>RO</v>
      </c>
      <c r="G9" s="56" t="s">
        <v>108</v>
      </c>
      <c r="H9" s="185">
        <v>45660</v>
      </c>
      <c r="I9" s="55">
        <f>IF(Salários!C9="CLT", Salários!A9, IF(Salários!C9="PJ", Salários!D9, Salários!D9))</f>
        <v>9572.7075514200187</v>
      </c>
      <c r="J9" s="55"/>
      <c r="K9" s="55"/>
      <c r="L9" s="55"/>
      <c r="M9" s="55"/>
      <c r="N9" s="283"/>
    </row>
    <row r="10" spans="1:18" ht="33" customHeight="1" x14ac:dyDescent="0.25">
      <c r="A10" s="1"/>
      <c r="B10" s="52" t="s">
        <v>416</v>
      </c>
      <c r="C10" s="52" t="s">
        <v>455</v>
      </c>
      <c r="D10" s="53" t="s">
        <v>409</v>
      </c>
      <c r="E10" s="54" t="s">
        <v>123</v>
      </c>
      <c r="F10" s="55" t="str">
        <f t="shared" si="0"/>
        <v>RO</v>
      </c>
      <c r="G10" s="56" t="s">
        <v>108</v>
      </c>
      <c r="H10" s="185">
        <v>45660</v>
      </c>
      <c r="I10" s="55">
        <f>IF(Salários!C10="CLT", Salários!A10, IF(Salários!C10="PJ", Salários!D10, Salários!D10))</f>
        <v>9572.7075514200187</v>
      </c>
      <c r="J10" s="55" t="s">
        <v>124</v>
      </c>
      <c r="K10" s="55" t="s">
        <v>400</v>
      </c>
      <c r="L10" s="55">
        <v>2883.89</v>
      </c>
      <c r="M10" s="55" t="s">
        <v>431</v>
      </c>
      <c r="N10" s="283"/>
    </row>
    <row r="11" spans="1:18" ht="33" customHeight="1" x14ac:dyDescent="0.25">
      <c r="A11" s="1"/>
      <c r="B11" s="52" t="s">
        <v>322</v>
      </c>
      <c r="C11" s="52" t="s">
        <v>456</v>
      </c>
      <c r="D11" s="53" t="s">
        <v>106</v>
      </c>
      <c r="E11" s="54" t="s">
        <v>111</v>
      </c>
      <c r="F11" s="55" t="str">
        <f t="shared" si="0"/>
        <v>CE</v>
      </c>
      <c r="G11" s="56" t="s">
        <v>108</v>
      </c>
      <c r="H11" s="185">
        <v>45665</v>
      </c>
      <c r="I11" s="55">
        <f>IF(Salários!C11="CLT", Salários!A11, IF(Salários!C11="PJ", Salários!D11, Salários!D11))</f>
        <v>7132.0222440593952</v>
      </c>
      <c r="J11" s="55" t="s">
        <v>124</v>
      </c>
      <c r="K11" s="57" t="s">
        <v>400</v>
      </c>
      <c r="L11" s="55">
        <v>1915.76</v>
      </c>
      <c r="M11" s="55" t="s">
        <v>431</v>
      </c>
      <c r="N11" s="283" t="s">
        <v>426</v>
      </c>
    </row>
    <row r="12" spans="1:18" ht="33" customHeight="1" x14ac:dyDescent="0.25">
      <c r="A12" s="1"/>
      <c r="B12" s="52" t="s">
        <v>125</v>
      </c>
      <c r="C12" s="52" t="s">
        <v>457</v>
      </c>
      <c r="D12" s="53" t="s">
        <v>106</v>
      </c>
      <c r="E12" s="54" t="s">
        <v>411</v>
      </c>
      <c r="F12" s="55" t="str">
        <f t="shared" si="0"/>
        <v>BR</v>
      </c>
      <c r="G12" s="56" t="s">
        <v>108</v>
      </c>
      <c r="H12" s="185">
        <v>45665</v>
      </c>
      <c r="I12" s="55">
        <f>IF(Salários!C12="CLT", Salários!A12, IF(Salários!C12="PJ", Salários!D12, Salários!D12))</f>
        <v>7132.0222440593952</v>
      </c>
      <c r="J12" s="55" t="s">
        <v>124</v>
      </c>
      <c r="K12" s="57" t="s">
        <v>399</v>
      </c>
      <c r="L12" s="55">
        <v>2672.94</v>
      </c>
      <c r="M12" s="55" t="s">
        <v>431</v>
      </c>
      <c r="N12" s="283"/>
    </row>
    <row r="13" spans="1:18" ht="33" customHeight="1" x14ac:dyDescent="0.25">
      <c r="A13" s="1"/>
      <c r="B13" s="52" t="s">
        <v>128</v>
      </c>
      <c r="C13" s="52" t="s">
        <v>458</v>
      </c>
      <c r="D13" s="53" t="s">
        <v>409</v>
      </c>
      <c r="E13" s="54" t="s">
        <v>129</v>
      </c>
      <c r="F13" s="55" t="str">
        <f t="shared" si="0"/>
        <v>PR</v>
      </c>
      <c r="G13" s="56" t="s">
        <v>108</v>
      </c>
      <c r="H13" s="185">
        <v>45665</v>
      </c>
      <c r="I13" s="55">
        <f>IF(Salários!C13="CLT", Salários!A13, IF(Salários!C13="PJ", Salários!D13, Salários!D13))</f>
        <v>9572.7075514200187</v>
      </c>
      <c r="J13" s="55" t="s">
        <v>124</v>
      </c>
      <c r="K13" s="57" t="s">
        <v>400</v>
      </c>
      <c r="L13" s="55">
        <v>2644.32</v>
      </c>
      <c r="M13" s="55" t="s">
        <v>431</v>
      </c>
      <c r="N13" s="283"/>
    </row>
    <row r="14" spans="1:18" ht="33" customHeight="1" x14ac:dyDescent="0.25">
      <c r="A14" s="1"/>
      <c r="B14" s="52" t="s">
        <v>130</v>
      </c>
      <c r="C14" s="52" t="s">
        <v>459</v>
      </c>
      <c r="D14" s="53" t="s">
        <v>109</v>
      </c>
      <c r="E14" s="54" t="s">
        <v>131</v>
      </c>
      <c r="F14" s="55" t="str">
        <f t="shared" si="0"/>
        <v>GO</v>
      </c>
      <c r="G14" s="56" t="s">
        <v>108</v>
      </c>
      <c r="H14" s="185">
        <v>45666</v>
      </c>
      <c r="I14" s="55">
        <f>IF(Salários!C14="CLT", Salários!A14, IF(Salários!C14="PJ", Salários!D14, Salários!D14))</f>
        <v>9572.7075514200187</v>
      </c>
      <c r="J14" s="55" t="s">
        <v>124</v>
      </c>
      <c r="K14" s="57" t="s">
        <v>399</v>
      </c>
      <c r="L14" s="55">
        <v>2672.94</v>
      </c>
      <c r="M14" s="55" t="s">
        <v>431</v>
      </c>
      <c r="N14" s="283" t="s">
        <v>427</v>
      </c>
    </row>
    <row r="15" spans="1:18" ht="33" customHeight="1" x14ac:dyDescent="0.25">
      <c r="A15" s="1"/>
      <c r="B15" s="52" t="s">
        <v>132</v>
      </c>
      <c r="C15" s="52" t="s">
        <v>460</v>
      </c>
      <c r="D15" s="53" t="s">
        <v>109</v>
      </c>
      <c r="E15" s="54" t="s">
        <v>129</v>
      </c>
      <c r="F15" s="55" t="str">
        <f t="shared" si="0"/>
        <v>PR</v>
      </c>
      <c r="G15" s="56" t="s">
        <v>108</v>
      </c>
      <c r="H15" s="185">
        <v>45691</v>
      </c>
      <c r="I15" s="55">
        <f>IF(Salários!C15="CLT", Salários!A15, IF(Salários!C15="PJ", Salários!D15, Salários!D15))</f>
        <v>12490.488575678122</v>
      </c>
      <c r="J15" s="55"/>
      <c r="K15" s="57"/>
      <c r="L15" s="55"/>
      <c r="M15" s="55"/>
      <c r="N15" s="283"/>
    </row>
    <row r="16" spans="1:18" ht="33" customHeight="1" x14ac:dyDescent="0.25">
      <c r="A16" s="1"/>
      <c r="B16" s="52" t="s">
        <v>417</v>
      </c>
      <c r="C16" s="52" t="s">
        <v>461</v>
      </c>
      <c r="D16" s="53" t="s">
        <v>106</v>
      </c>
      <c r="E16" s="54" t="s">
        <v>429</v>
      </c>
      <c r="F16" s="55" t="str">
        <f t="shared" si="0"/>
        <v>SP</v>
      </c>
      <c r="G16" s="56" t="s">
        <v>108</v>
      </c>
      <c r="H16" s="185">
        <v>45736</v>
      </c>
      <c r="I16" s="55">
        <f>IF(Salários!C16="CLT", Salários!A16, IF(Salários!C16="PJ", Salários!D16, Salários!D16))</f>
        <v>9987.4886733192743</v>
      </c>
      <c r="J16" s="55" t="s">
        <v>124</v>
      </c>
      <c r="K16" s="57" t="s">
        <v>400</v>
      </c>
      <c r="L16" s="55">
        <v>2611.56</v>
      </c>
      <c r="M16" s="55" t="s">
        <v>431</v>
      </c>
      <c r="N16" s="283"/>
    </row>
    <row r="17" spans="1:14" ht="33" customHeight="1" x14ac:dyDescent="0.25">
      <c r="A17" s="1"/>
      <c r="B17" s="52" t="s">
        <v>418</v>
      </c>
      <c r="C17" s="52" t="s">
        <v>462</v>
      </c>
      <c r="D17" s="53" t="s">
        <v>109</v>
      </c>
      <c r="E17" s="54" t="s">
        <v>133</v>
      </c>
      <c r="F17" s="55" t="str">
        <f t="shared" si="0"/>
        <v>PR</v>
      </c>
      <c r="G17" s="56" t="s">
        <v>108</v>
      </c>
      <c r="H17" s="185">
        <v>45740</v>
      </c>
      <c r="I17" s="55">
        <f>IF(Salários!C17="CLT", Salários!A17, IF(Salários!C17="PJ", Salários!D17, Salários!D17))</f>
        <v>7436.3899202121884</v>
      </c>
      <c r="J17" s="55" t="s">
        <v>124</v>
      </c>
      <c r="K17" s="57" t="s">
        <v>400</v>
      </c>
      <c r="L17" s="55">
        <v>2644.32</v>
      </c>
      <c r="M17" s="55" t="s">
        <v>431</v>
      </c>
      <c r="N17" s="283"/>
    </row>
    <row r="18" spans="1:14" ht="33" customHeight="1" x14ac:dyDescent="0.25">
      <c r="A18" s="1"/>
      <c r="B18" s="52" t="s">
        <v>134</v>
      </c>
      <c r="C18" s="52" t="s">
        <v>463</v>
      </c>
      <c r="D18" s="53" t="s">
        <v>109</v>
      </c>
      <c r="E18" s="54" t="s">
        <v>493</v>
      </c>
      <c r="F18" s="55" t="str">
        <f t="shared" si="0"/>
        <v>SP</v>
      </c>
      <c r="G18" s="56" t="s">
        <v>108</v>
      </c>
      <c r="H18" s="185">
        <v>45747</v>
      </c>
      <c r="I18" s="55">
        <f>IF(Salários!C18="CLT", Salários!A18, IF(Salários!C18="PJ", Salários!D18, Salários!D18))</f>
        <v>8203.5401422991363</v>
      </c>
      <c r="J18" s="55"/>
      <c r="K18" s="57"/>
      <c r="L18" s="55"/>
      <c r="M18" s="55"/>
      <c r="N18" s="283"/>
    </row>
    <row r="19" spans="1:14" ht="33" customHeight="1" x14ac:dyDescent="0.25">
      <c r="A19" s="1"/>
      <c r="B19" s="52" t="s">
        <v>419</v>
      </c>
      <c r="C19" s="52" t="s">
        <v>464</v>
      </c>
      <c r="D19" s="53" t="s">
        <v>109</v>
      </c>
      <c r="E19" s="54" t="s">
        <v>111</v>
      </c>
      <c r="F19" s="55" t="str">
        <f t="shared" si="0"/>
        <v>CE</v>
      </c>
      <c r="G19" s="56" t="s">
        <v>108</v>
      </c>
      <c r="H19" s="185">
        <v>45813</v>
      </c>
      <c r="I19" s="55">
        <f>IF(Salários!C19="CLT", Salários!A19, IF(Salários!C19="PJ", Salários!D19, Salários!D19))</f>
        <v>9572.7075514200187</v>
      </c>
      <c r="J19" s="55"/>
      <c r="K19" s="57"/>
      <c r="L19" s="57"/>
      <c r="M19" s="57"/>
      <c r="N19" s="283"/>
    </row>
    <row r="20" spans="1:14" ht="33" customHeight="1" x14ac:dyDescent="0.25">
      <c r="A20" s="1"/>
      <c r="B20" s="52" t="s">
        <v>420</v>
      </c>
      <c r="C20" s="52" t="s">
        <v>465</v>
      </c>
      <c r="D20" s="53" t="s">
        <v>409</v>
      </c>
      <c r="E20" s="54" t="s">
        <v>135</v>
      </c>
      <c r="F20" s="55" t="str">
        <f t="shared" si="0"/>
        <v>RS</v>
      </c>
      <c r="G20" s="56" t="s">
        <v>108</v>
      </c>
      <c r="H20" s="185">
        <v>45849</v>
      </c>
      <c r="I20" s="55">
        <f>IF(Salários!C20="CLT", Salários!A20, IF(Salários!C20="PJ", Salários!D20, Salários!D20))</f>
        <v>12490.488575678122</v>
      </c>
      <c r="J20" s="55" t="s">
        <v>124</v>
      </c>
      <c r="K20" s="57" t="s">
        <v>399</v>
      </c>
      <c r="L20" s="55">
        <v>2672.94</v>
      </c>
      <c r="M20" s="55" t="s">
        <v>431</v>
      </c>
      <c r="N20" s="283"/>
    </row>
    <row r="21" spans="1:14" ht="33" customHeight="1" x14ac:dyDescent="0.25">
      <c r="A21" s="1"/>
      <c r="B21" s="52" t="s">
        <v>421</v>
      </c>
      <c r="C21" s="52" t="s">
        <v>466</v>
      </c>
      <c r="D21" s="53" t="s">
        <v>106</v>
      </c>
      <c r="E21" s="54" t="s">
        <v>126</v>
      </c>
      <c r="F21" s="55" t="str">
        <f t="shared" si="0"/>
        <v>PR</v>
      </c>
      <c r="G21" s="56" t="s">
        <v>108</v>
      </c>
      <c r="H21" s="185">
        <v>45856</v>
      </c>
      <c r="I21" s="55">
        <f>IF(Salários!C21="CLT", Salários!A21, IF(Salários!C21="PJ", Salários!D21, Salários!D21))</f>
        <v>8203.5401422991363</v>
      </c>
      <c r="J21" s="55" t="s">
        <v>124</v>
      </c>
      <c r="K21" s="57" t="s">
        <v>400</v>
      </c>
      <c r="L21" s="55">
        <v>2749.15</v>
      </c>
      <c r="M21" s="55" t="s">
        <v>431</v>
      </c>
      <c r="N21" s="283"/>
    </row>
    <row r="22" spans="1:14" ht="33" customHeight="1" x14ac:dyDescent="0.25">
      <c r="A22" s="1"/>
      <c r="B22" s="52" t="s">
        <v>422</v>
      </c>
      <c r="C22" s="52" t="s">
        <v>467</v>
      </c>
      <c r="D22" s="53" t="s">
        <v>106</v>
      </c>
      <c r="E22" s="54" t="s">
        <v>378</v>
      </c>
      <c r="F22" s="55" t="str">
        <f t="shared" si="0"/>
        <v>GO</v>
      </c>
      <c r="G22" s="56" t="s">
        <v>108</v>
      </c>
      <c r="H22" s="185">
        <v>45882</v>
      </c>
      <c r="I22" s="55">
        <f>IF(Salários!C22="CLT", Salários!A22, IF(Salários!C22="PJ", Salários!D22, Salários!D22))</f>
        <v>8618.7109710517343</v>
      </c>
      <c r="J22" s="55" t="s">
        <v>124</v>
      </c>
      <c r="K22" s="57" t="s">
        <v>400</v>
      </c>
      <c r="L22" s="55">
        <v>2594.2600000000002</v>
      </c>
      <c r="M22" s="55" t="s">
        <v>431</v>
      </c>
      <c r="N22" s="283"/>
    </row>
    <row r="23" spans="1:14" ht="33" customHeight="1" x14ac:dyDescent="0.25">
      <c r="A23" s="1"/>
      <c r="B23" s="52" t="s">
        <v>151</v>
      </c>
      <c r="C23" s="52" t="s">
        <v>468</v>
      </c>
      <c r="D23" s="53" t="s">
        <v>409</v>
      </c>
      <c r="E23" s="54" t="s">
        <v>383</v>
      </c>
      <c r="F23" s="55" t="str">
        <f t="shared" si="0"/>
        <v>SP</v>
      </c>
      <c r="G23" s="56" t="s">
        <v>108</v>
      </c>
      <c r="H23" s="185">
        <v>45889</v>
      </c>
      <c r="I23" s="55">
        <f>IF(Salários!C23="CLT", Salários!A23, IF(Salários!C23="PJ", Salários!D23, Salários!D23))</f>
        <v>7021.4139448862607</v>
      </c>
      <c r="J23" s="55" t="s">
        <v>124</v>
      </c>
      <c r="K23" s="57" t="s">
        <v>400</v>
      </c>
      <c r="L23" s="55">
        <v>2817.4</v>
      </c>
      <c r="M23" s="55" t="s">
        <v>431</v>
      </c>
      <c r="N23" s="283"/>
    </row>
    <row r="24" spans="1:14" ht="33" customHeight="1" x14ac:dyDescent="0.25">
      <c r="A24" s="1"/>
      <c r="B24" s="52" t="s">
        <v>372</v>
      </c>
      <c r="C24" s="52" t="s">
        <v>469</v>
      </c>
      <c r="D24" s="53" t="s">
        <v>109</v>
      </c>
      <c r="E24" s="54" t="s">
        <v>379</v>
      </c>
      <c r="F24" s="55" t="str">
        <f>RIGHT(E24,2)</f>
        <v>GO</v>
      </c>
      <c r="G24" s="56" t="s">
        <v>108</v>
      </c>
      <c r="H24" s="185">
        <v>45885</v>
      </c>
      <c r="I24" s="55">
        <f>IF(Salários!C24="CLT", Salários!A24, IF(Salários!C24="PJ", Salários!D24, Salários!D24))</f>
        <v>11287.525895456949</v>
      </c>
      <c r="J24" s="55" t="s">
        <v>124</v>
      </c>
      <c r="K24" s="57" t="s">
        <v>400</v>
      </c>
      <c r="L24" s="55">
        <v>3158.15</v>
      </c>
      <c r="M24" s="55" t="s">
        <v>431</v>
      </c>
      <c r="N24" s="283"/>
    </row>
    <row r="25" spans="1:14" ht="33" customHeight="1" x14ac:dyDescent="0.25">
      <c r="A25" s="1"/>
      <c r="B25" s="52" t="s">
        <v>373</v>
      </c>
      <c r="C25" s="52" t="s">
        <v>470</v>
      </c>
      <c r="D25" s="53" t="s">
        <v>109</v>
      </c>
      <c r="E25" s="54" t="s">
        <v>137</v>
      </c>
      <c r="F25" s="55" t="str">
        <f>RIGHT(E25,2)</f>
        <v>CE</v>
      </c>
      <c r="G25" s="56" t="s">
        <v>108</v>
      </c>
      <c r="H25" s="185">
        <v>45885</v>
      </c>
      <c r="I25" s="55">
        <f>IF(Salários!C25="CLT", Salários!A25, IF(Salários!C25="PJ", Salários!D25, Salários!D25))</f>
        <v>9987.4886733192743</v>
      </c>
      <c r="J25" s="55"/>
      <c r="K25" s="57"/>
      <c r="L25" s="55"/>
      <c r="M25" s="55"/>
      <c r="N25" s="283"/>
    </row>
    <row r="26" spans="1:14" ht="33" customHeight="1" x14ac:dyDescent="0.25">
      <c r="A26" s="1"/>
      <c r="B26" s="52" t="s">
        <v>423</v>
      </c>
      <c r="C26" s="52" t="s">
        <v>471</v>
      </c>
      <c r="D26" s="53" t="s">
        <v>106</v>
      </c>
      <c r="E26" s="54" t="s">
        <v>137</v>
      </c>
      <c r="F26" s="55" t="str">
        <f>RIGHT(E26,2)</f>
        <v>CE</v>
      </c>
      <c r="G26" s="56" t="s">
        <v>108</v>
      </c>
      <c r="H26" s="185">
        <v>45885</v>
      </c>
      <c r="I26" s="55">
        <f>IF(Salários!C26="CLT", Salários!A26, IF(Salários!C26="PJ", Salários!D26, Salários!D26))</f>
        <v>8009.9756187461498</v>
      </c>
      <c r="J26" s="55" t="s">
        <v>124</v>
      </c>
      <c r="K26" s="57" t="s">
        <v>399</v>
      </c>
      <c r="L26" s="55">
        <v>2672.94</v>
      </c>
      <c r="M26" s="55" t="s">
        <v>431</v>
      </c>
      <c r="N26" s="283"/>
    </row>
    <row r="27" spans="1:14" ht="33" customHeight="1" x14ac:dyDescent="0.25">
      <c r="A27" s="1"/>
      <c r="B27" s="52" t="s">
        <v>424</v>
      </c>
      <c r="C27" s="52" t="s">
        <v>472</v>
      </c>
      <c r="D27" s="53" t="s">
        <v>109</v>
      </c>
      <c r="E27" s="54" t="s">
        <v>380</v>
      </c>
      <c r="F27" s="55" t="str">
        <f>RIGHT(E27,2)</f>
        <v>RS</v>
      </c>
      <c r="G27" s="56" t="s">
        <v>108</v>
      </c>
      <c r="H27" s="185">
        <v>45938</v>
      </c>
      <c r="I27" s="55">
        <f>IF(Salários!C27="CLT", Salários!A27, IF(Salários!C27="PJ", Salários!D27, Salários!D27))</f>
        <v>8009.9756187461498</v>
      </c>
      <c r="J27" s="55"/>
      <c r="K27" s="57"/>
      <c r="L27" s="57"/>
      <c r="M27" s="57"/>
      <c r="N27" s="283"/>
    </row>
    <row r="28" spans="1:14" ht="33" customHeight="1" x14ac:dyDescent="0.25">
      <c r="A28" s="1"/>
      <c r="B28" s="52" t="s">
        <v>374</v>
      </c>
      <c r="C28" s="52" t="s">
        <v>473</v>
      </c>
      <c r="D28" s="53" t="s">
        <v>109</v>
      </c>
      <c r="E28" s="54" t="s">
        <v>378</v>
      </c>
      <c r="F28" s="55" t="str">
        <f t="shared" ref="F28:F31" si="1">RIGHT(E28,2)</f>
        <v>GO</v>
      </c>
      <c r="G28" s="56" t="s">
        <v>108</v>
      </c>
      <c r="H28" s="185">
        <v>45932</v>
      </c>
      <c r="I28" s="55">
        <f>IF(Salários!C28="CLT", Salários!A28, IF(Salários!C28="PJ", Salários!D28, Salários!D28))</f>
        <v>13415.663960693088</v>
      </c>
      <c r="J28" s="55"/>
      <c r="K28" s="57"/>
      <c r="L28" s="55"/>
      <c r="M28" s="55"/>
      <c r="N28" s="283"/>
    </row>
    <row r="29" spans="1:14" ht="33" customHeight="1" x14ac:dyDescent="0.25">
      <c r="A29" s="1"/>
      <c r="B29" s="52" t="s">
        <v>375</v>
      </c>
      <c r="C29" s="52" t="s">
        <v>474</v>
      </c>
      <c r="D29" s="53" t="s">
        <v>409</v>
      </c>
      <c r="E29" s="54" t="s">
        <v>381</v>
      </c>
      <c r="F29" s="55" t="str">
        <f t="shared" si="1"/>
        <v>MS</v>
      </c>
      <c r="G29" s="56" t="s">
        <v>108</v>
      </c>
      <c r="H29" s="185">
        <v>45932</v>
      </c>
      <c r="I29" s="55">
        <f>IF(Salários!C29="CLT", Salários!A29, IF(Salários!C29="PJ", Salários!D29, Salários!D29))</f>
        <v>23785.192008174447</v>
      </c>
      <c r="J29" s="55" t="s">
        <v>124</v>
      </c>
      <c r="K29" s="57" t="s">
        <v>400</v>
      </c>
      <c r="L29" s="55">
        <v>2811.98</v>
      </c>
      <c r="M29" s="55" t="s">
        <v>431</v>
      </c>
      <c r="N29" s="283"/>
    </row>
    <row r="30" spans="1:14" ht="33" customHeight="1" x14ac:dyDescent="0.25">
      <c r="A30" s="1"/>
      <c r="B30" s="52" t="s">
        <v>376</v>
      </c>
      <c r="C30" s="52" t="s">
        <v>475</v>
      </c>
      <c r="D30" s="53" t="s">
        <v>109</v>
      </c>
      <c r="E30" s="54" t="s">
        <v>382</v>
      </c>
      <c r="F30" s="55" t="str">
        <f t="shared" si="1"/>
        <v>PR</v>
      </c>
      <c r="G30" s="56" t="s">
        <v>108</v>
      </c>
      <c r="H30" s="185">
        <v>45937</v>
      </c>
      <c r="I30" s="55">
        <f>IF(Salários!C30="CLT", Salários!A30, IF(Salários!C30="PJ", Salários!D30, Salários!D30))</f>
        <v>12103.164675145481</v>
      </c>
      <c r="J30" s="55"/>
      <c r="K30" s="57"/>
      <c r="L30" s="55"/>
      <c r="M30" s="55"/>
      <c r="N30" s="283"/>
    </row>
    <row r="31" spans="1:14" ht="33" customHeight="1" x14ac:dyDescent="0.25">
      <c r="A31" s="1"/>
      <c r="B31" s="52" t="s">
        <v>377</v>
      </c>
      <c r="C31" s="52" t="s">
        <v>476</v>
      </c>
      <c r="D31" s="53" t="s">
        <v>109</v>
      </c>
      <c r="E31" s="54" t="s">
        <v>383</v>
      </c>
      <c r="F31" s="55" t="str">
        <f t="shared" si="1"/>
        <v>SP</v>
      </c>
      <c r="G31" s="56" t="s">
        <v>108</v>
      </c>
      <c r="H31" s="185">
        <v>45932</v>
      </c>
      <c r="I31" s="55">
        <f>IF(Salários!C31="CLT", Salários!A31, IF(Salários!C31="PJ", Salários!D31, Salários!D31))</f>
        <v>9572.7075514200187</v>
      </c>
      <c r="J31" s="55"/>
      <c r="K31" s="57"/>
      <c r="L31" s="55"/>
      <c r="M31" s="55"/>
      <c r="N31" s="283"/>
    </row>
    <row r="32" spans="1:14" ht="33" customHeight="1" x14ac:dyDescent="0.25">
      <c r="A32" s="1"/>
      <c r="B32" s="52" t="s">
        <v>138</v>
      </c>
      <c r="C32" s="52" t="s">
        <v>477</v>
      </c>
      <c r="D32" s="53" t="s">
        <v>409</v>
      </c>
      <c r="E32" s="54" t="s">
        <v>384</v>
      </c>
      <c r="F32" s="55" t="str">
        <f t="shared" ref="F32:F37" si="2">RIGHT(E32,2)</f>
        <v>AM</v>
      </c>
      <c r="G32" s="56" t="s">
        <v>108</v>
      </c>
      <c r="H32" s="185">
        <v>45930</v>
      </c>
      <c r="I32" s="55">
        <f>IF(Salários!C32="CLT", Salários!A32, IF(Salários!C32="PJ", Salários!D32, Salários!D32))</f>
        <v>6710.5229568884934</v>
      </c>
      <c r="J32" s="55" t="s">
        <v>124</v>
      </c>
      <c r="K32" s="57" t="s">
        <v>400</v>
      </c>
      <c r="L32" s="307">
        <v>6074.15</v>
      </c>
      <c r="M32" s="55" t="s">
        <v>431</v>
      </c>
      <c r="N32" s="283" t="s">
        <v>434</v>
      </c>
    </row>
    <row r="33" spans="1:14" ht="33" customHeight="1" x14ac:dyDescent="0.25">
      <c r="A33" s="1"/>
      <c r="B33" s="52" t="s">
        <v>139</v>
      </c>
      <c r="C33" s="52" t="s">
        <v>478</v>
      </c>
      <c r="D33" s="53" t="s">
        <v>109</v>
      </c>
      <c r="E33" s="54" t="s">
        <v>384</v>
      </c>
      <c r="F33" s="55" t="str">
        <f t="shared" si="2"/>
        <v>AM</v>
      </c>
      <c r="G33" s="56" t="s">
        <v>108</v>
      </c>
      <c r="H33" s="185">
        <v>45930</v>
      </c>
      <c r="I33" s="55">
        <f>IF(Salários!C33="CLT", Salários!A33, IF(Salários!C33="PJ", Salários!D33, Salários!D33))</f>
        <v>4663.9284286888269</v>
      </c>
      <c r="J33" s="55"/>
      <c r="K33" s="57"/>
      <c r="L33" s="55"/>
      <c r="M33" s="55"/>
      <c r="N33" s="283"/>
    </row>
    <row r="34" spans="1:14" ht="33" customHeight="1" x14ac:dyDescent="0.25">
      <c r="A34" s="1"/>
      <c r="B34" s="52" t="s">
        <v>425</v>
      </c>
      <c r="C34" s="52" t="s">
        <v>479</v>
      </c>
      <c r="D34" s="53" t="s">
        <v>409</v>
      </c>
      <c r="E34" s="54" t="s">
        <v>136</v>
      </c>
      <c r="F34" s="55" t="str">
        <f t="shared" si="2"/>
        <v>MS</v>
      </c>
      <c r="G34" s="56" t="s">
        <v>108</v>
      </c>
      <c r="H34" s="185">
        <v>45951</v>
      </c>
      <c r="I34" s="55">
        <f>IF(Salários!C34="CLT", Salários!A34, IF(Salários!C34="PJ", Salários!D34, Salários!D34))</f>
        <v>4224.9517413454505</v>
      </c>
      <c r="J34" s="55"/>
      <c r="K34" s="57"/>
      <c r="L34" s="55"/>
      <c r="M34" s="55"/>
      <c r="N34" s="283"/>
    </row>
    <row r="35" spans="1:14" ht="33" customHeight="1" x14ac:dyDescent="0.25">
      <c r="A35" s="1"/>
      <c r="B35" s="52" t="s">
        <v>396</v>
      </c>
      <c r="C35" s="52" t="s">
        <v>480</v>
      </c>
      <c r="D35" s="53" t="s">
        <v>409</v>
      </c>
      <c r="E35" s="54" t="s">
        <v>398</v>
      </c>
      <c r="F35" s="55" t="str">
        <f t="shared" si="2"/>
        <v>SP</v>
      </c>
      <c r="G35" s="56" t="s">
        <v>108</v>
      </c>
      <c r="H35" s="185">
        <v>45951</v>
      </c>
      <c r="I35" s="55">
        <f>IF(Salários!C35="CLT", Salários!A35, IF(Salários!C35="PJ", Salários!D35, Salários!D35))</f>
        <v>5445.2943950257622</v>
      </c>
      <c r="J35" s="55" t="s">
        <v>124</v>
      </c>
      <c r="K35" s="57" t="s">
        <v>400</v>
      </c>
      <c r="L35" s="55">
        <v>2644.32</v>
      </c>
      <c r="M35" s="55" t="s">
        <v>431</v>
      </c>
      <c r="N35" s="283" t="s">
        <v>433</v>
      </c>
    </row>
    <row r="36" spans="1:14" ht="33" customHeight="1" x14ac:dyDescent="0.25">
      <c r="A36" s="1"/>
      <c r="B36" s="52" t="s">
        <v>408</v>
      </c>
      <c r="C36" s="52" t="s">
        <v>481</v>
      </c>
      <c r="D36" s="59" t="s">
        <v>109</v>
      </c>
      <c r="E36" s="59" t="s">
        <v>126</v>
      </c>
      <c r="F36" s="55" t="str">
        <f t="shared" si="2"/>
        <v>PR</v>
      </c>
      <c r="G36" s="57" t="s">
        <v>108</v>
      </c>
      <c r="H36" s="186" t="s">
        <v>92</v>
      </c>
      <c r="I36" s="55">
        <f>IF(Salários!C36="CLT", Salários!A36, IF(Salários!C36="PJ", Salários!D36, Salários!D36))</f>
        <v>6826.4083615656091</v>
      </c>
      <c r="J36" s="55"/>
      <c r="K36" s="57"/>
      <c r="L36" s="55"/>
      <c r="M36" s="55"/>
      <c r="N36" s="283"/>
    </row>
    <row r="37" spans="1:14" ht="33" customHeight="1" x14ac:dyDescent="0.25">
      <c r="A37" s="1"/>
      <c r="B37" s="52" t="s">
        <v>113</v>
      </c>
      <c r="C37" s="52" t="s">
        <v>482</v>
      </c>
      <c r="D37" s="53" t="s">
        <v>106</v>
      </c>
      <c r="E37" s="54" t="s">
        <v>114</v>
      </c>
      <c r="F37" s="55" t="str">
        <f t="shared" si="2"/>
        <v>SP</v>
      </c>
      <c r="G37" s="56" t="s">
        <v>144</v>
      </c>
      <c r="H37" s="185">
        <v>45979</v>
      </c>
      <c r="I37" s="55">
        <f>IF(Salários!C37="CLT", Salários!A37, IF(Salários!C37="PJ", Salários!D37, Salários!D37))</f>
        <v>6500</v>
      </c>
      <c r="J37" s="55" t="s">
        <v>124</v>
      </c>
      <c r="K37" s="57" t="s">
        <v>400</v>
      </c>
      <c r="L37" s="55">
        <v>2938.55</v>
      </c>
      <c r="M37" s="55" t="s">
        <v>431</v>
      </c>
      <c r="N37" s="283" t="s">
        <v>428</v>
      </c>
    </row>
    <row r="38" spans="1:14" ht="33" hidden="1" customHeight="1" x14ac:dyDescent="0.25">
      <c r="A38" s="1"/>
      <c r="B38" s="52"/>
      <c r="C38" s="52"/>
      <c r="D38" s="53"/>
      <c r="E38" s="54"/>
      <c r="F38" s="55"/>
      <c r="G38" s="56"/>
      <c r="H38" s="185"/>
      <c r="I38" s="55">
        <f>IF(Salários!C38="CLT", Salários!A38, IF(Salários!C38="PJ", Salários!D38, Salários!D38))</f>
        <v>0</v>
      </c>
      <c r="J38" s="55"/>
      <c r="K38" s="57"/>
      <c r="L38" s="55"/>
      <c r="M38" s="55"/>
      <c r="N38" s="283"/>
    </row>
    <row r="39" spans="1:14" ht="33" hidden="1" customHeight="1" x14ac:dyDescent="0.25">
      <c r="A39" s="1"/>
      <c r="B39" s="52"/>
      <c r="C39" s="52"/>
      <c r="D39" s="53"/>
      <c r="E39" s="54"/>
      <c r="F39" s="55"/>
      <c r="G39" s="56"/>
      <c r="H39" s="185"/>
      <c r="I39" s="55">
        <f>IF(Salários!C39="CLT", Salários!A39, IF(Salários!C39="PJ", Salários!D39, Salários!D39))</f>
        <v>0</v>
      </c>
      <c r="J39" s="55"/>
      <c r="K39" s="57"/>
      <c r="L39" s="55"/>
      <c r="M39" s="55"/>
      <c r="N39" s="283"/>
    </row>
    <row r="40" spans="1:14" ht="27" hidden="1" customHeight="1" x14ac:dyDescent="0.25">
      <c r="A40" s="1"/>
      <c r="B40" s="52"/>
      <c r="C40" s="52"/>
      <c r="D40" s="52"/>
      <c r="E40" s="52"/>
      <c r="F40" s="172"/>
      <c r="G40" s="172"/>
      <c r="H40" s="187"/>
      <c r="I40" s="55">
        <f>IF(Salários!C40="CLT", Salários!A40, IF(Salários!C40="PJ", Salários!D40, Salários!D40))</f>
        <v>0</v>
      </c>
      <c r="J40" s="52"/>
      <c r="K40" s="52"/>
      <c r="L40" s="52"/>
      <c r="M40" s="55"/>
      <c r="N40" s="283"/>
    </row>
    <row r="41" spans="1:14" ht="33" hidden="1" customHeight="1" x14ac:dyDescent="0.25">
      <c r="A41" s="1"/>
      <c r="B41" s="52"/>
      <c r="C41" s="59"/>
      <c r="D41" s="59"/>
      <c r="E41" s="59"/>
      <c r="F41" s="172"/>
      <c r="G41" s="57"/>
      <c r="H41" s="186"/>
      <c r="I41" s="55">
        <f>IF(Salários!C41="CLT", Salários!A41, IF(Salários!C41="PJ", Salários!D41, Salários!D41))</f>
        <v>0</v>
      </c>
      <c r="J41" s="55"/>
      <c r="K41" s="57"/>
      <c r="L41" s="55"/>
      <c r="M41" s="55"/>
      <c r="N41" s="283"/>
    </row>
    <row r="42" spans="1:14" ht="33" hidden="1" customHeight="1" x14ac:dyDescent="0.25">
      <c r="A42" s="1"/>
      <c r="B42" s="52"/>
      <c r="C42" s="53"/>
      <c r="D42" s="53"/>
      <c r="E42" s="54"/>
      <c r="F42" s="172"/>
      <c r="G42" s="56"/>
      <c r="H42" s="185"/>
      <c r="I42" s="55">
        <f>IF(Salários!C42="CLT", Salários!A42, IF(Salários!C42="PJ", Salários!D42, Salários!D42))</f>
        <v>0</v>
      </c>
      <c r="J42" s="55"/>
      <c r="K42" s="57"/>
      <c r="L42" s="55"/>
      <c r="M42" s="55"/>
      <c r="N42" s="283"/>
    </row>
    <row r="43" spans="1:14" ht="33" hidden="1" customHeight="1" x14ac:dyDescent="0.25">
      <c r="A43" s="1"/>
      <c r="B43" s="52"/>
      <c r="C43" s="53"/>
      <c r="D43" s="53"/>
      <c r="E43" s="54"/>
      <c r="F43" s="172"/>
      <c r="G43" s="56"/>
      <c r="H43" s="185"/>
      <c r="I43" s="55">
        <f>IF(Salários!C43="CLT", Salários!A43, IF(Salários!C43="PJ", Salários!D43, Salários!D43))</f>
        <v>0</v>
      </c>
      <c r="J43" s="55"/>
      <c r="K43" s="57"/>
      <c r="L43" s="55"/>
      <c r="M43" s="55"/>
      <c r="N43" s="283"/>
    </row>
    <row r="44" spans="1:14" ht="33" hidden="1" customHeight="1" x14ac:dyDescent="0.25">
      <c r="A44" s="1"/>
      <c r="B44" s="52"/>
      <c r="C44" s="53"/>
      <c r="D44" s="53"/>
      <c r="E44" s="54"/>
      <c r="F44" s="172"/>
      <c r="G44" s="56"/>
      <c r="H44" s="185"/>
      <c r="I44" s="55">
        <f>IF(Salários!C44="CLT", Salários!A44, IF(Salários!C44="PJ", Salários!D44, Salários!D44))</f>
        <v>0</v>
      </c>
      <c r="J44" s="55"/>
      <c r="K44" s="57"/>
      <c r="L44" s="55"/>
      <c r="M44" s="55"/>
      <c r="N44" s="283"/>
    </row>
    <row r="45" spans="1:14" ht="33" hidden="1" customHeight="1" x14ac:dyDescent="0.25">
      <c r="A45" s="1"/>
      <c r="B45" s="52"/>
      <c r="C45" s="53"/>
      <c r="D45" s="53"/>
      <c r="E45" s="53"/>
      <c r="F45" s="172"/>
      <c r="G45" s="56"/>
      <c r="H45" s="185"/>
      <c r="I45" s="55">
        <f>IF(Salários!C45="CLT", Salários!A45, IF(Salários!C45="PJ", Salários!D45, Salários!D45))</f>
        <v>0</v>
      </c>
      <c r="J45" s="55"/>
      <c r="K45" s="57"/>
      <c r="L45" s="55"/>
      <c r="M45" s="55"/>
      <c r="N45" s="283"/>
    </row>
    <row r="46" spans="1:14" ht="33" hidden="1" customHeight="1" x14ac:dyDescent="0.25">
      <c r="A46" s="1"/>
      <c r="B46" s="52"/>
      <c r="C46" s="53"/>
      <c r="D46" s="53"/>
      <c r="E46" s="53"/>
      <c r="F46" s="172"/>
      <c r="G46" s="56"/>
      <c r="H46" s="185"/>
      <c r="I46" s="55">
        <f>IF(Salários!C46="CLT", Salários!A46, IF(Salários!C46="PJ", Salários!D46, Salários!D46))</f>
        <v>0</v>
      </c>
      <c r="J46" s="55"/>
      <c r="K46" s="57"/>
      <c r="L46" s="55"/>
      <c r="M46" s="55"/>
      <c r="N46" s="283"/>
    </row>
    <row r="47" spans="1:14" ht="33" hidden="1" customHeight="1" x14ac:dyDescent="0.25">
      <c r="A47" s="1"/>
      <c r="B47" s="251"/>
      <c r="C47" s="53"/>
      <c r="D47" s="53"/>
      <c r="E47" s="54"/>
      <c r="F47" s="172" t="str">
        <f t="shared" ref="F47:F62" si="3">RIGHT(E47,2)</f>
        <v/>
      </c>
      <c r="G47" s="56"/>
      <c r="H47" s="185"/>
      <c r="I47" s="55">
        <f>IF(Salários!C47="CLT", Salários!A47, IF(Salários!C47="PJ", Salários!D47, Salários!D47))</f>
        <v>0</v>
      </c>
      <c r="J47" s="55"/>
      <c r="K47" s="57"/>
      <c r="L47" s="55"/>
      <c r="M47" s="55"/>
      <c r="N47" s="284"/>
    </row>
    <row r="48" spans="1:14" ht="33" hidden="1" customHeight="1" x14ac:dyDescent="0.25">
      <c r="A48" s="1"/>
      <c r="B48" s="251"/>
      <c r="C48" s="53"/>
      <c r="D48" s="53"/>
      <c r="E48" s="54"/>
      <c r="F48" s="172" t="str">
        <f t="shared" si="3"/>
        <v/>
      </c>
      <c r="G48" s="56"/>
      <c r="H48" s="185"/>
      <c r="I48" s="55">
        <f>IF(Salários!C48="CLT", Salários!A48, IF(Salários!C48="PJ", Salários!D48, Salários!D48))</f>
        <v>0</v>
      </c>
      <c r="J48" s="55"/>
      <c r="K48" s="57"/>
      <c r="L48" s="55"/>
      <c r="M48" s="55"/>
      <c r="N48" s="284"/>
    </row>
    <row r="49" spans="1:20" ht="33" hidden="1" customHeight="1" x14ac:dyDescent="0.25">
      <c r="A49" s="1"/>
      <c r="B49" s="251"/>
      <c r="C49" s="53"/>
      <c r="D49" s="53"/>
      <c r="E49" s="54"/>
      <c r="F49" s="172" t="str">
        <f t="shared" si="3"/>
        <v/>
      </c>
      <c r="G49" s="56"/>
      <c r="H49" s="185"/>
      <c r="I49" s="55">
        <f>IF(Salários!C49="CLT", Salários!A49, IF(Salários!C49="PJ", Salários!D49, Salários!D49))</f>
        <v>0</v>
      </c>
      <c r="J49" s="55"/>
      <c r="K49" s="57"/>
      <c r="L49" s="55"/>
      <c r="M49" s="55"/>
      <c r="N49" s="284"/>
    </row>
    <row r="50" spans="1:20" ht="33" hidden="1" customHeight="1" x14ac:dyDescent="0.25">
      <c r="A50" s="1"/>
      <c r="B50" s="251"/>
      <c r="C50" s="53"/>
      <c r="D50" s="53"/>
      <c r="E50" s="54"/>
      <c r="F50" s="172" t="str">
        <f t="shared" si="3"/>
        <v/>
      </c>
      <c r="G50" s="56"/>
      <c r="H50" s="185"/>
      <c r="I50" s="55">
        <f>IF(Salários!C50="CLT", Salários!A50, IF(Salários!C50="PJ", Salários!D50, Salários!D50))</f>
        <v>0</v>
      </c>
      <c r="J50" s="55"/>
      <c r="K50" s="57"/>
      <c r="L50" s="55"/>
      <c r="M50" s="55"/>
      <c r="N50" s="284"/>
    </row>
    <row r="51" spans="1:20" ht="33" hidden="1" customHeight="1" x14ac:dyDescent="0.25">
      <c r="A51" s="1"/>
      <c r="B51" s="251"/>
      <c r="C51" s="53"/>
      <c r="D51" s="53"/>
      <c r="E51" s="54"/>
      <c r="F51" s="172" t="str">
        <f t="shared" si="3"/>
        <v/>
      </c>
      <c r="G51" s="56"/>
      <c r="H51" s="185"/>
      <c r="I51" s="55">
        <f>IF(Salários!C51="CLT", Salários!A51, IF(Salários!C51="PJ", Salários!D51, Salários!D51))</f>
        <v>0</v>
      </c>
      <c r="J51" s="55"/>
      <c r="K51" s="57"/>
      <c r="L51" s="55"/>
      <c r="M51" s="55"/>
      <c r="N51" s="284"/>
    </row>
    <row r="52" spans="1:20" ht="33" hidden="1" customHeight="1" x14ac:dyDescent="0.25">
      <c r="A52" s="1"/>
      <c r="B52" s="251"/>
      <c r="C52" s="53"/>
      <c r="D52" s="53"/>
      <c r="E52" s="54"/>
      <c r="F52" s="172" t="str">
        <f t="shared" si="3"/>
        <v/>
      </c>
      <c r="G52" s="56"/>
      <c r="H52" s="185"/>
      <c r="I52" s="55">
        <f>IF(Salários!C52="CLT", Salários!A52, IF(Salários!C52="PJ", Salários!D52, Salários!D52))</f>
        <v>0</v>
      </c>
      <c r="J52" s="55"/>
      <c r="K52" s="57"/>
      <c r="L52" s="55"/>
      <c r="M52" s="55"/>
      <c r="N52" s="284"/>
    </row>
    <row r="53" spans="1:20" ht="33" hidden="1" customHeight="1" x14ac:dyDescent="0.25">
      <c r="A53" s="1"/>
      <c r="B53" s="251"/>
      <c r="C53" s="57"/>
      <c r="D53" s="57"/>
      <c r="E53" s="59"/>
      <c r="F53" s="172" t="str">
        <f t="shared" si="3"/>
        <v/>
      </c>
      <c r="G53" s="57"/>
      <c r="H53" s="186"/>
      <c r="I53" s="55">
        <f>IF(Salários!C53="CLT", Salários!A53, IF(Salários!C53="PJ", Salários!D53, Salários!D53))</f>
        <v>0</v>
      </c>
      <c r="J53" s="55"/>
      <c r="K53" s="57"/>
      <c r="L53" s="55"/>
      <c r="M53" s="55"/>
      <c r="N53" s="284"/>
    </row>
    <row r="54" spans="1:20" ht="33" customHeight="1" x14ac:dyDescent="0.25">
      <c r="A54" s="1"/>
      <c r="B54" s="318" t="s">
        <v>140</v>
      </c>
      <c r="C54" s="60" t="s">
        <v>483</v>
      </c>
      <c r="D54" s="60" t="s">
        <v>108</v>
      </c>
      <c r="E54" s="61" t="s">
        <v>413</v>
      </c>
      <c r="F54" s="194" t="str">
        <f t="shared" si="3"/>
        <v>RN</v>
      </c>
      <c r="G54" s="62" t="s">
        <v>108</v>
      </c>
      <c r="H54" s="188">
        <v>45210</v>
      </c>
      <c r="I54" s="64">
        <f>IF(Salários!C54="CLT", Salários!A54, IF(Salários!C54="PJ", Salários!D54, Salários!D54))</f>
        <v>7600.3212649288735</v>
      </c>
      <c r="J54" s="64"/>
      <c r="K54" s="62"/>
      <c r="L54" s="63"/>
      <c r="M54" s="63"/>
      <c r="N54" s="285"/>
      <c r="O54" s="65"/>
    </row>
    <row r="55" spans="1:20" ht="27" customHeight="1" x14ac:dyDescent="0.25">
      <c r="A55" s="1"/>
      <c r="B55" s="318" t="s">
        <v>142</v>
      </c>
      <c r="C55" s="288" t="s">
        <v>484</v>
      </c>
      <c r="D55" s="66" t="s">
        <v>144</v>
      </c>
      <c r="E55" s="193" t="s">
        <v>413</v>
      </c>
      <c r="F55" s="195" t="str">
        <f t="shared" si="3"/>
        <v>RN</v>
      </c>
      <c r="G55" s="68" t="s">
        <v>144</v>
      </c>
      <c r="H55" s="189">
        <v>45223</v>
      </c>
      <c r="I55" s="69">
        <f>IF(Salários!C55="CLT", Salários!A55, IF(Salários!C55="PJ", Salários!D55, Salários!D55))</f>
        <v>13718.9</v>
      </c>
      <c r="J55" s="69"/>
      <c r="K55" s="68"/>
      <c r="L55" s="67"/>
      <c r="M55" s="67"/>
      <c r="N55" s="286"/>
      <c r="O55" s="65"/>
    </row>
    <row r="56" spans="1:20" ht="27" customHeight="1" x14ac:dyDescent="0.25">
      <c r="A56" s="1"/>
      <c r="B56" s="318" t="s">
        <v>145</v>
      </c>
      <c r="C56" s="288" t="s">
        <v>485</v>
      </c>
      <c r="D56" s="66" t="s">
        <v>144</v>
      </c>
      <c r="E56" s="193" t="s">
        <v>413</v>
      </c>
      <c r="F56" s="195" t="str">
        <f t="shared" si="3"/>
        <v>RN</v>
      </c>
      <c r="G56" s="68" t="s">
        <v>144</v>
      </c>
      <c r="H56" s="189">
        <v>45461</v>
      </c>
      <c r="I56" s="69">
        <f>IF(Salários!C56="CLT", Salários!A56, IF(Salários!C56="PJ", Salários!D56, Salários!D56))</f>
        <v>1420</v>
      </c>
      <c r="J56" s="69"/>
      <c r="K56" s="68"/>
      <c r="L56" s="67"/>
      <c r="M56" s="67"/>
      <c r="N56" s="286"/>
      <c r="T56" s="65"/>
    </row>
    <row r="57" spans="1:20" ht="33" customHeight="1" x14ac:dyDescent="0.25">
      <c r="A57" s="1"/>
      <c r="B57" s="318" t="s">
        <v>385</v>
      </c>
      <c r="C57" s="288" t="s">
        <v>486</v>
      </c>
      <c r="D57" s="66" t="s">
        <v>144</v>
      </c>
      <c r="E57" s="193" t="s">
        <v>413</v>
      </c>
      <c r="F57" s="195" t="str">
        <f t="shared" si="3"/>
        <v>RN</v>
      </c>
      <c r="G57" s="68" t="s">
        <v>144</v>
      </c>
      <c r="H57" s="189">
        <v>45901</v>
      </c>
      <c r="I57" s="69">
        <f>IF(Salários!C57="CLT", Salários!A57, IF(Salários!C57="PJ", Salários!D57, Salários!D57))</f>
        <v>6500</v>
      </c>
      <c r="J57" s="69"/>
      <c r="K57" s="68"/>
      <c r="L57" s="67"/>
      <c r="M57" s="67"/>
      <c r="N57" s="286"/>
      <c r="R57" s="70"/>
      <c r="S57" s="71"/>
    </row>
    <row r="58" spans="1:20" ht="33" customHeight="1" x14ac:dyDescent="0.25">
      <c r="A58" s="1"/>
      <c r="B58" s="318" t="s">
        <v>147</v>
      </c>
      <c r="C58" s="288" t="s">
        <v>487</v>
      </c>
      <c r="D58" s="72" t="s">
        <v>108</v>
      </c>
      <c r="E58" s="193" t="s">
        <v>413</v>
      </c>
      <c r="F58" s="195" t="str">
        <f t="shared" si="3"/>
        <v>RN</v>
      </c>
      <c r="G58" s="68" t="s">
        <v>108</v>
      </c>
      <c r="H58" s="189">
        <v>45691</v>
      </c>
      <c r="I58" s="69">
        <f>IF(Salários!C58="CLT", Salários!A58, IF(Salários!C58="PJ", Salários!D58, Salários!D58))</f>
        <v>6564.8624306570719</v>
      </c>
      <c r="J58" s="69"/>
      <c r="K58" s="68"/>
      <c r="L58" s="67"/>
      <c r="M58" s="67"/>
      <c r="N58" s="286"/>
      <c r="R58" s="70"/>
      <c r="S58" s="71"/>
    </row>
    <row r="59" spans="1:20" ht="33" customHeight="1" x14ac:dyDescent="0.25">
      <c r="A59" s="1"/>
      <c r="B59" s="318" t="s">
        <v>148</v>
      </c>
      <c r="C59" s="288" t="s">
        <v>488</v>
      </c>
      <c r="D59" s="72" t="s">
        <v>108</v>
      </c>
      <c r="E59" s="193" t="s">
        <v>413</v>
      </c>
      <c r="F59" s="195" t="str">
        <f t="shared" si="3"/>
        <v>RN</v>
      </c>
      <c r="G59" s="68" t="s">
        <v>108</v>
      </c>
      <c r="H59" s="189">
        <v>45736</v>
      </c>
      <c r="I59" s="69">
        <f>IF(Salários!C59="CLT", Salários!A59, IF(Salários!C59="PJ", Salários!D59, Salários!D59))</f>
        <v>6893.579520902088</v>
      </c>
      <c r="J59" s="69"/>
      <c r="K59" s="68"/>
      <c r="L59" s="67"/>
      <c r="M59" s="67"/>
      <c r="N59" s="286"/>
      <c r="R59" s="70"/>
      <c r="S59" s="71"/>
    </row>
    <row r="60" spans="1:20" ht="27" customHeight="1" x14ac:dyDescent="0.25">
      <c r="A60" s="1"/>
      <c r="B60" s="318" t="s">
        <v>149</v>
      </c>
      <c r="C60" s="288" t="s">
        <v>489</v>
      </c>
      <c r="D60" s="66" t="s">
        <v>150</v>
      </c>
      <c r="E60" s="193" t="s">
        <v>413</v>
      </c>
      <c r="F60" s="195" t="str">
        <f t="shared" si="3"/>
        <v>RN</v>
      </c>
      <c r="G60" s="68" t="s">
        <v>150</v>
      </c>
      <c r="H60" s="189">
        <v>45754</v>
      </c>
      <c r="I60" s="69">
        <f>IF(Salários!C60="CLT", Salários!A60, IF(Salários!C60="PJ", Salários!D60, Salários!D60))</f>
        <v>820</v>
      </c>
      <c r="J60" s="69"/>
      <c r="K60" s="68"/>
      <c r="L60" s="67"/>
      <c r="M60" s="67"/>
      <c r="N60" s="286"/>
      <c r="R60" s="70"/>
      <c r="S60" s="71"/>
    </row>
    <row r="61" spans="1:20" ht="27" customHeight="1" x14ac:dyDescent="0.25">
      <c r="A61" s="1"/>
      <c r="B61" s="318" t="s">
        <v>435</v>
      </c>
      <c r="C61" s="288" t="s">
        <v>490</v>
      </c>
      <c r="D61" s="66" t="s">
        <v>150</v>
      </c>
      <c r="E61" s="193" t="s">
        <v>413</v>
      </c>
      <c r="F61" s="195" t="str">
        <f t="shared" si="3"/>
        <v>RN</v>
      </c>
      <c r="G61" s="68" t="s">
        <v>150</v>
      </c>
      <c r="H61" s="189">
        <v>45803</v>
      </c>
      <c r="I61" s="69">
        <f>IF(Salários!C61="CLT", Salários!A61, IF(Salários!C61="PJ", Salários!D61, Salários!D61))</f>
        <v>820</v>
      </c>
      <c r="J61" s="69"/>
      <c r="K61" s="68"/>
      <c r="L61" s="67"/>
      <c r="M61" s="67"/>
      <c r="N61" s="286"/>
    </row>
    <row r="62" spans="1:20" ht="27" customHeight="1" x14ac:dyDescent="0.25">
      <c r="A62" s="1"/>
      <c r="B62" s="318" t="s">
        <v>386</v>
      </c>
      <c r="C62" s="288" t="s">
        <v>491</v>
      </c>
      <c r="D62" s="193" t="s">
        <v>150</v>
      </c>
      <c r="E62" s="193" t="s">
        <v>413</v>
      </c>
      <c r="F62" s="195" t="str">
        <f t="shared" si="3"/>
        <v>RN</v>
      </c>
      <c r="G62" s="289" t="s">
        <v>150</v>
      </c>
      <c r="H62" s="290">
        <v>45957</v>
      </c>
      <c r="I62" s="291">
        <f>IF(Salários!C62="CLT", Salários!A62, IF(Salários!C62="PJ", Salários!D62, Salários!D62))</f>
        <v>820</v>
      </c>
      <c r="J62" s="291"/>
      <c r="K62" s="289"/>
      <c r="L62" s="67"/>
      <c r="M62" s="67"/>
      <c r="N62" s="286"/>
    </row>
    <row r="63" spans="1:20" ht="27" customHeight="1" x14ac:dyDescent="0.25">
      <c r="A63" s="1"/>
      <c r="B63" s="318" t="s">
        <v>412</v>
      </c>
      <c r="C63" s="73" t="s">
        <v>492</v>
      </c>
      <c r="D63" s="74" t="s">
        <v>150</v>
      </c>
      <c r="E63" s="74" t="s">
        <v>413</v>
      </c>
      <c r="F63" s="196" t="str">
        <f t="shared" ref="F63" si="4">RIGHT(E63,2)</f>
        <v>RN</v>
      </c>
      <c r="G63" s="77" t="s">
        <v>150</v>
      </c>
      <c r="H63" s="190">
        <v>45964</v>
      </c>
      <c r="I63" s="76">
        <f>IF(Salários!C63="CLT", Salários!A63, IF(Salários!C63="PJ", Salários!D63, Salários!D63))</f>
        <v>820</v>
      </c>
      <c r="J63" s="76"/>
      <c r="K63" s="77"/>
      <c r="L63" s="75"/>
      <c r="M63" s="75"/>
      <c r="N63" s="287"/>
    </row>
    <row r="64" spans="1:20" ht="35.25" customHeight="1" x14ac:dyDescent="0.25">
      <c r="A64" s="276"/>
      <c r="B64" s="251"/>
      <c r="C64" s="1"/>
      <c r="D64" s="1"/>
      <c r="F64" s="430" t="s">
        <v>407</v>
      </c>
      <c r="G64" s="430"/>
      <c r="H64" s="317">
        <f>IFERROR(SUM(I3:I63)/H65, "Pendente")</f>
        <v>0.62400062643317278</v>
      </c>
      <c r="I64" s="279">
        <f>SUM(I3:I62)</f>
        <v>374927.65379097481</v>
      </c>
      <c r="J64" s="280"/>
      <c r="K64" s="280" t="s">
        <v>152</v>
      </c>
      <c r="L64" s="281">
        <f>SUM(L3:L53)</f>
        <v>60715.130000000012</v>
      </c>
      <c r="M64" s="281"/>
    </row>
    <row r="65" spans="1:31" ht="26.25" customHeight="1" x14ac:dyDescent="0.25">
      <c r="A65" s="276"/>
      <c r="B65" s="251"/>
      <c r="C65" s="1"/>
      <c r="D65" s="1"/>
      <c r="F65" s="431" t="s">
        <v>153</v>
      </c>
      <c r="G65" s="431"/>
      <c r="H65" s="432" cm="1">
        <f t="array" ref="H65">IFERROR(_xlfn.XLOOKUP(TRUE,Faturamento!Z14:ZZ14&lt;&gt;"",Faturamento!Z14:ZZ14,,0,-1),"Pendente")</f>
        <v>602159.09708099533</v>
      </c>
      <c r="I65" s="432"/>
      <c r="J65" s="275"/>
      <c r="K65" s="275" t="s">
        <v>154</v>
      </c>
      <c r="L65" s="298" cm="1">
        <f t="array" ref="L65">IFERROR(_xlfn.XLOOKUP(TRUE,Faturamento!Z11:ZZ11&lt;&gt;"",Faturamento!Z11:ZZ11,,0,-1),"Pendente")</f>
        <v>67520.1315591397</v>
      </c>
      <c r="M65" s="309"/>
    </row>
    <row r="66" spans="1:31" ht="23.25" thickBot="1" x14ac:dyDescent="0.3">
      <c r="A66" s="277"/>
      <c r="B66" s="252"/>
      <c r="C66" s="78"/>
      <c r="D66" s="79"/>
      <c r="E66" s="80"/>
      <c r="F66" s="445"/>
      <c r="G66" s="445"/>
      <c r="H66" s="171"/>
      <c r="I66" s="81"/>
      <c r="J66" s="81"/>
      <c r="K66" s="81"/>
      <c r="L66" s="81"/>
      <c r="M66" s="81"/>
      <c r="P66" s="402" t="s">
        <v>155</v>
      </c>
      <c r="Q66" s="402"/>
      <c r="R66" s="402"/>
      <c r="S66" s="402"/>
      <c r="T66" s="402"/>
      <c r="U66" s="402"/>
      <c r="V66" s="402"/>
      <c r="W66" s="402"/>
      <c r="X66" s="402"/>
      <c r="Y66" s="402"/>
      <c r="Z66" s="402"/>
      <c r="AA66" s="402"/>
      <c r="AB66" s="402"/>
      <c r="AC66" s="402"/>
      <c r="AD66" s="402"/>
      <c r="AE66" s="402"/>
    </row>
    <row r="67" spans="1:31" ht="23.25" thickBot="1" x14ac:dyDescent="0.3">
      <c r="A67" s="278"/>
      <c r="B67" s="253"/>
      <c r="C67" s="82" t="s">
        <v>156</v>
      </c>
      <c r="D67" s="83"/>
      <c r="E67" s="84"/>
      <c r="F67" s="443"/>
      <c r="G67" s="443"/>
      <c r="H67" s="443"/>
      <c r="I67" s="443"/>
      <c r="J67" s="443"/>
      <c r="K67" s="443"/>
      <c r="L67" s="444"/>
      <c r="M67" s="312"/>
      <c r="P67" s="405" t="s">
        <v>157</v>
      </c>
      <c r="Q67" s="405"/>
      <c r="R67" s="405"/>
      <c r="S67" s="405"/>
      <c r="T67" s="106" t="s">
        <v>158</v>
      </c>
      <c r="U67" s="106" t="s">
        <v>71</v>
      </c>
      <c r="V67" s="106" t="s">
        <v>80</v>
      </c>
      <c r="W67" s="106" t="s">
        <v>57</v>
      </c>
      <c r="X67" s="106" t="s">
        <v>45</v>
      </c>
      <c r="Y67" s="106" t="s">
        <v>24</v>
      </c>
      <c r="Z67" s="106" t="s">
        <v>38</v>
      </c>
      <c r="AA67" s="106" t="s">
        <v>78</v>
      </c>
      <c r="AB67" s="106" t="s">
        <v>79</v>
      </c>
      <c r="AC67" s="106" t="s">
        <v>15</v>
      </c>
      <c r="AD67" s="106" t="s">
        <v>20</v>
      </c>
      <c r="AE67" s="106" t="s">
        <v>53</v>
      </c>
    </row>
    <row r="68" spans="1:31" ht="36" customHeight="1" thickTop="1" x14ac:dyDescent="0.25">
      <c r="A68" s="278"/>
      <c r="B68" s="253"/>
      <c r="C68" s="173" t="s">
        <v>155</v>
      </c>
      <c r="D68" s="438"/>
      <c r="E68" s="438"/>
      <c r="F68" s="438"/>
      <c r="G68" s="438"/>
      <c r="H68" s="438"/>
      <c r="I68" s="438"/>
      <c r="J68" s="426" t="s">
        <v>285</v>
      </c>
      <c r="K68" s="426"/>
      <c r="L68" s="427"/>
      <c r="M68" s="313"/>
      <c r="P68" s="424" t="s">
        <v>159</v>
      </c>
      <c r="Q68" s="107"/>
      <c r="R68" s="407" t="s">
        <v>106</v>
      </c>
      <c r="S68" s="407"/>
      <c r="T68" s="118">
        <f t="shared" ref="T68:T69" si="5">SUM(U68:AE68)</f>
        <v>10</v>
      </c>
      <c r="U68" s="108">
        <f t="shared" ref="U68:AE72" si="6">COUNTIFS($D$3:$D$62,$R68,$F$3:$F$62,U$67)</f>
        <v>1</v>
      </c>
      <c r="V68" s="109">
        <f t="shared" si="6"/>
        <v>3</v>
      </c>
      <c r="W68" s="109">
        <f t="shared" si="6"/>
        <v>1</v>
      </c>
      <c r="X68" s="109">
        <f t="shared" si="6"/>
        <v>1</v>
      </c>
      <c r="Y68" s="109">
        <f t="shared" si="6"/>
        <v>3</v>
      </c>
      <c r="Z68" s="109">
        <f t="shared" si="6"/>
        <v>1</v>
      </c>
      <c r="AA68" s="109">
        <f t="shared" si="6"/>
        <v>0</v>
      </c>
      <c r="AB68" s="109">
        <f t="shared" si="6"/>
        <v>0</v>
      </c>
      <c r="AC68" s="108">
        <f t="shared" si="6"/>
        <v>0</v>
      </c>
      <c r="AD68" s="108">
        <f t="shared" si="6"/>
        <v>0</v>
      </c>
      <c r="AE68" s="108">
        <f t="shared" si="6"/>
        <v>0</v>
      </c>
    </row>
    <row r="69" spans="1:31" ht="34.5" customHeight="1" thickBot="1" x14ac:dyDescent="0.3">
      <c r="A69" s="277"/>
      <c r="B69" s="252"/>
      <c r="C69" s="174" t="s">
        <v>160</v>
      </c>
      <c r="D69" s="425"/>
      <c r="E69" s="425"/>
      <c r="F69" s="425"/>
      <c r="G69" s="425"/>
      <c r="H69" s="425"/>
      <c r="I69" s="425"/>
      <c r="J69" s="428"/>
      <c r="K69" s="428"/>
      <c r="L69" s="429"/>
      <c r="M69" s="313"/>
      <c r="P69" s="424"/>
      <c r="Q69" s="107"/>
      <c r="R69" s="407" t="s">
        <v>109</v>
      </c>
      <c r="S69" s="407"/>
      <c r="T69" s="118">
        <f t="shared" si="5"/>
        <v>15</v>
      </c>
      <c r="U69" s="109">
        <f t="shared" si="6"/>
        <v>0</v>
      </c>
      <c r="V69" s="109">
        <f t="shared" si="6"/>
        <v>2</v>
      </c>
      <c r="W69" s="109">
        <f t="shared" si="6"/>
        <v>4</v>
      </c>
      <c r="X69" s="109">
        <f t="shared" si="6"/>
        <v>1</v>
      </c>
      <c r="Y69" s="109">
        <f t="shared" si="6"/>
        <v>2</v>
      </c>
      <c r="Z69" s="109">
        <f t="shared" si="6"/>
        <v>3</v>
      </c>
      <c r="AA69" s="109">
        <f t="shared" si="6"/>
        <v>1</v>
      </c>
      <c r="AB69" s="109">
        <f t="shared" si="6"/>
        <v>1</v>
      </c>
      <c r="AC69" s="108">
        <f t="shared" si="6"/>
        <v>1</v>
      </c>
      <c r="AD69" s="108">
        <f t="shared" si="6"/>
        <v>0</v>
      </c>
      <c r="AE69" s="108">
        <f t="shared" si="6"/>
        <v>0</v>
      </c>
    </row>
    <row r="70" spans="1:31" ht="36" customHeight="1" thickTop="1" thickBot="1" x14ac:dyDescent="0.3">
      <c r="A70" s="277"/>
      <c r="B70" s="252"/>
      <c r="C70" s="175" t="s">
        <v>161</v>
      </c>
      <c r="D70" s="440"/>
      <c r="E70" s="440"/>
      <c r="F70" s="440"/>
      <c r="G70" s="440"/>
      <c r="H70" s="440"/>
      <c r="I70" s="440"/>
      <c r="J70" s="415" t="s">
        <v>162</v>
      </c>
      <c r="K70" s="415"/>
      <c r="L70" s="416"/>
      <c r="M70" s="314"/>
      <c r="P70" s="423" t="s">
        <v>163</v>
      </c>
      <c r="Q70" s="110"/>
      <c r="R70" s="409" t="s">
        <v>141</v>
      </c>
      <c r="S70" s="409"/>
      <c r="T70" s="118">
        <f>SUM(U70:AE70)</f>
        <v>0</v>
      </c>
      <c r="U70" s="111">
        <f t="shared" si="6"/>
        <v>0</v>
      </c>
      <c r="V70" s="112">
        <f t="shared" si="6"/>
        <v>0</v>
      </c>
      <c r="W70" s="112">
        <f t="shared" si="6"/>
        <v>0</v>
      </c>
      <c r="X70" s="112">
        <f t="shared" si="6"/>
        <v>0</v>
      </c>
      <c r="Y70" s="112">
        <f t="shared" si="6"/>
        <v>0</v>
      </c>
      <c r="Z70" s="112">
        <f t="shared" si="6"/>
        <v>0</v>
      </c>
      <c r="AA70" s="112">
        <f t="shared" si="6"/>
        <v>0</v>
      </c>
      <c r="AB70" s="112">
        <f t="shared" si="6"/>
        <v>0</v>
      </c>
      <c r="AC70" s="112">
        <f t="shared" si="6"/>
        <v>0</v>
      </c>
      <c r="AD70" s="112">
        <f t="shared" si="6"/>
        <v>0</v>
      </c>
      <c r="AE70" s="112">
        <f t="shared" si="6"/>
        <v>0</v>
      </c>
    </row>
    <row r="71" spans="1:31" ht="35.25" customHeight="1" thickTop="1" thickBot="1" x14ac:dyDescent="0.3">
      <c r="A71" s="277"/>
      <c r="B71" s="252"/>
      <c r="C71" s="174" t="s">
        <v>164</v>
      </c>
      <c r="D71" s="439" t="s">
        <v>165</v>
      </c>
      <c r="E71" s="439"/>
      <c r="F71" s="439"/>
      <c r="G71" s="439"/>
      <c r="H71" s="439"/>
      <c r="I71" s="439"/>
      <c r="J71" s="417" t="s">
        <v>166</v>
      </c>
      <c r="K71" s="417"/>
      <c r="L71" s="418"/>
      <c r="M71" s="315"/>
      <c r="P71" s="423"/>
      <c r="Q71" s="110"/>
      <c r="R71" s="409" t="s">
        <v>143</v>
      </c>
      <c r="S71" s="409"/>
      <c r="T71" s="118">
        <f>SUM(U71:AE71)</f>
        <v>0</v>
      </c>
      <c r="U71" s="111">
        <f t="shared" si="6"/>
        <v>0</v>
      </c>
      <c r="V71" s="112">
        <f t="shared" si="6"/>
        <v>0</v>
      </c>
      <c r="W71" s="112">
        <f t="shared" si="6"/>
        <v>0</v>
      </c>
      <c r="X71" s="112">
        <f t="shared" si="6"/>
        <v>0</v>
      </c>
      <c r="Y71" s="112">
        <f t="shared" si="6"/>
        <v>0</v>
      </c>
      <c r="Z71" s="112">
        <f t="shared" si="6"/>
        <v>0</v>
      </c>
      <c r="AA71" s="112">
        <f t="shared" si="6"/>
        <v>0</v>
      </c>
      <c r="AB71" s="112">
        <f t="shared" si="6"/>
        <v>0</v>
      </c>
      <c r="AC71" s="112">
        <f t="shared" si="6"/>
        <v>0</v>
      </c>
      <c r="AD71" s="112">
        <f t="shared" si="6"/>
        <v>0</v>
      </c>
      <c r="AE71" s="112">
        <f t="shared" si="6"/>
        <v>0</v>
      </c>
    </row>
    <row r="72" spans="1:31" ht="19.5" customHeight="1" thickTop="1" x14ac:dyDescent="0.25">
      <c r="A72" s="277"/>
      <c r="B72" s="252"/>
      <c r="C72" s="173" t="s">
        <v>167</v>
      </c>
      <c r="D72" s="441" t="s">
        <v>168</v>
      </c>
      <c r="E72" s="441"/>
      <c r="F72" s="441"/>
      <c r="G72" s="441"/>
      <c r="H72" s="441"/>
      <c r="I72" s="441"/>
      <c r="J72" s="419"/>
      <c r="K72" s="419"/>
      <c r="L72" s="420"/>
      <c r="M72" s="315"/>
      <c r="P72" s="423"/>
      <c r="Q72" s="110"/>
      <c r="R72" s="409" t="s">
        <v>146</v>
      </c>
      <c r="S72" s="409"/>
      <c r="T72" s="118">
        <f>SUM(U72:AE72)</f>
        <v>0</v>
      </c>
      <c r="U72" s="111">
        <f t="shared" si="6"/>
        <v>0</v>
      </c>
      <c r="V72" s="112">
        <f t="shared" si="6"/>
        <v>0</v>
      </c>
      <c r="W72" s="112">
        <f t="shared" si="6"/>
        <v>0</v>
      </c>
      <c r="X72" s="112">
        <f t="shared" si="6"/>
        <v>0</v>
      </c>
      <c r="Y72" s="112">
        <f t="shared" si="6"/>
        <v>0</v>
      </c>
      <c r="Z72" s="112">
        <f t="shared" si="6"/>
        <v>0</v>
      </c>
      <c r="AA72" s="112">
        <f t="shared" si="6"/>
        <v>0</v>
      </c>
      <c r="AB72" s="112">
        <f t="shared" si="6"/>
        <v>0</v>
      </c>
      <c r="AC72" s="112">
        <f t="shared" si="6"/>
        <v>0</v>
      </c>
      <c r="AD72" s="112">
        <f t="shared" si="6"/>
        <v>0</v>
      </c>
      <c r="AE72" s="112">
        <f t="shared" si="6"/>
        <v>0</v>
      </c>
    </row>
    <row r="73" spans="1:31" s="47" customFormat="1" ht="19.5" thickBot="1" x14ac:dyDescent="0.3">
      <c r="A73" s="277"/>
      <c r="B73" s="252"/>
      <c r="C73" s="174" t="s">
        <v>169</v>
      </c>
      <c r="D73" s="439" t="s">
        <v>170</v>
      </c>
      <c r="E73" s="439"/>
      <c r="F73" s="439"/>
      <c r="G73" s="439"/>
      <c r="H73" s="439"/>
      <c r="I73" s="439"/>
      <c r="J73" s="421"/>
      <c r="K73" s="421"/>
      <c r="L73" s="422"/>
      <c r="M73" s="315"/>
      <c r="N73" s="105"/>
      <c r="P73" s="404" t="s">
        <v>81</v>
      </c>
      <c r="Q73" s="404"/>
      <c r="R73" s="404"/>
      <c r="S73" s="113"/>
      <c r="T73" s="119">
        <f t="shared" ref="T73:AE73" si="7">SUM(T68:T72)</f>
        <v>25</v>
      </c>
      <c r="U73" s="113">
        <f t="shared" si="7"/>
        <v>1</v>
      </c>
      <c r="V73" s="113">
        <f t="shared" si="7"/>
        <v>5</v>
      </c>
      <c r="W73" s="113">
        <f t="shared" si="7"/>
        <v>5</v>
      </c>
      <c r="X73" s="113">
        <f t="shared" si="7"/>
        <v>2</v>
      </c>
      <c r="Y73" s="113">
        <f t="shared" si="7"/>
        <v>5</v>
      </c>
      <c r="Z73" s="113">
        <f t="shared" si="7"/>
        <v>4</v>
      </c>
      <c r="AA73" s="113">
        <f t="shared" si="7"/>
        <v>1</v>
      </c>
      <c r="AB73" s="113">
        <f t="shared" si="7"/>
        <v>1</v>
      </c>
      <c r="AC73" s="113">
        <f t="shared" si="7"/>
        <v>1</v>
      </c>
      <c r="AD73" s="113">
        <f t="shared" si="7"/>
        <v>0</v>
      </c>
      <c r="AE73" s="113">
        <f t="shared" si="7"/>
        <v>0</v>
      </c>
    </row>
    <row r="74" spans="1:31" s="47" customFormat="1" ht="16.5" thickTop="1" x14ac:dyDescent="0.25">
      <c r="A74" s="277"/>
      <c r="B74" s="252"/>
      <c r="C74" s="173"/>
      <c r="D74" s="438"/>
      <c r="E74" s="438"/>
      <c r="F74" s="438"/>
      <c r="G74" s="438"/>
      <c r="H74" s="438"/>
      <c r="I74" s="438"/>
      <c r="J74" s="434"/>
      <c r="K74" s="434"/>
      <c r="L74" s="435"/>
      <c r="M74" s="314"/>
      <c r="N74" s="105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  <c r="AA74" s="114"/>
      <c r="AB74" s="114"/>
      <c r="AC74" s="114"/>
      <c r="AD74" s="114"/>
      <c r="AE74" s="114"/>
    </row>
    <row r="75" spans="1:31" ht="23.25" thickBot="1" x14ac:dyDescent="0.3">
      <c r="A75" s="277"/>
      <c r="B75" s="252"/>
      <c r="C75" s="174"/>
      <c r="D75" s="442"/>
      <c r="E75" s="442"/>
      <c r="F75" s="442"/>
      <c r="G75" s="442"/>
      <c r="H75" s="442"/>
      <c r="I75" s="442"/>
      <c r="J75" s="436"/>
      <c r="K75" s="436"/>
      <c r="L75" s="437"/>
      <c r="M75" s="314"/>
      <c r="P75" s="402" t="s">
        <v>160</v>
      </c>
      <c r="Q75" s="402"/>
      <c r="R75" s="402"/>
      <c r="S75" s="402"/>
      <c r="T75" s="402"/>
      <c r="U75" s="402"/>
      <c r="V75" s="402"/>
      <c r="W75" s="402"/>
      <c r="X75" s="402"/>
      <c r="Y75" s="402"/>
      <c r="Z75" s="402"/>
      <c r="AA75" s="402"/>
      <c r="AB75" s="402"/>
      <c r="AC75" s="402"/>
      <c r="AD75" s="402"/>
      <c r="AE75" s="402"/>
    </row>
    <row r="76" spans="1:31" ht="30" customHeight="1" thickTop="1" x14ac:dyDescent="0.25">
      <c r="A76" s="277"/>
      <c r="C76" s="173" t="s">
        <v>171</v>
      </c>
      <c r="D76" s="413" t="s">
        <v>172</v>
      </c>
      <c r="E76" s="413"/>
      <c r="F76" s="413"/>
      <c r="G76" s="413"/>
      <c r="H76" s="413"/>
      <c r="I76" s="413"/>
      <c r="J76" s="176"/>
      <c r="K76" s="179"/>
      <c r="L76" s="177"/>
      <c r="M76" s="179"/>
      <c r="P76" s="405" t="s">
        <v>157</v>
      </c>
      <c r="Q76" s="405"/>
      <c r="R76" s="405"/>
      <c r="S76" s="405"/>
      <c r="T76" s="106" t="s">
        <v>158</v>
      </c>
      <c r="U76" s="106" t="s">
        <v>71</v>
      </c>
      <c r="V76" s="106" t="s">
        <v>80</v>
      </c>
      <c r="W76" s="106" t="s">
        <v>57</v>
      </c>
      <c r="X76" s="106" t="s">
        <v>45</v>
      </c>
      <c r="Y76" s="106" t="s">
        <v>24</v>
      </c>
      <c r="Z76" s="106" t="s">
        <v>38</v>
      </c>
      <c r="AA76" s="106" t="s">
        <v>78</v>
      </c>
      <c r="AB76" s="106" t="s">
        <v>79</v>
      </c>
      <c r="AC76" s="106" t="s">
        <v>15</v>
      </c>
      <c r="AD76" s="106" t="s">
        <v>20</v>
      </c>
      <c r="AE76" s="106" t="s">
        <v>53</v>
      </c>
    </row>
    <row r="77" spans="1:31" ht="30" customHeight="1" x14ac:dyDescent="0.25">
      <c r="C77" s="178"/>
      <c r="D77" s="414" t="s">
        <v>173</v>
      </c>
      <c r="E77" s="414"/>
      <c r="F77" s="414"/>
      <c r="G77" s="414"/>
      <c r="H77" s="414"/>
      <c r="I77" s="414"/>
      <c r="J77" s="179"/>
      <c r="L77" s="180"/>
      <c r="M77" s="179"/>
      <c r="P77" s="406" t="s">
        <v>174</v>
      </c>
      <c r="Q77" s="107"/>
      <c r="R77" s="407" t="s">
        <v>124</v>
      </c>
      <c r="S77" s="407"/>
      <c r="T77" s="117">
        <f>SUM(U77:AE77)</f>
        <v>16</v>
      </c>
      <c r="U77" s="108">
        <f t="shared" ref="U77:AE80" si="8">COUNTIFS($J$3:$J$62,$R77,$F$3:$F$62,U$76)</f>
        <v>0</v>
      </c>
      <c r="V77" s="109">
        <f t="shared" si="8"/>
        <v>4</v>
      </c>
      <c r="W77" s="109">
        <f t="shared" si="8"/>
        <v>3</v>
      </c>
      <c r="X77" s="109">
        <f t="shared" si="8"/>
        <v>1</v>
      </c>
      <c r="Y77" s="108">
        <f t="shared" si="8"/>
        <v>2</v>
      </c>
      <c r="Z77" s="109">
        <f t="shared" si="8"/>
        <v>3</v>
      </c>
      <c r="AA77" s="109">
        <f t="shared" si="8"/>
        <v>1</v>
      </c>
      <c r="AB77" s="109">
        <f t="shared" si="8"/>
        <v>1</v>
      </c>
      <c r="AC77" s="108">
        <f t="shared" si="8"/>
        <v>1</v>
      </c>
      <c r="AD77" s="108">
        <f t="shared" si="8"/>
        <v>0</v>
      </c>
      <c r="AE77" s="108">
        <f t="shared" si="8"/>
        <v>0</v>
      </c>
    </row>
    <row r="78" spans="1:31" ht="30" customHeight="1" x14ac:dyDescent="0.25">
      <c r="C78" s="178"/>
      <c r="D78" s="414" t="s">
        <v>175</v>
      </c>
      <c r="E78" s="414"/>
      <c r="F78" s="414"/>
      <c r="G78" s="414"/>
      <c r="H78" s="414"/>
      <c r="I78" s="414"/>
      <c r="J78" s="179"/>
      <c r="K78" s="179"/>
      <c r="L78" s="180"/>
      <c r="M78" s="179"/>
      <c r="P78" s="406"/>
      <c r="Q78" s="107"/>
      <c r="R78" s="407" t="s">
        <v>127</v>
      </c>
      <c r="S78" s="407"/>
      <c r="T78" s="117">
        <f>SUM(U78:AE78)</f>
        <v>0</v>
      </c>
      <c r="U78" s="108">
        <f t="shared" si="8"/>
        <v>0</v>
      </c>
      <c r="V78" s="108">
        <f t="shared" si="8"/>
        <v>0</v>
      </c>
      <c r="W78" s="108">
        <f t="shared" si="8"/>
        <v>0</v>
      </c>
      <c r="X78" s="108">
        <f t="shared" si="8"/>
        <v>0</v>
      </c>
      <c r="Y78" s="108">
        <f t="shared" si="8"/>
        <v>0</v>
      </c>
      <c r="Z78" s="108">
        <f t="shared" si="8"/>
        <v>0</v>
      </c>
      <c r="AA78" s="108">
        <f t="shared" si="8"/>
        <v>0</v>
      </c>
      <c r="AB78" s="108">
        <f t="shared" si="8"/>
        <v>0</v>
      </c>
      <c r="AC78" s="108">
        <f t="shared" si="8"/>
        <v>0</v>
      </c>
      <c r="AD78" s="108">
        <f t="shared" si="8"/>
        <v>0</v>
      </c>
      <c r="AE78" s="108">
        <f t="shared" si="8"/>
        <v>0</v>
      </c>
    </row>
    <row r="79" spans="1:31" ht="30" customHeight="1" thickBot="1" x14ac:dyDescent="0.3">
      <c r="C79" s="174"/>
      <c r="D79" s="410" t="s">
        <v>176</v>
      </c>
      <c r="E79" s="410"/>
      <c r="F79" s="410"/>
      <c r="G79" s="410"/>
      <c r="H79" s="410"/>
      <c r="I79" s="410"/>
      <c r="J79" s="181"/>
      <c r="K79" s="181"/>
      <c r="L79" s="182"/>
      <c r="M79" s="179"/>
      <c r="P79" s="408" t="s">
        <v>177</v>
      </c>
      <c r="Q79" s="115"/>
      <c r="R79" s="409" t="s">
        <v>178</v>
      </c>
      <c r="S79" s="409"/>
      <c r="T79" s="118">
        <f>SUM(U79:AE79)</f>
        <v>0</v>
      </c>
      <c r="U79" s="111">
        <f t="shared" si="8"/>
        <v>0</v>
      </c>
      <c r="V79" s="112">
        <f t="shared" si="8"/>
        <v>0</v>
      </c>
      <c r="W79" s="112">
        <f t="shared" si="8"/>
        <v>0</v>
      </c>
      <c r="X79" s="112">
        <f t="shared" si="8"/>
        <v>0</v>
      </c>
      <c r="Y79" s="112">
        <f t="shared" si="8"/>
        <v>0</v>
      </c>
      <c r="Z79" s="112">
        <f t="shared" si="8"/>
        <v>0</v>
      </c>
      <c r="AA79" s="112">
        <f t="shared" si="8"/>
        <v>0</v>
      </c>
      <c r="AB79" s="112">
        <f t="shared" si="8"/>
        <v>0</v>
      </c>
      <c r="AC79" s="112">
        <f t="shared" si="8"/>
        <v>0</v>
      </c>
      <c r="AD79" s="112">
        <f t="shared" si="8"/>
        <v>0</v>
      </c>
      <c r="AE79" s="112">
        <f t="shared" si="8"/>
        <v>0</v>
      </c>
    </row>
    <row r="80" spans="1:31" ht="30" customHeight="1" thickTop="1" thickBot="1" x14ac:dyDescent="0.3">
      <c r="C80" s="183" t="s">
        <v>179</v>
      </c>
      <c r="D80" s="411" t="s">
        <v>180</v>
      </c>
      <c r="E80" s="411"/>
      <c r="F80" s="411"/>
      <c r="G80" s="411"/>
      <c r="H80" s="411"/>
      <c r="I80" s="411"/>
      <c r="J80" s="411"/>
      <c r="K80" s="411"/>
      <c r="L80" s="412"/>
      <c r="M80" s="316"/>
      <c r="P80" s="408"/>
      <c r="Q80" s="115"/>
      <c r="R80" s="409" t="s">
        <v>112</v>
      </c>
      <c r="S80" s="409"/>
      <c r="T80" s="118">
        <f>SUM(U80:AE80)</f>
        <v>4</v>
      </c>
      <c r="U80" s="112">
        <f t="shared" si="8"/>
        <v>0</v>
      </c>
      <c r="V80" s="111">
        <f t="shared" si="8"/>
        <v>2</v>
      </c>
      <c r="W80" s="112">
        <f t="shared" si="8"/>
        <v>0</v>
      </c>
      <c r="X80" s="111">
        <f t="shared" si="8"/>
        <v>1</v>
      </c>
      <c r="Y80" s="111">
        <f t="shared" si="8"/>
        <v>1</v>
      </c>
      <c r="Z80" s="112">
        <f t="shared" si="8"/>
        <v>0</v>
      </c>
      <c r="AA80" s="112">
        <f t="shared" si="8"/>
        <v>0</v>
      </c>
      <c r="AB80" s="112">
        <f t="shared" si="8"/>
        <v>0</v>
      </c>
      <c r="AC80" s="112">
        <f t="shared" si="8"/>
        <v>0</v>
      </c>
      <c r="AD80" s="112">
        <f t="shared" si="8"/>
        <v>0</v>
      </c>
      <c r="AE80" s="112">
        <f t="shared" si="8"/>
        <v>0</v>
      </c>
    </row>
    <row r="81" spans="2:31" s="47" customFormat="1" ht="30" customHeight="1" x14ac:dyDescent="0.25">
      <c r="B81" s="86"/>
      <c r="C81" s="85"/>
      <c r="D81" s="403"/>
      <c r="E81" s="403"/>
      <c r="F81" s="403"/>
      <c r="G81" s="403"/>
      <c r="H81" s="403"/>
      <c r="I81" s="403"/>
      <c r="J81" s="403"/>
      <c r="K81" s="403"/>
      <c r="L81" s="403"/>
      <c r="M81" s="308"/>
      <c r="N81" s="105"/>
      <c r="P81" s="404" t="s">
        <v>81</v>
      </c>
      <c r="Q81" s="404"/>
      <c r="R81" s="404"/>
      <c r="S81" s="113"/>
      <c r="T81" s="119">
        <f t="shared" ref="T81:AE81" si="9">SUM(T77:T80)</f>
        <v>20</v>
      </c>
      <c r="U81" s="116">
        <f t="shared" si="9"/>
        <v>0</v>
      </c>
      <c r="V81" s="116">
        <f t="shared" si="9"/>
        <v>6</v>
      </c>
      <c r="W81" s="116">
        <f t="shared" si="9"/>
        <v>3</v>
      </c>
      <c r="X81" s="116">
        <f t="shared" si="9"/>
        <v>2</v>
      </c>
      <c r="Y81" s="116">
        <f t="shared" si="9"/>
        <v>3</v>
      </c>
      <c r="Z81" s="116">
        <f t="shared" si="9"/>
        <v>3</v>
      </c>
      <c r="AA81" s="116">
        <f t="shared" si="9"/>
        <v>1</v>
      </c>
      <c r="AB81" s="116">
        <f t="shared" si="9"/>
        <v>1</v>
      </c>
      <c r="AC81" s="116">
        <f t="shared" si="9"/>
        <v>1</v>
      </c>
      <c r="AD81" s="116">
        <f t="shared" si="9"/>
        <v>0</v>
      </c>
      <c r="AE81" s="116">
        <f t="shared" si="9"/>
        <v>0</v>
      </c>
    </row>
  </sheetData>
  <autoFilter ref="C2:L65" xr:uid="{F1C50396-7D93-4E8E-AF2D-0B23530D2333}"/>
  <mergeCells count="46">
    <mergeCell ref="P66:AE66"/>
    <mergeCell ref="F67:J67"/>
    <mergeCell ref="K67:L67"/>
    <mergeCell ref="P67:S67"/>
    <mergeCell ref="F66:G66"/>
    <mergeCell ref="F64:G64"/>
    <mergeCell ref="F65:G65"/>
    <mergeCell ref="H65:I65"/>
    <mergeCell ref="C1:N1"/>
    <mergeCell ref="J74:L75"/>
    <mergeCell ref="D74:I74"/>
    <mergeCell ref="D68:I68"/>
    <mergeCell ref="D73:I73"/>
    <mergeCell ref="D70:I70"/>
    <mergeCell ref="D71:I71"/>
    <mergeCell ref="D72:I72"/>
    <mergeCell ref="D75:I75"/>
    <mergeCell ref="P68:P69"/>
    <mergeCell ref="R68:S68"/>
    <mergeCell ref="D69:I69"/>
    <mergeCell ref="R69:S69"/>
    <mergeCell ref="J68:L69"/>
    <mergeCell ref="P73:R73"/>
    <mergeCell ref="J70:L70"/>
    <mergeCell ref="J71:L71"/>
    <mergeCell ref="J72:L72"/>
    <mergeCell ref="J73:L73"/>
    <mergeCell ref="P70:P72"/>
    <mergeCell ref="R70:S70"/>
    <mergeCell ref="R71:S71"/>
    <mergeCell ref="R72:S72"/>
    <mergeCell ref="P75:AE75"/>
    <mergeCell ref="D81:L81"/>
    <mergeCell ref="P81:R81"/>
    <mergeCell ref="P76:S76"/>
    <mergeCell ref="P77:P78"/>
    <mergeCell ref="R77:S77"/>
    <mergeCell ref="R78:S78"/>
    <mergeCell ref="P79:P80"/>
    <mergeCell ref="R79:S79"/>
    <mergeCell ref="R80:S80"/>
    <mergeCell ref="D79:I79"/>
    <mergeCell ref="D80:L80"/>
    <mergeCell ref="D76:I76"/>
    <mergeCell ref="D77:I77"/>
    <mergeCell ref="D78:I78"/>
  </mergeCells>
  <phoneticPr fontId="89" type="noConversion"/>
  <conditionalFormatting sqref="L65:M65">
    <cfRule type="containsText" dxfId="102" priority="7" operator="containsText" text="Pendente">
      <formula>NOT(ISERROR(SEARCH("Pendente",L65)))</formula>
    </cfRule>
  </conditionalFormatting>
  <conditionalFormatting sqref="H64">
    <cfRule type="containsText" dxfId="101" priority="4" operator="containsText" text="Pendente">
      <formula>NOT(ISERROR(SEARCH("Pendente",H64)))</formula>
    </cfRule>
  </conditionalFormatting>
  <conditionalFormatting sqref="H65">
    <cfRule type="containsText" dxfId="100" priority="3" operator="containsText" text="Pendente">
      <formula>NOT(ISERROR(SEARCH("Pendente",H65)))</formula>
    </cfRule>
  </conditionalFormatting>
  <conditionalFormatting sqref="M4:M53">
    <cfRule type="containsText" dxfId="99" priority="1" operator="containsText" text="NÃO">
      <formula>NOT(ISERROR(SEARCH("NÃO",M4)))</formula>
    </cfRule>
    <cfRule type="containsText" dxfId="98" priority="2" operator="containsText" text="SIM">
      <formula>NOT(ISERROR(SEARCH("SIM",M4)))</formula>
    </cfRule>
  </conditionalFormatting>
  <printOptions horizontalCentered="1" verticalCentered="1"/>
  <pageMargins left="0" right="0" top="0" bottom="0.01" header="0" footer="0"/>
  <pageSetup paperSize="9" scale="32" orientation="portrait" r:id="rId1"/>
  <ignoredErrors>
    <ignoredError sqref="L65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E7A37-1456-4A14-B197-52ECD131E30A}">
  <sheetPr codeName="Planilha5">
    <tabColor theme="3" tint="0.39997558519241921"/>
    <pageSetUpPr fitToPage="1"/>
  </sheetPr>
  <dimension ref="A1:L38"/>
  <sheetViews>
    <sheetView view="pageBreakPreview" topLeftCell="A15" zoomScale="60" zoomScaleNormal="100" workbookViewId="0">
      <selection activeCell="G7" sqref="G7"/>
    </sheetView>
  </sheetViews>
  <sheetFormatPr defaultRowHeight="15" x14ac:dyDescent="0.25"/>
  <cols>
    <col min="1" max="1" width="37" style="86" customWidth="1"/>
    <col min="2" max="2" width="29.85546875" bestFit="1" customWidth="1"/>
    <col min="3" max="3" width="20.7109375" customWidth="1"/>
    <col min="4" max="4" width="7.5703125" bestFit="1" customWidth="1"/>
    <col min="5" max="5" width="20.85546875" bestFit="1" customWidth="1"/>
    <col min="6" max="6" width="28.42578125" bestFit="1" customWidth="1"/>
    <col min="7" max="7" width="19.140625" customWidth="1"/>
    <col min="8" max="8" width="9.140625" customWidth="1"/>
  </cols>
  <sheetData>
    <row r="1" spans="1:12" ht="58.5" customHeight="1" x14ac:dyDescent="0.25">
      <c r="A1" s="446" t="s">
        <v>286</v>
      </c>
      <c r="B1" s="447"/>
      <c r="C1" s="447"/>
      <c r="D1" s="447"/>
      <c r="E1" s="447"/>
      <c r="F1" s="447"/>
      <c r="G1" s="447"/>
    </row>
    <row r="2" spans="1:12" ht="28.5" customHeight="1" x14ac:dyDescent="0.25">
      <c r="A2" s="448"/>
      <c r="B2" s="449"/>
      <c r="C2" s="449"/>
      <c r="D2" s="449"/>
      <c r="E2" s="449"/>
      <c r="F2" s="449"/>
      <c r="G2" s="449"/>
    </row>
    <row r="3" spans="1:12" x14ac:dyDescent="0.25">
      <c r="A3" s="356" t="s">
        <v>287</v>
      </c>
      <c r="B3" s="357" t="s">
        <v>288</v>
      </c>
      <c r="C3" s="358" t="s">
        <v>289</v>
      </c>
      <c r="D3" s="359" t="s">
        <v>290</v>
      </c>
      <c r="E3" s="360" t="s">
        <v>291</v>
      </c>
      <c r="F3" s="358" t="s">
        <v>292</v>
      </c>
      <c r="G3" s="359" t="s">
        <v>277</v>
      </c>
      <c r="L3" s="87"/>
    </row>
    <row r="4" spans="1:12" x14ac:dyDescent="0.25">
      <c r="A4" s="361" t="str">
        <f>Helexia!C3</f>
        <v>Leandro Farias</v>
      </c>
      <c r="B4" s="362" t="s">
        <v>293</v>
      </c>
      <c r="C4" s="363" t="s">
        <v>294</v>
      </c>
      <c r="D4" s="364" t="s">
        <v>295</v>
      </c>
      <c r="E4" s="363" t="s">
        <v>296</v>
      </c>
      <c r="F4" s="365"/>
      <c r="G4" s="364"/>
      <c r="L4" s="87"/>
    </row>
    <row r="5" spans="1:12" x14ac:dyDescent="0.25">
      <c r="A5" s="361" t="str">
        <f>Helexia!C4</f>
        <v>Mônica Teles</v>
      </c>
      <c r="B5" s="362" t="s">
        <v>297</v>
      </c>
      <c r="C5" s="363" t="s">
        <v>298</v>
      </c>
      <c r="D5" s="364" t="s">
        <v>295</v>
      </c>
      <c r="E5" s="363" t="s">
        <v>296</v>
      </c>
      <c r="F5" s="365"/>
      <c r="G5" s="364"/>
      <c r="L5" s="87"/>
    </row>
    <row r="6" spans="1:12" x14ac:dyDescent="0.25">
      <c r="A6" s="361" t="str">
        <f>Helexia!C5</f>
        <v>Rogério Bastos</v>
      </c>
      <c r="B6" s="362" t="s">
        <v>438</v>
      </c>
      <c r="C6" s="363" t="s">
        <v>299</v>
      </c>
      <c r="D6" s="364" t="s">
        <v>295</v>
      </c>
      <c r="E6" s="363" t="s">
        <v>296</v>
      </c>
      <c r="F6" s="365"/>
      <c r="G6" s="364"/>
      <c r="L6" s="87"/>
    </row>
    <row r="7" spans="1:12" x14ac:dyDescent="0.25">
      <c r="A7" s="361" t="str">
        <f>Helexia!C6</f>
        <v>Elaine Pimentel</v>
      </c>
      <c r="B7" s="362" t="s">
        <v>300</v>
      </c>
      <c r="C7" s="363" t="s">
        <v>301</v>
      </c>
      <c r="D7" s="364" t="s">
        <v>302</v>
      </c>
      <c r="E7" s="363" t="s">
        <v>303</v>
      </c>
      <c r="F7" s="365"/>
      <c r="G7" s="364" t="s">
        <v>304</v>
      </c>
      <c r="L7" s="87"/>
    </row>
    <row r="8" spans="1:12" x14ac:dyDescent="0.25">
      <c r="A8" s="361" t="str">
        <f>Helexia!C7</f>
        <v>Fábio Cunha</v>
      </c>
      <c r="B8" s="362" t="s">
        <v>305</v>
      </c>
      <c r="C8" s="363" t="s">
        <v>306</v>
      </c>
      <c r="D8" s="364" t="s">
        <v>295</v>
      </c>
      <c r="E8" s="363" t="s">
        <v>303</v>
      </c>
      <c r="F8" s="365"/>
      <c r="G8" s="364"/>
      <c r="L8" s="87"/>
    </row>
    <row r="9" spans="1:12" x14ac:dyDescent="0.25">
      <c r="A9" s="361" t="str">
        <f>Helexia!C8</f>
        <v>Patrícia Andrade Lopes</v>
      </c>
      <c r="B9" s="362" t="s">
        <v>307</v>
      </c>
      <c r="C9" s="363" t="s">
        <v>308</v>
      </c>
      <c r="D9" s="364" t="s">
        <v>302</v>
      </c>
      <c r="E9" s="363" t="s">
        <v>303</v>
      </c>
      <c r="F9" s="365"/>
      <c r="G9" s="364"/>
      <c r="L9" s="87"/>
    </row>
    <row r="10" spans="1:12" x14ac:dyDescent="0.25">
      <c r="A10" s="361" t="str">
        <f>Helexia!C9</f>
        <v>Vinícius Moraes Rangel</v>
      </c>
      <c r="B10" s="362" t="s">
        <v>439</v>
      </c>
      <c r="C10" s="363" t="s">
        <v>309</v>
      </c>
      <c r="D10" s="364" t="s">
        <v>302</v>
      </c>
      <c r="E10" s="363" t="s">
        <v>303</v>
      </c>
      <c r="F10" s="365"/>
      <c r="G10" s="364"/>
      <c r="L10" s="87"/>
    </row>
    <row r="11" spans="1:12" x14ac:dyDescent="0.25">
      <c r="A11" s="361" t="str">
        <f>Helexia!C10</f>
        <v>Cláudia Peixoto Nobre</v>
      </c>
      <c r="B11" s="362" t="s">
        <v>310</v>
      </c>
      <c r="C11" s="363" t="s">
        <v>311</v>
      </c>
      <c r="D11" s="364" t="s">
        <v>295</v>
      </c>
      <c r="E11" s="363" t="s">
        <v>312</v>
      </c>
      <c r="F11" s="365" t="s">
        <v>495</v>
      </c>
      <c r="G11" s="364"/>
      <c r="L11" s="87"/>
    </row>
    <row r="12" spans="1:12" x14ac:dyDescent="0.25">
      <c r="A12" s="361" t="str">
        <f>Helexia!C11</f>
        <v>Renato Guedes Paiva</v>
      </c>
      <c r="B12" s="362" t="s">
        <v>313</v>
      </c>
      <c r="C12" s="363" t="s">
        <v>314</v>
      </c>
      <c r="D12" s="364" t="s">
        <v>295</v>
      </c>
      <c r="E12" s="363" t="s">
        <v>296</v>
      </c>
      <c r="F12" s="365"/>
      <c r="G12" s="364" t="s">
        <v>315</v>
      </c>
      <c r="L12" s="87"/>
    </row>
    <row r="13" spans="1:12" x14ac:dyDescent="0.25">
      <c r="A13" s="361" t="str">
        <f>Helexia!C12</f>
        <v>Silvia Matos Barreto</v>
      </c>
      <c r="B13" s="362" t="s">
        <v>316</v>
      </c>
      <c r="C13" s="363" t="s">
        <v>317</v>
      </c>
      <c r="D13" s="364" t="s">
        <v>295</v>
      </c>
      <c r="E13" s="363" t="s">
        <v>318</v>
      </c>
      <c r="F13" s="365"/>
      <c r="G13" s="364" t="s">
        <v>319</v>
      </c>
      <c r="L13" s="87"/>
    </row>
    <row r="14" spans="1:12" x14ac:dyDescent="0.25">
      <c r="A14" s="361" t="str">
        <f>Helexia!C13</f>
        <v>Daniel Afonso Queiroz Lima</v>
      </c>
      <c r="B14" s="362" t="s">
        <v>320</v>
      </c>
      <c r="C14" s="363" t="s">
        <v>321</v>
      </c>
      <c r="D14" s="364" t="s">
        <v>302</v>
      </c>
      <c r="E14" s="363" t="s">
        <v>318</v>
      </c>
      <c r="F14" s="365"/>
      <c r="G14" s="364"/>
      <c r="L14" s="87"/>
    </row>
    <row r="15" spans="1:12" x14ac:dyDescent="0.25">
      <c r="A15" s="361" t="str">
        <f>Helexia!C14</f>
        <v>Juliane Costa Figueiredo</v>
      </c>
      <c r="B15" s="362" t="s">
        <v>323</v>
      </c>
      <c r="C15" s="363" t="s">
        <v>317</v>
      </c>
      <c r="D15" s="364" t="s">
        <v>295</v>
      </c>
      <c r="E15" s="363" t="s">
        <v>312</v>
      </c>
      <c r="F15" s="365"/>
      <c r="G15" s="364" t="s">
        <v>324</v>
      </c>
      <c r="L15" s="87"/>
    </row>
    <row r="16" spans="1:12" x14ac:dyDescent="0.25">
      <c r="A16" s="361" t="str">
        <f>Helexia!C15</f>
        <v>Mauro Silveira Prado</v>
      </c>
      <c r="B16" s="362" t="s">
        <v>323</v>
      </c>
      <c r="C16" s="363" t="s">
        <v>325</v>
      </c>
      <c r="D16" s="364" t="s">
        <v>302</v>
      </c>
      <c r="E16" s="363" t="s">
        <v>303</v>
      </c>
      <c r="F16" s="365"/>
      <c r="G16" s="364" t="s">
        <v>326</v>
      </c>
      <c r="L16" s="87"/>
    </row>
    <row r="17" spans="1:12" x14ac:dyDescent="0.25">
      <c r="A17" s="361" t="str">
        <f>Helexia!C16</f>
        <v>Tatiana Borges Nascimento</v>
      </c>
      <c r="B17" s="362" t="s">
        <v>327</v>
      </c>
      <c r="C17" s="363" t="s">
        <v>328</v>
      </c>
      <c r="D17" s="364" t="s">
        <v>295</v>
      </c>
      <c r="E17" s="363" t="s">
        <v>329</v>
      </c>
      <c r="F17" s="365" t="s">
        <v>330</v>
      </c>
      <c r="G17" s="364" t="s">
        <v>331</v>
      </c>
      <c r="L17" s="87"/>
    </row>
    <row r="18" spans="1:12" x14ac:dyDescent="0.25">
      <c r="A18" s="361" t="str">
        <f>Helexia!C17</f>
        <v>Alex Rocha Pacheco</v>
      </c>
      <c r="B18" s="362" t="s">
        <v>332</v>
      </c>
      <c r="C18" s="363" t="s">
        <v>333</v>
      </c>
      <c r="D18" s="364" t="s">
        <v>295</v>
      </c>
      <c r="E18" s="363" t="s">
        <v>296</v>
      </c>
      <c r="F18" s="365"/>
      <c r="G18" s="364"/>
      <c r="L18" s="87"/>
    </row>
    <row r="19" spans="1:12" x14ac:dyDescent="0.25">
      <c r="A19" s="361" t="str">
        <f>Helexia!C18</f>
        <v>Eduardo Tavares Montenegro</v>
      </c>
      <c r="B19" s="362" t="s">
        <v>334</v>
      </c>
      <c r="C19" s="363" t="s">
        <v>335</v>
      </c>
      <c r="D19" s="364" t="s">
        <v>295</v>
      </c>
      <c r="E19" s="363" t="s">
        <v>303</v>
      </c>
      <c r="F19" s="365"/>
      <c r="G19" s="364"/>
      <c r="L19" s="259"/>
    </row>
    <row r="20" spans="1:12" ht="30" x14ac:dyDescent="0.25">
      <c r="A20" s="361" t="str">
        <f>Helexia!C19</f>
        <v>Bianca Lacerda Fontes</v>
      </c>
      <c r="B20" s="362" t="s">
        <v>440</v>
      </c>
      <c r="C20" s="363" t="s">
        <v>336</v>
      </c>
      <c r="D20" s="364" t="s">
        <v>302</v>
      </c>
      <c r="E20" s="363" t="s">
        <v>296</v>
      </c>
      <c r="F20" s="365" t="s">
        <v>494</v>
      </c>
      <c r="G20" s="366" t="s">
        <v>337</v>
      </c>
      <c r="H20" s="184"/>
      <c r="I20" s="184"/>
      <c r="L20" s="87"/>
    </row>
    <row r="21" spans="1:12" x14ac:dyDescent="0.25">
      <c r="A21" s="361" t="str">
        <f>Helexia!C20</f>
        <v>Samuel Torres Maciel</v>
      </c>
      <c r="B21" s="362" t="s">
        <v>441</v>
      </c>
      <c r="C21" s="363" t="s">
        <v>309</v>
      </c>
      <c r="D21" s="364" t="s">
        <v>302</v>
      </c>
      <c r="E21" s="363" t="s">
        <v>303</v>
      </c>
      <c r="F21" s="365"/>
      <c r="G21" s="364"/>
      <c r="L21" s="87"/>
    </row>
    <row r="22" spans="1:12" x14ac:dyDescent="0.25">
      <c r="A22" s="361" t="str">
        <f>Helexia!C21</f>
        <v>Priscila Azevedo Goulart</v>
      </c>
      <c r="B22" s="362" t="s">
        <v>338</v>
      </c>
      <c r="C22" s="363" t="s">
        <v>339</v>
      </c>
      <c r="D22" s="364" t="s">
        <v>295</v>
      </c>
      <c r="E22" s="363" t="s">
        <v>340</v>
      </c>
      <c r="F22" s="365"/>
      <c r="G22" s="364"/>
      <c r="L22" s="87"/>
    </row>
    <row r="23" spans="1:12" x14ac:dyDescent="0.25">
      <c r="A23" s="361" t="str">
        <f>Helexia!C22</f>
        <v>Henrique Vidal Soares</v>
      </c>
      <c r="B23" s="362" t="s">
        <v>442</v>
      </c>
      <c r="C23" s="363" t="s">
        <v>341</v>
      </c>
      <c r="D23" s="364" t="s">
        <v>342</v>
      </c>
      <c r="E23" s="363" t="s">
        <v>343</v>
      </c>
      <c r="F23" s="365" t="s">
        <v>344</v>
      </c>
      <c r="G23" s="364"/>
      <c r="L23" s="87"/>
    </row>
    <row r="24" spans="1:12" x14ac:dyDescent="0.25">
      <c r="A24" s="361" t="str">
        <f>Helexia!C23</f>
        <v>André Luiz Falcão Duarte</v>
      </c>
      <c r="B24" s="362" t="s">
        <v>345</v>
      </c>
      <c r="C24" s="363" t="s">
        <v>346</v>
      </c>
      <c r="D24" s="364" t="s">
        <v>302</v>
      </c>
      <c r="E24" s="363" t="s">
        <v>303</v>
      </c>
      <c r="F24" s="365"/>
      <c r="G24" s="364" t="s">
        <v>347</v>
      </c>
      <c r="L24" s="87"/>
    </row>
    <row r="25" spans="1:12" x14ac:dyDescent="0.25">
      <c r="A25" s="361" t="str">
        <f>Helexia!C24</f>
        <v>Camila Noronha Brito</v>
      </c>
      <c r="B25" s="362" t="s">
        <v>438</v>
      </c>
      <c r="C25" s="363" t="s">
        <v>348</v>
      </c>
      <c r="D25" s="364" t="s">
        <v>295</v>
      </c>
      <c r="E25" s="363" t="s">
        <v>349</v>
      </c>
      <c r="F25" s="365"/>
      <c r="G25" s="364" t="s">
        <v>350</v>
      </c>
      <c r="L25" s="87"/>
    </row>
    <row r="26" spans="1:12" x14ac:dyDescent="0.25">
      <c r="A26" s="361" t="str">
        <f>Helexia!C25</f>
        <v>João Victor Meireles</v>
      </c>
      <c r="B26" s="362" t="s">
        <v>443</v>
      </c>
      <c r="C26" s="363" t="s">
        <v>339</v>
      </c>
      <c r="D26" s="364" t="s">
        <v>295</v>
      </c>
      <c r="E26" s="363" t="s">
        <v>340</v>
      </c>
      <c r="F26" s="365"/>
      <c r="G26" s="364"/>
      <c r="L26" s="87"/>
    </row>
    <row r="27" spans="1:12" x14ac:dyDescent="0.25">
      <c r="A27" s="361" t="str">
        <f>Helexia!C26</f>
        <v>Renata Salgado Motta</v>
      </c>
      <c r="B27" s="362" t="s">
        <v>351</v>
      </c>
      <c r="C27" s="363" t="s">
        <v>352</v>
      </c>
      <c r="D27" s="364" t="s">
        <v>353</v>
      </c>
      <c r="E27" s="363" t="s">
        <v>354</v>
      </c>
      <c r="F27" s="365"/>
      <c r="G27" s="364"/>
      <c r="L27" s="87"/>
    </row>
    <row r="28" spans="1:12" x14ac:dyDescent="0.25">
      <c r="A28" s="361" t="str">
        <f>Helexia!C27</f>
        <v>Igor Valente Cruz</v>
      </c>
      <c r="B28" s="362" t="s">
        <v>355</v>
      </c>
      <c r="C28" s="363" t="s">
        <v>356</v>
      </c>
      <c r="D28" s="364" t="s">
        <v>302</v>
      </c>
      <c r="E28" s="363" t="s">
        <v>303</v>
      </c>
      <c r="F28" s="365"/>
      <c r="G28" s="364"/>
      <c r="L28" s="259"/>
    </row>
    <row r="29" spans="1:12" x14ac:dyDescent="0.25">
      <c r="A29" s="361" t="str">
        <f>Helexia!C28</f>
        <v>Lucas Rafael Monte Verde Santos</v>
      </c>
      <c r="B29" s="362" t="s">
        <v>444</v>
      </c>
      <c r="C29" s="363" t="s">
        <v>357</v>
      </c>
      <c r="D29" s="364" t="s">
        <v>302</v>
      </c>
      <c r="E29" s="363" t="s">
        <v>296</v>
      </c>
      <c r="F29" s="365"/>
      <c r="G29" s="364"/>
      <c r="L29" s="87"/>
    </row>
    <row r="30" spans="1:12" x14ac:dyDescent="0.25">
      <c r="A30" s="361" t="str">
        <f>Helexia!C29</f>
        <v>Ana Beatriz Rocha Diniz</v>
      </c>
      <c r="B30" s="362" t="s">
        <v>358</v>
      </c>
      <c r="C30" s="363" t="s">
        <v>359</v>
      </c>
      <c r="D30" s="364" t="s">
        <v>360</v>
      </c>
      <c r="E30" s="363" t="s">
        <v>303</v>
      </c>
      <c r="F30" s="365"/>
      <c r="G30" s="364"/>
      <c r="L30" s="87"/>
    </row>
    <row r="31" spans="1:12" x14ac:dyDescent="0.25">
      <c r="A31" s="361" t="str">
        <f>Helexia!C30</f>
        <v>Marcelo Augusto Ferraz Pinho</v>
      </c>
      <c r="B31" s="362" t="s">
        <v>361</v>
      </c>
      <c r="C31" s="363" t="s">
        <v>362</v>
      </c>
      <c r="D31" s="364" t="s">
        <v>302</v>
      </c>
      <c r="E31" s="363" t="s">
        <v>363</v>
      </c>
      <c r="F31" s="365"/>
      <c r="G31" s="364"/>
      <c r="L31" s="87"/>
    </row>
    <row r="32" spans="1:12" x14ac:dyDescent="0.25">
      <c r="A32" s="361" t="str">
        <f>Helexia!C31</f>
        <v>Carolina Venturini Paes</v>
      </c>
      <c r="B32" s="362" t="s">
        <v>364</v>
      </c>
      <c r="C32" s="363" t="s">
        <v>339</v>
      </c>
      <c r="D32" s="364" t="s">
        <v>295</v>
      </c>
      <c r="E32" s="363" t="s">
        <v>365</v>
      </c>
      <c r="F32" s="365"/>
      <c r="G32" s="364"/>
      <c r="L32" s="87"/>
    </row>
    <row r="33" spans="1:12" x14ac:dyDescent="0.25">
      <c r="A33" s="361" t="str">
        <f>Helexia!C32</f>
        <v>Felipe Otávio Corrêa Leite</v>
      </c>
      <c r="B33" s="362" t="s">
        <v>366</v>
      </c>
      <c r="C33" s="363" t="s">
        <v>367</v>
      </c>
      <c r="D33" s="364" t="s">
        <v>302</v>
      </c>
      <c r="E33" s="363" t="s">
        <v>303</v>
      </c>
      <c r="F33" s="365"/>
      <c r="G33" s="364"/>
      <c r="L33" s="87"/>
    </row>
    <row r="34" spans="1:12" x14ac:dyDescent="0.25">
      <c r="A34" s="361" t="str">
        <f>Helexia!C33</f>
        <v>Nathalia Freire Sampaio</v>
      </c>
      <c r="B34" s="362" t="s">
        <v>368</v>
      </c>
      <c r="C34" s="363" t="s">
        <v>369</v>
      </c>
      <c r="D34" s="364" t="s">
        <v>302</v>
      </c>
      <c r="E34" s="363" t="s">
        <v>303</v>
      </c>
      <c r="F34" s="365"/>
      <c r="G34" s="364"/>
      <c r="L34" s="87"/>
    </row>
    <row r="35" spans="1:12" x14ac:dyDescent="0.25">
      <c r="A35" s="361" t="str">
        <f>Helexia!C34</f>
        <v>Roberto Caetano Nolasco</v>
      </c>
      <c r="B35" s="362" t="s">
        <v>370</v>
      </c>
      <c r="C35" s="363" t="s">
        <v>370</v>
      </c>
      <c r="D35" s="364" t="s">
        <v>370</v>
      </c>
      <c r="E35" s="363" t="s">
        <v>370</v>
      </c>
      <c r="F35" s="365"/>
      <c r="G35" s="364"/>
      <c r="L35" s="87"/>
    </row>
    <row r="36" spans="1:12" x14ac:dyDescent="0.25">
      <c r="A36" s="361" t="str">
        <f>Helexia!C35</f>
        <v>Luiza Barcellos Antunes</v>
      </c>
      <c r="B36" s="362" t="s">
        <v>370</v>
      </c>
      <c r="C36" s="363" t="s">
        <v>370</v>
      </c>
      <c r="D36" s="364" t="s">
        <v>370</v>
      </c>
      <c r="E36" s="363" t="s">
        <v>370</v>
      </c>
      <c r="F36" s="365" t="s">
        <v>344</v>
      </c>
      <c r="G36" s="364"/>
      <c r="L36" s="87"/>
    </row>
    <row r="37" spans="1:12" x14ac:dyDescent="0.25">
      <c r="A37" s="361" t="str">
        <f>Helexia!C36</f>
        <v>Pedro Henrique Alvarenga</v>
      </c>
      <c r="B37" s="362" t="s">
        <v>371</v>
      </c>
      <c r="C37" s="363" t="s">
        <v>369</v>
      </c>
      <c r="D37" s="364" t="s">
        <v>302</v>
      </c>
      <c r="E37" s="363" t="s">
        <v>296</v>
      </c>
      <c r="F37" s="365"/>
      <c r="G37" s="364"/>
      <c r="L37" s="87"/>
    </row>
    <row r="38" spans="1:12" x14ac:dyDescent="0.25">
      <c r="A38" s="361" t="str">
        <f>Helexia!C37</f>
        <v>Sofia Mendes Albuquerque</v>
      </c>
      <c r="B38" s="362" t="s">
        <v>370</v>
      </c>
      <c r="C38" s="363" t="s">
        <v>370</v>
      </c>
      <c r="D38" s="364" t="s">
        <v>370</v>
      </c>
      <c r="E38" s="363" t="s">
        <v>370</v>
      </c>
      <c r="F38" s="365"/>
      <c r="G38" s="364"/>
      <c r="L38" s="87"/>
    </row>
  </sheetData>
  <mergeCells count="1">
    <mergeCell ref="A1:G2"/>
  </mergeCells>
  <printOptions horizontalCentered="1" verticalCentered="1"/>
  <pageMargins left="0" right="0" top="0" bottom="0" header="0" footer="0"/>
  <pageSetup paperSize="9" scale="64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67808-0B7E-4DDC-8BE7-A87E295FB8C2}">
  <sheetPr codeName="Planilha6">
    <tabColor theme="3" tint="0.39997558519241921"/>
    <pageSetUpPr fitToPage="1"/>
  </sheetPr>
  <dimension ref="A1:AB45"/>
  <sheetViews>
    <sheetView view="pageBreakPreview" zoomScale="70" zoomScaleNormal="100" zoomScaleSheetLayoutView="70" workbookViewId="0">
      <selection activeCell="L30" sqref="L30"/>
    </sheetView>
  </sheetViews>
  <sheetFormatPr defaultRowHeight="15" x14ac:dyDescent="0.25"/>
  <cols>
    <col min="1" max="13" width="9.140625" style="1"/>
    <col min="14" max="14" width="30" style="1" customWidth="1"/>
    <col min="15" max="15" width="21" customWidth="1"/>
    <col min="16" max="16" width="11.7109375" customWidth="1"/>
  </cols>
  <sheetData>
    <row r="1" spans="1:28" ht="15" customHeight="1" x14ac:dyDescent="0.25">
      <c r="A1" s="292"/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</row>
    <row r="2" spans="1:28" ht="15" customHeight="1" x14ac:dyDescent="0.25">
      <c r="A2" s="292"/>
      <c r="B2" s="292"/>
      <c r="C2" s="292"/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</row>
    <row r="3" spans="1:28" x14ac:dyDescent="0.25">
      <c r="A3" s="292"/>
      <c r="B3" s="292"/>
      <c r="C3" s="292"/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292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</row>
    <row r="4" spans="1:28" x14ac:dyDescent="0.25">
      <c r="A4" s="292"/>
      <c r="B4" s="292"/>
      <c r="C4" s="292"/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</row>
    <row r="5" spans="1:28" x14ac:dyDescent="0.25">
      <c r="A5" s="292"/>
      <c r="B5" s="292"/>
      <c r="C5" s="292"/>
      <c r="D5" s="292"/>
      <c r="E5" s="292"/>
      <c r="F5" s="292"/>
      <c r="G5" s="292"/>
      <c r="H5" s="292"/>
      <c r="I5" s="292"/>
      <c r="J5" s="292"/>
      <c r="K5" s="292"/>
      <c r="L5" s="292"/>
      <c r="M5" s="292"/>
      <c r="N5" s="292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91"/>
      <c r="Z5" s="191"/>
      <c r="AA5" s="191"/>
      <c r="AB5" s="191"/>
    </row>
    <row r="6" spans="1:28" x14ac:dyDescent="0.25">
      <c r="A6" s="292"/>
      <c r="B6" s="292"/>
      <c r="C6" s="292"/>
      <c r="D6" s="292"/>
      <c r="E6" s="292"/>
      <c r="F6" s="292"/>
      <c r="G6" s="292"/>
      <c r="H6" s="292"/>
      <c r="I6" s="292"/>
      <c r="J6" s="292"/>
      <c r="K6" s="292"/>
      <c r="L6" s="292"/>
      <c r="M6" s="292"/>
      <c r="N6" s="292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</row>
    <row r="7" spans="1:28" x14ac:dyDescent="0.25">
      <c r="A7" s="292"/>
      <c r="B7" s="292"/>
      <c r="C7" s="292"/>
      <c r="D7" s="292"/>
      <c r="E7" s="292"/>
      <c r="F7" s="292"/>
      <c r="G7" s="292"/>
      <c r="H7" s="292"/>
      <c r="I7" s="292"/>
      <c r="J7" s="292"/>
      <c r="K7" s="292"/>
      <c r="L7" s="292"/>
      <c r="M7" s="292"/>
      <c r="N7" s="292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</row>
    <row r="8" spans="1:28" x14ac:dyDescent="0.25">
      <c r="A8" s="292"/>
      <c r="B8" s="292"/>
      <c r="C8" s="292"/>
      <c r="D8" s="292"/>
      <c r="E8" s="292"/>
      <c r="F8" s="292"/>
      <c r="G8" s="292"/>
      <c r="H8" s="292"/>
      <c r="I8" s="292"/>
      <c r="J8" s="292"/>
      <c r="K8" s="292"/>
      <c r="L8" s="292"/>
      <c r="M8" s="292"/>
      <c r="N8" s="292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  <c r="AA8" s="191"/>
      <c r="AB8" s="191"/>
    </row>
    <row r="9" spans="1:28" x14ac:dyDescent="0.25">
      <c r="A9" s="292"/>
      <c r="B9" s="292"/>
      <c r="C9" s="292"/>
      <c r="D9" s="292"/>
      <c r="E9" s="292"/>
      <c r="F9" s="292"/>
      <c r="G9" s="292"/>
      <c r="H9" s="292"/>
      <c r="I9" s="292"/>
      <c r="J9" s="292"/>
      <c r="K9" s="292"/>
      <c r="L9" s="292"/>
      <c r="M9" s="292"/>
      <c r="N9" s="292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1"/>
      <c r="AB9" s="191"/>
    </row>
    <row r="10" spans="1:28" x14ac:dyDescent="0.25">
      <c r="A10" s="292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</row>
    <row r="11" spans="1:28" x14ac:dyDescent="0.25">
      <c r="A11" s="292"/>
      <c r="B11" s="292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</row>
    <row r="12" spans="1:28" x14ac:dyDescent="0.25">
      <c r="A12" s="292"/>
      <c r="B12" s="292"/>
      <c r="C12" s="292"/>
      <c r="D12" s="292"/>
      <c r="E12" s="292"/>
      <c r="F12" s="292"/>
      <c r="G12" s="292"/>
      <c r="H12" s="292"/>
      <c r="I12" s="292"/>
      <c r="J12" s="292"/>
      <c r="K12" s="292"/>
      <c r="L12" s="292"/>
      <c r="M12" s="292"/>
      <c r="N12" s="292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</row>
    <row r="13" spans="1:28" x14ac:dyDescent="0.25">
      <c r="A13" s="292"/>
      <c r="B13" s="292"/>
      <c r="C13" s="292"/>
      <c r="D13" s="292"/>
      <c r="E13" s="292"/>
      <c r="F13" s="292"/>
      <c r="G13" s="292"/>
      <c r="H13" s="292"/>
      <c r="I13" s="292"/>
      <c r="J13" s="292"/>
      <c r="K13" s="292"/>
      <c r="L13" s="292"/>
      <c r="M13" s="292"/>
      <c r="N13" s="292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</row>
    <row r="14" spans="1:28" x14ac:dyDescent="0.25">
      <c r="A14" s="292"/>
      <c r="B14" s="292"/>
      <c r="C14" s="292"/>
      <c r="D14" s="292"/>
      <c r="E14" s="292"/>
      <c r="F14" s="292"/>
      <c r="G14" s="292"/>
      <c r="H14" s="292"/>
      <c r="I14" s="292"/>
      <c r="J14" s="292"/>
      <c r="K14" s="292"/>
      <c r="L14" s="292"/>
      <c r="M14" s="292"/>
      <c r="N14" s="292"/>
      <c r="O14" s="191"/>
      <c r="P14" s="191"/>
      <c r="Q14" s="191"/>
      <c r="R14" s="191"/>
      <c r="S14" s="191"/>
      <c r="T14" s="191"/>
      <c r="U14" s="191"/>
      <c r="V14" s="191"/>
      <c r="W14" s="191"/>
      <c r="X14" s="191"/>
      <c r="Y14" s="191"/>
      <c r="Z14" s="191"/>
      <c r="AA14" s="191"/>
      <c r="AB14" s="191"/>
    </row>
    <row r="15" spans="1:28" x14ac:dyDescent="0.25">
      <c r="A15" s="292"/>
      <c r="B15" s="292"/>
      <c r="C15" s="292"/>
      <c r="D15" s="292"/>
      <c r="E15" s="292"/>
      <c r="F15" s="292"/>
      <c r="G15" s="292"/>
      <c r="H15" s="292"/>
      <c r="I15" s="292"/>
      <c r="J15" s="292"/>
      <c r="K15" s="292"/>
      <c r="L15" s="292"/>
      <c r="M15" s="292"/>
      <c r="N15" s="292"/>
      <c r="O15" s="191"/>
      <c r="P15" s="191"/>
      <c r="Q15" s="191"/>
      <c r="R15" s="191"/>
      <c r="S15" s="191"/>
      <c r="T15" s="191"/>
      <c r="U15" s="191"/>
      <c r="V15" s="191"/>
      <c r="W15" s="191"/>
      <c r="X15" s="191"/>
      <c r="Y15" s="191"/>
      <c r="Z15" s="191"/>
      <c r="AA15" s="191"/>
      <c r="AB15" s="191"/>
    </row>
    <row r="16" spans="1:28" x14ac:dyDescent="0.25">
      <c r="A16" s="292"/>
      <c r="B16" s="292"/>
      <c r="C16" s="292"/>
      <c r="D16" s="292"/>
      <c r="E16" s="292"/>
      <c r="F16" s="292"/>
      <c r="G16" s="292"/>
      <c r="H16" s="292"/>
      <c r="I16" s="292"/>
      <c r="J16" s="292"/>
      <c r="K16" s="292"/>
      <c r="L16" s="292"/>
      <c r="M16" s="292"/>
      <c r="N16" s="292"/>
      <c r="O16" s="191"/>
      <c r="P16" s="191"/>
      <c r="Q16" s="191"/>
      <c r="R16" s="191"/>
      <c r="S16" s="191"/>
      <c r="T16" s="191"/>
      <c r="U16" s="191"/>
      <c r="V16" s="191"/>
      <c r="W16" s="191"/>
      <c r="X16" s="191"/>
      <c r="Y16" s="191"/>
      <c r="Z16" s="191"/>
      <c r="AA16" s="191"/>
      <c r="AB16" s="191"/>
    </row>
    <row r="17" spans="1:28" x14ac:dyDescent="0.25">
      <c r="A17" s="292"/>
      <c r="B17" s="292"/>
      <c r="C17" s="292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2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Z17" s="191"/>
      <c r="AA17" s="191"/>
      <c r="AB17" s="191"/>
    </row>
    <row r="18" spans="1:28" x14ac:dyDescent="0.25">
      <c r="A18" s="292"/>
      <c r="B18" s="292"/>
      <c r="C18" s="292"/>
      <c r="D18" s="292"/>
      <c r="E18" s="292"/>
      <c r="F18" s="292"/>
      <c r="G18" s="292"/>
      <c r="H18" s="292"/>
      <c r="I18" s="292"/>
      <c r="J18" s="292"/>
      <c r="K18" s="292"/>
      <c r="L18" s="292"/>
      <c r="M18" s="292"/>
      <c r="N18" s="292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191"/>
      <c r="Z18" s="191"/>
      <c r="AA18" s="191"/>
      <c r="AB18" s="191"/>
    </row>
    <row r="19" spans="1:28" x14ac:dyDescent="0.25">
      <c r="A19" s="292"/>
      <c r="B19" s="292"/>
      <c r="C19" s="292"/>
      <c r="D19" s="292"/>
      <c r="E19" s="292"/>
      <c r="F19" s="292"/>
      <c r="G19" s="292"/>
      <c r="H19" s="292"/>
      <c r="I19" s="292"/>
      <c r="J19" s="292"/>
      <c r="K19" s="292"/>
      <c r="L19" s="292"/>
      <c r="M19" s="292"/>
      <c r="N19" s="292"/>
      <c r="O19" s="191"/>
      <c r="P19" s="191"/>
      <c r="Q19" s="191"/>
      <c r="R19" s="191"/>
      <c r="S19" s="191"/>
      <c r="T19" s="191"/>
      <c r="U19" s="191"/>
      <c r="V19" s="191"/>
      <c r="W19" s="191"/>
      <c r="X19" s="191"/>
      <c r="Y19" s="191"/>
      <c r="Z19" s="191"/>
      <c r="AA19" s="191"/>
      <c r="AB19" s="191"/>
    </row>
    <row r="20" spans="1:28" x14ac:dyDescent="0.25">
      <c r="A20" s="292"/>
      <c r="B20" s="292"/>
      <c r="C20" s="292"/>
      <c r="D20" s="292"/>
      <c r="E20" s="292"/>
      <c r="F20" s="292"/>
      <c r="G20" s="292"/>
      <c r="H20" s="292"/>
      <c r="I20" s="292"/>
      <c r="J20" s="292"/>
      <c r="K20" s="292"/>
      <c r="L20" s="292"/>
      <c r="M20" s="292"/>
      <c r="N20" s="292"/>
      <c r="O20" s="191"/>
      <c r="P20" s="191"/>
      <c r="Q20" s="191"/>
      <c r="R20" s="191"/>
      <c r="S20" s="191"/>
      <c r="T20" s="191"/>
      <c r="U20" s="191"/>
      <c r="V20" s="191"/>
      <c r="W20" s="191"/>
      <c r="X20" s="191"/>
      <c r="Y20" s="191"/>
      <c r="Z20" s="191"/>
      <c r="AA20" s="191"/>
      <c r="AB20" s="191"/>
    </row>
    <row r="21" spans="1:28" x14ac:dyDescent="0.25">
      <c r="A21" s="292"/>
      <c r="B21" s="292"/>
      <c r="C21" s="292"/>
      <c r="D21" s="292"/>
      <c r="E21" s="292"/>
      <c r="F21" s="292"/>
      <c r="G21" s="292"/>
      <c r="H21" s="292"/>
      <c r="I21" s="292"/>
      <c r="J21" s="292"/>
      <c r="K21" s="292"/>
      <c r="L21" s="292"/>
      <c r="M21" s="292"/>
      <c r="N21" s="292"/>
      <c r="O21" s="191"/>
      <c r="P21" s="191"/>
      <c r="Q21" s="191"/>
      <c r="R21" s="191"/>
      <c r="S21" s="191"/>
      <c r="T21" s="191"/>
      <c r="U21" s="191"/>
      <c r="V21" s="191"/>
      <c r="W21" s="191"/>
      <c r="X21" s="191"/>
      <c r="Y21" s="191"/>
      <c r="Z21" s="191"/>
      <c r="AA21" s="191"/>
      <c r="AB21" s="191"/>
    </row>
    <row r="22" spans="1:28" x14ac:dyDescent="0.25">
      <c r="A22" s="292"/>
      <c r="B22" s="292"/>
      <c r="C22" s="292"/>
      <c r="D22" s="292"/>
      <c r="E22" s="292"/>
      <c r="F22" s="292"/>
      <c r="G22" s="292"/>
      <c r="H22" s="292"/>
      <c r="I22" s="292"/>
      <c r="J22" s="292"/>
      <c r="K22" s="292"/>
      <c r="L22" s="292"/>
      <c r="M22" s="292"/>
      <c r="N22" s="292"/>
      <c r="O22" s="191"/>
      <c r="P22" s="191"/>
      <c r="Q22" s="191"/>
      <c r="R22" s="191"/>
      <c r="S22" s="191"/>
      <c r="T22" s="191"/>
      <c r="U22" s="191"/>
      <c r="V22" s="191"/>
      <c r="W22" s="191"/>
      <c r="X22" s="191"/>
      <c r="Y22" s="191"/>
      <c r="Z22" s="191"/>
      <c r="AA22" s="191"/>
      <c r="AB22" s="191"/>
    </row>
    <row r="23" spans="1:28" x14ac:dyDescent="0.25">
      <c r="A23" s="292"/>
      <c r="B23" s="292"/>
      <c r="C23" s="292"/>
      <c r="D23" s="292"/>
      <c r="E23" s="292"/>
      <c r="F23" s="292"/>
      <c r="G23" s="292"/>
      <c r="H23" s="292"/>
      <c r="I23" s="292"/>
      <c r="J23" s="292"/>
      <c r="K23" s="292"/>
      <c r="L23" s="292"/>
      <c r="M23" s="292"/>
      <c r="N23" s="292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1"/>
      <c r="AA23" s="191"/>
      <c r="AB23" s="191"/>
    </row>
    <row r="24" spans="1:28" x14ac:dyDescent="0.25">
      <c r="A24" s="292"/>
      <c r="B24" s="292"/>
      <c r="C24" s="292"/>
      <c r="D24" s="292"/>
      <c r="E24" s="292"/>
      <c r="F24" s="292"/>
      <c r="G24" s="292"/>
      <c r="H24" s="292"/>
      <c r="I24" s="292"/>
      <c r="J24" s="292"/>
      <c r="K24" s="292"/>
      <c r="L24" s="292"/>
      <c r="M24" s="292"/>
      <c r="N24" s="292"/>
      <c r="O24" s="191"/>
      <c r="P24" s="191"/>
      <c r="Q24" s="191"/>
      <c r="R24" s="191"/>
      <c r="S24" s="191"/>
      <c r="T24" s="191"/>
      <c r="U24" s="191"/>
      <c r="V24" s="191"/>
      <c r="W24" s="191"/>
      <c r="X24" s="191"/>
      <c r="Y24" s="191"/>
      <c r="Z24" s="191"/>
      <c r="AA24" s="191"/>
      <c r="AB24" s="191"/>
    </row>
    <row r="25" spans="1:28" x14ac:dyDescent="0.25">
      <c r="A25" s="292"/>
      <c r="B25" s="292"/>
      <c r="C25" s="292"/>
      <c r="D25" s="292"/>
      <c r="E25" s="292"/>
      <c r="F25" s="292"/>
      <c r="G25" s="292"/>
      <c r="H25" s="292"/>
      <c r="I25" s="292"/>
      <c r="J25" s="292"/>
      <c r="K25" s="292"/>
      <c r="L25" s="292"/>
      <c r="M25" s="292"/>
      <c r="N25" s="292"/>
      <c r="O25" s="191"/>
      <c r="P25" s="191"/>
      <c r="Q25" s="191"/>
      <c r="R25" s="191"/>
      <c r="S25" s="191"/>
      <c r="T25" s="191"/>
      <c r="U25" s="191"/>
      <c r="V25" s="191"/>
      <c r="W25" s="191"/>
      <c r="X25" s="191"/>
      <c r="Y25" s="191"/>
      <c r="Z25" s="191"/>
      <c r="AA25" s="191"/>
      <c r="AB25" s="191"/>
    </row>
    <row r="26" spans="1:28" x14ac:dyDescent="0.25">
      <c r="A26" s="292"/>
      <c r="B26" s="292"/>
      <c r="C26" s="292"/>
      <c r="D26" s="292"/>
      <c r="E26" s="292"/>
      <c r="F26" s="292"/>
      <c r="G26" s="292"/>
      <c r="H26" s="292"/>
      <c r="I26" s="292"/>
      <c r="J26" s="292"/>
      <c r="K26" s="292"/>
      <c r="L26" s="292"/>
      <c r="M26" s="292"/>
      <c r="N26" s="292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</row>
    <row r="27" spans="1:28" x14ac:dyDescent="0.25">
      <c r="A27" s="292"/>
      <c r="B27" s="292"/>
      <c r="C27" s="292"/>
      <c r="D27" s="292"/>
      <c r="E27" s="292"/>
      <c r="F27" s="292"/>
      <c r="G27" s="292"/>
      <c r="H27" s="292"/>
      <c r="I27" s="292"/>
      <c r="J27" s="292"/>
      <c r="K27" s="292"/>
      <c r="L27" s="292"/>
      <c r="M27" s="292"/>
      <c r="N27" s="292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</row>
    <row r="28" spans="1:28" x14ac:dyDescent="0.25">
      <c r="A28" s="292"/>
      <c r="B28" s="292"/>
      <c r="C28" s="292"/>
      <c r="D28" s="292"/>
      <c r="E28" s="292"/>
      <c r="F28" s="292"/>
      <c r="G28" s="292"/>
      <c r="H28" s="292"/>
      <c r="I28" s="292"/>
      <c r="J28" s="292"/>
      <c r="K28" s="292"/>
      <c r="L28" s="292"/>
      <c r="M28" s="292"/>
      <c r="N28" s="292"/>
      <c r="O28" s="191"/>
      <c r="P28" s="191"/>
    </row>
    <row r="29" spans="1:28" x14ac:dyDescent="0.25">
      <c r="A29" s="292"/>
      <c r="B29" s="292"/>
      <c r="C29" s="292"/>
      <c r="D29" s="292"/>
      <c r="E29" s="292"/>
      <c r="F29" s="292"/>
      <c r="G29" s="292"/>
      <c r="H29" s="292"/>
      <c r="I29" s="292"/>
      <c r="J29" s="292"/>
      <c r="K29" s="292"/>
      <c r="L29" s="292"/>
      <c r="M29" s="292"/>
      <c r="N29" s="292"/>
      <c r="O29" s="191"/>
      <c r="P29" s="191"/>
    </row>
    <row r="30" spans="1:28" x14ac:dyDescent="0.25">
      <c r="A30" s="292"/>
      <c r="B30" s="292"/>
      <c r="C30" s="292"/>
      <c r="D30" s="292"/>
      <c r="E30" s="292"/>
      <c r="F30" s="292"/>
      <c r="G30" s="292"/>
      <c r="H30" s="292"/>
      <c r="I30" s="292"/>
      <c r="J30" s="292"/>
      <c r="K30" s="292"/>
      <c r="L30" s="292"/>
      <c r="M30" s="292"/>
      <c r="N30" s="292"/>
      <c r="O30" s="191"/>
      <c r="P30" s="191"/>
    </row>
    <row r="31" spans="1:28" x14ac:dyDescent="0.25">
      <c r="A31" s="292"/>
      <c r="B31" s="292"/>
      <c r="C31" s="292"/>
      <c r="D31" s="292"/>
      <c r="E31" s="292"/>
      <c r="F31" s="292"/>
      <c r="G31" s="292"/>
      <c r="H31" s="292"/>
      <c r="I31" s="292"/>
      <c r="J31" s="292"/>
      <c r="K31" s="292"/>
      <c r="L31" s="292"/>
      <c r="M31" s="292"/>
      <c r="N31" s="292"/>
      <c r="O31" s="191"/>
      <c r="P31" s="191"/>
    </row>
    <row r="32" spans="1:28" x14ac:dyDescent="0.25">
      <c r="A32" s="292"/>
      <c r="B32" s="292"/>
      <c r="C32" s="292"/>
      <c r="D32" s="292"/>
      <c r="E32" s="292"/>
      <c r="F32" s="292"/>
      <c r="G32" s="292"/>
      <c r="H32" s="292"/>
      <c r="I32" s="292"/>
      <c r="J32" s="292"/>
      <c r="K32" s="292"/>
      <c r="L32" s="292"/>
      <c r="M32" s="292"/>
      <c r="N32" s="292"/>
      <c r="O32" s="191"/>
      <c r="P32" s="191"/>
    </row>
    <row r="33" spans="1:16" x14ac:dyDescent="0.25">
      <c r="A33" s="292"/>
      <c r="B33" s="292"/>
      <c r="C33" s="292"/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191"/>
      <c r="P33" s="191"/>
    </row>
    <row r="34" spans="1:16" x14ac:dyDescent="0.25">
      <c r="A34" s="292"/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191"/>
      <c r="P34" s="191"/>
    </row>
    <row r="35" spans="1:16" x14ac:dyDescent="0.25">
      <c r="A35" s="292"/>
      <c r="B35" s="292"/>
      <c r="C35" s="292"/>
      <c r="D35" s="292"/>
      <c r="E35" s="292"/>
      <c r="F35" s="292"/>
      <c r="G35" s="292"/>
      <c r="H35" s="292"/>
      <c r="I35" s="292"/>
      <c r="J35" s="292"/>
      <c r="K35" s="292"/>
      <c r="L35" s="292"/>
      <c r="M35" s="292"/>
      <c r="N35" s="292"/>
      <c r="O35" s="191"/>
      <c r="P35" s="191"/>
    </row>
    <row r="36" spans="1:16" x14ac:dyDescent="0.25">
      <c r="A36" s="292"/>
      <c r="B36" s="292"/>
      <c r="C36" s="292"/>
      <c r="D36" s="292"/>
      <c r="E36" s="292"/>
      <c r="F36" s="292"/>
      <c r="G36" s="292"/>
      <c r="H36" s="292"/>
      <c r="I36" s="292"/>
      <c r="J36" s="292"/>
      <c r="K36" s="292"/>
      <c r="L36" s="292"/>
      <c r="M36" s="292"/>
      <c r="N36" s="292"/>
      <c r="O36" s="191"/>
      <c r="P36" s="191"/>
    </row>
    <row r="37" spans="1:16" x14ac:dyDescent="0.25">
      <c r="A37" s="292"/>
      <c r="B37" s="292"/>
      <c r="C37" s="292"/>
      <c r="D37" s="292"/>
      <c r="E37" s="292"/>
      <c r="F37" s="292"/>
      <c r="G37" s="292"/>
      <c r="H37" s="292"/>
      <c r="I37" s="292"/>
      <c r="J37" s="292"/>
      <c r="K37" s="292"/>
      <c r="L37" s="292"/>
      <c r="M37" s="292"/>
      <c r="N37" s="292"/>
      <c r="O37" s="191"/>
      <c r="P37" s="191"/>
    </row>
    <row r="38" spans="1:16" x14ac:dyDescent="0.25">
      <c r="A38" s="292"/>
      <c r="B38" s="292"/>
      <c r="C38" s="292"/>
      <c r="D38" s="292"/>
      <c r="E38" s="292"/>
      <c r="F38" s="292"/>
      <c r="G38" s="292"/>
      <c r="H38" s="292"/>
      <c r="I38" s="292"/>
      <c r="J38" s="292"/>
      <c r="K38" s="292"/>
      <c r="L38" s="292"/>
      <c r="M38" s="292"/>
      <c r="N38" s="292"/>
      <c r="O38" s="191"/>
      <c r="P38" s="191"/>
    </row>
    <row r="39" spans="1:16" x14ac:dyDescent="0.25">
      <c r="A39" s="292"/>
      <c r="B39" s="292"/>
      <c r="C39" s="292"/>
      <c r="D39" s="292"/>
      <c r="E39" s="292"/>
      <c r="F39" s="292"/>
      <c r="G39" s="292"/>
      <c r="H39" s="292"/>
      <c r="I39" s="292"/>
      <c r="J39" s="292"/>
      <c r="K39" s="292"/>
      <c r="L39" s="292"/>
      <c r="M39" s="292"/>
      <c r="N39" s="292"/>
      <c r="O39" s="191"/>
      <c r="P39" s="191"/>
    </row>
    <row r="40" spans="1:16" x14ac:dyDescent="0.25">
      <c r="A40" s="292"/>
      <c r="B40" s="292"/>
      <c r="C40" s="292"/>
      <c r="D40" s="292"/>
      <c r="E40" s="292"/>
      <c r="F40" s="292"/>
      <c r="G40" s="292"/>
      <c r="H40" s="292"/>
      <c r="I40" s="292"/>
      <c r="J40" s="292"/>
      <c r="K40" s="292"/>
      <c r="L40" s="292"/>
      <c r="M40" s="292"/>
      <c r="N40" s="292"/>
      <c r="O40" s="191"/>
      <c r="P40" s="191"/>
    </row>
    <row r="41" spans="1:16" x14ac:dyDescent="0.25">
      <c r="A41" s="292"/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121"/>
      <c r="M41" s="292"/>
      <c r="N41" s="292"/>
      <c r="O41" s="191"/>
      <c r="P41" s="191"/>
    </row>
    <row r="42" spans="1:16" x14ac:dyDescent="0.25">
      <c r="L42" s="121"/>
    </row>
    <row r="43" spans="1:16" x14ac:dyDescent="0.25">
      <c r="L43" s="121"/>
    </row>
    <row r="44" spans="1:16" x14ac:dyDescent="0.25">
      <c r="L44" s="121"/>
    </row>
    <row r="45" spans="1:16" x14ac:dyDescent="0.25">
      <c r="J45" s="260"/>
      <c r="K45" s="293"/>
      <c r="L45" s="121"/>
    </row>
  </sheetData>
  <printOptions horizontalCentered="1" verticalCentered="1"/>
  <pageMargins left="0" right="0" top="0" bottom="0" header="0" footer="0"/>
  <pageSetup paperSize="9" scale="51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F71B6-C569-456B-9E13-87324C981BA2}">
  <sheetPr codeName="Planilha7">
    <tabColor theme="3" tint="0.39997558519241921"/>
    <pageSetUpPr fitToPage="1"/>
  </sheetPr>
  <dimension ref="A1:M53"/>
  <sheetViews>
    <sheetView view="pageBreakPreview" topLeftCell="A17" zoomScale="55" zoomScaleNormal="55" zoomScaleSheetLayoutView="55" workbookViewId="0">
      <selection activeCell="D51" sqref="D51:D52"/>
    </sheetView>
  </sheetViews>
  <sheetFormatPr defaultRowHeight="15" x14ac:dyDescent="0.25"/>
  <cols>
    <col min="1" max="1" width="3.7109375" bestFit="1" customWidth="1"/>
    <col min="2" max="2" width="25.42578125" customWidth="1"/>
    <col min="3" max="3" width="12.28515625" bestFit="1" customWidth="1"/>
    <col min="4" max="4" width="5.5703125" bestFit="1" customWidth="1"/>
    <col min="5" max="5" width="20.140625" bestFit="1" customWidth="1"/>
    <col min="6" max="6" width="17" bestFit="1" customWidth="1"/>
    <col min="7" max="7" width="34.85546875" bestFit="1" customWidth="1"/>
    <col min="8" max="8" width="38.85546875" bestFit="1" customWidth="1"/>
    <col min="9" max="9" width="29.42578125" bestFit="1" customWidth="1"/>
    <col min="10" max="10" width="20.140625" bestFit="1" customWidth="1"/>
    <col min="11" max="11" width="10.85546875" bestFit="1" customWidth="1"/>
    <col min="12" max="12" width="14.140625" bestFit="1" customWidth="1"/>
    <col min="13" max="13" width="20.85546875" bestFit="1" customWidth="1"/>
  </cols>
  <sheetData>
    <row r="1" spans="1:13" ht="51.75" customHeight="1" x14ac:dyDescent="0.25">
      <c r="A1" s="450" t="s">
        <v>197</v>
      </c>
      <c r="B1" s="451"/>
      <c r="C1" s="451"/>
      <c r="D1" s="451"/>
      <c r="E1" s="451"/>
      <c r="F1" s="451"/>
      <c r="G1" s="451"/>
      <c r="H1" s="451"/>
      <c r="I1" s="451"/>
      <c r="J1" s="451"/>
      <c r="K1" s="451"/>
      <c r="L1" s="451"/>
      <c r="M1" s="452"/>
    </row>
    <row r="2" spans="1:13" ht="15.75" x14ac:dyDescent="0.25">
      <c r="A2" s="261" t="s">
        <v>198</v>
      </c>
      <c r="B2" s="261" t="s">
        <v>199</v>
      </c>
      <c r="C2" s="262" t="s">
        <v>200</v>
      </c>
      <c r="D2" s="263" t="s">
        <v>99</v>
      </c>
      <c r="E2" s="263" t="s">
        <v>201</v>
      </c>
      <c r="F2" s="263" t="s">
        <v>202</v>
      </c>
      <c r="G2" s="263" t="s">
        <v>203</v>
      </c>
      <c r="H2" s="264" t="s">
        <v>157</v>
      </c>
      <c r="I2" s="263" t="s">
        <v>204</v>
      </c>
      <c r="J2" s="263" t="s">
        <v>205</v>
      </c>
      <c r="K2" s="263" t="s">
        <v>206</v>
      </c>
      <c r="L2" s="263" t="s">
        <v>207</v>
      </c>
      <c r="M2" s="263" t="s">
        <v>208</v>
      </c>
    </row>
    <row r="3" spans="1:13" ht="23.25" customHeight="1" x14ac:dyDescent="0.25">
      <c r="A3" s="265">
        <v>1</v>
      </c>
      <c r="B3" s="124" t="s">
        <v>511</v>
      </c>
      <c r="C3" s="124" t="s">
        <v>22</v>
      </c>
      <c r="D3" s="125" t="s">
        <v>24</v>
      </c>
      <c r="E3" s="255" t="s">
        <v>496</v>
      </c>
      <c r="F3" s="266" t="s">
        <v>497</v>
      </c>
      <c r="G3" s="126" t="s">
        <v>210</v>
      </c>
      <c r="H3" s="295" t="s">
        <v>211</v>
      </c>
      <c r="I3" s="369" t="s">
        <v>510</v>
      </c>
      <c r="J3" s="127" t="s">
        <v>212</v>
      </c>
      <c r="K3" s="128">
        <v>45387</v>
      </c>
      <c r="L3" s="128">
        <v>45947</v>
      </c>
      <c r="M3" s="127" t="s">
        <v>213</v>
      </c>
    </row>
    <row r="4" spans="1:13" ht="23.25" customHeight="1" x14ac:dyDescent="0.25">
      <c r="A4" s="265">
        <v>2</v>
      </c>
      <c r="B4" s="124" t="s">
        <v>512</v>
      </c>
      <c r="C4" s="124" t="s">
        <v>23</v>
      </c>
      <c r="D4" s="125" t="s">
        <v>24</v>
      </c>
      <c r="E4" s="369" t="s">
        <v>496</v>
      </c>
      <c r="F4" s="368" t="s">
        <v>498</v>
      </c>
      <c r="G4" s="126" t="s">
        <v>210</v>
      </c>
      <c r="H4" s="295" t="s">
        <v>211</v>
      </c>
      <c r="I4" s="369" t="s">
        <v>510</v>
      </c>
      <c r="J4" s="127" t="s">
        <v>212</v>
      </c>
      <c r="K4" s="128">
        <v>45387</v>
      </c>
      <c r="L4" s="128">
        <v>45947</v>
      </c>
      <c r="M4" s="127" t="s">
        <v>213</v>
      </c>
    </row>
    <row r="5" spans="1:13" ht="23.25" customHeight="1" x14ac:dyDescent="0.25">
      <c r="A5" s="265">
        <v>3</v>
      </c>
      <c r="B5" s="124" t="s">
        <v>513</v>
      </c>
      <c r="C5" s="124" t="s">
        <v>28</v>
      </c>
      <c r="D5" s="125" t="s">
        <v>24</v>
      </c>
      <c r="E5" s="369" t="s">
        <v>496</v>
      </c>
      <c r="F5" s="368" t="s">
        <v>499</v>
      </c>
      <c r="G5" s="255"/>
      <c r="H5" s="295"/>
      <c r="I5" s="255"/>
      <c r="J5" s="129" t="s">
        <v>217</v>
      </c>
      <c r="K5" s="128"/>
      <c r="L5" s="128"/>
      <c r="M5" s="129" t="s">
        <v>218</v>
      </c>
    </row>
    <row r="6" spans="1:13" ht="23.25" customHeight="1" x14ac:dyDescent="0.25">
      <c r="A6" s="265">
        <v>4</v>
      </c>
      <c r="B6" s="124" t="s">
        <v>514</v>
      </c>
      <c r="C6" s="124" t="s">
        <v>22</v>
      </c>
      <c r="D6" s="125" t="s">
        <v>24</v>
      </c>
      <c r="E6" s="369" t="s">
        <v>496</v>
      </c>
      <c r="F6" s="267" t="s">
        <v>221</v>
      </c>
      <c r="G6" s="255"/>
      <c r="H6" s="295"/>
      <c r="I6" s="255"/>
      <c r="J6" s="130" t="s">
        <v>217</v>
      </c>
      <c r="K6" s="128"/>
      <c r="L6" s="128"/>
      <c r="M6" s="130" t="s">
        <v>218</v>
      </c>
    </row>
    <row r="7" spans="1:13" ht="23.25" customHeight="1" x14ac:dyDescent="0.25">
      <c r="A7" s="265">
        <v>5</v>
      </c>
      <c r="B7" s="124" t="s">
        <v>515</v>
      </c>
      <c r="C7" s="124" t="s">
        <v>33</v>
      </c>
      <c r="D7" s="125" t="s">
        <v>38</v>
      </c>
      <c r="E7" s="369" t="s">
        <v>496</v>
      </c>
      <c r="F7" s="267" t="s">
        <v>221</v>
      </c>
      <c r="G7" s="255"/>
      <c r="H7" s="295"/>
      <c r="I7" s="255"/>
      <c r="J7" s="130" t="s">
        <v>217</v>
      </c>
      <c r="K7" s="128"/>
      <c r="L7" s="128"/>
      <c r="M7" s="130" t="s">
        <v>218</v>
      </c>
    </row>
    <row r="8" spans="1:13" ht="23.25" customHeight="1" x14ac:dyDescent="0.25">
      <c r="A8" s="265">
        <v>6</v>
      </c>
      <c r="B8" s="124" t="s">
        <v>516</v>
      </c>
      <c r="C8" s="124" t="s">
        <v>224</v>
      </c>
      <c r="D8" s="125" t="s">
        <v>38</v>
      </c>
      <c r="E8" s="369" t="s">
        <v>496</v>
      </c>
      <c r="F8" s="267" t="s">
        <v>221</v>
      </c>
      <c r="G8" s="255"/>
      <c r="H8" s="295"/>
      <c r="I8" s="255"/>
      <c r="J8" s="130" t="s">
        <v>217</v>
      </c>
      <c r="K8" s="128"/>
      <c r="L8" s="128"/>
      <c r="M8" s="130" t="s">
        <v>218</v>
      </c>
    </row>
    <row r="9" spans="1:13" ht="23.25" customHeight="1" x14ac:dyDescent="0.25">
      <c r="A9" s="265">
        <v>7</v>
      </c>
      <c r="B9" s="124" t="s">
        <v>517</v>
      </c>
      <c r="C9" s="124" t="s">
        <v>37</v>
      </c>
      <c r="D9" s="125" t="s">
        <v>45</v>
      </c>
      <c r="E9" s="369" t="s">
        <v>496</v>
      </c>
      <c r="F9" s="267" t="s">
        <v>221</v>
      </c>
      <c r="G9" s="255"/>
      <c r="H9" s="295"/>
      <c r="I9" s="255"/>
      <c r="J9" s="130" t="s">
        <v>217</v>
      </c>
      <c r="K9" s="128"/>
      <c r="L9" s="128"/>
      <c r="M9" s="130" t="s">
        <v>218</v>
      </c>
    </row>
    <row r="10" spans="1:13" ht="23.25" customHeight="1" x14ac:dyDescent="0.25">
      <c r="A10" s="265">
        <v>8</v>
      </c>
      <c r="B10" s="124" t="s">
        <v>518</v>
      </c>
      <c r="C10" s="124" t="s">
        <v>37</v>
      </c>
      <c r="D10" s="125" t="s">
        <v>45</v>
      </c>
      <c r="E10" s="369" t="s">
        <v>496</v>
      </c>
      <c r="F10" s="267" t="s">
        <v>221</v>
      </c>
      <c r="G10" s="255"/>
      <c r="H10" s="295"/>
      <c r="I10" s="255"/>
      <c r="J10" s="130" t="s">
        <v>217</v>
      </c>
      <c r="K10" s="128"/>
      <c r="L10" s="128"/>
      <c r="M10" s="130" t="s">
        <v>218</v>
      </c>
    </row>
    <row r="11" spans="1:13" ht="23.25" customHeight="1" x14ac:dyDescent="0.25">
      <c r="A11" s="265">
        <v>9</v>
      </c>
      <c r="B11" s="124" t="s">
        <v>519</v>
      </c>
      <c r="C11" s="124" t="s">
        <v>39</v>
      </c>
      <c r="D11" s="125" t="s">
        <v>45</v>
      </c>
      <c r="E11" s="369" t="s">
        <v>496</v>
      </c>
      <c r="F11" s="267" t="s">
        <v>221</v>
      </c>
      <c r="G11" s="255"/>
      <c r="H11" s="295"/>
      <c r="I11" s="255"/>
      <c r="J11" s="130" t="s">
        <v>217</v>
      </c>
      <c r="K11" s="128"/>
      <c r="L11" s="128"/>
      <c r="M11" s="130" t="s">
        <v>218</v>
      </c>
    </row>
    <row r="12" spans="1:13" ht="23.25" customHeight="1" x14ac:dyDescent="0.25">
      <c r="A12" s="265">
        <v>10</v>
      </c>
      <c r="B12" s="124" t="s">
        <v>520</v>
      </c>
      <c r="C12" s="124" t="s">
        <v>40</v>
      </c>
      <c r="D12" s="125" t="s">
        <v>45</v>
      </c>
      <c r="E12" s="369" t="s">
        <v>496</v>
      </c>
      <c r="F12" s="267" t="s">
        <v>221</v>
      </c>
      <c r="G12" s="255"/>
      <c r="H12" s="295"/>
      <c r="I12" s="255"/>
      <c r="J12" s="130" t="s">
        <v>217</v>
      </c>
      <c r="K12" s="128"/>
      <c r="L12" s="128"/>
      <c r="M12" s="130" t="s">
        <v>218</v>
      </c>
    </row>
    <row r="13" spans="1:13" ht="23.25" customHeight="1" x14ac:dyDescent="0.25">
      <c r="A13" s="265">
        <v>11</v>
      </c>
      <c r="B13" s="124" t="s">
        <v>521</v>
      </c>
      <c r="C13" s="124" t="s">
        <v>37</v>
      </c>
      <c r="D13" s="125" t="s">
        <v>45</v>
      </c>
      <c r="E13" s="369" t="s">
        <v>496</v>
      </c>
      <c r="F13" s="267" t="s">
        <v>221</v>
      </c>
      <c r="G13" s="255"/>
      <c r="H13" s="295"/>
      <c r="I13" s="255"/>
      <c r="J13" s="130" t="s">
        <v>217</v>
      </c>
      <c r="K13" s="128"/>
      <c r="L13" s="128"/>
      <c r="M13" s="130" t="s">
        <v>218</v>
      </c>
    </row>
    <row r="14" spans="1:13" ht="23.25" customHeight="1" x14ac:dyDescent="0.25">
      <c r="A14" s="265">
        <v>12</v>
      </c>
      <c r="B14" s="124" t="s">
        <v>522</v>
      </c>
      <c r="C14" s="124" t="s">
        <v>37</v>
      </c>
      <c r="D14" s="125" t="s">
        <v>45</v>
      </c>
      <c r="E14" s="369" t="s">
        <v>496</v>
      </c>
      <c r="F14" s="267" t="s">
        <v>221</v>
      </c>
      <c r="G14" s="255"/>
      <c r="H14" s="295"/>
      <c r="I14" s="255"/>
      <c r="J14" s="130" t="s">
        <v>217</v>
      </c>
      <c r="K14" s="128"/>
      <c r="L14" s="128"/>
      <c r="M14" s="130" t="s">
        <v>218</v>
      </c>
    </row>
    <row r="15" spans="1:13" ht="23.25" customHeight="1" x14ac:dyDescent="0.25">
      <c r="A15" s="265">
        <v>13</v>
      </c>
      <c r="B15" s="124" t="s">
        <v>523</v>
      </c>
      <c r="C15" s="124" t="s">
        <v>43</v>
      </c>
      <c r="D15" s="125" t="s">
        <v>57</v>
      </c>
      <c r="E15" s="369" t="s">
        <v>496</v>
      </c>
      <c r="F15" s="267" t="s">
        <v>221</v>
      </c>
      <c r="G15" s="255"/>
      <c r="H15" s="295"/>
      <c r="I15" s="255"/>
      <c r="J15" s="130" t="s">
        <v>217</v>
      </c>
      <c r="K15" s="128"/>
      <c r="L15" s="128"/>
      <c r="M15" s="130" t="s">
        <v>218</v>
      </c>
    </row>
    <row r="16" spans="1:13" ht="23.25" customHeight="1" x14ac:dyDescent="0.25">
      <c r="A16" s="265">
        <v>14</v>
      </c>
      <c r="B16" s="124" t="s">
        <v>524</v>
      </c>
      <c r="C16" s="124" t="s">
        <v>46</v>
      </c>
      <c r="D16" s="125" t="s">
        <v>57</v>
      </c>
      <c r="E16" s="369" t="s">
        <v>496</v>
      </c>
      <c r="F16" s="267" t="s">
        <v>221</v>
      </c>
      <c r="G16" s="255"/>
      <c r="H16" s="295"/>
      <c r="I16" s="255"/>
      <c r="J16" s="130" t="s">
        <v>217</v>
      </c>
      <c r="K16" s="128"/>
      <c r="L16" s="128"/>
      <c r="M16" s="130" t="s">
        <v>218</v>
      </c>
    </row>
    <row r="17" spans="1:13" ht="23.25" customHeight="1" x14ac:dyDescent="0.25">
      <c r="A17" s="265">
        <v>15</v>
      </c>
      <c r="B17" s="124" t="s">
        <v>525</v>
      </c>
      <c r="C17" s="124" t="s">
        <v>49</v>
      </c>
      <c r="D17" s="125" t="s">
        <v>57</v>
      </c>
      <c r="E17" s="369" t="s">
        <v>496</v>
      </c>
      <c r="F17" s="267" t="s">
        <v>221</v>
      </c>
      <c r="G17" s="255"/>
      <c r="H17" s="295"/>
      <c r="I17" s="255"/>
      <c r="J17" s="130" t="s">
        <v>217</v>
      </c>
      <c r="K17" s="128"/>
      <c r="L17" s="128"/>
      <c r="M17" s="130" t="s">
        <v>218</v>
      </c>
    </row>
    <row r="18" spans="1:13" ht="23.25" customHeight="1" x14ac:dyDescent="0.25">
      <c r="A18" s="265">
        <v>16</v>
      </c>
      <c r="B18" s="124" t="s">
        <v>526</v>
      </c>
      <c r="C18" s="124" t="s">
        <v>50</v>
      </c>
      <c r="D18" s="125" t="s">
        <v>57</v>
      </c>
      <c r="E18" s="369" t="s">
        <v>496</v>
      </c>
      <c r="F18" s="267" t="s">
        <v>221</v>
      </c>
      <c r="G18" s="255"/>
      <c r="H18" s="295"/>
      <c r="I18" s="255"/>
      <c r="J18" s="130" t="s">
        <v>217</v>
      </c>
      <c r="K18" s="128"/>
      <c r="L18" s="128"/>
      <c r="M18" s="130" t="s">
        <v>218</v>
      </c>
    </row>
    <row r="19" spans="1:13" ht="23.25" customHeight="1" x14ac:dyDescent="0.25">
      <c r="A19" s="265">
        <v>17</v>
      </c>
      <c r="B19" s="124" t="s">
        <v>527</v>
      </c>
      <c r="C19" s="124" t="s">
        <v>50</v>
      </c>
      <c r="D19" s="125" t="s">
        <v>57</v>
      </c>
      <c r="E19" s="369" t="s">
        <v>496</v>
      </c>
      <c r="F19" s="267" t="s">
        <v>221</v>
      </c>
      <c r="G19" s="255"/>
      <c r="H19" s="295"/>
      <c r="I19" s="255"/>
      <c r="J19" s="130" t="s">
        <v>217</v>
      </c>
      <c r="K19" s="128"/>
      <c r="L19" s="128"/>
      <c r="M19" s="130" t="s">
        <v>218</v>
      </c>
    </row>
    <row r="20" spans="1:13" ht="23.25" customHeight="1" x14ac:dyDescent="0.25">
      <c r="A20" s="265">
        <v>18</v>
      </c>
      <c r="B20" s="124" t="s">
        <v>528</v>
      </c>
      <c r="C20" s="124" t="s">
        <v>51</v>
      </c>
      <c r="D20" s="125" t="s">
        <v>57</v>
      </c>
      <c r="E20" s="369" t="s">
        <v>496</v>
      </c>
      <c r="F20" s="267" t="s">
        <v>221</v>
      </c>
      <c r="G20" s="255"/>
      <c r="H20" s="295"/>
      <c r="I20" s="255"/>
      <c r="J20" s="130" t="s">
        <v>217</v>
      </c>
      <c r="K20" s="128"/>
      <c r="L20" s="128"/>
      <c r="M20" s="130" t="s">
        <v>218</v>
      </c>
    </row>
    <row r="21" spans="1:13" ht="23.25" customHeight="1" x14ac:dyDescent="0.25">
      <c r="A21" s="265">
        <v>19</v>
      </c>
      <c r="B21" s="124" t="s">
        <v>529</v>
      </c>
      <c r="C21" s="124" t="s">
        <v>52</v>
      </c>
      <c r="D21" s="125" t="s">
        <v>57</v>
      </c>
      <c r="E21" s="369" t="s">
        <v>496</v>
      </c>
      <c r="F21" s="267" t="s">
        <v>221</v>
      </c>
      <c r="G21" s="255"/>
      <c r="H21" s="295"/>
      <c r="I21" s="255"/>
      <c r="J21" s="130" t="s">
        <v>217</v>
      </c>
      <c r="K21" s="128"/>
      <c r="L21" s="128"/>
      <c r="M21" s="130" t="s">
        <v>218</v>
      </c>
    </row>
    <row r="22" spans="1:13" ht="23.25" customHeight="1" x14ac:dyDescent="0.25">
      <c r="A22" s="265">
        <v>20</v>
      </c>
      <c r="B22" s="124" t="s">
        <v>530</v>
      </c>
      <c r="C22" s="124" t="s">
        <v>56</v>
      </c>
      <c r="D22" s="125" t="s">
        <v>71</v>
      </c>
      <c r="E22" s="369" t="s">
        <v>496</v>
      </c>
      <c r="F22" s="267" t="s">
        <v>221</v>
      </c>
      <c r="G22" s="255"/>
      <c r="H22" s="295"/>
      <c r="I22" s="255"/>
      <c r="J22" s="130" t="s">
        <v>217</v>
      </c>
      <c r="K22" s="128"/>
      <c r="L22" s="128"/>
      <c r="M22" s="130" t="s">
        <v>218</v>
      </c>
    </row>
    <row r="23" spans="1:13" ht="23.25" customHeight="1" x14ac:dyDescent="0.25">
      <c r="A23" s="265">
        <v>21</v>
      </c>
      <c r="B23" s="124" t="s">
        <v>531</v>
      </c>
      <c r="C23" s="124" t="s">
        <v>56</v>
      </c>
      <c r="D23" s="125" t="s">
        <v>71</v>
      </c>
      <c r="E23" s="369" t="s">
        <v>496</v>
      </c>
      <c r="F23" s="368" t="s">
        <v>500</v>
      </c>
      <c r="G23" s="126" t="s">
        <v>210</v>
      </c>
      <c r="H23" s="295" t="s">
        <v>225</v>
      </c>
      <c r="I23" s="369" t="s">
        <v>510</v>
      </c>
      <c r="J23" s="127" t="s">
        <v>212</v>
      </c>
      <c r="K23" s="128">
        <v>45229</v>
      </c>
      <c r="L23" s="128">
        <v>45947</v>
      </c>
      <c r="M23" s="127" t="s">
        <v>213</v>
      </c>
    </row>
    <row r="24" spans="1:13" ht="23.25" customHeight="1" x14ac:dyDescent="0.25">
      <c r="A24" s="265">
        <v>22</v>
      </c>
      <c r="B24" s="124" t="s">
        <v>532</v>
      </c>
      <c r="C24" s="124" t="s">
        <v>60</v>
      </c>
      <c r="D24" s="125" t="s">
        <v>78</v>
      </c>
      <c r="E24" s="369" t="s">
        <v>496</v>
      </c>
      <c r="F24" s="267" t="s">
        <v>221</v>
      </c>
      <c r="G24" s="255"/>
      <c r="H24" s="295"/>
      <c r="I24" s="255"/>
      <c r="J24" s="130" t="s">
        <v>217</v>
      </c>
      <c r="K24" s="128"/>
      <c r="L24" s="128"/>
      <c r="M24" s="130" t="s">
        <v>218</v>
      </c>
    </row>
    <row r="25" spans="1:13" ht="23.25" customHeight="1" x14ac:dyDescent="0.25">
      <c r="A25" s="265">
        <v>23</v>
      </c>
      <c r="B25" s="124" t="s">
        <v>533</v>
      </c>
      <c r="C25" s="124" t="s">
        <v>60</v>
      </c>
      <c r="D25" s="125" t="s">
        <v>78</v>
      </c>
      <c r="E25" s="369" t="s">
        <v>496</v>
      </c>
      <c r="F25" s="267" t="s">
        <v>221</v>
      </c>
      <c r="G25" s="255"/>
      <c r="H25" s="295"/>
      <c r="I25" s="255"/>
      <c r="J25" s="130" t="s">
        <v>217</v>
      </c>
      <c r="K25" s="128"/>
      <c r="L25" s="128"/>
      <c r="M25" s="130" t="s">
        <v>218</v>
      </c>
    </row>
    <row r="26" spans="1:13" ht="23.25" customHeight="1" x14ac:dyDescent="0.25">
      <c r="A26" s="265">
        <v>24</v>
      </c>
      <c r="B26" s="124" t="s">
        <v>534</v>
      </c>
      <c r="C26" s="124" t="s">
        <v>63</v>
      </c>
      <c r="D26" s="125" t="s">
        <v>79</v>
      </c>
      <c r="E26" s="369" t="s">
        <v>496</v>
      </c>
      <c r="F26" s="267" t="s">
        <v>221</v>
      </c>
      <c r="G26" s="255"/>
      <c r="H26" s="295"/>
      <c r="I26" s="255"/>
      <c r="J26" s="130" t="s">
        <v>217</v>
      </c>
      <c r="K26" s="128"/>
      <c r="L26" s="128"/>
      <c r="M26" s="130" t="s">
        <v>218</v>
      </c>
    </row>
    <row r="27" spans="1:13" ht="23.25" customHeight="1" x14ac:dyDescent="0.25">
      <c r="A27" s="265">
        <v>25</v>
      </c>
      <c r="B27" s="124" t="s">
        <v>535</v>
      </c>
      <c r="C27" s="124" t="s">
        <v>64</v>
      </c>
      <c r="D27" s="125" t="s">
        <v>80</v>
      </c>
      <c r="E27" s="369" t="s">
        <v>496</v>
      </c>
      <c r="F27" s="368" t="s">
        <v>500</v>
      </c>
      <c r="G27" s="255"/>
      <c r="H27" s="295"/>
      <c r="I27" s="255"/>
      <c r="J27" s="129" t="s">
        <v>217</v>
      </c>
      <c r="K27" s="128"/>
      <c r="L27" s="128"/>
      <c r="M27" s="129" t="s">
        <v>218</v>
      </c>
    </row>
    <row r="28" spans="1:13" ht="23.25" customHeight="1" x14ac:dyDescent="0.25">
      <c r="A28" s="265">
        <v>26</v>
      </c>
      <c r="B28" s="124" t="s">
        <v>536</v>
      </c>
      <c r="C28" s="124" t="s">
        <v>64</v>
      </c>
      <c r="D28" s="125" t="s">
        <v>80</v>
      </c>
      <c r="E28" s="369" t="s">
        <v>496</v>
      </c>
      <c r="F28" s="368" t="s">
        <v>501</v>
      </c>
      <c r="G28" s="126" t="s">
        <v>210</v>
      </c>
      <c r="H28" s="295" t="s">
        <v>225</v>
      </c>
      <c r="I28" s="369" t="s">
        <v>510</v>
      </c>
      <c r="J28" s="127" t="s">
        <v>212</v>
      </c>
      <c r="K28" s="128">
        <v>45384</v>
      </c>
      <c r="L28" s="128">
        <v>45947</v>
      </c>
      <c r="M28" s="127" t="s">
        <v>213</v>
      </c>
    </row>
    <row r="29" spans="1:13" ht="23.25" customHeight="1" x14ac:dyDescent="0.25">
      <c r="A29" s="265">
        <v>27</v>
      </c>
      <c r="B29" s="124" t="s">
        <v>537</v>
      </c>
      <c r="C29" s="124" t="s">
        <v>64</v>
      </c>
      <c r="D29" s="125" t="s">
        <v>80</v>
      </c>
      <c r="E29" s="369" t="s">
        <v>496</v>
      </c>
      <c r="F29" s="368" t="s">
        <v>502</v>
      </c>
      <c r="G29" s="255"/>
      <c r="H29" s="295"/>
      <c r="I29" s="255"/>
      <c r="J29" s="129" t="s">
        <v>217</v>
      </c>
      <c r="K29" s="128"/>
      <c r="L29" s="128"/>
      <c r="M29" s="129" t="s">
        <v>218</v>
      </c>
    </row>
    <row r="30" spans="1:13" ht="23.25" customHeight="1" x14ac:dyDescent="0.25">
      <c r="A30" s="265">
        <v>28</v>
      </c>
      <c r="B30" s="124" t="s">
        <v>538</v>
      </c>
      <c r="C30" s="124" t="s">
        <v>65</v>
      </c>
      <c r="D30" s="125" t="s">
        <v>80</v>
      </c>
      <c r="E30" s="369" t="s">
        <v>496</v>
      </c>
      <c r="F30" s="267" t="s">
        <v>221</v>
      </c>
      <c r="G30" s="255"/>
      <c r="H30" s="295"/>
      <c r="I30" s="255"/>
      <c r="J30" s="130" t="s">
        <v>217</v>
      </c>
      <c r="K30" s="128"/>
      <c r="L30" s="128"/>
      <c r="M30" s="130" t="s">
        <v>218</v>
      </c>
    </row>
    <row r="31" spans="1:13" ht="23.25" customHeight="1" x14ac:dyDescent="0.25">
      <c r="A31" s="265">
        <v>29</v>
      </c>
      <c r="B31" s="124" t="s">
        <v>539</v>
      </c>
      <c r="C31" s="124" t="s">
        <v>66</v>
      </c>
      <c r="D31" s="125" t="s">
        <v>80</v>
      </c>
      <c r="E31" s="369" t="s">
        <v>496</v>
      </c>
      <c r="F31" s="368" t="s">
        <v>503</v>
      </c>
      <c r="G31" s="126" t="s">
        <v>210</v>
      </c>
      <c r="H31" s="295" t="s">
        <v>225</v>
      </c>
      <c r="I31" s="369" t="s">
        <v>510</v>
      </c>
      <c r="J31" s="127" t="s">
        <v>212</v>
      </c>
      <c r="K31" s="128">
        <v>45384</v>
      </c>
      <c r="L31" s="128">
        <v>45947</v>
      </c>
      <c r="M31" s="127" t="s">
        <v>213</v>
      </c>
    </row>
    <row r="32" spans="1:13" ht="23.25" customHeight="1" x14ac:dyDescent="0.25">
      <c r="A32" s="265">
        <v>30</v>
      </c>
      <c r="B32" s="124" t="s">
        <v>540</v>
      </c>
      <c r="C32" s="124" t="s">
        <v>69</v>
      </c>
      <c r="D32" s="125" t="s">
        <v>80</v>
      </c>
      <c r="E32" s="369" t="s">
        <v>496</v>
      </c>
      <c r="F32" s="368" t="s">
        <v>504</v>
      </c>
      <c r="G32" s="126" t="s">
        <v>210</v>
      </c>
      <c r="H32" s="295" t="s">
        <v>225</v>
      </c>
      <c r="I32" s="369" t="s">
        <v>510</v>
      </c>
      <c r="J32" s="127" t="s">
        <v>212</v>
      </c>
      <c r="K32" s="128">
        <v>45384</v>
      </c>
      <c r="L32" s="128">
        <v>45947</v>
      </c>
      <c r="M32" s="127" t="s">
        <v>213</v>
      </c>
    </row>
    <row r="33" spans="1:13" ht="23.25" customHeight="1" x14ac:dyDescent="0.25">
      <c r="A33" s="265">
        <v>31</v>
      </c>
      <c r="B33" s="124" t="s">
        <v>541</v>
      </c>
      <c r="C33" s="124" t="s">
        <v>69</v>
      </c>
      <c r="D33" s="125" t="s">
        <v>80</v>
      </c>
      <c r="E33" s="369" t="s">
        <v>496</v>
      </c>
      <c r="F33" s="267" t="s">
        <v>221</v>
      </c>
      <c r="G33" s="255"/>
      <c r="H33" s="295"/>
      <c r="I33" s="255"/>
      <c r="J33" s="130" t="s">
        <v>217</v>
      </c>
      <c r="K33" s="128"/>
      <c r="L33" s="128"/>
      <c r="M33" s="130" t="s">
        <v>218</v>
      </c>
    </row>
    <row r="34" spans="1:13" ht="23.25" customHeight="1" x14ac:dyDescent="0.25">
      <c r="A34" s="265">
        <v>32</v>
      </c>
      <c r="B34" s="124" t="s">
        <v>542</v>
      </c>
      <c r="C34" s="124" t="s">
        <v>70</v>
      </c>
      <c r="D34" s="125" t="s">
        <v>80</v>
      </c>
      <c r="E34" s="369" t="s">
        <v>496</v>
      </c>
      <c r="F34" s="368" t="s">
        <v>505</v>
      </c>
      <c r="G34" s="255"/>
      <c r="H34" s="295"/>
      <c r="I34" s="255"/>
      <c r="J34" s="127" t="s">
        <v>212</v>
      </c>
      <c r="K34" s="128"/>
      <c r="L34" s="128"/>
      <c r="M34" s="127" t="s">
        <v>213</v>
      </c>
    </row>
    <row r="35" spans="1:13" ht="23.25" customHeight="1" x14ac:dyDescent="0.25">
      <c r="A35" s="265">
        <v>33</v>
      </c>
      <c r="B35" s="124" t="s">
        <v>543</v>
      </c>
      <c r="C35" s="124" t="s">
        <v>72</v>
      </c>
      <c r="D35" s="125" t="s">
        <v>80</v>
      </c>
      <c r="E35" s="369" t="s">
        <v>496</v>
      </c>
      <c r="F35" s="368" t="s">
        <v>506</v>
      </c>
      <c r="G35" s="255"/>
      <c r="H35" s="295"/>
      <c r="I35" s="255"/>
      <c r="J35" s="127" t="s">
        <v>212</v>
      </c>
      <c r="K35" s="128"/>
      <c r="L35" s="128"/>
      <c r="M35" s="127" t="s">
        <v>213</v>
      </c>
    </row>
    <row r="36" spans="1:13" ht="23.25" customHeight="1" x14ac:dyDescent="0.25">
      <c r="A36" s="265">
        <v>34</v>
      </c>
      <c r="B36" s="124" t="s">
        <v>544</v>
      </c>
      <c r="C36" s="124" t="s">
        <v>73</v>
      </c>
      <c r="D36" s="125" t="s">
        <v>80</v>
      </c>
      <c r="E36" s="369" t="s">
        <v>496</v>
      </c>
      <c r="F36" s="368" t="s">
        <v>507</v>
      </c>
      <c r="G36" s="255"/>
      <c r="H36" s="295"/>
      <c r="I36" s="255"/>
      <c r="J36" s="127" t="s">
        <v>212</v>
      </c>
      <c r="K36" s="128"/>
      <c r="L36" s="128"/>
      <c r="M36" s="127" t="s">
        <v>213</v>
      </c>
    </row>
    <row r="37" spans="1:13" ht="23.25" customHeight="1" x14ac:dyDescent="0.25">
      <c r="A37" s="265">
        <v>35</v>
      </c>
      <c r="B37" s="124" t="s">
        <v>545</v>
      </c>
      <c r="C37" s="124" t="s">
        <v>73</v>
      </c>
      <c r="D37" s="125" t="s">
        <v>80</v>
      </c>
      <c r="E37" s="369" t="s">
        <v>496</v>
      </c>
      <c r="F37" s="131" t="s">
        <v>221</v>
      </c>
      <c r="G37" s="255"/>
      <c r="H37" s="295"/>
      <c r="I37" s="255"/>
      <c r="J37" s="130" t="s">
        <v>217</v>
      </c>
      <c r="K37" s="128"/>
      <c r="L37" s="128"/>
      <c r="M37" s="130" t="s">
        <v>218</v>
      </c>
    </row>
    <row r="38" spans="1:13" ht="23.25" customHeight="1" x14ac:dyDescent="0.25">
      <c r="A38" s="265">
        <v>36</v>
      </c>
      <c r="B38" s="124" t="s">
        <v>546</v>
      </c>
      <c r="C38" s="124" t="s">
        <v>73</v>
      </c>
      <c r="D38" s="125" t="s">
        <v>80</v>
      </c>
      <c r="E38" s="369" t="s">
        <v>496</v>
      </c>
      <c r="F38" s="131" t="s">
        <v>221</v>
      </c>
      <c r="G38" s="255"/>
      <c r="H38" s="295"/>
      <c r="I38" s="255"/>
      <c r="J38" s="130" t="s">
        <v>217</v>
      </c>
      <c r="K38" s="128"/>
      <c r="L38" s="128"/>
      <c r="M38" s="130" t="s">
        <v>218</v>
      </c>
    </row>
    <row r="39" spans="1:13" ht="23.25" customHeight="1" x14ac:dyDescent="0.25">
      <c r="A39" s="265">
        <v>37</v>
      </c>
      <c r="B39" s="124" t="s">
        <v>547</v>
      </c>
      <c r="C39" s="124" t="s">
        <v>74</v>
      </c>
      <c r="D39" s="125" t="s">
        <v>80</v>
      </c>
      <c r="E39" s="369" t="s">
        <v>496</v>
      </c>
      <c r="F39" s="368" t="s">
        <v>508</v>
      </c>
      <c r="G39" s="126" t="s">
        <v>210</v>
      </c>
      <c r="H39" s="295" t="s">
        <v>225</v>
      </c>
      <c r="I39" s="369" t="s">
        <v>510</v>
      </c>
      <c r="J39" s="127" t="s">
        <v>212</v>
      </c>
      <c r="K39" s="128">
        <v>45384</v>
      </c>
      <c r="L39" s="128">
        <v>45947</v>
      </c>
      <c r="M39" s="127" t="s">
        <v>213</v>
      </c>
    </row>
    <row r="40" spans="1:13" ht="23.25" customHeight="1" x14ac:dyDescent="0.25">
      <c r="A40" s="265">
        <v>38</v>
      </c>
      <c r="B40" s="124" t="s">
        <v>548</v>
      </c>
      <c r="C40" s="124" t="s">
        <v>74</v>
      </c>
      <c r="D40" s="125" t="s">
        <v>80</v>
      </c>
      <c r="E40" s="369" t="s">
        <v>496</v>
      </c>
      <c r="F40" s="368" t="s">
        <v>509</v>
      </c>
      <c r="G40" s="126" t="s">
        <v>210</v>
      </c>
      <c r="H40" s="295" t="s">
        <v>225</v>
      </c>
      <c r="I40" s="255" t="s">
        <v>510</v>
      </c>
      <c r="J40" s="127" t="s">
        <v>212</v>
      </c>
      <c r="K40" s="128">
        <v>45384</v>
      </c>
      <c r="L40" s="128">
        <v>45947</v>
      </c>
      <c r="M40" s="127" t="s">
        <v>213</v>
      </c>
    </row>
    <row r="41" spans="1:13" x14ac:dyDescent="0.25">
      <c r="K41" s="268"/>
      <c r="L41" s="268"/>
    </row>
    <row r="42" spans="1:13" x14ac:dyDescent="0.25">
      <c r="K42" s="268"/>
      <c r="L42" s="268"/>
    </row>
    <row r="43" spans="1:13" ht="55.5" customHeight="1" x14ac:dyDescent="0.25">
      <c r="A43" s="453"/>
      <c r="B43" s="454"/>
      <c r="C43" s="455" t="s">
        <v>226</v>
      </c>
      <c r="D43" s="452"/>
      <c r="E43" s="456"/>
      <c r="F43" s="456"/>
      <c r="G43" s="456"/>
      <c r="H43" s="456"/>
      <c r="I43" s="456"/>
      <c r="J43" s="456"/>
      <c r="K43" s="456"/>
      <c r="L43" s="456"/>
    </row>
    <row r="44" spans="1:13" ht="31.5" x14ac:dyDescent="0.25">
      <c r="A44" s="269" t="s">
        <v>198</v>
      </c>
      <c r="B44" s="269" t="s">
        <v>214</v>
      </c>
      <c r="C44" s="270" t="s">
        <v>227</v>
      </c>
      <c r="D44" s="270" t="s">
        <v>201</v>
      </c>
      <c r="E44" s="270" t="s">
        <v>202</v>
      </c>
      <c r="F44" s="270" t="s">
        <v>228</v>
      </c>
      <c r="G44" s="271" t="s">
        <v>229</v>
      </c>
      <c r="H44" s="270" t="s">
        <v>157</v>
      </c>
      <c r="I44" s="270" t="s">
        <v>230</v>
      </c>
      <c r="J44" s="270" t="s">
        <v>231</v>
      </c>
      <c r="K44" s="270" t="s">
        <v>232</v>
      </c>
      <c r="L44" s="270" t="s">
        <v>205</v>
      </c>
    </row>
    <row r="45" spans="1:13" ht="15" customHeight="1" x14ac:dyDescent="0.25">
      <c r="A45" s="457">
        <v>1</v>
      </c>
      <c r="B45" s="460" t="s">
        <v>233</v>
      </c>
      <c r="C45" s="463" t="s">
        <v>87</v>
      </c>
      <c r="D45" s="466" t="s">
        <v>209</v>
      </c>
      <c r="E45" s="463" t="s">
        <v>497</v>
      </c>
      <c r="F45" s="256" t="s">
        <v>234</v>
      </c>
      <c r="G45" s="255" t="s">
        <v>5</v>
      </c>
      <c r="H45" s="255" t="s">
        <v>235</v>
      </c>
      <c r="I45" s="272" t="s">
        <v>236</v>
      </c>
      <c r="J45" s="128">
        <v>45555</v>
      </c>
      <c r="K45" s="128">
        <v>45920</v>
      </c>
      <c r="L45" s="297" t="s">
        <v>401</v>
      </c>
    </row>
    <row r="46" spans="1:13" x14ac:dyDescent="0.25">
      <c r="A46" s="458"/>
      <c r="B46" s="461"/>
      <c r="C46" s="464"/>
      <c r="D46" s="467"/>
      <c r="E46" s="464"/>
      <c r="F46" s="256" t="s">
        <v>237</v>
      </c>
      <c r="G46" s="255" t="s">
        <v>5</v>
      </c>
      <c r="H46" s="255" t="s">
        <v>235</v>
      </c>
      <c r="I46" s="272" t="s">
        <v>238</v>
      </c>
      <c r="J46" s="128">
        <v>45920</v>
      </c>
      <c r="K46" s="128">
        <v>45920</v>
      </c>
      <c r="L46" s="296" t="s">
        <v>414</v>
      </c>
    </row>
    <row r="47" spans="1:13" x14ac:dyDescent="0.25">
      <c r="A47" s="458"/>
      <c r="B47" s="461"/>
      <c r="C47" s="464"/>
      <c r="D47" s="467"/>
      <c r="E47" s="464"/>
      <c r="F47" s="256" t="s">
        <v>239</v>
      </c>
      <c r="G47" s="255" t="s">
        <v>5</v>
      </c>
      <c r="H47" s="255" t="s">
        <v>235</v>
      </c>
      <c r="I47" s="272" t="s">
        <v>236</v>
      </c>
      <c r="J47" s="128">
        <v>45920</v>
      </c>
      <c r="K47" s="128">
        <v>45920</v>
      </c>
      <c r="L47" s="296" t="s">
        <v>414</v>
      </c>
    </row>
    <row r="48" spans="1:13" x14ac:dyDescent="0.25">
      <c r="A48" s="459"/>
      <c r="B48" s="462"/>
      <c r="C48" s="465"/>
      <c r="D48" s="468"/>
      <c r="E48" s="465"/>
      <c r="F48" s="256" t="s">
        <v>240</v>
      </c>
      <c r="G48" s="255" t="s">
        <v>549</v>
      </c>
      <c r="H48" s="255" t="s">
        <v>241</v>
      </c>
      <c r="I48" s="272" t="s">
        <v>236</v>
      </c>
      <c r="J48" s="128">
        <v>45920</v>
      </c>
      <c r="K48" s="128">
        <v>45920</v>
      </c>
      <c r="L48" s="296" t="s">
        <v>414</v>
      </c>
    </row>
    <row r="49" spans="1:8" ht="15.75" thickBot="1" x14ac:dyDescent="0.3"/>
    <row r="50" spans="1:8" ht="15.75" x14ac:dyDescent="0.25">
      <c r="A50" s="132" t="s">
        <v>198</v>
      </c>
      <c r="B50" s="154" t="s">
        <v>214</v>
      </c>
      <c r="C50" s="154" t="s">
        <v>201</v>
      </c>
      <c r="D50" s="154" t="s">
        <v>215</v>
      </c>
      <c r="E50" s="154" t="s">
        <v>202</v>
      </c>
      <c r="F50" s="153" t="s">
        <v>202</v>
      </c>
      <c r="G50" s="154" t="s">
        <v>216</v>
      </c>
      <c r="H50" s="155" t="s">
        <v>207</v>
      </c>
    </row>
    <row r="51" spans="1:8" x14ac:dyDescent="0.25">
      <c r="A51" s="473">
        <v>1</v>
      </c>
      <c r="B51" s="462" t="s">
        <v>219</v>
      </c>
      <c r="C51" s="468" t="s">
        <v>209</v>
      </c>
      <c r="D51" s="468" t="s">
        <v>220</v>
      </c>
      <c r="E51" s="465" t="s">
        <v>497</v>
      </c>
      <c r="F51" s="477">
        <v>14827532.779999999</v>
      </c>
      <c r="G51" s="469">
        <v>45931</v>
      </c>
      <c r="H51" s="471">
        <v>46296</v>
      </c>
    </row>
    <row r="52" spans="1:8" x14ac:dyDescent="0.25">
      <c r="A52" s="474"/>
      <c r="B52" s="475"/>
      <c r="C52" s="470"/>
      <c r="D52" s="470"/>
      <c r="E52" s="476"/>
      <c r="F52" s="478"/>
      <c r="G52" s="470"/>
      <c r="H52" s="472"/>
    </row>
    <row r="53" spans="1:8" ht="15.75" thickBot="1" x14ac:dyDescent="0.3">
      <c r="A53" s="133"/>
      <c r="B53" s="134" t="s">
        <v>222</v>
      </c>
      <c r="C53" s="135"/>
      <c r="D53" s="135"/>
      <c r="E53" s="135"/>
      <c r="F53" s="135" t="s">
        <v>223</v>
      </c>
      <c r="G53" s="135"/>
      <c r="H53" s="136"/>
    </row>
  </sheetData>
  <mergeCells count="16">
    <mergeCell ref="G51:G52"/>
    <mergeCell ref="H51:H52"/>
    <mergeCell ref="A51:A52"/>
    <mergeCell ref="B51:B52"/>
    <mergeCell ref="C51:C52"/>
    <mergeCell ref="D51:D52"/>
    <mergeCell ref="E51:E52"/>
    <mergeCell ref="F51:F52"/>
    <mergeCell ref="A1:M1"/>
    <mergeCell ref="A43:B43"/>
    <mergeCell ref="C43:L43"/>
    <mergeCell ref="A45:A48"/>
    <mergeCell ref="B45:B48"/>
    <mergeCell ref="C45:C48"/>
    <mergeCell ref="D45:D48"/>
    <mergeCell ref="E45:E48"/>
  </mergeCells>
  <phoneticPr fontId="89" type="noConversion"/>
  <dataValidations count="1">
    <dataValidation type="list" allowBlank="1" showInputMessage="1" showErrorMessage="1" sqref="D3:D40" xr:uid="{8791FA94-E0F9-4549-B0B0-A7BC89255017}">
      <formula1>"AC,AL,AP,AM,BA,CE,DF,ES,GO,MA,MT,MS,MG,PA,PB,PR,PE,PI,RJ,RN,RS,RO,RR,SC,SP,SE,TO"</formula1>
    </dataValidation>
  </dataValidations>
  <printOptions horizontalCentered="1" verticalCentered="1"/>
  <pageMargins left="0" right="0" top="0" bottom="0" header="0" footer="0"/>
  <pageSetup paperSize="9" scale="5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C9C1F-5C3A-49F7-A426-1AD8D598EB94}">
  <sheetPr codeName="Planilha10">
    <tabColor theme="3" tint="0.39997558519241921"/>
    <pageSetUpPr fitToPage="1"/>
  </sheetPr>
  <dimension ref="A1:AI45"/>
  <sheetViews>
    <sheetView tabSelected="1" view="pageBreakPreview" zoomScale="85" zoomScaleNormal="85" zoomScaleSheetLayoutView="85" workbookViewId="0">
      <pane xSplit="1" topLeftCell="P1" activePane="topRight" state="frozen"/>
      <selection activeCell="K23" sqref="K23"/>
      <selection pane="topRight" activeCell="V22" sqref="V22"/>
    </sheetView>
  </sheetViews>
  <sheetFormatPr defaultRowHeight="15" x14ac:dyDescent="0.25"/>
  <cols>
    <col min="1" max="1" width="35.42578125" customWidth="1"/>
    <col min="2" max="15" width="17" hidden="1" customWidth="1"/>
    <col min="16" max="27" width="17" customWidth="1"/>
  </cols>
  <sheetData>
    <row r="1" spans="1:35" ht="36" x14ac:dyDescent="0.25">
      <c r="A1" s="123"/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57"/>
      <c r="S1" s="123"/>
      <c r="T1" s="123"/>
      <c r="U1" s="123"/>
      <c r="V1" s="123"/>
      <c r="W1" s="123"/>
      <c r="X1" s="123"/>
      <c r="Y1" s="123"/>
      <c r="Z1" s="123"/>
      <c r="AA1" s="123"/>
    </row>
    <row r="2" spans="1:35" ht="15.75" x14ac:dyDescent="0.25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56"/>
      <c r="S2" s="123"/>
      <c r="T2" s="123"/>
      <c r="U2" s="123"/>
      <c r="V2" s="123"/>
      <c r="W2" s="123"/>
      <c r="X2" s="123"/>
      <c r="Y2" s="123"/>
      <c r="Z2" s="123"/>
      <c r="AA2" s="123"/>
    </row>
    <row r="3" spans="1:35" x14ac:dyDescent="0.25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257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</row>
    <row r="4" spans="1:35" x14ac:dyDescent="0.25">
      <c r="A4" s="123"/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257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</row>
    <row r="5" spans="1:35" ht="33.75" customHeight="1" x14ac:dyDescent="0.25">
      <c r="A5" s="137"/>
      <c r="B5" s="137" t="s">
        <v>242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</row>
    <row r="6" spans="1:35" ht="30.6" customHeight="1" x14ac:dyDescent="0.25">
      <c r="A6" s="139"/>
      <c r="B6" s="372" t="s">
        <v>551</v>
      </c>
      <c r="C6" s="372" t="s">
        <v>552</v>
      </c>
      <c r="D6" s="372" t="s">
        <v>553</v>
      </c>
      <c r="E6" s="372" t="s">
        <v>554</v>
      </c>
      <c r="F6" s="372" t="s">
        <v>555</v>
      </c>
      <c r="G6" s="372" t="s">
        <v>556</v>
      </c>
      <c r="H6" s="372" t="s">
        <v>557</v>
      </c>
      <c r="I6" s="372" t="s">
        <v>558</v>
      </c>
      <c r="J6" s="372" t="s">
        <v>559</v>
      </c>
      <c r="K6" s="372" t="s">
        <v>560</v>
      </c>
      <c r="L6" s="372" t="s">
        <v>561</v>
      </c>
      <c r="M6" s="372" t="s">
        <v>562</v>
      </c>
      <c r="N6" s="372" t="s">
        <v>563</v>
      </c>
      <c r="O6" s="372" t="s">
        <v>564</v>
      </c>
      <c r="P6" s="372" t="s">
        <v>565</v>
      </c>
      <c r="Q6" s="372" t="s">
        <v>566</v>
      </c>
      <c r="R6" s="372" t="s">
        <v>567</v>
      </c>
      <c r="S6" s="372" t="s">
        <v>568</v>
      </c>
      <c r="T6" s="372" t="s">
        <v>569</v>
      </c>
      <c r="U6" s="372" t="s">
        <v>570</v>
      </c>
      <c r="V6" s="372" t="s">
        <v>571</v>
      </c>
      <c r="W6" s="372" t="s">
        <v>572</v>
      </c>
      <c r="X6" s="372" t="s">
        <v>573</v>
      </c>
      <c r="Y6" s="372" t="s">
        <v>574</v>
      </c>
      <c r="Z6" s="372" t="s">
        <v>575</v>
      </c>
      <c r="AA6" s="372" t="s">
        <v>576</v>
      </c>
    </row>
    <row r="7" spans="1:35" ht="30.6" customHeight="1" x14ac:dyDescent="0.25">
      <c r="A7" s="139"/>
      <c r="B7" s="140">
        <v>45231</v>
      </c>
      <c r="C7" s="140">
        <v>45261</v>
      </c>
      <c r="D7" s="140">
        <v>45292</v>
      </c>
      <c r="E7" s="140">
        <v>45323</v>
      </c>
      <c r="F7" s="140">
        <v>45352</v>
      </c>
      <c r="G7" s="140">
        <v>45383</v>
      </c>
      <c r="H7" s="140">
        <v>45413</v>
      </c>
      <c r="I7" s="140">
        <v>45444</v>
      </c>
      <c r="J7" s="140">
        <v>45474</v>
      </c>
      <c r="K7" s="140">
        <v>45505</v>
      </c>
      <c r="L7" s="140">
        <v>45536</v>
      </c>
      <c r="M7" s="140">
        <v>45566</v>
      </c>
      <c r="N7" s="140">
        <v>45597</v>
      </c>
      <c r="O7" s="140">
        <v>45627</v>
      </c>
      <c r="P7" s="140">
        <v>45658</v>
      </c>
      <c r="Q7" s="140">
        <v>45689</v>
      </c>
      <c r="R7" s="140">
        <v>45717</v>
      </c>
      <c r="S7" s="140">
        <v>45748</v>
      </c>
      <c r="T7" s="140">
        <v>45778</v>
      </c>
      <c r="U7" s="140">
        <v>45809</v>
      </c>
      <c r="V7" s="140">
        <v>45839</v>
      </c>
      <c r="W7" s="140">
        <v>45870</v>
      </c>
      <c r="X7" s="140">
        <v>45901</v>
      </c>
      <c r="Y7" s="140">
        <v>45931</v>
      </c>
      <c r="Z7" s="140">
        <v>45962</v>
      </c>
      <c r="AA7" s="140">
        <v>45992</v>
      </c>
    </row>
    <row r="8" spans="1:35" x14ac:dyDescent="0.25">
      <c r="A8" s="141" t="s">
        <v>243</v>
      </c>
      <c r="B8" s="142">
        <v>54574.252932940442</v>
      </c>
      <c r="C8" s="142">
        <v>68787.682431046022</v>
      </c>
      <c r="D8" s="142">
        <v>83001.111929151593</v>
      </c>
      <c r="E8" s="142">
        <v>97214.541427257194</v>
      </c>
      <c r="F8" s="142">
        <v>111427.970925363</v>
      </c>
      <c r="G8" s="142">
        <v>125641.400423468</v>
      </c>
      <c r="H8" s="142">
        <v>139854.82992157401</v>
      </c>
      <c r="I8" s="142">
        <v>154068.25941967999</v>
      </c>
      <c r="J8" s="142">
        <v>168281.68891778501</v>
      </c>
      <c r="K8" s="142">
        <v>182495.11841589</v>
      </c>
      <c r="L8" s="142">
        <v>196708.54791399601</v>
      </c>
      <c r="M8" s="142">
        <v>210921.977412101</v>
      </c>
      <c r="N8" s="142">
        <v>225135.40691020701</v>
      </c>
      <c r="O8" s="142">
        <v>239348.83640831301</v>
      </c>
      <c r="P8" s="142">
        <v>253562.265906418</v>
      </c>
      <c r="Q8" s="142">
        <v>267775.69540452398</v>
      </c>
      <c r="R8" s="142">
        <v>281989.124902629</v>
      </c>
      <c r="S8" s="142">
        <v>296202.55440073501</v>
      </c>
      <c r="T8" s="142">
        <v>310415.98389883997</v>
      </c>
      <c r="U8" s="142">
        <v>324629.41339694598</v>
      </c>
      <c r="V8" s="142">
        <v>338842.84289505199</v>
      </c>
      <c r="W8" s="142">
        <v>353056.27239315701</v>
      </c>
      <c r="X8" s="142">
        <v>367269.70189126302</v>
      </c>
      <c r="Y8" s="142">
        <v>381483.13138936798</v>
      </c>
      <c r="Z8" s="142">
        <v>395696.56088747398</v>
      </c>
      <c r="AA8" s="142">
        <v>409909.990385579</v>
      </c>
    </row>
    <row r="9" spans="1:35" s="355" customFormat="1" x14ac:dyDescent="0.25">
      <c r="A9" s="351" t="s">
        <v>550</v>
      </c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52"/>
      <c r="M9" s="352"/>
      <c r="N9" s="352"/>
      <c r="O9" s="352"/>
      <c r="P9" s="352"/>
      <c r="Q9" s="352"/>
      <c r="R9" s="353"/>
      <c r="S9" s="353"/>
      <c r="T9" s="353"/>
      <c r="U9" s="353"/>
      <c r="V9" s="353"/>
      <c r="W9" s="353"/>
      <c r="X9" s="353"/>
      <c r="Y9" s="354">
        <f>-(Y8*5%)</f>
        <v>-19074.1565694684</v>
      </c>
      <c r="Z9" s="354">
        <f t="shared" ref="Z9:AA9" si="0">-(Z8*5%)</f>
        <v>-19784.828044373702</v>
      </c>
      <c r="AA9" s="354">
        <f t="shared" si="0"/>
        <v>-20495.49951927895</v>
      </c>
    </row>
    <row r="10" spans="1:35" s="146" customFormat="1" ht="15" hidden="1" customHeight="1" x14ac:dyDescent="0.25">
      <c r="A10" s="143" t="s">
        <v>244</v>
      </c>
      <c r="B10" s="144"/>
      <c r="C10" s="144"/>
      <c r="D10" s="144"/>
      <c r="E10" s="144">
        <v>425.59157446482556</v>
      </c>
      <c r="F10" s="144">
        <v>1763.1650942114188</v>
      </c>
      <c r="G10" s="144">
        <v>1763.1650942114197</v>
      </c>
      <c r="H10" s="144">
        <v>1763.1650942114188</v>
      </c>
      <c r="I10" s="144">
        <v>1763.1650942114197</v>
      </c>
      <c r="J10" s="144">
        <v>1763.1650942114188</v>
      </c>
      <c r="K10" s="144">
        <v>6028.8870963358113</v>
      </c>
      <c r="L10" s="144">
        <v>7052.660376845668</v>
      </c>
      <c r="M10" s="144">
        <v>51422.454850064489</v>
      </c>
      <c r="N10" s="144">
        <v>78363.737104799991</v>
      </c>
      <c r="O10" s="144">
        <v>119690.71124852897</v>
      </c>
      <c r="P10" s="144">
        <v>300586.49459639989</v>
      </c>
      <c r="Q10" s="144">
        <v>323063.65702439996</v>
      </c>
      <c r="R10" s="145">
        <v>323063.6570243999</v>
      </c>
      <c r="S10" s="145">
        <v>323063.65702440002</v>
      </c>
      <c r="T10" s="145">
        <v>323063.65999999997</v>
      </c>
      <c r="U10" s="145">
        <v>325623.05746804801</v>
      </c>
      <c r="V10" s="145">
        <v>330974.53608818311</v>
      </c>
      <c r="W10" s="145">
        <v>350611.55217253149</v>
      </c>
      <c r="X10" s="145">
        <v>370923.07</v>
      </c>
      <c r="Y10" s="274"/>
      <c r="Z10" s="299"/>
      <c r="AA10" s="299"/>
    </row>
    <row r="11" spans="1:35" x14ac:dyDescent="0.25">
      <c r="A11" s="141" t="s">
        <v>245</v>
      </c>
      <c r="B11" s="142">
        <v>4503.9249999999993</v>
      </c>
      <c r="C11" s="142">
        <v>5404.7099999999964</v>
      </c>
      <c r="D11" s="142">
        <v>9589.0016129032192</v>
      </c>
      <c r="E11" s="142">
        <v>11584.2888172043</v>
      </c>
      <c r="F11" s="142">
        <v>14126.827123655899</v>
      </c>
      <c r="G11" s="142">
        <v>16669.3654301075</v>
      </c>
      <c r="H11" s="142">
        <v>19211.903736559201</v>
      </c>
      <c r="I11" s="142">
        <v>21754.4420430108</v>
      </c>
      <c r="J11" s="142">
        <v>24296.980349462399</v>
      </c>
      <c r="K11" s="142">
        <v>26839.518655913998</v>
      </c>
      <c r="L11" s="142">
        <v>29382.056962365601</v>
      </c>
      <c r="M11" s="142">
        <v>31924.5952688172</v>
      </c>
      <c r="N11" s="142">
        <v>34467.133575268803</v>
      </c>
      <c r="O11" s="142">
        <v>37009.671881720402</v>
      </c>
      <c r="P11" s="142">
        <v>39552.210188172001</v>
      </c>
      <c r="Q11" s="142">
        <v>42094.748494623702</v>
      </c>
      <c r="R11" s="142">
        <v>44637.286801075301</v>
      </c>
      <c r="S11" s="142">
        <v>47179.8251075269</v>
      </c>
      <c r="T11" s="142">
        <v>49722.363413978499</v>
      </c>
      <c r="U11" s="142">
        <v>52264.901720430098</v>
      </c>
      <c r="V11" s="142">
        <v>54807.440026881697</v>
      </c>
      <c r="W11" s="142">
        <v>57349.978333333303</v>
      </c>
      <c r="X11" s="142">
        <v>59892.516639784903</v>
      </c>
      <c r="Y11" s="142">
        <v>62435.054946236502</v>
      </c>
      <c r="Z11" s="142">
        <v>64977.593252688101</v>
      </c>
      <c r="AA11" s="142">
        <v>67520.1315591397</v>
      </c>
    </row>
    <row r="12" spans="1:35" x14ac:dyDescent="0.25">
      <c r="A12" s="141" t="s">
        <v>246</v>
      </c>
      <c r="B12" s="142">
        <v>0</v>
      </c>
      <c r="C12" s="142">
        <v>2286.4539999999997</v>
      </c>
      <c r="D12" s="142">
        <v>5609.8035666666665</v>
      </c>
      <c r="E12" s="142">
        <v>8241.8894222222207</v>
      </c>
      <c r="F12" s="142">
        <v>11046.791205555501</v>
      </c>
      <c r="G12" s="142">
        <v>13851.692988888901</v>
      </c>
      <c r="H12" s="142">
        <v>16656.594772222201</v>
      </c>
      <c r="I12" s="142">
        <v>19461.496555555499</v>
      </c>
      <c r="J12" s="142">
        <v>22266.398338888899</v>
      </c>
      <c r="K12" s="142">
        <v>25071.300122222201</v>
      </c>
      <c r="L12" s="142">
        <v>27876.201905555499</v>
      </c>
      <c r="M12" s="142">
        <v>30681.103688888899</v>
      </c>
      <c r="N12" s="142">
        <v>33486.005472222198</v>
      </c>
      <c r="O12" s="142">
        <v>36290.907255555503</v>
      </c>
      <c r="P12" s="142">
        <v>39095.809038888903</v>
      </c>
      <c r="Q12" s="142">
        <v>41900.710822222201</v>
      </c>
      <c r="R12" s="142">
        <v>44705.6126055555</v>
      </c>
      <c r="S12" s="142">
        <v>47510.5143888889</v>
      </c>
      <c r="T12" s="142">
        <v>50315.416172222198</v>
      </c>
      <c r="U12" s="142">
        <v>53120.317955555503</v>
      </c>
      <c r="V12" s="142">
        <v>55925.219738888904</v>
      </c>
      <c r="W12" s="142">
        <v>58730.121522222202</v>
      </c>
      <c r="X12" s="142">
        <v>61535.0233055555</v>
      </c>
      <c r="Y12" s="142">
        <v>64339.9250888889</v>
      </c>
      <c r="Z12" s="142">
        <v>67144.826872222198</v>
      </c>
      <c r="AA12" s="142">
        <v>69949.728655555504</v>
      </c>
    </row>
    <row r="13" spans="1:35" x14ac:dyDescent="0.25">
      <c r="A13" s="141" t="s">
        <v>437</v>
      </c>
      <c r="B13" s="142">
        <v>0</v>
      </c>
      <c r="C13" s="142">
        <v>0</v>
      </c>
      <c r="D13" s="142">
        <v>27942.057000000001</v>
      </c>
      <c r="E13" s="142">
        <v>30000</v>
      </c>
      <c r="F13" s="142">
        <v>32057.942999999999</v>
      </c>
      <c r="G13" s="142">
        <v>34115.885999999999</v>
      </c>
      <c r="H13" s="142">
        <v>36173.828999999998</v>
      </c>
      <c r="I13" s="142">
        <v>38231.771999999997</v>
      </c>
      <c r="J13" s="142">
        <v>40289.714999999997</v>
      </c>
      <c r="K13" s="142">
        <v>42347.658000000003</v>
      </c>
      <c r="L13" s="142">
        <v>44405.601000000002</v>
      </c>
      <c r="M13" s="142">
        <v>46463.544000000002</v>
      </c>
      <c r="N13" s="142">
        <v>48521.487000000001</v>
      </c>
      <c r="O13" s="142">
        <v>50579.43</v>
      </c>
      <c r="P13" s="142">
        <v>52637.373</v>
      </c>
      <c r="Q13" s="142">
        <v>54695.315999999999</v>
      </c>
      <c r="R13" s="142">
        <v>56753.258999999998</v>
      </c>
      <c r="S13" s="142">
        <v>58811.201999999997</v>
      </c>
      <c r="T13" s="142">
        <v>60869.144999999997</v>
      </c>
      <c r="U13" s="142">
        <v>62927.088000000003</v>
      </c>
      <c r="V13" s="142">
        <v>64985.031000000003</v>
      </c>
      <c r="W13" s="142">
        <v>67042.974000000002</v>
      </c>
      <c r="X13" s="142">
        <v>69100.917000000001</v>
      </c>
      <c r="Y13" s="142">
        <v>71158.86</v>
      </c>
      <c r="Z13" s="142">
        <v>73216.803</v>
      </c>
      <c r="AA13" s="142">
        <v>75274.745999999999</v>
      </c>
    </row>
    <row r="14" spans="1:35" ht="18.75" customHeight="1" x14ac:dyDescent="0.25">
      <c r="A14" s="147" t="s">
        <v>81</v>
      </c>
      <c r="B14" s="148">
        <f>SUM(B8:B13)</f>
        <v>59078.177932940438</v>
      </c>
      <c r="C14" s="148">
        <f t="shared" ref="C14:AA14" si="1">SUM(C8:C13)</f>
        <v>76478.846431046011</v>
      </c>
      <c r="D14" s="148">
        <f t="shared" si="1"/>
        <v>126141.97410872148</v>
      </c>
      <c r="E14" s="148">
        <f t="shared" si="1"/>
        <v>147466.31124114853</v>
      </c>
      <c r="F14" s="148">
        <f t="shared" si="1"/>
        <v>170422.69734878582</v>
      </c>
      <c r="G14" s="148">
        <f t="shared" si="1"/>
        <v>192041.50993667584</v>
      </c>
      <c r="H14" s="148">
        <f t="shared" si="1"/>
        <v>213660.32252456681</v>
      </c>
      <c r="I14" s="148">
        <f t="shared" si="1"/>
        <v>235279.13511245768</v>
      </c>
      <c r="J14" s="148">
        <f t="shared" si="1"/>
        <v>256897.94770034769</v>
      </c>
      <c r="K14" s="148">
        <f t="shared" si="1"/>
        <v>282782.48229036201</v>
      </c>
      <c r="L14" s="148">
        <f t="shared" si="1"/>
        <v>305425.06815876276</v>
      </c>
      <c r="M14" s="148">
        <f t="shared" si="1"/>
        <v>371413.67521987157</v>
      </c>
      <c r="N14" s="148">
        <f t="shared" si="1"/>
        <v>419973.77006249799</v>
      </c>
      <c r="O14" s="148">
        <f t="shared" si="1"/>
        <v>482919.5567941179</v>
      </c>
      <c r="P14" s="148">
        <f t="shared" si="1"/>
        <v>685434.15272987878</v>
      </c>
      <c r="Q14" s="148">
        <f t="shared" si="1"/>
        <v>729530.1277457698</v>
      </c>
      <c r="R14" s="148">
        <f t="shared" si="1"/>
        <v>751148.94033365964</v>
      </c>
      <c r="S14" s="148">
        <f t="shared" si="1"/>
        <v>772767.75292155077</v>
      </c>
      <c r="T14" s="148">
        <f t="shared" si="1"/>
        <v>794386.56848504068</v>
      </c>
      <c r="U14" s="148">
        <f t="shared" si="1"/>
        <v>818564.77854097961</v>
      </c>
      <c r="V14" s="148">
        <f t="shared" si="1"/>
        <v>845535.06974900572</v>
      </c>
      <c r="W14" s="148">
        <f t="shared" si="1"/>
        <v>886790.898421244</v>
      </c>
      <c r="X14" s="148">
        <f t="shared" si="1"/>
        <v>928721.22883660346</v>
      </c>
      <c r="Y14" s="148">
        <f t="shared" si="1"/>
        <v>560342.81485502503</v>
      </c>
      <c r="Z14" s="148">
        <f t="shared" si="1"/>
        <v>581250.95596801059</v>
      </c>
      <c r="AA14" s="294">
        <f t="shared" si="1"/>
        <v>602159.09708099533</v>
      </c>
    </row>
    <row r="15" spans="1:35" ht="18.75" customHeight="1" x14ac:dyDescent="0.25">
      <c r="A15" s="149" t="s">
        <v>247</v>
      </c>
      <c r="B15" s="150">
        <v>0</v>
      </c>
      <c r="C15" s="150">
        <f t="shared" ref="C15:Q15" si="2">(C14-B14)/B14</f>
        <v>0.29453630946196496</v>
      </c>
      <c r="D15" s="150">
        <f t="shared" si="2"/>
        <v>0.64937077368775653</v>
      </c>
      <c r="E15" s="150">
        <f t="shared" si="2"/>
        <v>0.16905028863784594</v>
      </c>
      <c r="F15" s="150">
        <f t="shared" si="2"/>
        <v>0.15567207123054155</v>
      </c>
      <c r="G15" s="150">
        <f t="shared" si="2"/>
        <v>0.12685406887819126</v>
      </c>
      <c r="H15" s="150">
        <f t="shared" si="2"/>
        <v>0.11257364407840581</v>
      </c>
      <c r="I15" s="150">
        <f t="shared" si="2"/>
        <v>0.10118309442037426</v>
      </c>
      <c r="J15" s="150">
        <f t="shared" si="2"/>
        <v>9.188580439806851E-2</v>
      </c>
      <c r="K15" s="150">
        <f t="shared" si="2"/>
        <v>0.10075804350218748</v>
      </c>
      <c r="L15" s="150">
        <f t="shared" si="2"/>
        <v>8.0070680775590874E-2</v>
      </c>
      <c r="M15" s="150">
        <f t="shared" si="2"/>
        <v>0.21605498022450248</v>
      </c>
      <c r="N15" s="150">
        <f t="shared" si="2"/>
        <v>0.13074396039370265</v>
      </c>
      <c r="O15" s="151">
        <f>(O14-N14)/N14</f>
        <v>0.14988028114768381</v>
      </c>
      <c r="P15" s="150">
        <f>(P14-O14)/O14</f>
        <v>0.41935472085695324</v>
      </c>
      <c r="Q15" s="150">
        <f t="shared" si="2"/>
        <v>6.4332911980341176E-2</v>
      </c>
      <c r="R15" s="150">
        <f>(R14-Q14)/Q14</f>
        <v>2.9633885929689352E-2</v>
      </c>
      <c r="S15" s="150">
        <f>(S14-R14)/R14</f>
        <v>2.8780993258524824E-2</v>
      </c>
      <c r="T15" s="150">
        <f>(T14-S14)/S14</f>
        <v>2.7975825183901789E-2</v>
      </c>
      <c r="U15" s="150">
        <f>(U14-T14)/T14</f>
        <v>3.043632787252272E-2</v>
      </c>
      <c r="V15" s="150">
        <f t="shared" ref="V15:Y15" si="3">(V14-U14)/U14</f>
        <v>3.2948267400532805E-2</v>
      </c>
      <c r="W15" s="150">
        <f t="shared" si="3"/>
        <v>4.8792569519895766E-2</v>
      </c>
      <c r="X15" s="150">
        <f t="shared" si="3"/>
        <v>4.7283221433607553E-2</v>
      </c>
      <c r="Y15" s="150">
        <f t="shared" si="3"/>
        <v>-0.3966512259475764</v>
      </c>
      <c r="Z15" s="150">
        <f t="shared" ref="Z15" si="4">(Z14-Y14)/Y14</f>
        <v>3.731312432085887E-2</v>
      </c>
      <c r="AA15" s="273">
        <f t="shared" ref="AA15" si="5">(AA14-Z14)/Z14</f>
        <v>3.5970936302658622E-2</v>
      </c>
    </row>
    <row r="16" spans="1:35" ht="23.25" customHeight="1" x14ac:dyDescent="0.25">
      <c r="A16" s="149" t="s">
        <v>402</v>
      </c>
      <c r="B16" s="479">
        <f>SUM(B14:BL14)</f>
        <v>12296613.860530067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0"/>
      <c r="Z16" s="480"/>
      <c r="AA16" s="480"/>
    </row>
    <row r="17" spans="1:27" ht="18.75" customHeight="1" x14ac:dyDescent="0.25">
      <c r="A17" s="149" t="s">
        <v>202</v>
      </c>
      <c r="B17" s="373">
        <v>3562528.2192784199</v>
      </c>
      <c r="C17" s="373">
        <v>3872422.8768084901</v>
      </c>
      <c r="D17" s="373">
        <v>4182317.53433856</v>
      </c>
      <c r="E17" s="373">
        <v>4492212.19186862</v>
      </c>
      <c r="F17" s="373">
        <v>4802106.8493986903</v>
      </c>
      <c r="G17" s="373">
        <v>5112001.5069287503</v>
      </c>
      <c r="H17" s="373">
        <v>5421896.1644588197</v>
      </c>
      <c r="I17" s="373">
        <v>5731790.8219888797</v>
      </c>
      <c r="J17" s="373">
        <v>6041685.47951895</v>
      </c>
      <c r="K17" s="373">
        <v>6351580.1370490203</v>
      </c>
      <c r="L17" s="373">
        <v>6661474.7945790803</v>
      </c>
      <c r="M17" s="373">
        <v>6971369.4521091497</v>
      </c>
      <c r="N17" s="373">
        <v>7281264.1096392097</v>
      </c>
      <c r="O17" s="373">
        <v>7591158.76716928</v>
      </c>
      <c r="P17" s="373">
        <v>7901053.42469934</v>
      </c>
      <c r="Q17" s="373">
        <v>8210948.0822294103</v>
      </c>
      <c r="R17" s="373">
        <v>8520842.7397594694</v>
      </c>
      <c r="S17" s="373">
        <v>8830737.3972895406</v>
      </c>
      <c r="T17" s="373">
        <v>9140632.05481961</v>
      </c>
      <c r="U17" s="373">
        <v>9450526.71234967</v>
      </c>
      <c r="V17" s="373">
        <v>9760421.3698797394</v>
      </c>
      <c r="W17" s="373">
        <v>10070316.027409799</v>
      </c>
      <c r="X17" s="373">
        <v>10380210.6849399</v>
      </c>
      <c r="Y17" s="373">
        <v>10690105.342469901</v>
      </c>
      <c r="Z17" s="373">
        <v>11000000</v>
      </c>
      <c r="AA17" s="374">
        <v>11309894.657530066</v>
      </c>
    </row>
    <row r="18" spans="1:27" ht="15" customHeight="1" x14ac:dyDescent="0.25">
      <c r="A18" s="152"/>
      <c r="B18" s="152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</row>
    <row r="19" spans="1:27" ht="15" customHeight="1" x14ac:dyDescent="0.25">
      <c r="A19" s="152"/>
      <c r="B19" s="152"/>
      <c r="C19" s="152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52"/>
      <c r="T19" s="152"/>
      <c r="U19" s="152"/>
      <c r="V19" s="152"/>
      <c r="W19" s="152"/>
      <c r="X19" s="152"/>
      <c r="Y19" s="152"/>
      <c r="Z19" s="152"/>
      <c r="AA19" s="152"/>
    </row>
    <row r="20" spans="1:27" ht="15" customHeight="1" x14ac:dyDescent="0.25">
      <c r="A20" s="152"/>
      <c r="B20" s="152"/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152"/>
      <c r="W20" s="152"/>
      <c r="X20" s="152"/>
      <c r="Y20" s="152"/>
      <c r="Z20" s="152"/>
      <c r="AA20" s="152"/>
    </row>
    <row r="21" spans="1:27" ht="15" customHeight="1" x14ac:dyDescent="0.25">
      <c r="A21" s="152"/>
      <c r="B21" s="152"/>
      <c r="C21" s="152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2"/>
      <c r="U21" s="152"/>
      <c r="V21" s="152"/>
      <c r="W21" s="152"/>
      <c r="X21" s="152"/>
      <c r="Y21" s="152"/>
      <c r="Z21" s="152"/>
      <c r="AA21" s="152"/>
    </row>
    <row r="22" spans="1:27" ht="15" customHeight="1" x14ac:dyDescent="0.25">
      <c r="A22" s="152"/>
      <c r="B22" s="152"/>
      <c r="C22" s="152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2"/>
      <c r="T22" s="152"/>
      <c r="U22" s="152"/>
      <c r="V22" s="152"/>
      <c r="W22" s="282"/>
      <c r="X22" s="152"/>
      <c r="Y22" s="152"/>
      <c r="Z22" s="152"/>
      <c r="AA22" s="152"/>
    </row>
    <row r="23" spans="1:27" ht="15" customHeight="1" x14ac:dyDescent="0.25">
      <c r="A23" s="152"/>
      <c r="B23" s="152"/>
      <c r="C23" s="152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</row>
    <row r="24" spans="1:27" ht="15" customHeight="1" x14ac:dyDescent="0.25">
      <c r="A24" s="152"/>
      <c r="B24" s="152"/>
      <c r="C24" s="152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152"/>
      <c r="S24" s="152"/>
      <c r="T24" s="152"/>
      <c r="U24" s="152"/>
      <c r="V24" s="152"/>
      <c r="W24" s="152"/>
      <c r="X24" s="152"/>
      <c r="Y24" s="152"/>
      <c r="Z24" s="152"/>
      <c r="AA24" s="152"/>
    </row>
    <row r="25" spans="1:27" ht="15" customHeight="1" x14ac:dyDescent="0.25">
      <c r="A25" s="152"/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2"/>
    </row>
    <row r="26" spans="1:27" ht="15" customHeight="1" x14ac:dyDescent="0.25">
      <c r="A26" s="152"/>
      <c r="B26" s="152"/>
      <c r="C26" s="152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2"/>
      <c r="U26" s="152"/>
      <c r="V26" s="152"/>
      <c r="W26" s="152"/>
      <c r="X26" s="152"/>
      <c r="Y26" s="152"/>
      <c r="Z26" s="152"/>
      <c r="AA26" s="152"/>
    </row>
    <row r="27" spans="1:27" ht="15" customHeight="1" x14ac:dyDescent="0.25">
      <c r="A27" s="152"/>
      <c r="B27" s="152"/>
      <c r="C27" s="152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52"/>
      <c r="V27" s="152"/>
      <c r="W27" s="152"/>
      <c r="X27" s="152"/>
      <c r="Y27" s="152"/>
      <c r="Z27" s="152"/>
      <c r="AA27" s="152"/>
    </row>
    <row r="28" spans="1:27" ht="15" customHeight="1" x14ac:dyDescent="0.25">
      <c r="L28" s="259"/>
    </row>
    <row r="29" spans="1:27" ht="15" customHeight="1" x14ac:dyDescent="0.25">
      <c r="L29" s="87"/>
    </row>
    <row r="30" spans="1:27" ht="15" customHeight="1" x14ac:dyDescent="0.25">
      <c r="L30" s="87"/>
    </row>
    <row r="31" spans="1:27" ht="15" customHeight="1" x14ac:dyDescent="0.25">
      <c r="L31" s="258"/>
    </row>
    <row r="32" spans="1:27" ht="15.75" customHeight="1" x14ac:dyDescent="0.25">
      <c r="L32" s="258"/>
    </row>
    <row r="33" spans="10:12" x14ac:dyDescent="0.25">
      <c r="L33" s="87"/>
    </row>
    <row r="34" spans="10:12" x14ac:dyDescent="0.25">
      <c r="L34" s="87"/>
    </row>
    <row r="35" spans="10:12" x14ac:dyDescent="0.25">
      <c r="L35" s="87"/>
    </row>
    <row r="36" spans="10:12" x14ac:dyDescent="0.25">
      <c r="L36" s="87"/>
    </row>
    <row r="37" spans="10:12" x14ac:dyDescent="0.25">
      <c r="L37" s="87"/>
    </row>
    <row r="38" spans="10:12" x14ac:dyDescent="0.25">
      <c r="L38" s="87"/>
    </row>
    <row r="39" spans="10:12" x14ac:dyDescent="0.25">
      <c r="L39" s="87"/>
    </row>
    <row r="40" spans="10:12" x14ac:dyDescent="0.25">
      <c r="L40" s="87"/>
    </row>
    <row r="41" spans="10:12" x14ac:dyDescent="0.25">
      <c r="L41" s="87"/>
    </row>
    <row r="42" spans="10:12" x14ac:dyDescent="0.25">
      <c r="L42" s="87"/>
    </row>
    <row r="43" spans="10:12" x14ac:dyDescent="0.25">
      <c r="L43" s="87"/>
    </row>
    <row r="44" spans="10:12" x14ac:dyDescent="0.25">
      <c r="L44" s="87"/>
    </row>
    <row r="45" spans="10:12" ht="15.75" customHeight="1" x14ac:dyDescent="0.25">
      <c r="J45" s="260"/>
      <c r="K45" s="259"/>
      <c r="L45" s="258"/>
    </row>
  </sheetData>
  <mergeCells count="1">
    <mergeCell ref="B16:AA16"/>
  </mergeCells>
  <phoneticPr fontId="89" type="noConversion"/>
  <printOptions horizontalCentered="1" verticalCentered="1"/>
  <pageMargins left="0" right="0" top="0" bottom="0" header="0" footer="0"/>
  <pageSetup paperSize="9" scale="62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95FAE-0B88-4936-BFD0-06ECE5A52A9D}">
  <sheetPr codeName="Planilha8">
    <tabColor theme="3" tint="0.39997558519241921"/>
  </sheetPr>
  <dimension ref="A1:AS49"/>
  <sheetViews>
    <sheetView view="pageBreakPreview" zoomScale="85" zoomScaleNormal="100" zoomScaleSheetLayoutView="85" workbookViewId="0">
      <selection activeCell="I23" sqref="I23"/>
    </sheetView>
  </sheetViews>
  <sheetFormatPr defaultRowHeight="15" x14ac:dyDescent="0.25"/>
  <cols>
    <col min="3" max="3" width="15" bestFit="1" customWidth="1"/>
    <col min="4" max="4" width="10.5703125" customWidth="1"/>
    <col min="13" max="13" width="10.28515625" customWidth="1"/>
    <col min="14" max="14" width="19.5703125" customWidth="1"/>
    <col min="15" max="15" width="11.42578125" bestFit="1" customWidth="1"/>
    <col min="16" max="16" width="15" customWidth="1"/>
    <col min="17" max="17" width="16.7109375" bestFit="1" customWidth="1"/>
    <col min="18" max="18" width="31.7109375" customWidth="1"/>
    <col min="19" max="19" width="10.140625" bestFit="1" customWidth="1"/>
    <col min="20" max="20" width="12.140625" bestFit="1" customWidth="1"/>
    <col min="21" max="21" width="15.42578125" style="302" bestFit="1" customWidth="1"/>
    <col min="22" max="23" width="8.42578125" style="302" bestFit="1" customWidth="1"/>
    <col min="24" max="32" width="8.42578125" bestFit="1" customWidth="1"/>
    <col min="33" max="33" width="7.28515625" hidden="1" customWidth="1"/>
    <col min="34" max="44" width="15.42578125" bestFit="1" customWidth="1"/>
    <col min="45" max="45" width="10.140625" bestFit="1" customWidth="1"/>
  </cols>
  <sheetData>
    <row r="1" spans="1:45" ht="15" customHeight="1" x14ac:dyDescent="0.25">
      <c r="A1" s="483" t="s">
        <v>187</v>
      </c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1"/>
      <c r="P1" s="1"/>
      <c r="Q1" s="1"/>
      <c r="R1" s="1"/>
      <c r="S1" s="1"/>
    </row>
    <row r="2" spans="1:45" ht="15" customHeight="1" x14ac:dyDescent="0.25">
      <c r="A2" s="483"/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1"/>
      <c r="P2" s="339" t="s">
        <v>188</v>
      </c>
      <c r="Q2" s="340" cm="1">
        <f t="array" ref="Q2">IFERROR(_xlfn.XLOOKUP(TRUE,Faturamento!Z14:ZZ14&lt;&gt;"",Faturamento!Z14:ZZ14,,0,-1),"Pendente")</f>
        <v>602159.09708099533</v>
      </c>
      <c r="R2" s="345" t="s">
        <v>404</v>
      </c>
      <c r="U2" s="375" cm="1">
        <f t="array" ref="U2">IFERROR(_xlfn.XLOOKUP(TRUE,Faturamento!Z13:ZZ13&lt;&gt;"",Faturamento!Z13:ZZ13,,0,-1),"Pendente")</f>
        <v>75274.745999999999</v>
      </c>
    </row>
    <row r="3" spans="1:45" x14ac:dyDescent="0.25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"/>
      <c r="P3" s="339" t="s">
        <v>191</v>
      </c>
      <c r="Q3" s="340">
        <f>SUM(Q7:Q11)</f>
        <v>434643.71490000002</v>
      </c>
      <c r="R3" s="346" t="s">
        <v>192</v>
      </c>
    </row>
    <row r="4" spans="1:45" x14ac:dyDescent="0.25">
      <c r="A4" s="121"/>
      <c r="B4" s="121"/>
      <c r="C4" s="122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"/>
      <c r="P4" s="339" t="s">
        <v>189</v>
      </c>
      <c r="Q4" s="340">
        <f>Q2*0.1943</f>
        <v>116999.51256283739</v>
      </c>
      <c r="R4" s="346" t="s">
        <v>192</v>
      </c>
    </row>
    <row r="5" spans="1:45" x14ac:dyDescent="0.25">
      <c r="A5" s="87"/>
      <c r="B5" s="87"/>
      <c r="C5" s="120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P5" s="339" t="s">
        <v>190</v>
      </c>
      <c r="Q5" s="340">
        <f>Q2-Q3-Q4</f>
        <v>50515.869618157914</v>
      </c>
      <c r="R5" s="346" t="s">
        <v>192</v>
      </c>
    </row>
    <row r="6" spans="1:45" x14ac:dyDescent="0.25">
      <c r="A6" s="87"/>
      <c r="B6" s="87"/>
      <c r="C6" s="120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P6" s="12"/>
      <c r="Q6" s="341"/>
      <c r="R6" s="347"/>
    </row>
    <row r="7" spans="1:45" ht="45" x14ac:dyDescent="0.25">
      <c r="A7" s="87"/>
      <c r="B7" s="87"/>
      <c r="C7" s="120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310"/>
      <c r="P7" s="370" t="s">
        <v>580</v>
      </c>
      <c r="Q7" s="340">
        <f>U2*0.65</f>
        <v>48928.584900000002</v>
      </c>
      <c r="R7" s="349" t="s">
        <v>436</v>
      </c>
      <c r="T7" s="58"/>
    </row>
    <row r="8" spans="1:45" x14ac:dyDescent="0.25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310"/>
      <c r="P8" s="339" t="s">
        <v>193</v>
      </c>
      <c r="Q8" s="342">
        <f>Helexia!L64</f>
        <v>60715.130000000012</v>
      </c>
      <c r="R8" s="346" t="s">
        <v>577</v>
      </c>
    </row>
    <row r="9" spans="1:45" ht="30.75" customHeight="1" x14ac:dyDescent="0.25">
      <c r="A9" s="87"/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310"/>
      <c r="P9" s="370" t="s">
        <v>578</v>
      </c>
      <c r="Q9" s="343">
        <v>65000</v>
      </c>
      <c r="R9" s="348" t="s">
        <v>579</v>
      </c>
    </row>
    <row r="10" spans="1:45" x14ac:dyDescent="0.25">
      <c r="A10" s="87"/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121"/>
      <c r="M10" s="87"/>
      <c r="N10" s="87"/>
      <c r="O10" s="311"/>
      <c r="P10" s="339" t="s">
        <v>194</v>
      </c>
      <c r="Q10" s="342">
        <v>200000</v>
      </c>
      <c r="R10" s="349" t="s">
        <v>406</v>
      </c>
    </row>
    <row r="11" spans="1:45" ht="26.25" customHeight="1" x14ac:dyDescent="0.25">
      <c r="A11" s="87"/>
      <c r="B11" s="87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P11" s="339" t="s">
        <v>195</v>
      </c>
      <c r="Q11" s="344">
        <v>60000</v>
      </c>
      <c r="R11" s="350" t="s">
        <v>403</v>
      </c>
      <c r="AK11" s="167"/>
    </row>
    <row r="12" spans="1:45" x14ac:dyDescent="0.25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AK12" s="167"/>
    </row>
    <row r="13" spans="1:45" x14ac:dyDescent="0.25">
      <c r="A13" s="87"/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U13" s="253"/>
      <c r="AK13" s="167"/>
    </row>
    <row r="14" spans="1:45" ht="18.75" x14ac:dyDescent="0.25">
      <c r="A14" s="87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320"/>
      <c r="P14" s="321"/>
      <c r="Q14" s="322"/>
      <c r="R14" s="323"/>
      <c r="S14" s="320"/>
      <c r="T14" s="320"/>
      <c r="U14" s="324"/>
      <c r="V14" s="325"/>
      <c r="W14" s="325"/>
      <c r="X14" s="325"/>
      <c r="Y14" s="325"/>
      <c r="Z14" s="325"/>
      <c r="AA14" s="325"/>
      <c r="AB14" s="325"/>
      <c r="AC14" s="325"/>
      <c r="AD14" s="325"/>
      <c r="AE14" s="325"/>
      <c r="AF14" s="325"/>
      <c r="AG14" s="326"/>
      <c r="AH14" s="320"/>
      <c r="AI14" s="301"/>
      <c r="AJ14" s="301"/>
      <c r="AK14" s="167"/>
      <c r="AL14" s="301"/>
      <c r="AM14" s="301"/>
      <c r="AN14" s="301"/>
      <c r="AO14" s="301"/>
      <c r="AP14" s="301"/>
      <c r="AQ14" s="301"/>
      <c r="AR14" s="301"/>
      <c r="AS14" s="301"/>
    </row>
    <row r="15" spans="1:45" ht="18" x14ac:dyDescent="0.35">
      <c r="A15" s="87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320"/>
      <c r="P15" s="327"/>
      <c r="Q15" s="319"/>
      <c r="R15" s="319"/>
      <c r="S15" s="328"/>
      <c r="T15" s="320"/>
      <c r="U15" s="329"/>
      <c r="V15" s="330"/>
      <c r="W15" s="330"/>
      <c r="X15" s="330"/>
      <c r="Y15" s="330"/>
      <c r="Z15" s="330"/>
      <c r="AA15" s="330"/>
      <c r="AB15" s="330"/>
      <c r="AC15" s="330"/>
      <c r="AD15" s="330"/>
      <c r="AE15" s="330"/>
      <c r="AF15" s="330"/>
      <c r="AG15" s="330"/>
      <c r="AH15" s="320"/>
      <c r="AI15" s="300"/>
      <c r="AJ15" s="300"/>
      <c r="AL15" s="300"/>
      <c r="AM15" s="300"/>
      <c r="AN15" s="300"/>
      <c r="AO15" s="300"/>
      <c r="AP15" s="300"/>
      <c r="AQ15" s="300"/>
      <c r="AR15" s="300"/>
      <c r="AS15" s="300"/>
    </row>
    <row r="16" spans="1:45" ht="18" x14ac:dyDescent="0.35">
      <c r="A16" s="87"/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320"/>
      <c r="P16" s="327"/>
      <c r="Q16" s="319"/>
      <c r="R16" s="319"/>
      <c r="S16" s="328"/>
      <c r="T16" s="320"/>
      <c r="U16" s="331"/>
      <c r="V16" s="330"/>
      <c r="W16" s="330"/>
      <c r="X16" s="330"/>
      <c r="Y16" s="330"/>
      <c r="Z16" s="330"/>
      <c r="AA16" s="330"/>
      <c r="AB16" s="330"/>
      <c r="AC16" s="330"/>
      <c r="AD16" s="330"/>
      <c r="AE16" s="330"/>
      <c r="AF16" s="330"/>
      <c r="AG16" s="330"/>
      <c r="AH16" s="320"/>
      <c r="AI16" s="167"/>
      <c r="AJ16" s="167"/>
      <c r="AL16" s="167"/>
      <c r="AM16" s="167"/>
      <c r="AN16" s="167"/>
      <c r="AO16" s="167"/>
      <c r="AP16" s="167"/>
      <c r="AQ16" s="167"/>
      <c r="AR16" s="167"/>
      <c r="AS16" s="167"/>
    </row>
    <row r="17" spans="1:45" ht="18" x14ac:dyDescent="0.35">
      <c r="A17" s="87"/>
      <c r="B17" s="87"/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320"/>
      <c r="P17" s="327"/>
      <c r="Q17" s="319"/>
      <c r="S17" s="328"/>
      <c r="T17" s="320"/>
      <c r="U17" s="331"/>
      <c r="V17" s="330"/>
      <c r="W17" s="330"/>
      <c r="X17" s="330"/>
      <c r="Y17" s="330"/>
      <c r="Z17" s="330"/>
      <c r="AA17" s="330"/>
      <c r="AB17" s="330"/>
      <c r="AC17" s="330"/>
      <c r="AD17" s="330"/>
      <c r="AE17" s="330"/>
      <c r="AF17" s="330"/>
      <c r="AG17" s="330"/>
      <c r="AH17" s="320"/>
      <c r="AI17" s="167"/>
      <c r="AJ17" s="167"/>
      <c r="AL17" s="167"/>
      <c r="AM17" s="167"/>
      <c r="AN17" s="167"/>
      <c r="AO17" s="167"/>
      <c r="AP17" s="167"/>
      <c r="AQ17" s="167"/>
      <c r="AR17" s="167"/>
      <c r="AS17" s="167"/>
    </row>
    <row r="18" spans="1:45" ht="18" x14ac:dyDescent="0.35">
      <c r="A18" s="87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320"/>
      <c r="P18" s="327"/>
      <c r="Q18" s="319"/>
      <c r="R18" s="319"/>
      <c r="S18" s="328"/>
      <c r="T18" s="320"/>
      <c r="U18" s="324"/>
      <c r="V18" s="332"/>
      <c r="W18" s="332"/>
      <c r="X18" s="332"/>
      <c r="Y18" s="332"/>
      <c r="Z18" s="332"/>
      <c r="AA18" s="332"/>
      <c r="AB18" s="332"/>
      <c r="AC18" s="332"/>
      <c r="AD18" s="332"/>
      <c r="AE18" s="332"/>
      <c r="AF18" s="332"/>
      <c r="AG18" s="333"/>
      <c r="AH18" s="320"/>
    </row>
    <row r="19" spans="1:45" ht="18" x14ac:dyDescent="0.35">
      <c r="A19" s="87"/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320"/>
      <c r="P19" s="327"/>
      <c r="Q19" s="319"/>
      <c r="R19" s="319"/>
      <c r="S19" s="328"/>
      <c r="T19" s="320"/>
      <c r="U19" s="334"/>
      <c r="V19" s="335"/>
      <c r="W19" s="334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</row>
    <row r="20" spans="1:45" ht="18" x14ac:dyDescent="0.35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320"/>
      <c r="P20" s="327"/>
      <c r="Q20" s="319"/>
      <c r="R20" s="319"/>
      <c r="S20" s="328"/>
      <c r="T20" s="320"/>
      <c r="U20" s="481"/>
      <c r="V20" s="482"/>
      <c r="W20" s="482"/>
      <c r="X20" s="482"/>
      <c r="Y20" s="482"/>
      <c r="Z20" s="482"/>
      <c r="AA20" s="482"/>
      <c r="AB20" s="482"/>
      <c r="AC20" s="482"/>
      <c r="AD20" s="482"/>
      <c r="AE20" s="482"/>
      <c r="AF20" s="482"/>
      <c r="AG20" s="320"/>
      <c r="AH20" s="320"/>
    </row>
    <row r="21" spans="1:45" ht="18" x14ac:dyDescent="0.35">
      <c r="A21" s="87"/>
      <c r="B21" s="87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320"/>
      <c r="P21" s="327"/>
      <c r="Q21" s="319"/>
      <c r="R21" s="319"/>
      <c r="S21" s="328"/>
      <c r="T21" s="320"/>
      <c r="U21" s="482"/>
      <c r="V21" s="482"/>
      <c r="W21" s="482"/>
      <c r="X21" s="482"/>
      <c r="Y21" s="482"/>
      <c r="Z21" s="482"/>
      <c r="AA21" s="482"/>
      <c r="AB21" s="482"/>
      <c r="AC21" s="482"/>
      <c r="AD21" s="482"/>
      <c r="AE21" s="482"/>
      <c r="AF21" s="482"/>
      <c r="AG21" s="320"/>
      <c r="AH21" s="320"/>
    </row>
    <row r="22" spans="1:45" ht="18" x14ac:dyDescent="0.35">
      <c r="A22" s="87"/>
      <c r="B22" s="87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320"/>
      <c r="P22" s="327"/>
      <c r="Q22" s="319"/>
      <c r="R22" s="319"/>
      <c r="S22" s="328"/>
      <c r="T22" s="320"/>
      <c r="U22" s="482"/>
      <c r="V22" s="482"/>
      <c r="W22" s="482"/>
      <c r="X22" s="482"/>
      <c r="Y22" s="482"/>
      <c r="Z22" s="482"/>
      <c r="AA22" s="482"/>
      <c r="AB22" s="482"/>
      <c r="AC22" s="482"/>
      <c r="AD22" s="482"/>
      <c r="AE22" s="482"/>
      <c r="AF22" s="482"/>
      <c r="AG22" s="320"/>
      <c r="AH22" s="320"/>
    </row>
    <row r="23" spans="1:45" ht="18" x14ac:dyDescent="0.35">
      <c r="A23" s="87"/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320"/>
      <c r="P23" s="327"/>
      <c r="Q23" s="319"/>
      <c r="R23" s="319"/>
      <c r="S23" s="328"/>
      <c r="T23" s="320"/>
      <c r="U23" s="482"/>
      <c r="V23" s="482"/>
      <c r="W23" s="482"/>
      <c r="X23" s="482"/>
      <c r="Y23" s="482"/>
      <c r="Z23" s="482"/>
      <c r="AA23" s="482"/>
      <c r="AB23" s="482"/>
      <c r="AC23" s="482"/>
      <c r="AD23" s="482"/>
      <c r="AE23" s="482"/>
      <c r="AF23" s="482"/>
      <c r="AG23" s="320"/>
      <c r="AH23" s="320"/>
    </row>
    <row r="24" spans="1:45" ht="18" x14ac:dyDescent="0.3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320"/>
      <c r="P24" s="327"/>
      <c r="Q24" s="319"/>
      <c r="R24" s="319"/>
      <c r="S24" s="328"/>
      <c r="T24" s="320"/>
      <c r="U24" s="334"/>
      <c r="V24" s="334"/>
      <c r="W24" s="334"/>
      <c r="X24" s="320"/>
      <c r="Y24" s="320"/>
      <c r="Z24" s="320"/>
      <c r="AA24" s="320"/>
      <c r="AB24" s="320"/>
      <c r="AC24" s="320"/>
      <c r="AD24" s="320"/>
      <c r="AE24" s="320"/>
      <c r="AF24" s="320"/>
      <c r="AG24" s="320"/>
      <c r="AH24" s="320"/>
    </row>
    <row r="25" spans="1:45" ht="18" x14ac:dyDescent="0.3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320"/>
      <c r="P25" s="327"/>
      <c r="Q25" s="319"/>
      <c r="R25" s="319"/>
      <c r="S25" s="328"/>
      <c r="T25" s="320"/>
      <c r="U25" s="334"/>
      <c r="V25" s="334"/>
      <c r="W25" s="334"/>
      <c r="X25" s="320"/>
      <c r="Y25" s="320"/>
      <c r="Z25" s="320"/>
      <c r="AA25" s="320"/>
      <c r="AB25" s="320"/>
      <c r="AC25" s="320"/>
      <c r="AD25" s="320"/>
      <c r="AE25" s="320"/>
      <c r="AF25" s="320"/>
      <c r="AG25" s="320"/>
      <c r="AH25" s="320"/>
    </row>
    <row r="26" spans="1:45" ht="18" x14ac:dyDescent="0.3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320"/>
      <c r="P26" s="327"/>
      <c r="Q26" s="319"/>
      <c r="R26" s="319"/>
      <c r="S26" s="328"/>
      <c r="T26" s="320"/>
      <c r="U26" s="334"/>
      <c r="V26" s="334"/>
      <c r="W26" s="334"/>
      <c r="X26" s="320"/>
      <c r="Y26" s="320"/>
      <c r="Z26" s="320"/>
      <c r="AA26" s="320"/>
      <c r="AB26" s="320"/>
      <c r="AC26" s="320"/>
      <c r="AD26" s="320"/>
      <c r="AE26" s="320"/>
      <c r="AF26" s="320"/>
      <c r="AG26" s="320"/>
      <c r="AH26" s="320"/>
    </row>
    <row r="27" spans="1:45" ht="18" x14ac:dyDescent="0.3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320"/>
      <c r="P27" s="327"/>
      <c r="Q27" s="319"/>
      <c r="R27" s="319"/>
      <c r="S27" s="328"/>
      <c r="T27" s="320"/>
      <c r="U27" s="334"/>
      <c r="V27" s="334"/>
      <c r="W27" s="334"/>
      <c r="X27" s="320"/>
      <c r="Y27" s="320"/>
      <c r="Z27" s="320"/>
      <c r="AA27" s="320"/>
      <c r="AB27" s="320"/>
      <c r="AC27" s="320"/>
      <c r="AD27" s="320"/>
      <c r="AE27" s="320"/>
      <c r="AF27" s="320"/>
      <c r="AG27" s="320"/>
      <c r="AH27" s="320"/>
    </row>
    <row r="28" spans="1:45" ht="18" x14ac:dyDescent="0.3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320"/>
      <c r="P28" s="327"/>
      <c r="Q28" s="319"/>
      <c r="R28" s="319"/>
      <c r="S28" s="328"/>
      <c r="T28" s="320"/>
      <c r="U28" s="334"/>
      <c r="V28" s="334"/>
      <c r="W28" s="334"/>
      <c r="X28" s="320"/>
      <c r="Y28" s="320"/>
      <c r="Z28" s="320"/>
      <c r="AA28" s="320"/>
      <c r="AB28" s="320"/>
      <c r="AC28" s="320"/>
      <c r="AD28" s="320"/>
      <c r="AE28" s="320"/>
      <c r="AF28" s="320"/>
      <c r="AG28" s="320"/>
      <c r="AH28" s="320"/>
    </row>
    <row r="29" spans="1:45" ht="18" x14ac:dyDescent="0.3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320"/>
      <c r="P29" s="327"/>
      <c r="Q29" s="319"/>
      <c r="R29" s="319"/>
      <c r="S29" s="328"/>
      <c r="T29" s="320"/>
      <c r="U29" s="334"/>
      <c r="V29" s="334"/>
      <c r="W29" s="334"/>
      <c r="X29" s="320"/>
      <c r="Y29" s="320"/>
      <c r="Z29" s="320"/>
      <c r="AA29" s="320"/>
      <c r="AB29" s="320"/>
      <c r="AC29" s="320"/>
      <c r="AD29" s="320"/>
      <c r="AE29" s="320"/>
      <c r="AF29" s="320"/>
      <c r="AG29" s="320"/>
      <c r="AH29" s="320"/>
    </row>
    <row r="30" spans="1:45" ht="18" x14ac:dyDescent="0.3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320"/>
      <c r="P30" s="327"/>
      <c r="Q30" s="319"/>
      <c r="R30" s="319"/>
      <c r="S30" s="328"/>
      <c r="T30" s="320"/>
      <c r="U30" s="334"/>
      <c r="V30" s="334"/>
      <c r="W30" s="334"/>
      <c r="X30" s="320"/>
      <c r="Y30" s="320"/>
      <c r="Z30" s="320"/>
      <c r="AA30" s="320"/>
      <c r="AB30" s="320"/>
      <c r="AC30" s="320"/>
      <c r="AD30" s="320"/>
      <c r="AE30" s="320"/>
      <c r="AF30" s="320"/>
      <c r="AG30" s="320"/>
      <c r="AH30" s="320"/>
    </row>
    <row r="31" spans="1:45" ht="18" x14ac:dyDescent="0.35">
      <c r="A31" s="87"/>
      <c r="B31" s="304"/>
      <c r="C31" s="305"/>
      <c r="D31" s="305"/>
      <c r="E31" s="305"/>
      <c r="F31" s="87"/>
      <c r="G31" s="87"/>
      <c r="H31" s="87"/>
      <c r="I31" s="87"/>
      <c r="J31" s="87"/>
      <c r="K31" s="87"/>
      <c r="L31" s="87"/>
      <c r="M31" s="87"/>
      <c r="N31" s="87"/>
      <c r="O31" s="320"/>
      <c r="P31" s="327"/>
      <c r="Q31" s="319"/>
      <c r="R31" s="319"/>
      <c r="S31" s="328"/>
      <c r="T31" s="320"/>
      <c r="U31" s="334"/>
      <c r="V31" s="334"/>
      <c r="W31" s="334"/>
      <c r="X31" s="320"/>
      <c r="Y31" s="320"/>
      <c r="Z31" s="320"/>
      <c r="AA31" s="320"/>
      <c r="AB31" s="320"/>
      <c r="AC31" s="320"/>
      <c r="AD31" s="320"/>
      <c r="AE31" s="320"/>
      <c r="AF31" s="320"/>
      <c r="AG31" s="320"/>
      <c r="AH31" s="320"/>
    </row>
    <row r="32" spans="1:45" ht="18" x14ac:dyDescent="0.35">
      <c r="A32" s="87"/>
      <c r="B32" s="303"/>
      <c r="C32" s="306"/>
      <c r="D32" s="303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320"/>
      <c r="P32" s="327"/>
      <c r="Q32" s="319"/>
      <c r="R32" s="319"/>
      <c r="S32" s="328"/>
      <c r="T32" s="320"/>
      <c r="U32" s="334"/>
      <c r="V32" s="334"/>
      <c r="W32" s="334"/>
      <c r="X32" s="320"/>
      <c r="Y32" s="320"/>
      <c r="Z32" s="320"/>
      <c r="AA32" s="320"/>
      <c r="AB32" s="320"/>
      <c r="AC32" s="320"/>
      <c r="AD32" s="320"/>
      <c r="AE32" s="320"/>
      <c r="AF32" s="320"/>
      <c r="AG32" s="320"/>
      <c r="AH32" s="320"/>
    </row>
    <row r="33" spans="1:37" ht="18" x14ac:dyDescent="0.35">
      <c r="A33" s="87"/>
      <c r="B33" s="303"/>
      <c r="C33" s="306"/>
      <c r="D33" s="303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320"/>
      <c r="P33" s="327"/>
      <c r="Q33" s="319"/>
      <c r="R33" s="319"/>
      <c r="S33" s="328"/>
      <c r="T33" s="320"/>
      <c r="U33" s="334"/>
      <c r="V33" s="334"/>
      <c r="W33" s="334"/>
      <c r="X33" s="320"/>
      <c r="Y33" s="320"/>
      <c r="Z33" s="320"/>
      <c r="AA33" s="320"/>
      <c r="AB33" s="320"/>
      <c r="AC33" s="320"/>
      <c r="AD33" s="320"/>
      <c r="AE33" s="320"/>
      <c r="AF33" s="320"/>
      <c r="AG33" s="320"/>
      <c r="AH33" s="320"/>
    </row>
    <row r="34" spans="1:37" ht="18" x14ac:dyDescent="0.35">
      <c r="A34" s="87"/>
      <c r="B34" s="336"/>
      <c r="C34" s="336"/>
      <c r="D34" s="336"/>
      <c r="E34" s="337"/>
      <c r="F34" s="337"/>
      <c r="G34" s="337"/>
      <c r="H34" s="337"/>
      <c r="I34" s="337"/>
      <c r="J34" s="337"/>
      <c r="K34" s="337"/>
      <c r="L34" s="337"/>
      <c r="M34" s="337"/>
      <c r="N34" s="337"/>
      <c r="O34" s="320"/>
      <c r="P34" s="327"/>
      <c r="Q34" s="319"/>
      <c r="R34" s="319"/>
      <c r="S34" s="328"/>
      <c r="T34" s="320"/>
      <c r="U34" s="334"/>
      <c r="V34" s="334"/>
      <c r="W34" s="334"/>
      <c r="X34" s="320"/>
      <c r="Y34" s="320"/>
      <c r="Z34" s="320"/>
      <c r="AA34" s="320"/>
      <c r="AB34" s="320"/>
      <c r="AC34" s="320"/>
      <c r="AD34" s="320"/>
      <c r="AE34" s="320"/>
      <c r="AF34" s="320"/>
      <c r="AG34" s="320"/>
      <c r="AH34" s="320"/>
    </row>
    <row r="35" spans="1:37" ht="18" x14ac:dyDescent="0.35">
      <c r="A35" s="87"/>
      <c r="B35" s="336"/>
      <c r="C35" s="336"/>
      <c r="D35" s="336"/>
      <c r="E35" s="337"/>
      <c r="F35" s="337"/>
      <c r="G35" s="337"/>
      <c r="H35" s="337"/>
      <c r="I35" s="337"/>
      <c r="J35" s="337"/>
      <c r="K35" s="337"/>
      <c r="L35" s="337"/>
      <c r="M35" s="337"/>
      <c r="N35" s="337"/>
      <c r="O35" s="320"/>
      <c r="P35" s="327"/>
      <c r="Q35" s="319"/>
      <c r="R35" s="319"/>
      <c r="S35" s="328"/>
      <c r="T35" s="320"/>
      <c r="U35" s="334"/>
      <c r="V35" s="334"/>
      <c r="W35" s="334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</row>
    <row r="36" spans="1:37" ht="18" x14ac:dyDescent="0.35">
      <c r="A36" s="87"/>
      <c r="B36" s="336"/>
      <c r="C36" s="336"/>
      <c r="D36" s="336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20"/>
      <c r="P36" s="327"/>
      <c r="Q36" s="319"/>
      <c r="R36" s="319"/>
      <c r="S36" s="328"/>
      <c r="T36" s="320"/>
      <c r="U36" s="334"/>
      <c r="V36" s="334"/>
      <c r="W36" s="334"/>
      <c r="X36" s="320"/>
      <c r="Y36" s="320"/>
      <c r="Z36" s="320"/>
      <c r="AA36" s="320"/>
      <c r="AB36" s="320"/>
      <c r="AC36" s="320"/>
      <c r="AD36" s="320"/>
      <c r="AE36" s="320"/>
      <c r="AF36" s="320"/>
      <c r="AG36" s="320"/>
      <c r="AH36" s="320"/>
    </row>
    <row r="37" spans="1:37" ht="18" x14ac:dyDescent="0.35">
      <c r="A37" s="87"/>
      <c r="B37" s="336"/>
      <c r="C37" s="338"/>
      <c r="D37" s="338"/>
      <c r="E37" s="337"/>
      <c r="F37" s="337"/>
      <c r="G37" s="337"/>
      <c r="H37" s="337"/>
      <c r="I37" s="337"/>
      <c r="J37" s="337"/>
      <c r="K37" s="337"/>
      <c r="L37" s="337"/>
      <c r="M37" s="337"/>
      <c r="N37" s="337"/>
      <c r="O37" s="320"/>
      <c r="P37" s="327"/>
      <c r="Q37" s="319"/>
      <c r="R37" s="319"/>
      <c r="S37" s="328"/>
      <c r="T37" s="320"/>
      <c r="U37" s="334"/>
      <c r="V37" s="334"/>
      <c r="W37" s="334"/>
      <c r="X37" s="320"/>
      <c r="Y37" s="320"/>
      <c r="Z37" s="320"/>
      <c r="AA37" s="320"/>
      <c r="AB37" s="320"/>
      <c r="AC37" s="320"/>
      <c r="AD37" s="320"/>
      <c r="AE37" s="320"/>
      <c r="AF37" s="320"/>
      <c r="AG37" s="320"/>
      <c r="AH37" s="320"/>
    </row>
    <row r="38" spans="1:37" ht="18" x14ac:dyDescent="0.35">
      <c r="A38" s="87"/>
      <c r="B38" s="337"/>
      <c r="C38" s="337"/>
      <c r="D38" s="337"/>
      <c r="E38" s="337"/>
      <c r="F38" s="337"/>
      <c r="G38" s="337"/>
      <c r="H38" s="337"/>
      <c r="I38" s="337"/>
      <c r="J38" s="337"/>
      <c r="K38" s="337"/>
      <c r="L38" s="337"/>
      <c r="M38" s="337"/>
      <c r="N38" s="337"/>
      <c r="O38" s="320"/>
      <c r="P38" s="327"/>
      <c r="Q38" s="319"/>
      <c r="R38" s="319"/>
      <c r="S38" s="328"/>
      <c r="T38" s="320"/>
      <c r="U38" s="334"/>
      <c r="V38" s="334"/>
      <c r="W38" s="334"/>
      <c r="X38" s="320"/>
      <c r="Y38" s="320"/>
      <c r="Z38" s="320"/>
      <c r="AA38" s="320"/>
      <c r="AB38" s="320"/>
      <c r="AC38" s="320"/>
      <c r="AD38" s="320"/>
      <c r="AE38" s="320"/>
      <c r="AF38" s="320"/>
      <c r="AG38" s="320"/>
      <c r="AH38" s="320"/>
    </row>
    <row r="39" spans="1:37" ht="18" x14ac:dyDescent="0.35">
      <c r="A39" s="87"/>
      <c r="B39" s="337"/>
      <c r="C39" s="337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20"/>
      <c r="P39" s="327"/>
      <c r="Q39" s="319"/>
      <c r="R39" s="319"/>
      <c r="S39" s="328"/>
      <c r="T39" s="320"/>
      <c r="U39" s="334"/>
      <c r="V39" s="334"/>
      <c r="W39" s="334"/>
      <c r="X39" s="320"/>
      <c r="Y39" s="320"/>
      <c r="Z39" s="320"/>
      <c r="AA39" s="320"/>
      <c r="AB39" s="320"/>
      <c r="AC39" s="320"/>
      <c r="AD39" s="320"/>
      <c r="AE39" s="320"/>
      <c r="AF39" s="320"/>
      <c r="AG39" s="320"/>
      <c r="AH39" s="320"/>
    </row>
    <row r="40" spans="1:37" ht="18" x14ac:dyDescent="0.35">
      <c r="A40" s="87"/>
      <c r="B40" s="337"/>
      <c r="C40" s="337"/>
      <c r="D40" s="337"/>
      <c r="E40" s="337"/>
      <c r="F40" s="337"/>
      <c r="G40" s="337"/>
      <c r="H40" s="337"/>
      <c r="I40" s="337"/>
      <c r="J40" s="337"/>
      <c r="K40" s="337"/>
      <c r="L40" s="337"/>
      <c r="M40" s="337"/>
      <c r="N40" s="337"/>
      <c r="O40" s="320"/>
      <c r="P40" s="327"/>
      <c r="Q40" s="319"/>
      <c r="R40" s="319"/>
      <c r="S40" s="328"/>
      <c r="T40" s="320"/>
      <c r="U40" s="334"/>
      <c r="V40" s="334"/>
      <c r="W40" s="334"/>
      <c r="X40" s="320"/>
      <c r="Y40" s="320"/>
      <c r="Z40" s="320"/>
      <c r="AA40" s="320"/>
      <c r="AB40" s="320"/>
      <c r="AC40" s="320"/>
      <c r="AD40" s="320"/>
      <c r="AE40" s="320"/>
      <c r="AF40" s="320"/>
      <c r="AG40" s="320"/>
      <c r="AH40" s="320"/>
      <c r="AK40" s="167" t="s">
        <v>446</v>
      </c>
    </row>
    <row r="41" spans="1:37" ht="18" x14ac:dyDescent="0.35">
      <c r="B41" s="337"/>
      <c r="C41" s="337"/>
      <c r="D41" s="337"/>
      <c r="E41" s="337"/>
      <c r="F41" s="337"/>
      <c r="G41" s="337"/>
      <c r="H41" s="337"/>
      <c r="I41" s="337"/>
      <c r="J41" s="337"/>
      <c r="K41" s="337"/>
      <c r="L41" s="337"/>
      <c r="M41" s="337"/>
      <c r="N41" s="337"/>
      <c r="O41" s="320"/>
      <c r="P41" s="327"/>
      <c r="Q41" s="319"/>
      <c r="R41" s="319"/>
      <c r="S41" s="328"/>
      <c r="T41" s="320"/>
      <c r="U41" s="334"/>
      <c r="V41" s="334"/>
      <c r="W41" s="334"/>
      <c r="X41" s="320"/>
      <c r="Y41" s="320"/>
      <c r="Z41" s="320"/>
      <c r="AA41" s="320"/>
      <c r="AB41" s="320"/>
      <c r="AC41" s="320"/>
      <c r="AD41" s="320"/>
      <c r="AE41" s="320"/>
      <c r="AF41" s="320"/>
      <c r="AG41" s="320"/>
      <c r="AH41" s="320"/>
      <c r="AK41" s="167" t="s">
        <v>446</v>
      </c>
    </row>
    <row r="42" spans="1:37" ht="18" x14ac:dyDescent="0.35">
      <c r="B42" s="337"/>
      <c r="C42" s="337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20"/>
      <c r="P42" s="327"/>
      <c r="Q42" s="319"/>
      <c r="R42" s="319"/>
      <c r="S42" s="328"/>
      <c r="T42" s="320"/>
      <c r="U42" s="334"/>
      <c r="V42" s="334"/>
      <c r="W42" s="334"/>
      <c r="X42" s="320"/>
      <c r="Y42" s="320"/>
      <c r="Z42" s="320"/>
      <c r="AA42" s="320"/>
      <c r="AB42" s="320"/>
      <c r="AC42" s="320"/>
      <c r="AD42" s="320"/>
      <c r="AE42" s="320"/>
      <c r="AF42" s="320"/>
      <c r="AG42" s="320"/>
      <c r="AH42" s="320"/>
      <c r="AK42" s="167" t="s">
        <v>446</v>
      </c>
    </row>
    <row r="43" spans="1:37" ht="18" x14ac:dyDescent="0.35">
      <c r="B43" s="337"/>
      <c r="C43" s="337"/>
      <c r="D43" s="337"/>
      <c r="E43" s="337"/>
      <c r="F43" s="337"/>
      <c r="G43" s="337"/>
      <c r="H43" s="337"/>
      <c r="I43" s="337"/>
      <c r="J43" s="337"/>
      <c r="K43" s="337"/>
      <c r="L43" s="337"/>
      <c r="M43" s="337"/>
      <c r="N43" s="337"/>
      <c r="O43" s="320"/>
      <c r="P43" s="327"/>
      <c r="Q43" s="319"/>
      <c r="R43" s="319"/>
      <c r="S43" s="328"/>
      <c r="T43" s="320"/>
      <c r="U43" s="334"/>
      <c r="V43" s="334"/>
      <c r="W43" s="334"/>
      <c r="X43" s="320"/>
      <c r="Y43" s="320"/>
      <c r="Z43" s="320"/>
      <c r="AA43" s="320"/>
      <c r="AB43" s="320"/>
      <c r="AC43" s="320"/>
      <c r="AD43" s="320"/>
      <c r="AE43" s="320"/>
      <c r="AF43" s="320"/>
      <c r="AG43" s="320"/>
      <c r="AH43" s="320"/>
      <c r="AK43" s="167" t="s">
        <v>446</v>
      </c>
    </row>
    <row r="44" spans="1:37" ht="18" x14ac:dyDescent="0.35">
      <c r="B44" s="337"/>
      <c r="C44" s="337"/>
      <c r="D44" s="337"/>
      <c r="E44" s="337"/>
      <c r="F44" s="337"/>
      <c r="G44" s="337"/>
      <c r="H44" s="337"/>
      <c r="I44" s="337"/>
      <c r="J44" s="337"/>
      <c r="K44" s="337"/>
      <c r="L44" s="337"/>
      <c r="M44" s="337"/>
      <c r="N44" s="337"/>
      <c r="O44" s="320"/>
      <c r="P44" s="327"/>
      <c r="Q44" s="319"/>
      <c r="R44" s="319"/>
      <c r="S44" s="328"/>
      <c r="T44" s="320"/>
      <c r="U44" s="334"/>
      <c r="V44" s="334"/>
      <c r="W44" s="334"/>
      <c r="X44" s="320"/>
      <c r="Y44" s="320"/>
      <c r="Z44" s="320"/>
      <c r="AA44" s="320"/>
      <c r="AB44" s="320"/>
      <c r="AC44" s="320"/>
      <c r="AD44" s="320"/>
      <c r="AE44" s="320"/>
      <c r="AF44" s="320"/>
      <c r="AG44" s="320"/>
      <c r="AH44" s="320"/>
      <c r="AK44" s="167" t="s">
        <v>446</v>
      </c>
    </row>
    <row r="45" spans="1:37" ht="18" x14ac:dyDescent="0.35">
      <c r="B45" s="337"/>
      <c r="C45" s="337"/>
      <c r="D45" s="337"/>
      <c r="E45" s="337"/>
      <c r="F45" s="337"/>
      <c r="G45" s="337"/>
      <c r="H45" s="337"/>
      <c r="I45" s="337"/>
      <c r="J45" s="337"/>
      <c r="K45" s="337"/>
      <c r="L45" s="337"/>
      <c r="M45" s="337"/>
      <c r="N45" s="337"/>
      <c r="O45" s="320"/>
      <c r="P45" s="327"/>
      <c r="Q45" s="319"/>
      <c r="R45" s="319"/>
      <c r="S45" s="328"/>
      <c r="T45" s="320"/>
      <c r="U45" s="334"/>
      <c r="V45" s="334"/>
      <c r="W45" s="334"/>
      <c r="X45" s="320"/>
      <c r="Y45" s="320"/>
      <c r="Z45" s="320"/>
      <c r="AA45" s="320"/>
      <c r="AB45" s="320"/>
      <c r="AC45" s="320"/>
      <c r="AD45" s="320"/>
      <c r="AE45" s="320"/>
      <c r="AF45" s="320"/>
      <c r="AG45" s="320"/>
      <c r="AH45" s="320"/>
      <c r="AK45" s="167" t="s">
        <v>446</v>
      </c>
    </row>
    <row r="46" spans="1:37" ht="18" x14ac:dyDescent="0.35">
      <c r="B46" s="337"/>
      <c r="C46" s="337"/>
      <c r="D46" s="337"/>
      <c r="E46" s="337"/>
      <c r="F46" s="337"/>
      <c r="G46" s="337"/>
      <c r="H46" s="337"/>
      <c r="I46" s="337"/>
      <c r="J46" s="337"/>
      <c r="K46" s="337"/>
      <c r="L46" s="337"/>
      <c r="M46" s="337"/>
      <c r="N46" s="337"/>
      <c r="O46" s="320"/>
      <c r="P46" s="327"/>
      <c r="Q46" s="319"/>
      <c r="R46" s="319"/>
      <c r="S46" s="328"/>
      <c r="T46" s="320"/>
      <c r="U46" s="334"/>
      <c r="V46" s="334"/>
      <c r="W46" s="334"/>
      <c r="X46" s="320"/>
      <c r="Y46" s="320"/>
      <c r="Z46" s="320"/>
      <c r="AA46" s="320"/>
      <c r="AB46" s="320"/>
      <c r="AC46" s="320"/>
      <c r="AD46" s="320"/>
      <c r="AE46" s="320"/>
      <c r="AF46" s="320"/>
      <c r="AG46" s="320"/>
      <c r="AH46" s="320"/>
      <c r="AK46" s="167" t="s">
        <v>446</v>
      </c>
    </row>
    <row r="47" spans="1:37" ht="18" x14ac:dyDescent="0.35">
      <c r="B47" s="337"/>
      <c r="C47" s="337"/>
      <c r="D47" s="337"/>
      <c r="E47" s="337"/>
      <c r="F47" s="337"/>
      <c r="G47" s="337"/>
      <c r="H47" s="337"/>
      <c r="I47" s="337"/>
      <c r="J47" s="337"/>
      <c r="K47" s="337"/>
      <c r="L47" s="337"/>
      <c r="M47" s="337"/>
      <c r="N47" s="337"/>
      <c r="O47" s="320"/>
      <c r="P47" s="327"/>
      <c r="Q47" s="319"/>
      <c r="R47" s="319"/>
      <c r="S47" s="328"/>
      <c r="T47" s="320"/>
      <c r="U47" s="334"/>
      <c r="V47" s="334"/>
      <c r="W47" s="334"/>
      <c r="X47" s="320"/>
      <c r="Y47" s="320"/>
      <c r="Z47" s="320"/>
      <c r="AA47" s="320"/>
      <c r="AB47" s="320"/>
      <c r="AC47" s="320"/>
      <c r="AD47" s="320"/>
      <c r="AE47" s="320"/>
      <c r="AF47" s="320"/>
      <c r="AG47" s="320"/>
      <c r="AH47" s="320"/>
      <c r="AK47" s="167" t="s">
        <v>446</v>
      </c>
    </row>
    <row r="48" spans="1:37" ht="18" x14ac:dyDescent="0.35">
      <c r="B48" s="337"/>
      <c r="C48" s="337"/>
      <c r="D48" s="337"/>
      <c r="E48" s="337"/>
      <c r="F48" s="337"/>
      <c r="G48" s="337"/>
      <c r="H48" s="337"/>
      <c r="I48" s="337"/>
      <c r="J48" s="337"/>
      <c r="K48" s="337"/>
      <c r="L48" s="337"/>
      <c r="M48" s="337"/>
      <c r="N48" s="337"/>
      <c r="O48" s="320"/>
      <c r="P48" s="327"/>
      <c r="Q48" s="319"/>
      <c r="R48" s="319"/>
      <c r="S48" s="328"/>
      <c r="T48" s="320"/>
      <c r="U48" s="334"/>
      <c r="V48" s="334"/>
      <c r="W48" s="334"/>
      <c r="X48" s="320"/>
      <c r="Y48" s="320"/>
      <c r="Z48" s="320"/>
      <c r="AA48" s="320"/>
      <c r="AB48" s="320"/>
      <c r="AC48" s="320"/>
      <c r="AD48" s="320"/>
      <c r="AE48" s="320"/>
      <c r="AF48" s="320"/>
      <c r="AG48" s="320"/>
      <c r="AH48" s="320"/>
      <c r="AK48" s="167" t="s">
        <v>446</v>
      </c>
    </row>
    <row r="49" spans="2:14" x14ac:dyDescent="0.25">
      <c r="B49" s="337"/>
      <c r="C49" s="337"/>
      <c r="D49" s="337"/>
      <c r="E49" s="337"/>
      <c r="F49" s="337"/>
      <c r="G49" s="337"/>
      <c r="H49" s="337"/>
      <c r="I49" s="337"/>
      <c r="J49" s="337"/>
      <c r="K49" s="337"/>
      <c r="L49" s="337"/>
      <c r="M49" s="337"/>
      <c r="N49" s="337"/>
    </row>
  </sheetData>
  <mergeCells count="2">
    <mergeCell ref="U20:AF23"/>
    <mergeCell ref="A1:N2"/>
  </mergeCells>
  <conditionalFormatting sqref="Q15:Q48">
    <cfRule type="expression" dxfId="97" priority="6">
      <formula>AND(S$7="Dom",Q15&gt;0)</formula>
    </cfRule>
    <cfRule type="expression" dxfId="96" priority="7">
      <formula>AND(S$7="Sáb",Q15&gt;0)</formula>
    </cfRule>
    <cfRule type="expression" dxfId="95" priority="8">
      <formula>AND(S$7="Dom",Q15=0)</formula>
    </cfRule>
    <cfRule type="expression" dxfId="94" priority="9">
      <formula>AND(S$7="Sáb",Q15=0)</formula>
    </cfRule>
  </conditionalFormatting>
  <conditionalFormatting sqref="R15:R16 R18:R48">
    <cfRule type="expression" dxfId="93" priority="5">
      <formula>AND(T$9="Sáb",R15=0)</formula>
    </cfRule>
  </conditionalFormatting>
  <conditionalFormatting sqref="R15:R16 R18:R48">
    <cfRule type="expression" dxfId="92" priority="4">
      <formula>AND(T$9="Dom",R15=0)</formula>
    </cfRule>
  </conditionalFormatting>
  <conditionalFormatting sqref="R15:R16 R18:R48">
    <cfRule type="expression" dxfId="91" priority="3">
      <formula>AND(T$9="Sáb",R15&gt;0)</formula>
    </cfRule>
  </conditionalFormatting>
  <conditionalFormatting sqref="R15:R16 R18:R48">
    <cfRule type="expression" dxfId="90" priority="2">
      <formula>AND(T$9="Dom",R15&gt;0)</formula>
    </cfRule>
  </conditionalFormatting>
  <conditionalFormatting sqref="S15:S48">
    <cfRule type="containsText" dxfId="89" priority="1" operator="containsText" text="OK">
      <formula>NOT(ISERROR(SEARCH("OK",S15)))</formula>
    </cfRule>
  </conditionalFormatting>
  <printOptions horizontalCentered="1" verticalCentered="1"/>
  <pageMargins left="0" right="0" top="0" bottom="0" header="0" footer="0"/>
  <pageSetup paperSize="9" fitToWidth="0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50C1-BE66-4600-A6C6-A2676685F83D}">
  <sheetPr codeName="Planilha12">
    <tabColor theme="3" tint="0.39997558519241921"/>
    <pageSetUpPr fitToPage="1"/>
  </sheetPr>
  <dimension ref="A1:L45"/>
  <sheetViews>
    <sheetView view="pageBreakPreview" topLeftCell="A7" zoomScale="85" zoomScaleNormal="100" zoomScaleSheetLayoutView="85" workbookViewId="0">
      <selection activeCell="E11" sqref="E11:H14"/>
    </sheetView>
  </sheetViews>
  <sheetFormatPr defaultRowHeight="15" x14ac:dyDescent="0.25"/>
  <cols>
    <col min="1" max="1" width="8" customWidth="1"/>
    <col min="2" max="2" width="40.7109375" customWidth="1"/>
    <col min="3" max="3" width="47.140625" customWidth="1"/>
    <col min="6" max="6" width="40.7109375" customWidth="1"/>
    <col min="7" max="7" width="47.140625" customWidth="1"/>
  </cols>
  <sheetData>
    <row r="1" spans="1:12" x14ac:dyDescent="0.25">
      <c r="A1" s="158"/>
      <c r="B1" s="159"/>
      <c r="C1" s="159"/>
      <c r="D1" s="160"/>
      <c r="E1" s="158"/>
      <c r="F1" s="159"/>
      <c r="G1" s="159"/>
      <c r="H1" s="160"/>
    </row>
    <row r="2" spans="1:12" ht="49.5" customHeight="1" x14ac:dyDescent="0.25">
      <c r="A2" s="161"/>
      <c r="B2" s="487" t="s">
        <v>249</v>
      </c>
      <c r="C2" s="487"/>
      <c r="D2" s="162"/>
      <c r="E2" s="161"/>
      <c r="F2" s="487" t="s">
        <v>250</v>
      </c>
      <c r="G2" s="487"/>
      <c r="H2" s="162"/>
    </row>
    <row r="3" spans="1:12" x14ac:dyDescent="0.25">
      <c r="A3" s="161"/>
      <c r="B3" s="123"/>
      <c r="C3" s="123"/>
      <c r="D3" s="162"/>
      <c r="E3" s="161"/>
      <c r="F3" s="123"/>
      <c r="G3" s="123"/>
      <c r="H3" s="162"/>
      <c r="L3" s="87"/>
    </row>
    <row r="4" spans="1:12" x14ac:dyDescent="0.25">
      <c r="A4" s="161"/>
      <c r="B4" s="123"/>
      <c r="C4" s="123"/>
      <c r="D4" s="162"/>
      <c r="E4" s="161"/>
      <c r="F4" s="123"/>
      <c r="G4" s="123"/>
      <c r="H4" s="162"/>
      <c r="L4" s="87"/>
    </row>
    <row r="5" spans="1:12" x14ac:dyDescent="0.25">
      <c r="A5" s="161"/>
      <c r="B5" s="123"/>
      <c r="C5" s="123"/>
      <c r="D5" s="162"/>
      <c r="E5" s="161"/>
      <c r="F5" s="123"/>
      <c r="G5" s="123"/>
      <c r="H5" s="162"/>
      <c r="L5" s="87"/>
    </row>
    <row r="6" spans="1:12" ht="141.75" customHeight="1" x14ac:dyDescent="0.25">
      <c r="A6" s="484"/>
      <c r="B6" s="163"/>
      <c r="C6" s="164"/>
      <c r="D6" s="162"/>
      <c r="E6" s="484"/>
      <c r="F6" s="163"/>
      <c r="G6" s="164"/>
      <c r="H6" s="162"/>
      <c r="L6" s="87"/>
    </row>
    <row r="7" spans="1:12" ht="138.75" customHeight="1" x14ac:dyDescent="0.25">
      <c r="A7" s="484"/>
      <c r="B7" s="165"/>
      <c r="C7" s="166"/>
      <c r="D7" s="162"/>
      <c r="E7" s="484"/>
      <c r="F7" s="165"/>
      <c r="G7" s="166"/>
      <c r="H7" s="162"/>
      <c r="L7" s="87"/>
    </row>
    <row r="8" spans="1:12" ht="30" customHeight="1" x14ac:dyDescent="0.25">
      <c r="A8" s="485"/>
      <c r="B8" s="486"/>
      <c r="C8" s="486"/>
      <c r="D8" s="162"/>
      <c r="E8" s="161"/>
      <c r="F8" s="167"/>
      <c r="G8" s="167"/>
      <c r="H8" s="162"/>
      <c r="L8" s="87"/>
    </row>
    <row r="9" spans="1:12" x14ac:dyDescent="0.25">
      <c r="A9" s="161"/>
      <c r="B9" s="123"/>
      <c r="C9" s="123"/>
      <c r="D9" s="162"/>
      <c r="E9" s="161"/>
      <c r="F9" s="123"/>
      <c r="G9" s="123"/>
      <c r="H9" s="162"/>
      <c r="L9" s="87"/>
    </row>
    <row r="10" spans="1:12" x14ac:dyDescent="0.25">
      <c r="A10" s="495" t="s">
        <v>251</v>
      </c>
      <c r="B10" s="496"/>
      <c r="C10" s="496"/>
      <c r="D10" s="497"/>
      <c r="E10" s="495" t="s">
        <v>251</v>
      </c>
      <c r="F10" s="496"/>
      <c r="G10" s="496"/>
      <c r="H10" s="497"/>
      <c r="L10" s="87"/>
    </row>
    <row r="11" spans="1:12" ht="15" customHeight="1" x14ac:dyDescent="0.25">
      <c r="A11" s="498" t="s">
        <v>254</v>
      </c>
      <c r="B11" s="499"/>
      <c r="C11" s="499"/>
      <c r="D11" s="500"/>
      <c r="E11" s="498" t="s">
        <v>257</v>
      </c>
      <c r="F11" s="499"/>
      <c r="G11" s="499"/>
      <c r="H11" s="500"/>
      <c r="L11" s="87"/>
    </row>
    <row r="12" spans="1:12" x14ac:dyDescent="0.25">
      <c r="A12" s="498"/>
      <c r="B12" s="499"/>
      <c r="C12" s="499"/>
      <c r="D12" s="500"/>
      <c r="E12" s="498"/>
      <c r="F12" s="499"/>
      <c r="G12" s="499"/>
      <c r="H12" s="500"/>
      <c r="L12" s="87"/>
    </row>
    <row r="13" spans="1:12" x14ac:dyDescent="0.25">
      <c r="A13" s="498"/>
      <c r="B13" s="499"/>
      <c r="C13" s="499"/>
      <c r="D13" s="500"/>
      <c r="E13" s="498"/>
      <c r="F13" s="499"/>
      <c r="G13" s="499"/>
      <c r="H13" s="500"/>
      <c r="L13" s="87"/>
    </row>
    <row r="14" spans="1:12" x14ac:dyDescent="0.25">
      <c r="A14" s="498"/>
      <c r="B14" s="499"/>
      <c r="C14" s="499"/>
      <c r="D14" s="500"/>
      <c r="E14" s="498"/>
      <c r="F14" s="499"/>
      <c r="G14" s="499"/>
      <c r="H14" s="500"/>
      <c r="L14" s="87"/>
    </row>
    <row r="15" spans="1:12" x14ac:dyDescent="0.25">
      <c r="A15" s="501" t="s">
        <v>252</v>
      </c>
      <c r="B15" s="502"/>
      <c r="C15" s="502"/>
      <c r="D15" s="503"/>
      <c r="E15" s="501" t="s">
        <v>252</v>
      </c>
      <c r="F15" s="502"/>
      <c r="G15" s="502"/>
      <c r="H15" s="503"/>
      <c r="L15" s="87"/>
    </row>
    <row r="16" spans="1:12" ht="18.75" customHeight="1" x14ac:dyDescent="0.25">
      <c r="A16" s="504" t="s">
        <v>255</v>
      </c>
      <c r="B16" s="505"/>
      <c r="C16" s="505"/>
      <c r="D16" s="506"/>
      <c r="E16" s="504" t="s">
        <v>258</v>
      </c>
      <c r="F16" s="505"/>
      <c r="G16" s="505"/>
      <c r="H16" s="506"/>
      <c r="L16" s="87"/>
    </row>
    <row r="17" spans="1:12" ht="18.75" customHeight="1" x14ac:dyDescent="0.25">
      <c r="A17" s="504"/>
      <c r="B17" s="505"/>
      <c r="C17" s="505"/>
      <c r="D17" s="506"/>
      <c r="E17" s="504"/>
      <c r="F17" s="505"/>
      <c r="G17" s="505"/>
      <c r="H17" s="506"/>
      <c r="L17" s="87"/>
    </row>
    <row r="18" spans="1:12" ht="18.75" customHeight="1" x14ac:dyDescent="0.25">
      <c r="A18" s="504"/>
      <c r="B18" s="505"/>
      <c r="C18" s="505"/>
      <c r="D18" s="506"/>
      <c r="E18" s="504"/>
      <c r="F18" s="505"/>
      <c r="G18" s="505"/>
      <c r="H18" s="506"/>
      <c r="L18" s="87"/>
    </row>
    <row r="19" spans="1:12" ht="18.75" customHeight="1" x14ac:dyDescent="0.25">
      <c r="A19" s="504"/>
      <c r="B19" s="505"/>
      <c r="C19" s="505"/>
      <c r="D19" s="506"/>
      <c r="E19" s="504"/>
      <c r="F19" s="505"/>
      <c r="G19" s="505"/>
      <c r="H19" s="506"/>
      <c r="L19" s="259"/>
    </row>
    <row r="20" spans="1:12" ht="18.75" customHeight="1" x14ac:dyDescent="0.25">
      <c r="A20" s="504"/>
      <c r="B20" s="505"/>
      <c r="C20" s="505"/>
      <c r="D20" s="506"/>
      <c r="E20" s="504"/>
      <c r="F20" s="505"/>
      <c r="G20" s="505"/>
      <c r="H20" s="506"/>
      <c r="L20" s="87"/>
    </row>
    <row r="21" spans="1:12" ht="18.75" customHeight="1" x14ac:dyDescent="0.25">
      <c r="A21" s="504"/>
      <c r="B21" s="505"/>
      <c r="C21" s="505"/>
      <c r="D21" s="506"/>
      <c r="E21" s="504"/>
      <c r="F21" s="505"/>
      <c r="G21" s="505"/>
      <c r="H21" s="506"/>
      <c r="L21" s="87"/>
    </row>
    <row r="22" spans="1:12" ht="18.75" customHeight="1" x14ac:dyDescent="0.25">
      <c r="A22" s="504"/>
      <c r="B22" s="505"/>
      <c r="C22" s="505"/>
      <c r="D22" s="506"/>
      <c r="E22" s="504"/>
      <c r="F22" s="505"/>
      <c r="G22" s="505"/>
      <c r="H22" s="506"/>
      <c r="L22" s="87"/>
    </row>
    <row r="23" spans="1:12" x14ac:dyDescent="0.25">
      <c r="A23" s="488" t="s">
        <v>253</v>
      </c>
      <c r="B23" s="489"/>
      <c r="C23" s="489"/>
      <c r="D23" s="490"/>
      <c r="E23" s="488" t="s">
        <v>253</v>
      </c>
      <c r="F23" s="489"/>
      <c r="G23" s="489"/>
      <c r="H23" s="490"/>
      <c r="L23" s="87"/>
    </row>
    <row r="24" spans="1:12" x14ac:dyDescent="0.25">
      <c r="A24" s="491" t="s">
        <v>256</v>
      </c>
      <c r="B24" s="492"/>
      <c r="C24" s="492"/>
      <c r="D24" s="493"/>
      <c r="E24" s="491"/>
      <c r="F24" s="492"/>
      <c r="G24" s="492"/>
      <c r="H24" s="493"/>
      <c r="L24" s="87"/>
    </row>
    <row r="25" spans="1:12" x14ac:dyDescent="0.25">
      <c r="A25" s="494"/>
      <c r="B25" s="492"/>
      <c r="C25" s="492"/>
      <c r="D25" s="493"/>
      <c r="E25" s="494"/>
      <c r="F25" s="492"/>
      <c r="G25" s="492"/>
      <c r="H25" s="493"/>
      <c r="L25" s="87"/>
    </row>
    <row r="26" spans="1:12" x14ac:dyDescent="0.25">
      <c r="A26" s="494"/>
      <c r="B26" s="492"/>
      <c r="C26" s="492"/>
      <c r="D26" s="493"/>
      <c r="E26" s="494"/>
      <c r="F26" s="492"/>
      <c r="G26" s="492"/>
      <c r="H26" s="493"/>
      <c r="L26" s="87"/>
    </row>
    <row r="27" spans="1:12" x14ac:dyDescent="0.25">
      <c r="A27" s="494"/>
      <c r="B27" s="492"/>
      <c r="C27" s="492"/>
      <c r="D27" s="493"/>
      <c r="E27" s="494"/>
      <c r="F27" s="492"/>
      <c r="G27" s="492"/>
      <c r="H27" s="493"/>
      <c r="L27" s="87"/>
    </row>
    <row r="28" spans="1:12" x14ac:dyDescent="0.25">
      <c r="A28" s="494"/>
      <c r="B28" s="492"/>
      <c r="C28" s="492"/>
      <c r="D28" s="493"/>
      <c r="E28" s="494"/>
      <c r="F28" s="492"/>
      <c r="G28" s="492"/>
      <c r="H28" s="493"/>
      <c r="L28" s="259"/>
    </row>
    <row r="29" spans="1:12" x14ac:dyDescent="0.25">
      <c r="A29" s="494"/>
      <c r="B29" s="492"/>
      <c r="C29" s="492"/>
      <c r="D29" s="493"/>
      <c r="E29" s="494"/>
      <c r="F29" s="492"/>
      <c r="G29" s="492"/>
      <c r="H29" s="493"/>
      <c r="L29" s="87"/>
    </row>
    <row r="30" spans="1:12" ht="15.75" thickBot="1" x14ac:dyDescent="0.3">
      <c r="A30" s="168"/>
      <c r="B30" s="169"/>
      <c r="C30" s="169"/>
      <c r="D30" s="170"/>
      <c r="E30" s="168"/>
      <c r="F30" s="169"/>
      <c r="G30" s="169"/>
      <c r="H30" s="170"/>
      <c r="L30" s="87"/>
    </row>
    <row r="31" spans="1:12" x14ac:dyDescent="0.25">
      <c r="L31" s="87"/>
    </row>
    <row r="32" spans="1:12" x14ac:dyDescent="0.25">
      <c r="L32" s="87"/>
    </row>
    <row r="33" spans="10:12" x14ac:dyDescent="0.25">
      <c r="L33" s="87"/>
    </row>
    <row r="34" spans="10:12" x14ac:dyDescent="0.25">
      <c r="L34" s="87"/>
    </row>
    <row r="35" spans="10:12" x14ac:dyDescent="0.25">
      <c r="L35" s="87"/>
    </row>
    <row r="36" spans="10:12" x14ac:dyDescent="0.25">
      <c r="L36" s="87"/>
    </row>
    <row r="37" spans="10:12" x14ac:dyDescent="0.25">
      <c r="L37" s="87"/>
    </row>
    <row r="38" spans="10:12" x14ac:dyDescent="0.25">
      <c r="L38" s="87"/>
    </row>
    <row r="39" spans="10:12" x14ac:dyDescent="0.25">
      <c r="L39" s="87"/>
    </row>
    <row r="40" spans="10:12" x14ac:dyDescent="0.25">
      <c r="L40" s="87"/>
    </row>
    <row r="41" spans="10:12" x14ac:dyDescent="0.25">
      <c r="L41" s="87"/>
    </row>
    <row r="42" spans="10:12" x14ac:dyDescent="0.25">
      <c r="L42" s="87"/>
    </row>
    <row r="43" spans="10:12" x14ac:dyDescent="0.25">
      <c r="L43" s="87"/>
    </row>
    <row r="44" spans="10:12" x14ac:dyDescent="0.25">
      <c r="L44" s="87"/>
    </row>
    <row r="45" spans="10:12" x14ac:dyDescent="0.25">
      <c r="J45" s="260"/>
      <c r="K45" s="259"/>
      <c r="L45" s="87"/>
    </row>
  </sheetData>
  <mergeCells count="17">
    <mergeCell ref="A23:D23"/>
    <mergeCell ref="A24:D29"/>
    <mergeCell ref="E24:H29"/>
    <mergeCell ref="E10:H10"/>
    <mergeCell ref="E11:H14"/>
    <mergeCell ref="E15:H15"/>
    <mergeCell ref="E16:H22"/>
    <mergeCell ref="E23:H23"/>
    <mergeCell ref="A10:D10"/>
    <mergeCell ref="A11:D14"/>
    <mergeCell ref="A16:D22"/>
    <mergeCell ref="A15:D15"/>
    <mergeCell ref="A6:A7"/>
    <mergeCell ref="A8:C8"/>
    <mergeCell ref="B2:C2"/>
    <mergeCell ref="F2:G2"/>
    <mergeCell ref="E6:E7"/>
  </mergeCells>
  <printOptions horizontalCentered="1" verticalCentered="1"/>
  <pageMargins left="0" right="0" top="0" bottom="0" header="0" footer="0"/>
  <pageSetup paperSize="9" scale="7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6C91C-E87A-47FF-91A0-B56EEEBD01D0}">
  <sheetPr codeName="Planilha2">
    <pageSetUpPr fitToPage="1"/>
  </sheetPr>
  <dimension ref="A1:AD108"/>
  <sheetViews>
    <sheetView zoomScale="115" zoomScaleNormal="115" workbookViewId="0">
      <pane ySplit="1" topLeftCell="A2" activePane="bottomLeft" state="frozen"/>
      <selection pane="bottomLeft" activeCell="F103" sqref="F103"/>
    </sheetView>
  </sheetViews>
  <sheetFormatPr defaultColWidth="0" defaultRowHeight="15" zeroHeight="1" x14ac:dyDescent="0.25"/>
  <cols>
    <col min="1" max="1" width="10.140625" customWidth="1"/>
    <col min="2" max="2" width="27.42578125" customWidth="1"/>
    <col min="3" max="3" width="21.7109375" customWidth="1"/>
    <col min="4" max="4" width="18.7109375" customWidth="1"/>
    <col min="5" max="5" width="15" style="12" bestFit="1" customWidth="1"/>
    <col min="6" max="6" width="25" style="12" bestFit="1" customWidth="1"/>
    <col min="7" max="7" width="15" style="12" bestFit="1" customWidth="1"/>
    <col min="8" max="8" width="26.140625" style="12" customWidth="1"/>
    <col min="9" max="9" width="9.5703125" style="12" customWidth="1"/>
    <col min="10" max="10" width="9.140625" customWidth="1"/>
    <col min="11" max="12" width="30.28515625" hidden="1" customWidth="1"/>
    <col min="13" max="14" width="22.42578125" hidden="1" customWidth="1"/>
    <col min="15" max="15" width="41.42578125" hidden="1" customWidth="1"/>
    <col min="16" max="16" width="35.7109375" hidden="1" customWidth="1"/>
    <col min="17" max="17" width="26.28515625" hidden="1" customWidth="1"/>
    <col min="18" max="18" width="18.5703125" hidden="1" customWidth="1"/>
    <col min="19" max="20" width="34.28515625" hidden="1" customWidth="1"/>
    <col min="21" max="22" width="22.42578125" hidden="1" customWidth="1"/>
    <col min="23" max="26" width="18.5703125" hidden="1" customWidth="1"/>
    <col min="27" max="30" width="0" hidden="1" customWidth="1"/>
    <col min="31" max="16384" width="9.140625" hidden="1"/>
  </cols>
  <sheetData>
    <row r="1" spans="2:9" ht="43.5" customHeight="1" x14ac:dyDescent="0.25">
      <c r="B1" s="9" t="s">
        <v>7</v>
      </c>
      <c r="C1" s="371" t="s">
        <v>8</v>
      </c>
      <c r="D1" s="371" t="s">
        <v>9</v>
      </c>
      <c r="E1" s="371" t="s">
        <v>10</v>
      </c>
      <c r="F1" s="371" t="s">
        <v>11</v>
      </c>
      <c r="G1" s="371" t="s">
        <v>12</v>
      </c>
      <c r="H1" s="509" t="s">
        <v>13</v>
      </c>
      <c r="I1" s="510"/>
    </row>
    <row r="2" spans="2:9" ht="26.25" x14ac:dyDescent="0.25">
      <c r="B2" s="10">
        <v>55</v>
      </c>
      <c r="C2" s="376">
        <f>COUNTA(C4:C90)</f>
        <v>77</v>
      </c>
      <c r="D2" s="377">
        <f>COUNTA(D67,D63,D60,D54,D41,D38,D31,D25,D12,D9,D4)</f>
        <v>11</v>
      </c>
      <c r="E2" s="378">
        <f>SUM(E4:E90)</f>
        <v>269.20166000000012</v>
      </c>
      <c r="F2" s="379">
        <f>SUMIFS(F4:F90, F4:F90, "&gt;0", F4:F90, "&lt;&gt;.")</f>
        <v>161.19444000000001</v>
      </c>
      <c r="G2" s="380">
        <f>SUM(G4:G90)</f>
        <v>108.00721999999998</v>
      </c>
      <c r="H2" s="511"/>
      <c r="I2" s="512"/>
    </row>
    <row r="3" spans="2:9" ht="17.25" x14ac:dyDescent="0.25">
      <c r="B3" s="11"/>
      <c r="C3" s="381"/>
      <c r="D3" s="381"/>
      <c r="E3" s="382">
        <f>COUNTA(E4:E90)</f>
        <v>77</v>
      </c>
      <c r="F3" s="382">
        <f>COUNTIFS(F4:F90, "&gt;0", F4:F90, "&lt;&gt;.")</f>
        <v>48</v>
      </c>
      <c r="G3" s="382">
        <f t="shared" ref="G3" si="0">COUNTA(G4:G90)</f>
        <v>29</v>
      </c>
      <c r="H3" s="513"/>
      <c r="I3" s="514"/>
    </row>
    <row r="4" spans="2:9" s="12" customFormat="1" x14ac:dyDescent="0.25">
      <c r="B4" s="13" t="s">
        <v>14</v>
      </c>
      <c r="C4" s="383" t="s">
        <v>581</v>
      </c>
      <c r="D4" s="384" t="s">
        <v>15</v>
      </c>
      <c r="E4" s="385">
        <v>2.6812800000000001</v>
      </c>
      <c r="F4" s="386"/>
      <c r="G4" s="387">
        <v>2.6812800000000001</v>
      </c>
      <c r="H4" s="388" t="s">
        <v>14</v>
      </c>
      <c r="I4" s="15">
        <f t="shared" ref="I4:I59" si="1">SUMIFS($F$4:$F$90,$B$4:$B$90,H4)</f>
        <v>0</v>
      </c>
    </row>
    <row r="5" spans="2:9" s="12" customFormat="1" x14ac:dyDescent="0.25">
      <c r="B5" s="13" t="s">
        <v>16</v>
      </c>
      <c r="C5" s="383" t="s">
        <v>582</v>
      </c>
      <c r="D5" s="384" t="s">
        <v>15</v>
      </c>
      <c r="E5" s="385">
        <v>1.9487999999999999</v>
      </c>
      <c r="F5" s="389">
        <v>1.9487999999999999</v>
      </c>
      <c r="G5" s="386"/>
      <c r="H5" s="388" t="s">
        <v>16</v>
      </c>
      <c r="I5" s="15">
        <f t="shared" si="1"/>
        <v>1.9487999999999999</v>
      </c>
    </row>
    <row r="6" spans="2:9" s="12" customFormat="1" x14ac:dyDescent="0.25">
      <c r="B6" s="13" t="s">
        <v>16</v>
      </c>
      <c r="C6" s="383" t="s">
        <v>583</v>
      </c>
      <c r="D6" s="384" t="s">
        <v>15</v>
      </c>
      <c r="E6" s="385">
        <v>6.9550000000000001</v>
      </c>
      <c r="F6" s="386"/>
      <c r="G6" s="387">
        <v>6.9550000000000001</v>
      </c>
      <c r="H6" s="388" t="s">
        <v>17</v>
      </c>
      <c r="I6" s="15">
        <f t="shared" si="1"/>
        <v>1.2992000000000001</v>
      </c>
    </row>
    <row r="7" spans="2:9" s="12" customFormat="1" x14ac:dyDescent="0.25">
      <c r="B7" s="13" t="s">
        <v>17</v>
      </c>
      <c r="C7" s="383" t="s">
        <v>584</v>
      </c>
      <c r="D7" s="384" t="s">
        <v>15</v>
      </c>
      <c r="E7" s="385">
        <v>1.2991999999999999</v>
      </c>
      <c r="F7" s="389">
        <v>1.2992000000000001</v>
      </c>
      <c r="G7" s="386"/>
      <c r="H7" s="390"/>
      <c r="I7" s="15">
        <f t="shared" si="1"/>
        <v>0</v>
      </c>
    </row>
    <row r="8" spans="2:9" s="12" customFormat="1" x14ac:dyDescent="0.25">
      <c r="B8" s="16"/>
      <c r="C8" s="390"/>
      <c r="D8" s="390"/>
      <c r="E8" s="391"/>
      <c r="F8" s="390" t="s">
        <v>18</v>
      </c>
      <c r="G8" s="390"/>
      <c r="H8" s="388" t="s">
        <v>19</v>
      </c>
      <c r="I8" s="15">
        <f t="shared" si="1"/>
        <v>0</v>
      </c>
    </row>
    <row r="9" spans="2:9" s="12" customFormat="1" x14ac:dyDescent="0.25">
      <c r="B9" s="13" t="s">
        <v>19</v>
      </c>
      <c r="C9" s="383" t="s">
        <v>585</v>
      </c>
      <c r="D9" s="384" t="s">
        <v>20</v>
      </c>
      <c r="E9" s="385">
        <v>6.4496000000000002</v>
      </c>
      <c r="F9" s="386"/>
      <c r="G9" s="387">
        <v>6.4496000000000002</v>
      </c>
      <c r="H9" s="388" t="s">
        <v>21</v>
      </c>
      <c r="I9" s="15">
        <f t="shared" si="1"/>
        <v>0</v>
      </c>
    </row>
    <row r="10" spans="2:9" s="12" customFormat="1" x14ac:dyDescent="0.25">
      <c r="B10" s="13" t="s">
        <v>21</v>
      </c>
      <c r="C10" s="383" t="s">
        <v>586</v>
      </c>
      <c r="D10" s="384" t="s">
        <v>20</v>
      </c>
      <c r="E10" s="385">
        <v>5.15</v>
      </c>
      <c r="F10" s="386"/>
      <c r="G10" s="387">
        <v>5.15</v>
      </c>
      <c r="H10" s="388" t="s">
        <v>22</v>
      </c>
      <c r="I10" s="15">
        <f t="shared" si="1"/>
        <v>6.55661</v>
      </c>
    </row>
    <row r="11" spans="2:9" s="12" customFormat="1" x14ac:dyDescent="0.25">
      <c r="B11" s="16"/>
      <c r="C11" s="390"/>
      <c r="D11" s="390"/>
      <c r="E11" s="391"/>
      <c r="F11" s="390" t="s">
        <v>18</v>
      </c>
      <c r="G11" s="390"/>
      <c r="H11" s="388" t="s">
        <v>23</v>
      </c>
      <c r="I11" s="15">
        <f t="shared" si="1"/>
        <v>3.3422499999999999</v>
      </c>
    </row>
    <row r="12" spans="2:9" s="12" customFormat="1" x14ac:dyDescent="0.25">
      <c r="B12" s="13" t="s">
        <v>22</v>
      </c>
      <c r="C12" s="383" t="s">
        <v>587</v>
      </c>
      <c r="D12" s="384" t="s">
        <v>24</v>
      </c>
      <c r="E12" s="385">
        <v>3.3666100000000001</v>
      </c>
      <c r="F12" s="389">
        <v>3.3666100000000001</v>
      </c>
      <c r="G12" s="386"/>
      <c r="H12" s="388" t="s">
        <v>25</v>
      </c>
      <c r="I12" s="15">
        <f t="shared" si="1"/>
        <v>0</v>
      </c>
    </row>
    <row r="13" spans="2:9" s="12" customFormat="1" x14ac:dyDescent="0.25">
      <c r="B13" s="13" t="s">
        <v>23</v>
      </c>
      <c r="C13" s="383" t="s">
        <v>588</v>
      </c>
      <c r="D13" s="384" t="s">
        <v>24</v>
      </c>
      <c r="E13" s="385">
        <v>3.3422499999999999</v>
      </c>
      <c r="F13" s="389">
        <v>3.3422499999999999</v>
      </c>
      <c r="G13" s="386"/>
      <c r="H13" s="388" t="s">
        <v>26</v>
      </c>
      <c r="I13" s="15">
        <f t="shared" si="1"/>
        <v>0</v>
      </c>
    </row>
    <row r="14" spans="2:9" s="12" customFormat="1" x14ac:dyDescent="0.25">
      <c r="B14" s="13" t="s">
        <v>25</v>
      </c>
      <c r="C14" s="383" t="s">
        <v>589</v>
      </c>
      <c r="D14" s="384" t="s">
        <v>24</v>
      </c>
      <c r="E14" s="385">
        <v>3.22</v>
      </c>
      <c r="F14" s="386"/>
      <c r="G14" s="387">
        <v>3.22</v>
      </c>
      <c r="H14" s="388" t="s">
        <v>27</v>
      </c>
      <c r="I14" s="15">
        <f t="shared" si="1"/>
        <v>0</v>
      </c>
    </row>
    <row r="15" spans="2:9" s="12" customFormat="1" x14ac:dyDescent="0.25">
      <c r="B15" s="13" t="s">
        <v>25</v>
      </c>
      <c r="C15" s="383" t="s">
        <v>590</v>
      </c>
      <c r="D15" s="384" t="s">
        <v>24</v>
      </c>
      <c r="E15" s="385">
        <v>3.22</v>
      </c>
      <c r="F15" s="386"/>
      <c r="G15" s="387">
        <v>3.22</v>
      </c>
      <c r="H15" s="388" t="s">
        <v>28</v>
      </c>
      <c r="I15" s="15">
        <f t="shared" si="1"/>
        <v>1.2204000000000002</v>
      </c>
    </row>
    <row r="16" spans="2:9" s="12" customFormat="1" x14ac:dyDescent="0.25">
      <c r="B16" s="13" t="s">
        <v>26</v>
      </c>
      <c r="C16" s="383" t="s">
        <v>591</v>
      </c>
      <c r="D16" s="384" t="s">
        <v>24</v>
      </c>
      <c r="E16" s="385">
        <v>3.19</v>
      </c>
      <c r="F16" s="386"/>
      <c r="G16" s="387">
        <v>3.19</v>
      </c>
      <c r="H16" s="388" t="s">
        <v>29</v>
      </c>
      <c r="I16" s="15">
        <f t="shared" si="1"/>
        <v>0</v>
      </c>
    </row>
    <row r="17" spans="2:9" s="12" customFormat="1" x14ac:dyDescent="0.25">
      <c r="B17" s="13" t="s">
        <v>27</v>
      </c>
      <c r="C17" s="383" t="s">
        <v>592</v>
      </c>
      <c r="D17" s="384" t="s">
        <v>24</v>
      </c>
      <c r="E17" s="385">
        <v>3.31968</v>
      </c>
      <c r="F17" s="386"/>
      <c r="G17" s="387">
        <v>3.31968</v>
      </c>
      <c r="H17" s="388" t="s">
        <v>30</v>
      </c>
      <c r="I17" s="15">
        <f t="shared" si="1"/>
        <v>0</v>
      </c>
    </row>
    <row r="18" spans="2:9" s="12" customFormat="1" ht="15" customHeight="1" x14ac:dyDescent="0.25">
      <c r="B18" s="13" t="s">
        <v>28</v>
      </c>
      <c r="C18" s="383" t="s">
        <v>593</v>
      </c>
      <c r="D18" s="384" t="s">
        <v>24</v>
      </c>
      <c r="E18" s="385">
        <v>1.2204000000000002</v>
      </c>
      <c r="F18" s="389">
        <v>1.2204000000000002</v>
      </c>
      <c r="G18" s="386"/>
      <c r="H18" s="388" t="s">
        <v>31</v>
      </c>
      <c r="I18" s="15">
        <f t="shared" si="1"/>
        <v>3.19</v>
      </c>
    </row>
    <row r="19" spans="2:9" s="12" customFormat="1" ht="15" customHeight="1" x14ac:dyDescent="0.25">
      <c r="B19" s="13" t="s">
        <v>29</v>
      </c>
      <c r="C19" s="383" t="s">
        <v>594</v>
      </c>
      <c r="D19" s="384" t="s">
        <v>24</v>
      </c>
      <c r="E19" s="385">
        <v>3.1320000000000001</v>
      </c>
      <c r="F19" s="386"/>
      <c r="G19" s="387">
        <v>3.1320000000000001</v>
      </c>
      <c r="H19" s="388" t="s">
        <v>32</v>
      </c>
      <c r="I19" s="15">
        <f t="shared" si="1"/>
        <v>0</v>
      </c>
    </row>
    <row r="20" spans="2:9" s="12" customFormat="1" ht="15" customHeight="1" x14ac:dyDescent="0.25">
      <c r="B20" s="13" t="s">
        <v>30</v>
      </c>
      <c r="C20" s="383" t="s">
        <v>595</v>
      </c>
      <c r="D20" s="384" t="s">
        <v>24</v>
      </c>
      <c r="E20" s="385">
        <v>3.19</v>
      </c>
      <c r="F20" s="386"/>
      <c r="G20" s="387">
        <v>3.19</v>
      </c>
      <c r="H20" s="388" t="s">
        <v>33</v>
      </c>
      <c r="I20" s="15">
        <f t="shared" si="1"/>
        <v>6.1020000000000003</v>
      </c>
    </row>
    <row r="21" spans="2:9" s="12" customFormat="1" ht="15" customHeight="1" x14ac:dyDescent="0.25">
      <c r="B21" s="13" t="s">
        <v>30</v>
      </c>
      <c r="C21" s="383" t="s">
        <v>596</v>
      </c>
      <c r="D21" s="384" t="s">
        <v>24</v>
      </c>
      <c r="E21" s="385">
        <v>3.31968</v>
      </c>
      <c r="F21" s="386"/>
      <c r="G21" s="387">
        <v>3.31968</v>
      </c>
      <c r="H21" s="388" t="s">
        <v>34</v>
      </c>
      <c r="I21" s="15">
        <f t="shared" si="1"/>
        <v>6.0979500000000009</v>
      </c>
    </row>
    <row r="22" spans="2:9" s="12" customFormat="1" ht="15" customHeight="1" x14ac:dyDescent="0.25">
      <c r="B22" s="13" t="s">
        <v>31</v>
      </c>
      <c r="C22" s="383" t="s">
        <v>597</v>
      </c>
      <c r="D22" s="384" t="s">
        <v>24</v>
      </c>
      <c r="E22" s="385">
        <v>3.19</v>
      </c>
      <c r="F22" s="389">
        <v>3.19</v>
      </c>
      <c r="G22" s="386"/>
      <c r="H22" s="388" t="s">
        <v>35</v>
      </c>
      <c r="I22" s="15">
        <f t="shared" si="1"/>
        <v>6.2160000000000002</v>
      </c>
    </row>
    <row r="23" spans="2:9" s="12" customFormat="1" ht="15" customHeight="1" x14ac:dyDescent="0.25">
      <c r="B23" s="13" t="s">
        <v>22</v>
      </c>
      <c r="C23" s="383" t="s">
        <v>598</v>
      </c>
      <c r="D23" s="384" t="s">
        <v>24</v>
      </c>
      <c r="E23" s="385">
        <v>3.19</v>
      </c>
      <c r="F23" s="389">
        <v>3.19</v>
      </c>
      <c r="G23" s="386"/>
      <c r="H23" s="388" t="s">
        <v>36</v>
      </c>
      <c r="I23" s="15">
        <f t="shared" si="1"/>
        <v>0</v>
      </c>
    </row>
    <row r="24" spans="2:9" s="12" customFormat="1" x14ac:dyDescent="0.25">
      <c r="B24" s="17"/>
      <c r="C24" s="394"/>
      <c r="D24" s="392"/>
      <c r="E24" s="393"/>
      <c r="F24" s="392" t="s">
        <v>18</v>
      </c>
      <c r="G24" s="392"/>
      <c r="H24" s="388" t="s">
        <v>37</v>
      </c>
      <c r="I24" s="15">
        <f t="shared" si="1"/>
        <v>18.510190000000001</v>
      </c>
    </row>
    <row r="25" spans="2:9" s="12" customFormat="1" ht="15" customHeight="1" x14ac:dyDescent="0.25">
      <c r="B25" s="13" t="s">
        <v>32</v>
      </c>
      <c r="C25" s="383" t="s">
        <v>599</v>
      </c>
      <c r="D25" s="384" t="s">
        <v>38</v>
      </c>
      <c r="E25" s="385">
        <v>6.16</v>
      </c>
      <c r="F25" s="386"/>
      <c r="G25" s="387">
        <v>6.16</v>
      </c>
      <c r="H25" s="388" t="s">
        <v>39</v>
      </c>
      <c r="I25" s="15">
        <f t="shared" si="1"/>
        <v>6.3</v>
      </c>
    </row>
    <row r="26" spans="2:9" s="12" customFormat="1" ht="15" customHeight="1" x14ac:dyDescent="0.25">
      <c r="B26" s="13" t="s">
        <v>33</v>
      </c>
      <c r="C26" s="383" t="s">
        <v>600</v>
      </c>
      <c r="D26" s="384" t="s">
        <v>38</v>
      </c>
      <c r="E26" s="385">
        <v>6.1020000000000003</v>
      </c>
      <c r="F26" s="389">
        <v>6.1020000000000003</v>
      </c>
      <c r="G26" s="386"/>
      <c r="H26" s="388" t="s">
        <v>40</v>
      </c>
      <c r="I26" s="15">
        <f t="shared" si="1"/>
        <v>3.08</v>
      </c>
    </row>
    <row r="27" spans="2:9" s="12" customFormat="1" ht="15" customHeight="1" x14ac:dyDescent="0.25">
      <c r="B27" s="13" t="s">
        <v>34</v>
      </c>
      <c r="C27" s="383" t="s">
        <v>601</v>
      </c>
      <c r="D27" s="384" t="s">
        <v>38</v>
      </c>
      <c r="E27" s="385">
        <v>6.0979500000000009</v>
      </c>
      <c r="F27" s="389">
        <v>6.0979500000000009</v>
      </c>
      <c r="G27" s="386"/>
      <c r="H27" s="388" t="s">
        <v>41</v>
      </c>
      <c r="I27" s="15">
        <f t="shared" si="1"/>
        <v>0</v>
      </c>
    </row>
    <row r="28" spans="2:9" s="12" customFormat="1" ht="15" customHeight="1" x14ac:dyDescent="0.25">
      <c r="B28" s="13" t="s">
        <v>35</v>
      </c>
      <c r="C28" s="383" t="s">
        <v>602</v>
      </c>
      <c r="D28" s="384" t="s">
        <v>38</v>
      </c>
      <c r="E28" s="385">
        <v>6.2160000000000002</v>
      </c>
      <c r="F28" s="389">
        <v>6.2160000000000002</v>
      </c>
      <c r="G28" s="386"/>
      <c r="H28" s="388" t="s">
        <v>42</v>
      </c>
      <c r="I28" s="15">
        <f t="shared" si="1"/>
        <v>0</v>
      </c>
    </row>
    <row r="29" spans="2:9" s="12" customFormat="1" ht="15" customHeight="1" x14ac:dyDescent="0.25">
      <c r="B29" s="13" t="s">
        <v>36</v>
      </c>
      <c r="C29" s="383" t="s">
        <v>603</v>
      </c>
      <c r="D29" s="384" t="s">
        <v>38</v>
      </c>
      <c r="E29" s="385">
        <v>6.2640000000000002</v>
      </c>
      <c r="F29" s="386"/>
      <c r="G29" s="387">
        <v>6.2640000000000002</v>
      </c>
      <c r="H29" s="388" t="s">
        <v>43</v>
      </c>
      <c r="I29" s="15">
        <f t="shared" si="1"/>
        <v>6.6539999999999999</v>
      </c>
    </row>
    <row r="30" spans="2:9" s="12" customFormat="1" x14ac:dyDescent="0.25">
      <c r="B30" s="17"/>
      <c r="C30" s="394"/>
      <c r="D30" s="392"/>
      <c r="E30" s="393"/>
      <c r="F30" s="392" t="s">
        <v>18</v>
      </c>
      <c r="G30" s="392"/>
      <c r="H30" s="388" t="s">
        <v>44</v>
      </c>
      <c r="I30" s="15">
        <f t="shared" si="1"/>
        <v>0</v>
      </c>
    </row>
    <row r="31" spans="2:9" s="12" customFormat="1" ht="15" customHeight="1" x14ac:dyDescent="0.25">
      <c r="B31" s="13" t="s">
        <v>37</v>
      </c>
      <c r="C31" s="383" t="s">
        <v>604</v>
      </c>
      <c r="D31" s="384" t="s">
        <v>45</v>
      </c>
      <c r="E31" s="385">
        <v>6.2060000000000004</v>
      </c>
      <c r="F31" s="389">
        <v>6.2060000000000004</v>
      </c>
      <c r="G31" s="386"/>
      <c r="H31" s="388" t="s">
        <v>46</v>
      </c>
      <c r="I31" s="15">
        <f t="shared" si="1"/>
        <v>6.6420000000000003</v>
      </c>
    </row>
    <row r="32" spans="2:9" s="12" customFormat="1" ht="15" customHeight="1" x14ac:dyDescent="0.25">
      <c r="B32" s="13" t="s">
        <v>37</v>
      </c>
      <c r="C32" s="383" t="s">
        <v>605</v>
      </c>
      <c r="D32" s="384" t="s">
        <v>45</v>
      </c>
      <c r="E32" s="385">
        <v>6.2190500000000002</v>
      </c>
      <c r="F32" s="389">
        <v>6.2190500000000002</v>
      </c>
      <c r="G32" s="386"/>
      <c r="H32" s="388" t="s">
        <v>47</v>
      </c>
      <c r="I32" s="15">
        <f t="shared" si="1"/>
        <v>0</v>
      </c>
    </row>
    <row r="33" spans="2:9" s="12" customFormat="1" x14ac:dyDescent="0.25">
      <c r="B33" s="13" t="s">
        <v>39</v>
      </c>
      <c r="C33" s="383" t="s">
        <v>606</v>
      </c>
      <c r="D33" s="384" t="s">
        <v>45</v>
      </c>
      <c r="E33" s="385">
        <v>6.3</v>
      </c>
      <c r="F33" s="389">
        <v>6.3</v>
      </c>
      <c r="G33" s="386"/>
      <c r="H33" s="388" t="s">
        <v>48</v>
      </c>
      <c r="I33" s="15">
        <f t="shared" si="1"/>
        <v>0</v>
      </c>
    </row>
    <row r="34" spans="2:9" s="12" customFormat="1" x14ac:dyDescent="0.25">
      <c r="B34" s="13" t="s">
        <v>40</v>
      </c>
      <c r="C34" s="383" t="s">
        <v>607</v>
      </c>
      <c r="D34" s="384" t="s">
        <v>45</v>
      </c>
      <c r="E34" s="385">
        <v>3.08</v>
      </c>
      <c r="F34" s="389">
        <v>3.08</v>
      </c>
      <c r="G34" s="386"/>
      <c r="H34" s="388" t="s">
        <v>49</v>
      </c>
      <c r="I34" s="15">
        <f t="shared" si="1"/>
        <v>6.1020000000000003</v>
      </c>
    </row>
    <row r="35" spans="2:9" s="12" customFormat="1" x14ac:dyDescent="0.25">
      <c r="B35" s="13" t="s">
        <v>37</v>
      </c>
      <c r="C35" s="383" t="s">
        <v>608</v>
      </c>
      <c r="D35" s="384" t="s">
        <v>45</v>
      </c>
      <c r="E35" s="385">
        <v>4.9059999999999997</v>
      </c>
      <c r="F35" s="389">
        <v>4.9059999999999997</v>
      </c>
      <c r="G35" s="386"/>
      <c r="H35" s="388" t="s">
        <v>50</v>
      </c>
      <c r="I35" s="15">
        <f t="shared" si="1"/>
        <v>6.64032</v>
      </c>
    </row>
    <row r="36" spans="2:9" s="12" customFormat="1" x14ac:dyDescent="0.25">
      <c r="B36" s="13" t="s">
        <v>37</v>
      </c>
      <c r="C36" s="383" t="s">
        <v>609</v>
      </c>
      <c r="D36" s="384" t="s">
        <v>45</v>
      </c>
      <c r="E36" s="385">
        <v>1.1791400000000001</v>
      </c>
      <c r="F36" s="389">
        <v>1.1791400000000001</v>
      </c>
      <c r="G36" s="386"/>
      <c r="H36" s="388" t="s">
        <v>51</v>
      </c>
      <c r="I36" s="15">
        <f t="shared" si="1"/>
        <v>6.1020000000000003</v>
      </c>
    </row>
    <row r="37" spans="2:9" s="12" customFormat="1" x14ac:dyDescent="0.25">
      <c r="B37" s="17"/>
      <c r="C37" s="394"/>
      <c r="D37" s="392"/>
      <c r="E37" s="393"/>
      <c r="F37" s="392" t="s">
        <v>18</v>
      </c>
      <c r="G37" s="392"/>
      <c r="H37" s="388" t="s">
        <v>52</v>
      </c>
      <c r="I37" s="15">
        <f t="shared" si="1"/>
        <v>6.1020000000000003</v>
      </c>
    </row>
    <row r="38" spans="2:9" s="12" customFormat="1" x14ac:dyDescent="0.25">
      <c r="B38" s="13" t="s">
        <v>41</v>
      </c>
      <c r="C38" s="383" t="s">
        <v>610</v>
      </c>
      <c r="D38" s="384" t="s">
        <v>53</v>
      </c>
      <c r="E38" s="385">
        <v>2.58</v>
      </c>
      <c r="F38" s="386"/>
      <c r="G38" s="387">
        <v>2.58</v>
      </c>
      <c r="H38" s="388" t="s">
        <v>54</v>
      </c>
      <c r="I38" s="15">
        <f t="shared" si="1"/>
        <v>0</v>
      </c>
    </row>
    <row r="39" spans="2:9" s="12" customFormat="1" x14ac:dyDescent="0.25">
      <c r="B39" s="13" t="s">
        <v>42</v>
      </c>
      <c r="C39" s="383" t="s">
        <v>611</v>
      </c>
      <c r="D39" s="384" t="s">
        <v>53</v>
      </c>
      <c r="E39" s="385">
        <v>1.9348800000000002</v>
      </c>
      <c r="F39" s="386"/>
      <c r="G39" s="387">
        <v>1.9348800000000002</v>
      </c>
      <c r="H39" s="388" t="s">
        <v>55</v>
      </c>
      <c r="I39" s="15">
        <f t="shared" si="1"/>
        <v>0</v>
      </c>
    </row>
    <row r="40" spans="2:9" s="12" customFormat="1" x14ac:dyDescent="0.25">
      <c r="B40" s="17"/>
      <c r="C40" s="394"/>
      <c r="D40" s="392"/>
      <c r="E40" s="393"/>
      <c r="F40" s="392" t="s">
        <v>18</v>
      </c>
      <c r="G40" s="392"/>
      <c r="H40" s="388" t="s">
        <v>56</v>
      </c>
      <c r="I40" s="15">
        <f t="shared" si="1"/>
        <v>2.4151199999999999</v>
      </c>
    </row>
    <row r="41" spans="2:9" x14ac:dyDescent="0.25">
      <c r="B41" s="13" t="s">
        <v>43</v>
      </c>
      <c r="C41" s="383" t="s">
        <v>612</v>
      </c>
      <c r="D41" s="384" t="s">
        <v>57</v>
      </c>
      <c r="E41" s="385">
        <v>6.6539999999999999</v>
      </c>
      <c r="F41" s="389">
        <v>6.6539999999999999</v>
      </c>
      <c r="G41" s="386"/>
      <c r="H41" s="388" t="s">
        <v>58</v>
      </c>
      <c r="I41" s="15">
        <f t="shared" si="1"/>
        <v>0</v>
      </c>
    </row>
    <row r="42" spans="2:9" x14ac:dyDescent="0.25">
      <c r="B42" s="13" t="s">
        <v>44</v>
      </c>
      <c r="C42" s="383" t="s">
        <v>613</v>
      </c>
      <c r="D42" s="384" t="s">
        <v>57</v>
      </c>
      <c r="E42" s="385">
        <v>3.08</v>
      </c>
      <c r="F42" s="386"/>
      <c r="G42" s="387">
        <v>3.08</v>
      </c>
      <c r="H42" s="388" t="s">
        <v>59</v>
      </c>
      <c r="I42" s="15">
        <f t="shared" si="1"/>
        <v>0</v>
      </c>
    </row>
    <row r="43" spans="2:9" x14ac:dyDescent="0.25">
      <c r="B43" s="13" t="s">
        <v>46</v>
      </c>
      <c r="C43" s="383" t="s">
        <v>614</v>
      </c>
      <c r="D43" s="384" t="s">
        <v>57</v>
      </c>
      <c r="E43" s="385">
        <v>6.6420000000000003</v>
      </c>
      <c r="F43" s="389">
        <v>6.6420000000000003</v>
      </c>
      <c r="G43" s="386"/>
      <c r="H43" s="388" t="s">
        <v>60</v>
      </c>
      <c r="I43" s="15">
        <f t="shared" si="1"/>
        <v>2.86056</v>
      </c>
    </row>
    <row r="44" spans="2:9" x14ac:dyDescent="0.25">
      <c r="B44" s="13" t="s">
        <v>47</v>
      </c>
      <c r="C44" s="383" t="s">
        <v>615</v>
      </c>
      <c r="D44" s="384" t="s">
        <v>57</v>
      </c>
      <c r="E44" s="385">
        <v>3.2031999999999998</v>
      </c>
      <c r="F44" s="386"/>
      <c r="G44" s="387">
        <v>3.2031999999999998</v>
      </c>
      <c r="H44" s="388" t="s">
        <v>61</v>
      </c>
      <c r="I44" s="15">
        <f t="shared" si="1"/>
        <v>0</v>
      </c>
    </row>
    <row r="45" spans="2:9" x14ac:dyDescent="0.25">
      <c r="B45" s="13" t="s">
        <v>48</v>
      </c>
      <c r="C45" s="383" t="s">
        <v>616</v>
      </c>
      <c r="D45" s="384" t="s">
        <v>57</v>
      </c>
      <c r="E45" s="385">
        <v>6.2160000000000002</v>
      </c>
      <c r="F45" s="386"/>
      <c r="G45" s="387">
        <v>6.2160000000000002</v>
      </c>
      <c r="H45" s="388" t="s">
        <v>62</v>
      </c>
      <c r="I45" s="15">
        <f t="shared" si="1"/>
        <v>0</v>
      </c>
    </row>
    <row r="46" spans="2:9" x14ac:dyDescent="0.25">
      <c r="B46" s="13" t="s">
        <v>49</v>
      </c>
      <c r="C46" s="383" t="s">
        <v>617</v>
      </c>
      <c r="D46" s="384" t="s">
        <v>57</v>
      </c>
      <c r="E46" s="385">
        <v>6.1020000000000003</v>
      </c>
      <c r="F46" s="389">
        <v>6.1020000000000003</v>
      </c>
      <c r="G46" s="386"/>
      <c r="H46" s="388" t="s">
        <v>63</v>
      </c>
      <c r="I46" s="15">
        <f t="shared" si="1"/>
        <v>6.7970200000000007</v>
      </c>
    </row>
    <row r="47" spans="2:9" x14ac:dyDescent="0.25">
      <c r="B47" s="13" t="s">
        <v>50</v>
      </c>
      <c r="C47" s="383" t="s">
        <v>618</v>
      </c>
      <c r="D47" s="384" t="s">
        <v>57</v>
      </c>
      <c r="E47" s="385">
        <v>5.2750000000000004</v>
      </c>
      <c r="F47" s="389">
        <v>5.2750000000000004</v>
      </c>
      <c r="G47" s="386"/>
      <c r="H47" s="388" t="s">
        <v>64</v>
      </c>
      <c r="I47" s="15">
        <f t="shared" si="1"/>
        <v>6.2540000000000004</v>
      </c>
    </row>
    <row r="48" spans="2:9" x14ac:dyDescent="0.25">
      <c r="B48" s="13" t="s">
        <v>50</v>
      </c>
      <c r="C48" s="383" t="s">
        <v>619</v>
      </c>
      <c r="D48" s="384" t="s">
        <v>57</v>
      </c>
      <c r="E48" s="385">
        <v>1.3653199999999999</v>
      </c>
      <c r="F48" s="389">
        <v>1.3653199999999999</v>
      </c>
      <c r="G48" s="386"/>
      <c r="H48" s="388" t="s">
        <v>65</v>
      </c>
      <c r="I48" s="15">
        <f t="shared" si="1"/>
        <v>1.232</v>
      </c>
    </row>
    <row r="49" spans="2:9" x14ac:dyDescent="0.25">
      <c r="B49" s="13" t="s">
        <v>51</v>
      </c>
      <c r="C49" s="383" t="s">
        <v>620</v>
      </c>
      <c r="D49" s="384" t="s">
        <v>57</v>
      </c>
      <c r="E49" s="385">
        <v>6.1020000000000003</v>
      </c>
      <c r="F49" s="389">
        <v>6.1020000000000003</v>
      </c>
      <c r="G49" s="386"/>
      <c r="H49" s="388" t="s">
        <v>66</v>
      </c>
      <c r="I49" s="15">
        <f t="shared" si="1"/>
        <v>6.1020000000000003</v>
      </c>
    </row>
    <row r="50" spans="2:9" x14ac:dyDescent="0.25">
      <c r="B50" s="13" t="s">
        <v>52</v>
      </c>
      <c r="C50" s="383" t="s">
        <v>621</v>
      </c>
      <c r="D50" s="384" t="s">
        <v>57</v>
      </c>
      <c r="E50" s="385">
        <v>6.1020000000000003</v>
      </c>
      <c r="F50" s="389">
        <v>6.1020000000000003</v>
      </c>
      <c r="G50" s="386"/>
      <c r="H50" s="388" t="s">
        <v>67</v>
      </c>
      <c r="I50" s="15">
        <f t="shared" si="1"/>
        <v>0</v>
      </c>
    </row>
    <row r="51" spans="2:9" x14ac:dyDescent="0.25">
      <c r="B51" s="13" t="s">
        <v>54</v>
      </c>
      <c r="C51" s="383" t="s">
        <v>622</v>
      </c>
      <c r="D51" s="384" t="s">
        <v>57</v>
      </c>
      <c r="E51" s="385">
        <v>2.7103999999999999</v>
      </c>
      <c r="F51" s="386"/>
      <c r="G51" s="387">
        <v>2.7103999999999999</v>
      </c>
      <c r="H51" s="388" t="s">
        <v>68</v>
      </c>
      <c r="I51" s="15">
        <f t="shared" si="1"/>
        <v>2.4407999999999999</v>
      </c>
    </row>
    <row r="52" spans="2:9" x14ac:dyDescent="0.25">
      <c r="B52" s="13" t="s">
        <v>55</v>
      </c>
      <c r="C52" s="383" t="s">
        <v>623</v>
      </c>
      <c r="D52" s="384" t="s">
        <v>57</v>
      </c>
      <c r="E52" s="385">
        <v>6.2160000000000002</v>
      </c>
      <c r="F52" s="386"/>
      <c r="G52" s="387">
        <v>6.2160000000000002</v>
      </c>
      <c r="H52" s="388" t="s">
        <v>69</v>
      </c>
      <c r="I52" s="15">
        <f t="shared" si="1"/>
        <v>6.7799999999999994</v>
      </c>
    </row>
    <row r="53" spans="2:9" s="12" customFormat="1" x14ac:dyDescent="0.25">
      <c r="B53" s="17"/>
      <c r="C53" s="394"/>
      <c r="D53" s="392"/>
      <c r="E53" s="393"/>
      <c r="F53" s="392" t="s">
        <v>18</v>
      </c>
      <c r="G53" s="392"/>
      <c r="H53" s="388" t="s">
        <v>70</v>
      </c>
      <c r="I53" s="15">
        <f t="shared" si="1"/>
        <v>9.8438599999999994</v>
      </c>
    </row>
    <row r="54" spans="2:9" x14ac:dyDescent="0.25">
      <c r="B54" s="13" t="s">
        <v>56</v>
      </c>
      <c r="C54" s="383" t="s">
        <v>624</v>
      </c>
      <c r="D54" s="384" t="s">
        <v>71</v>
      </c>
      <c r="E54" s="385">
        <v>0.56144000000000005</v>
      </c>
      <c r="F54" s="389">
        <v>0.56144000000000005</v>
      </c>
      <c r="G54" s="386"/>
      <c r="H54" s="388" t="s">
        <v>72</v>
      </c>
      <c r="I54" s="15">
        <f t="shared" si="1"/>
        <v>3.4164899999999996</v>
      </c>
    </row>
    <row r="55" spans="2:9" x14ac:dyDescent="0.25">
      <c r="B55" s="13" t="s">
        <v>56</v>
      </c>
      <c r="C55" s="383" t="s">
        <v>625</v>
      </c>
      <c r="D55" s="384" t="s">
        <v>71</v>
      </c>
      <c r="E55" s="385">
        <v>0.56376000000000004</v>
      </c>
      <c r="F55" s="389">
        <v>0.56376000000000004</v>
      </c>
      <c r="G55" s="386"/>
      <c r="H55" s="388" t="s">
        <v>73</v>
      </c>
      <c r="I55" s="15">
        <f t="shared" si="1"/>
        <v>5.2015500000000001</v>
      </c>
    </row>
    <row r="56" spans="2:9" x14ac:dyDescent="0.25">
      <c r="B56" s="13" t="s">
        <v>58</v>
      </c>
      <c r="C56" s="383" t="s">
        <v>626</v>
      </c>
      <c r="D56" s="384" t="s">
        <v>71</v>
      </c>
      <c r="E56" s="385">
        <v>1.2899200000000002</v>
      </c>
      <c r="F56" s="386"/>
      <c r="G56" s="387">
        <v>1.2899200000000002</v>
      </c>
      <c r="H56" s="388" t="s">
        <v>74</v>
      </c>
      <c r="I56" s="15">
        <f t="shared" si="1"/>
        <v>4.3441999999999998</v>
      </c>
    </row>
    <row r="57" spans="2:9" x14ac:dyDescent="0.25">
      <c r="B57" s="13" t="s">
        <v>56</v>
      </c>
      <c r="C57" s="383" t="s">
        <v>627</v>
      </c>
      <c r="D57" s="384" t="s">
        <v>71</v>
      </c>
      <c r="E57" s="385">
        <v>1.2899200000000002</v>
      </c>
      <c r="F57" s="389">
        <v>1.2899200000000002</v>
      </c>
      <c r="G57" s="386"/>
      <c r="H57" s="388" t="s">
        <v>75</v>
      </c>
      <c r="I57" s="15">
        <f t="shared" si="1"/>
        <v>1.4011199999999999</v>
      </c>
    </row>
    <row r="58" spans="2:9" x14ac:dyDescent="0.25">
      <c r="B58" s="13" t="s">
        <v>59</v>
      </c>
      <c r="C58" s="383" t="s">
        <v>628</v>
      </c>
      <c r="D58" s="384" t="s">
        <v>71</v>
      </c>
      <c r="E58" s="385">
        <v>1.2767999999999999</v>
      </c>
      <c r="F58" s="386"/>
      <c r="G58" s="387">
        <v>1.2767999999999999</v>
      </c>
      <c r="H58" s="388" t="s">
        <v>76</v>
      </c>
      <c r="I58" s="15">
        <f t="shared" si="1"/>
        <v>0</v>
      </c>
    </row>
    <row r="59" spans="2:9" s="12" customFormat="1" x14ac:dyDescent="0.25">
      <c r="B59" s="17"/>
      <c r="C59" s="394"/>
      <c r="D59" s="392"/>
      <c r="E59" s="393"/>
      <c r="F59" s="392" t="s">
        <v>18</v>
      </c>
      <c r="G59" s="392"/>
      <c r="H59" s="388" t="s">
        <v>77</v>
      </c>
      <c r="I59" s="15">
        <f t="shared" si="1"/>
        <v>0</v>
      </c>
    </row>
    <row r="60" spans="2:9" x14ac:dyDescent="0.25">
      <c r="B60" s="13" t="s">
        <v>60</v>
      </c>
      <c r="C60" s="383" t="s">
        <v>629</v>
      </c>
      <c r="D60" s="384" t="s">
        <v>78</v>
      </c>
      <c r="E60" s="385">
        <v>1.8675999999999999</v>
      </c>
      <c r="F60" s="389">
        <v>1.8675999999999999</v>
      </c>
      <c r="G60" s="386"/>
      <c r="H60" s="167"/>
      <c r="I60" s="18"/>
    </row>
    <row r="61" spans="2:9" x14ac:dyDescent="0.25">
      <c r="B61" s="13" t="s">
        <v>60</v>
      </c>
      <c r="C61" s="383" t="s">
        <v>630</v>
      </c>
      <c r="D61" s="384" t="s">
        <v>78</v>
      </c>
      <c r="E61" s="385">
        <v>0.99296000000000006</v>
      </c>
      <c r="F61" s="389">
        <v>0.99296000000000006</v>
      </c>
      <c r="G61" s="386"/>
      <c r="H61" s="167"/>
      <c r="I61" s="18"/>
    </row>
    <row r="62" spans="2:9" s="12" customFormat="1" x14ac:dyDescent="0.25">
      <c r="B62" s="17"/>
      <c r="C62" s="394"/>
      <c r="D62" s="392"/>
      <c r="E62" s="393"/>
      <c r="F62" s="392"/>
      <c r="G62" s="392"/>
      <c r="H62" s="167"/>
      <c r="I62" s="18"/>
    </row>
    <row r="63" spans="2:9" x14ac:dyDescent="0.25">
      <c r="B63" s="13" t="s">
        <v>61</v>
      </c>
      <c r="C63" s="383" t="s">
        <v>631</v>
      </c>
      <c r="D63" s="384" t="s">
        <v>79</v>
      </c>
      <c r="E63" s="385">
        <v>3.2031999999999998</v>
      </c>
      <c r="F63" s="386"/>
      <c r="G63" s="387">
        <v>3.2031999999999998</v>
      </c>
      <c r="H63" s="167"/>
      <c r="I63" s="18"/>
    </row>
    <row r="64" spans="2:9" x14ac:dyDescent="0.25">
      <c r="B64" s="13" t="s">
        <v>62</v>
      </c>
      <c r="C64" s="383" t="s">
        <v>632</v>
      </c>
      <c r="D64" s="384" t="s">
        <v>79</v>
      </c>
      <c r="E64" s="385">
        <v>6.77</v>
      </c>
      <c r="F64" s="386"/>
      <c r="G64" s="387">
        <v>6.77</v>
      </c>
      <c r="H64" s="167"/>
      <c r="I64" s="18"/>
    </row>
    <row r="65" spans="2:9" x14ac:dyDescent="0.25">
      <c r="B65" s="13" t="s">
        <v>63</v>
      </c>
      <c r="C65" s="383" t="s">
        <v>633</v>
      </c>
      <c r="D65" s="384" t="s">
        <v>79</v>
      </c>
      <c r="E65" s="385">
        <v>6.7970200000000007</v>
      </c>
      <c r="F65" s="389">
        <v>6.7970200000000007</v>
      </c>
      <c r="G65" s="386"/>
      <c r="H65" s="167"/>
      <c r="I65" s="18"/>
    </row>
    <row r="66" spans="2:9" s="12" customFormat="1" x14ac:dyDescent="0.25">
      <c r="B66" s="17"/>
      <c r="C66" s="394"/>
      <c r="D66" s="392"/>
      <c r="E66" s="393"/>
      <c r="F66" s="392" t="s">
        <v>18</v>
      </c>
      <c r="G66" s="392"/>
      <c r="H66" s="167"/>
      <c r="I66" s="18"/>
    </row>
    <row r="67" spans="2:9" x14ac:dyDescent="0.25">
      <c r="B67" s="13" t="s">
        <v>64</v>
      </c>
      <c r="C67" s="383" t="s">
        <v>634</v>
      </c>
      <c r="D67" s="384" t="s">
        <v>80</v>
      </c>
      <c r="E67" s="385">
        <v>3.052</v>
      </c>
      <c r="F67" s="389">
        <v>3.052</v>
      </c>
      <c r="G67" s="386"/>
      <c r="H67" s="167"/>
      <c r="I67" s="18"/>
    </row>
    <row r="68" spans="2:9" x14ac:dyDescent="0.25">
      <c r="B68" s="13" t="s">
        <v>64</v>
      </c>
      <c r="C68" s="383" t="s">
        <v>635</v>
      </c>
      <c r="D68" s="384" t="s">
        <v>80</v>
      </c>
      <c r="E68" s="385">
        <v>1.526</v>
      </c>
      <c r="F68" s="389">
        <v>1.526</v>
      </c>
      <c r="G68" s="386"/>
      <c r="H68" s="167"/>
      <c r="I68" s="18"/>
    </row>
    <row r="69" spans="2:9" x14ac:dyDescent="0.25">
      <c r="B69" s="13" t="s">
        <v>64</v>
      </c>
      <c r="C69" s="383" t="s">
        <v>636</v>
      </c>
      <c r="D69" s="384" t="s">
        <v>80</v>
      </c>
      <c r="E69" s="385">
        <v>1.6759999999999999</v>
      </c>
      <c r="F69" s="389">
        <v>1.6759999999999999</v>
      </c>
      <c r="G69" s="386"/>
      <c r="H69" s="167"/>
      <c r="I69" s="18"/>
    </row>
    <row r="70" spans="2:9" x14ac:dyDescent="0.25">
      <c r="B70" s="13" t="s">
        <v>65</v>
      </c>
      <c r="C70" s="383" t="s">
        <v>637</v>
      </c>
      <c r="D70" s="384" t="s">
        <v>80</v>
      </c>
      <c r="E70" s="385">
        <v>1.232</v>
      </c>
      <c r="F70" s="389">
        <v>1.232</v>
      </c>
      <c r="G70" s="386"/>
      <c r="H70" s="167"/>
      <c r="I70" s="18"/>
    </row>
    <row r="71" spans="2:9" x14ac:dyDescent="0.25">
      <c r="B71" s="13" t="s">
        <v>66</v>
      </c>
      <c r="C71" s="383" t="s">
        <v>638</v>
      </c>
      <c r="D71" s="384" t="s">
        <v>80</v>
      </c>
      <c r="E71" s="385">
        <v>6.1020000000000003</v>
      </c>
      <c r="F71" s="389">
        <v>6.1020000000000003</v>
      </c>
      <c r="G71" s="386"/>
      <c r="H71" s="167"/>
      <c r="I71" s="18"/>
    </row>
    <row r="72" spans="2:9" x14ac:dyDescent="0.25">
      <c r="B72" s="13" t="s">
        <v>67</v>
      </c>
      <c r="C72" s="383" t="s">
        <v>639</v>
      </c>
      <c r="D72" s="384" t="s">
        <v>80</v>
      </c>
      <c r="E72" s="385">
        <v>1.3040999999999998</v>
      </c>
      <c r="F72" s="386"/>
      <c r="G72" s="387">
        <v>1.3040999999999998</v>
      </c>
      <c r="H72" s="167"/>
      <c r="I72" s="18"/>
    </row>
    <row r="73" spans="2:9" x14ac:dyDescent="0.25">
      <c r="B73" s="13" t="s">
        <v>67</v>
      </c>
      <c r="C73" s="383" t="s">
        <v>640</v>
      </c>
      <c r="D73" s="384" t="s">
        <v>80</v>
      </c>
      <c r="E73" s="385">
        <v>3.9119999999999999</v>
      </c>
      <c r="F73" s="386"/>
      <c r="G73" s="387">
        <v>3.9119999999999999</v>
      </c>
      <c r="H73" s="167"/>
      <c r="I73" s="18"/>
    </row>
    <row r="74" spans="2:9" x14ac:dyDescent="0.25">
      <c r="B74" s="13" t="s">
        <v>68</v>
      </c>
      <c r="C74" s="383" t="s">
        <v>641</v>
      </c>
      <c r="D74" s="384" t="s">
        <v>80</v>
      </c>
      <c r="E74" s="385">
        <v>2.4407999999999999</v>
      </c>
      <c r="F74" s="389">
        <v>2.4407999999999999</v>
      </c>
      <c r="G74" s="386"/>
      <c r="H74" s="167"/>
      <c r="I74" s="18"/>
    </row>
    <row r="75" spans="2:9" x14ac:dyDescent="0.25">
      <c r="B75" s="13" t="s">
        <v>69</v>
      </c>
      <c r="C75" s="383" t="s">
        <v>642</v>
      </c>
      <c r="D75" s="384" t="s">
        <v>80</v>
      </c>
      <c r="E75" s="385">
        <v>3.4129999999999998</v>
      </c>
      <c r="F75" s="389">
        <v>3.4129999999999998</v>
      </c>
      <c r="G75" s="386"/>
      <c r="H75" s="167"/>
      <c r="I75" s="18"/>
    </row>
    <row r="76" spans="2:9" x14ac:dyDescent="0.25">
      <c r="B76" s="13" t="s">
        <v>69</v>
      </c>
      <c r="C76" s="383" t="s">
        <v>643</v>
      </c>
      <c r="D76" s="384" t="s">
        <v>80</v>
      </c>
      <c r="E76" s="385">
        <v>1.6759999999999999</v>
      </c>
      <c r="F76" s="389">
        <v>1.6759999999999999</v>
      </c>
      <c r="G76" s="386"/>
      <c r="H76" s="167"/>
      <c r="I76" s="18"/>
    </row>
    <row r="77" spans="2:9" x14ac:dyDescent="0.25">
      <c r="B77" s="13" t="s">
        <v>69</v>
      </c>
      <c r="C77" s="383" t="s">
        <v>644</v>
      </c>
      <c r="D77" s="384" t="s">
        <v>80</v>
      </c>
      <c r="E77" s="385">
        <v>1.6910000000000001</v>
      </c>
      <c r="F77" s="389">
        <v>1.6910000000000001</v>
      </c>
      <c r="G77" s="386"/>
      <c r="H77" s="167"/>
      <c r="I77" s="18"/>
    </row>
    <row r="78" spans="2:9" x14ac:dyDescent="0.25">
      <c r="B78" s="13" t="s">
        <v>70</v>
      </c>
      <c r="C78" s="383" t="s">
        <v>645</v>
      </c>
      <c r="D78" s="384" t="s">
        <v>80</v>
      </c>
      <c r="E78" s="385">
        <v>3.3941599999999998</v>
      </c>
      <c r="F78" s="389">
        <v>3.3941599999999998</v>
      </c>
      <c r="G78" s="386"/>
      <c r="H78" s="167"/>
      <c r="I78" s="18"/>
    </row>
    <row r="79" spans="2:9" x14ac:dyDescent="0.25">
      <c r="B79" s="13" t="s">
        <v>72</v>
      </c>
      <c r="C79" s="383" t="s">
        <v>646</v>
      </c>
      <c r="D79" s="384" t="s">
        <v>80</v>
      </c>
      <c r="E79" s="385">
        <v>3.4164899999999996</v>
      </c>
      <c r="F79" s="389">
        <v>3.4164899999999996</v>
      </c>
      <c r="G79" s="386"/>
      <c r="H79" s="167"/>
      <c r="I79" s="18"/>
    </row>
    <row r="80" spans="2:9" x14ac:dyDescent="0.25">
      <c r="B80" s="13" t="s">
        <v>73</v>
      </c>
      <c r="C80" s="383" t="s">
        <v>647</v>
      </c>
      <c r="D80" s="384" t="s">
        <v>80</v>
      </c>
      <c r="E80" s="385">
        <v>1.84545</v>
      </c>
      <c r="F80" s="389">
        <v>1.84545</v>
      </c>
      <c r="G80" s="386"/>
      <c r="H80" s="167"/>
      <c r="I80" s="18"/>
    </row>
    <row r="81" spans="2:9" x14ac:dyDescent="0.25">
      <c r="B81" s="13" t="s">
        <v>70</v>
      </c>
      <c r="C81" s="383" t="s">
        <v>648</v>
      </c>
      <c r="D81" s="384" t="s">
        <v>80</v>
      </c>
      <c r="E81" s="385">
        <v>1.8332999999999999</v>
      </c>
      <c r="F81" s="389">
        <v>1.8332999999999999</v>
      </c>
      <c r="G81" s="386"/>
      <c r="H81" s="167"/>
      <c r="I81" s="18"/>
    </row>
    <row r="82" spans="2:9" x14ac:dyDescent="0.25">
      <c r="B82" s="13" t="s">
        <v>70</v>
      </c>
      <c r="C82" s="383" t="s">
        <v>649</v>
      </c>
      <c r="D82" s="384" t="s">
        <v>80</v>
      </c>
      <c r="E82" s="385">
        <v>2.1755999999999998</v>
      </c>
      <c r="F82" s="389">
        <v>2.1755999999999998</v>
      </c>
      <c r="G82" s="386"/>
      <c r="H82" s="167"/>
      <c r="I82" s="18"/>
    </row>
    <row r="83" spans="2:9" x14ac:dyDescent="0.25">
      <c r="B83" s="13" t="s">
        <v>73</v>
      </c>
      <c r="C83" s="383" t="s">
        <v>650</v>
      </c>
      <c r="D83" s="384" t="s">
        <v>80</v>
      </c>
      <c r="E83" s="385">
        <v>3.3561000000000001</v>
      </c>
      <c r="F83" s="389">
        <v>3.3561000000000001</v>
      </c>
      <c r="G83" s="386"/>
      <c r="H83" s="167"/>
      <c r="I83" s="18"/>
    </row>
    <row r="84" spans="2:9" x14ac:dyDescent="0.25">
      <c r="B84" s="13" t="s">
        <v>70</v>
      </c>
      <c r="C84" s="383" t="s">
        <v>651</v>
      </c>
      <c r="D84" s="384" t="s">
        <v>80</v>
      </c>
      <c r="E84" s="385">
        <v>2.4408000000000003</v>
      </c>
      <c r="F84" s="389">
        <v>2.4408000000000003</v>
      </c>
      <c r="G84" s="386"/>
      <c r="H84" s="167"/>
      <c r="I84" s="18"/>
    </row>
    <row r="85" spans="2:9" x14ac:dyDescent="0.25">
      <c r="B85" s="13" t="s">
        <v>74</v>
      </c>
      <c r="C85" s="383" t="s">
        <v>652</v>
      </c>
      <c r="D85" s="384" t="s">
        <v>80</v>
      </c>
      <c r="E85" s="385">
        <v>3.7235999999999998</v>
      </c>
      <c r="F85" s="389">
        <v>3.7235999999999998</v>
      </c>
      <c r="G85" s="386"/>
      <c r="H85" s="167"/>
      <c r="I85" s="18"/>
    </row>
    <row r="86" spans="2:9" x14ac:dyDescent="0.25">
      <c r="B86" s="13" t="s">
        <v>74</v>
      </c>
      <c r="C86" s="383" t="s">
        <v>653</v>
      </c>
      <c r="D86" s="384" t="s">
        <v>80</v>
      </c>
      <c r="E86" s="385">
        <v>0.62060000000000004</v>
      </c>
      <c r="F86" s="389">
        <v>0.62060000000000004</v>
      </c>
      <c r="G86" s="386"/>
      <c r="H86" s="167"/>
      <c r="I86" s="18"/>
    </row>
    <row r="87" spans="2:9" x14ac:dyDescent="0.25">
      <c r="B87" s="13" t="s">
        <v>75</v>
      </c>
      <c r="C87" s="383" t="s">
        <v>654</v>
      </c>
      <c r="D87" s="384" t="s">
        <v>80</v>
      </c>
      <c r="E87" s="385">
        <v>1.4011199999999999</v>
      </c>
      <c r="F87" s="389">
        <v>1.4011199999999999</v>
      </c>
      <c r="G87" s="386"/>
      <c r="H87" s="167"/>
      <c r="I87" s="18"/>
    </row>
    <row r="88" spans="2:9" x14ac:dyDescent="0.25">
      <c r="B88" s="13" t="s">
        <v>75</v>
      </c>
      <c r="C88" s="383" t="s">
        <v>655</v>
      </c>
      <c r="D88" s="384" t="s">
        <v>80</v>
      </c>
      <c r="E88" s="385">
        <v>3.3501599999999998</v>
      </c>
      <c r="F88" s="386"/>
      <c r="G88" s="387">
        <v>3.3501599999999998</v>
      </c>
      <c r="H88" s="167"/>
      <c r="I88" s="18"/>
    </row>
    <row r="89" spans="2:9" x14ac:dyDescent="0.25">
      <c r="B89" s="13" t="s">
        <v>76</v>
      </c>
      <c r="C89" s="383" t="s">
        <v>656</v>
      </c>
      <c r="D89" s="384" t="s">
        <v>80</v>
      </c>
      <c r="E89" s="385">
        <v>3.0357600000000002</v>
      </c>
      <c r="F89" s="386"/>
      <c r="G89" s="387">
        <v>3.0357600000000002</v>
      </c>
      <c r="H89" s="167"/>
      <c r="I89" s="18"/>
    </row>
    <row r="90" spans="2:9" ht="15.75" thickBot="1" x14ac:dyDescent="0.3">
      <c r="B90" s="19" t="s">
        <v>77</v>
      </c>
      <c r="C90" s="20" t="s">
        <v>657</v>
      </c>
      <c r="D90" s="21" t="s">
        <v>80</v>
      </c>
      <c r="E90" s="22">
        <v>1.6735599999999999</v>
      </c>
      <c r="F90" s="23"/>
      <c r="G90" s="24">
        <v>1.6735599999999999</v>
      </c>
      <c r="H90" s="25"/>
      <c r="I90" s="26"/>
    </row>
    <row r="91" spans="2:9" x14ac:dyDescent="0.25"/>
    <row r="92" spans="2:9" x14ac:dyDescent="0.25"/>
    <row r="93" spans="2:9" x14ac:dyDescent="0.25"/>
    <row r="94" spans="2:9" ht="15" customHeight="1" x14ac:dyDescent="0.25">
      <c r="C94" s="27" t="s">
        <v>81</v>
      </c>
      <c r="D94" s="28" t="s">
        <v>82</v>
      </c>
      <c r="E94" s="27" t="s">
        <v>83</v>
      </c>
    </row>
    <row r="95" spans="2:9" ht="15" customHeight="1" x14ac:dyDescent="0.25">
      <c r="B95" s="515" t="s">
        <v>84</v>
      </c>
      <c r="C95" s="29">
        <f>E2</f>
        <v>269.20166000000012</v>
      </c>
      <c r="D95" s="30">
        <f>F2</f>
        <v>161.19444000000001</v>
      </c>
      <c r="E95" s="31">
        <f>G2</f>
        <v>108.00721999999998</v>
      </c>
    </row>
    <row r="96" spans="2:9" ht="15" customHeight="1" x14ac:dyDescent="0.25">
      <c r="B96" s="516"/>
      <c r="C96" s="32">
        <f>C95/C95</f>
        <v>1</v>
      </c>
      <c r="D96" s="33">
        <f>D95/C95</f>
        <v>0.59878694655894749</v>
      </c>
      <c r="E96" s="34">
        <f>E95/C95</f>
        <v>0.40121305344105207</v>
      </c>
    </row>
    <row r="97" spans="2:5" ht="15" customHeight="1" x14ac:dyDescent="0.25">
      <c r="B97" s="517" t="s">
        <v>85</v>
      </c>
      <c r="C97" s="35">
        <f>E3</f>
        <v>77</v>
      </c>
      <c r="D97" s="36">
        <f>F3</f>
        <v>48</v>
      </c>
      <c r="E97" s="31">
        <f>G3</f>
        <v>29</v>
      </c>
    </row>
    <row r="98" spans="2:5" ht="15.75" customHeight="1" x14ac:dyDescent="0.25">
      <c r="B98" s="517"/>
      <c r="C98" s="32">
        <f>C97/C97</f>
        <v>1</v>
      </c>
      <c r="D98" s="33">
        <f>D97/C97</f>
        <v>0.62337662337662336</v>
      </c>
      <c r="E98" s="34">
        <f>E97/C97</f>
        <v>0.37662337662337664</v>
      </c>
    </row>
    <row r="99" spans="2:5" ht="15.75" customHeight="1" x14ac:dyDescent="0.25">
      <c r="B99" s="517" t="s">
        <v>7</v>
      </c>
      <c r="C99" s="35">
        <f>B2</f>
        <v>55</v>
      </c>
      <c r="D99" s="36">
        <f>COUNTIFS(I4:I59,"&gt;0")</f>
        <v>31</v>
      </c>
      <c r="E99" s="37">
        <f>C99-D99</f>
        <v>24</v>
      </c>
    </row>
    <row r="100" spans="2:5" ht="15.75" customHeight="1" x14ac:dyDescent="0.25">
      <c r="B100" s="517"/>
      <c r="C100" s="32">
        <f>C99/C99</f>
        <v>1</v>
      </c>
      <c r="D100" s="33">
        <f>D99/C99</f>
        <v>0.5636363636363636</v>
      </c>
      <c r="E100" s="34">
        <f>E99/C99</f>
        <v>0.43636363636363634</v>
      </c>
    </row>
    <row r="101" spans="2:5" ht="15.75" customHeight="1" x14ac:dyDescent="0.25">
      <c r="B101" s="507" t="s">
        <v>86</v>
      </c>
      <c r="C101" s="35">
        <f>D2</f>
        <v>11</v>
      </c>
      <c r="D101" s="36">
        <f>8</f>
        <v>8</v>
      </c>
      <c r="E101" s="37">
        <f>C101-D101</f>
        <v>3</v>
      </c>
    </row>
    <row r="102" spans="2:5" ht="30" customHeight="1" x14ac:dyDescent="0.25">
      <c r="B102" s="508"/>
      <c r="C102" s="38" t="s">
        <v>87</v>
      </c>
      <c r="D102" s="39" t="s">
        <v>88</v>
      </c>
      <c r="E102" s="40" t="s">
        <v>89</v>
      </c>
    </row>
    <row r="103" spans="2:5" ht="21" customHeight="1" x14ac:dyDescent="0.25">
      <c r="B103" s="41" t="s">
        <v>90</v>
      </c>
      <c r="C103" s="35">
        <v>23</v>
      </c>
      <c r="D103" s="36">
        <f>Helexia!T68</f>
        <v>10</v>
      </c>
      <c r="E103" s="37">
        <f>C103-D103</f>
        <v>13</v>
      </c>
    </row>
    <row r="104" spans="2:5" ht="15.75" customHeight="1" x14ac:dyDescent="0.25">
      <c r="B104" s="42" t="s">
        <v>91</v>
      </c>
      <c r="C104" s="43">
        <f>C95/C103</f>
        <v>11.704420000000004</v>
      </c>
      <c r="D104" s="44">
        <f>D95/D103</f>
        <v>16.119444000000001</v>
      </c>
      <c r="E104" s="45" t="s">
        <v>92</v>
      </c>
    </row>
    <row r="105" spans="2:5" ht="21" customHeight="1" x14ac:dyDescent="0.25">
      <c r="B105" s="41" t="s">
        <v>93</v>
      </c>
      <c r="C105" s="35">
        <v>23</v>
      </c>
      <c r="D105" s="36">
        <f>Helexia!T69</f>
        <v>15</v>
      </c>
      <c r="E105" s="37">
        <f>C105-D105</f>
        <v>8</v>
      </c>
    </row>
    <row r="106" spans="2:5" ht="15" customHeight="1" x14ac:dyDescent="0.25">
      <c r="B106" s="42" t="s">
        <v>94</v>
      </c>
      <c r="C106" s="43">
        <f>C95/C105</f>
        <v>11.704420000000004</v>
      </c>
      <c r="D106" s="44">
        <f t="shared" ref="D106" si="2">D95/D105</f>
        <v>10.746296000000001</v>
      </c>
      <c r="E106" s="45" t="s">
        <v>92</v>
      </c>
    </row>
    <row r="107" spans="2:5" ht="15.75" customHeight="1" x14ac:dyDescent="0.25">
      <c r="B107" s="46"/>
      <c r="C107" s="46"/>
      <c r="D107" s="46"/>
    </row>
    <row r="108" spans="2:5" ht="15.75" customHeight="1" x14ac:dyDescent="0.25">
      <c r="B108" s="47"/>
      <c r="C108" s="47"/>
    </row>
  </sheetData>
  <mergeCells count="7">
    <mergeCell ref="B101:B102"/>
    <mergeCell ref="H1:I1"/>
    <mergeCell ref="H2:I2"/>
    <mergeCell ref="H3:I3"/>
    <mergeCell ref="B95:B96"/>
    <mergeCell ref="B97:B98"/>
    <mergeCell ref="B99:B100"/>
  </mergeCells>
  <phoneticPr fontId="89" type="noConversion"/>
  <conditionalFormatting sqref="F29:F79 F81 F83:F90 F4 F6 F8:F27">
    <cfRule type="containsBlanks" dxfId="88" priority="1">
      <formula>LEN(TRIM(F4))=0</formula>
    </cfRule>
  </conditionalFormatting>
  <pageMargins left="0.511811024" right="0.511811024" top="0.78740157499999996" bottom="0.78740157499999996" header="0.31496062000000002" footer="0.31496062000000002"/>
  <pageSetup paperSize="9" scale="45" orientation="portrait" r:id="rId1"/>
  <ignoredErrors>
    <ignoredError sqref="F2:F3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4CC7A-B61D-4F7C-9FBB-EA169BC25BF9}">
  <sheetPr codeName="Planilha13"/>
  <dimension ref="A1:BC82"/>
  <sheetViews>
    <sheetView topLeftCell="A2" workbookViewId="0">
      <pane ySplit="1" topLeftCell="A3" activePane="bottomLeft" state="frozen"/>
      <selection activeCell="A2" sqref="A2"/>
      <selection pane="bottomLeft" activeCell="B71" sqref="B71"/>
    </sheetView>
  </sheetViews>
  <sheetFormatPr defaultRowHeight="15" x14ac:dyDescent="0.25"/>
  <cols>
    <col min="1" max="1" width="12.42578125" style="247" bestFit="1" customWidth="1"/>
    <col min="2" max="2" width="39.5703125" style="223" bestFit="1" customWidth="1"/>
    <col min="3" max="3" width="12" style="204" bestFit="1" customWidth="1"/>
    <col min="4" max="4" width="12.5703125" style="226" customWidth="1"/>
    <col min="5" max="5" width="26.42578125" style="223" hidden="1" customWidth="1"/>
    <col min="6" max="6" width="11.5703125" style="223" hidden="1" customWidth="1"/>
    <col min="7" max="7" width="12.5703125" style="223" hidden="1" customWidth="1"/>
    <col min="8" max="8" width="29" style="204" hidden="1" customWidth="1"/>
    <col min="9" max="9" width="11.5703125" style="204" hidden="1" customWidth="1"/>
    <col min="10" max="10" width="13.28515625" style="239" hidden="1" customWidth="1"/>
    <col min="11" max="11" width="11.5703125" style="240" hidden="1" customWidth="1"/>
    <col min="12" max="12" width="14.42578125" style="243" customWidth="1"/>
    <col min="13" max="13" width="12.42578125" style="204" customWidth="1"/>
    <col min="14" max="14" width="10.7109375" style="204" customWidth="1"/>
    <col min="15" max="15" width="17.42578125" style="204" customWidth="1"/>
    <col min="16" max="16" width="14.85546875" style="204" customWidth="1"/>
    <col min="17" max="17" width="22.28515625" style="204" customWidth="1"/>
    <col min="18" max="18" width="14.140625" style="204" customWidth="1"/>
    <col min="19" max="19" width="13.5703125" style="204" customWidth="1"/>
    <col min="20" max="20" width="18.42578125" style="204" bestFit="1" customWidth="1"/>
    <col min="21" max="21" width="12.7109375" style="204" bestFit="1" customWidth="1"/>
    <col min="22" max="22" width="11.42578125" style="204" bestFit="1" customWidth="1"/>
    <col min="23" max="25" width="9.5703125" style="204" customWidth="1"/>
    <col min="26" max="26" width="13.28515625" style="204" bestFit="1" customWidth="1"/>
    <col min="27" max="28" width="9.5703125" style="204" customWidth="1"/>
    <col min="29" max="29" width="10.85546875" style="204" bestFit="1" customWidth="1"/>
    <col min="30" max="30" width="9.85546875" style="204" bestFit="1" customWidth="1"/>
    <col min="31" max="31" width="14.5703125" style="204" bestFit="1" customWidth="1"/>
    <col min="32" max="32" width="15.140625" style="204" customWidth="1"/>
    <col min="33" max="33" width="18.28515625" style="204" bestFit="1" customWidth="1"/>
    <col min="34" max="34" width="12.140625" style="204" bestFit="1" customWidth="1"/>
    <col min="35" max="35" width="7.140625" style="204" bestFit="1" customWidth="1"/>
    <col min="36" max="36" width="8.42578125" style="204" bestFit="1" customWidth="1"/>
    <col min="37" max="37" width="6.28515625" style="204" bestFit="1" customWidth="1"/>
    <col min="38" max="38" width="8.42578125" style="204" bestFit="1" customWidth="1"/>
    <col min="39" max="39" width="7.140625" style="204" bestFit="1" customWidth="1"/>
    <col min="40" max="40" width="7.42578125" style="204" bestFit="1" customWidth="1"/>
    <col min="41" max="41" width="6.28515625" style="204" bestFit="1" customWidth="1"/>
    <col min="42" max="42" width="8.42578125" style="204" bestFit="1" customWidth="1"/>
    <col min="43" max="43" width="8.28515625" style="204" bestFit="1" customWidth="1"/>
    <col min="44" max="44" width="8.42578125" style="204" bestFit="1" customWidth="1"/>
    <col min="45" max="45" width="7.28515625" style="204" bestFit="1" customWidth="1"/>
    <col min="46" max="46" width="9.42578125" style="204" bestFit="1" customWidth="1"/>
    <col min="47" max="47" width="8.28515625" style="204" bestFit="1" customWidth="1"/>
    <col min="48" max="48" width="9.42578125" style="204" bestFit="1" customWidth="1"/>
    <col min="49" max="49" width="7.28515625" style="204" bestFit="1" customWidth="1"/>
    <col min="50" max="50" width="9.42578125" style="204" bestFit="1" customWidth="1"/>
    <col min="51" max="51" width="16.7109375" style="204" bestFit="1" customWidth="1"/>
    <col min="52" max="52" width="14.7109375" style="204" bestFit="1" customWidth="1"/>
    <col min="53" max="53" width="14.7109375" style="204" customWidth="1"/>
    <col min="54" max="54" width="9.140625" style="204"/>
    <col min="55" max="55" width="8.7109375" customWidth="1"/>
  </cols>
  <sheetData>
    <row r="1" spans="1:55" ht="15" hidden="1" customHeight="1" x14ac:dyDescent="0.25">
      <c r="A1" s="244"/>
      <c r="B1" s="199"/>
      <c r="C1" s="200"/>
      <c r="D1" s="249"/>
      <c r="E1" s="199"/>
      <c r="F1" s="199"/>
      <c r="G1" s="199"/>
      <c r="H1" s="200"/>
      <c r="I1" s="200"/>
      <c r="J1" s="201"/>
      <c r="K1" s="202"/>
      <c r="L1" s="241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00"/>
      <c r="AG1" s="200"/>
      <c r="AH1" s="200"/>
      <c r="AI1" s="200"/>
      <c r="AJ1" s="200"/>
      <c r="AK1" s="200"/>
      <c r="AL1" s="200"/>
      <c r="AM1" s="200"/>
      <c r="AN1" s="200"/>
      <c r="AO1" s="200"/>
      <c r="AP1" s="200"/>
      <c r="AQ1" s="200"/>
      <c r="AR1" s="200"/>
      <c r="AS1" s="200"/>
      <c r="AT1" s="200"/>
      <c r="AU1" s="200"/>
      <c r="AV1" s="200"/>
      <c r="AW1" s="200"/>
      <c r="AX1" s="200"/>
      <c r="AY1" s="200"/>
      <c r="AZ1" s="200"/>
      <c r="BA1" s="200"/>
      <c r="BB1" s="203"/>
    </row>
    <row r="2" spans="1:55" ht="33.75" customHeight="1" x14ac:dyDescent="0.25">
      <c r="A2" s="254" t="s">
        <v>284</v>
      </c>
      <c r="B2" s="205" t="s">
        <v>395</v>
      </c>
      <c r="C2" s="206" t="s">
        <v>388</v>
      </c>
      <c r="D2" s="250" t="s">
        <v>283</v>
      </c>
      <c r="E2" s="207"/>
      <c r="F2" s="199"/>
      <c r="G2" s="208"/>
      <c r="H2" s="209"/>
      <c r="I2" s="209"/>
      <c r="J2" s="210"/>
      <c r="K2" s="211" t="s">
        <v>259</v>
      </c>
      <c r="L2" s="242" t="s">
        <v>260</v>
      </c>
      <c r="M2" s="212" t="s">
        <v>261</v>
      </c>
      <c r="N2" s="213" t="s">
        <v>262</v>
      </c>
      <c r="O2" s="213" t="s">
        <v>263</v>
      </c>
      <c r="P2" s="213" t="s">
        <v>264</v>
      </c>
      <c r="Q2" s="213" t="s">
        <v>265</v>
      </c>
      <c r="R2" s="214" t="s">
        <v>266</v>
      </c>
      <c r="S2" s="214" t="s">
        <v>267</v>
      </c>
      <c r="T2" s="215" t="s">
        <v>268</v>
      </c>
      <c r="U2" s="215" t="s">
        <v>387</v>
      </c>
      <c r="V2" s="212" t="s">
        <v>269</v>
      </c>
      <c r="W2" s="216" t="s">
        <v>270</v>
      </c>
      <c r="X2" s="216" t="s">
        <v>271</v>
      </c>
      <c r="Y2" s="216" t="s">
        <v>272</v>
      </c>
      <c r="Z2" s="216" t="s">
        <v>273</v>
      </c>
      <c r="AA2" s="213" t="s">
        <v>274</v>
      </c>
      <c r="AB2" s="213" t="s">
        <v>275</v>
      </c>
      <c r="AC2" s="216" t="s">
        <v>276</v>
      </c>
      <c r="AD2" s="216" t="s">
        <v>277</v>
      </c>
      <c r="AE2" s="216" t="s">
        <v>278</v>
      </c>
      <c r="AF2" s="217" t="s">
        <v>279</v>
      </c>
      <c r="AG2" s="218" t="s">
        <v>280</v>
      </c>
      <c r="AH2" s="218" t="s">
        <v>281</v>
      </c>
      <c r="AI2" s="520" t="s">
        <v>389</v>
      </c>
      <c r="AJ2" s="520"/>
      <c r="AK2" s="520"/>
      <c r="AL2" s="520"/>
      <c r="AM2" s="519" t="s">
        <v>390</v>
      </c>
      <c r="AN2" s="519"/>
      <c r="AO2" s="519"/>
      <c r="AP2" s="519"/>
      <c r="AQ2" s="521" t="s">
        <v>282</v>
      </c>
      <c r="AR2" s="521"/>
      <c r="AS2" s="521"/>
      <c r="AT2" s="521"/>
      <c r="AU2" s="518" t="s">
        <v>391</v>
      </c>
      <c r="AV2" s="518"/>
      <c r="AW2" s="519" t="s">
        <v>392</v>
      </c>
      <c r="AX2" s="519"/>
      <c r="AY2" s="198" t="s">
        <v>393</v>
      </c>
      <c r="AZ2" s="198" t="s">
        <v>394</v>
      </c>
      <c r="BA2" s="396" t="s">
        <v>658</v>
      </c>
      <c r="BB2" s="219"/>
    </row>
    <row r="3" spans="1:55" x14ac:dyDescent="0.25">
      <c r="A3" s="245">
        <f>IF(D3=0,"",IF(C3="CLT",AZ3,BA3))</f>
        <v>9572.7075514200187</v>
      </c>
      <c r="B3" s="220" t="str">
        <f>IF(Helexia!C3=0,"",Helexia!C3)</f>
        <v>Leandro Farias</v>
      </c>
      <c r="C3" s="221" t="str">
        <f>IF(Helexia!G3=0,"",Helexia!G3)</f>
        <v>CLT</v>
      </c>
      <c r="D3" s="226">
        <v>2080</v>
      </c>
      <c r="E3" s="222"/>
      <c r="G3" s="224"/>
      <c r="H3" s="225"/>
      <c r="I3" s="226"/>
      <c r="J3" s="227"/>
      <c r="K3" s="228">
        <f>D3</f>
        <v>2080</v>
      </c>
      <c r="L3" s="243">
        <f t="shared" ref="L3:L33" si="0">K3 * 0.3</f>
        <v>624</v>
      </c>
      <c r="M3" s="229">
        <f t="shared" ref="M3:M33" si="1">K3+L3</f>
        <v>2704</v>
      </c>
      <c r="N3" s="229">
        <f t="shared" ref="N3:N33" si="2">M3 * 35.3%</f>
        <v>954.51199999999994</v>
      </c>
      <c r="O3" s="229">
        <f t="shared" ref="O3:O33" si="3">M3 * 11.11%</f>
        <v>300.4144</v>
      </c>
      <c r="P3" s="226">
        <f t="shared" ref="P3:P33" si="4">M3 * 8.33%</f>
        <v>225.2432</v>
      </c>
      <c r="Q3" s="229">
        <f t="shared" ref="Q3:Q33" si="5">(O3+P3) * 35.3%</f>
        <v>185.55713279999998</v>
      </c>
      <c r="R3" s="229">
        <f t="shared" ref="R3:R33" si="6">M3/12</f>
        <v>225.33333333333334</v>
      </c>
      <c r="S3" s="229">
        <f t="shared" ref="S3:S33" si="7">((M3+O3+P3)*8%)*50%</f>
        <v>129.18630400000001</v>
      </c>
      <c r="T3" s="226">
        <v>700</v>
      </c>
      <c r="U3" s="226">
        <v>0</v>
      </c>
      <c r="V3" s="229">
        <f>SUM(N3:U3)</f>
        <v>2720.2463701333331</v>
      </c>
      <c r="W3" s="226">
        <f t="shared" ref="W3:W33" si="8">500/24</f>
        <v>20.833333333333332</v>
      </c>
      <c r="X3" s="226">
        <f t="shared" ref="X3:X67" si="9">500/24</f>
        <v>20.833333333333332</v>
      </c>
      <c r="Y3" s="226">
        <f t="shared" ref="Y3:Y33" si="10">450/24</f>
        <v>18.75</v>
      </c>
      <c r="Z3" s="226">
        <f t="shared" ref="Z3:Z33" si="11">((1500*2)/24)/35</f>
        <v>3.5714285714285716</v>
      </c>
      <c r="AA3" s="226">
        <f t="shared" ref="AA3:AA33" si="12">(89.9 + 49.9 + 89.9 + 89.9 + 89.9 + 129.9 + 89.9 + 89.9 + 49.9 + 89.9 + 129.9)/12</f>
        <v>82.408333333333317</v>
      </c>
      <c r="AB3" s="226">
        <f t="shared" ref="AB3:AB33" si="13">(308/12)+(500/12)+(65/12)+(150/12)+(4/12)+(28/12)</f>
        <v>87.916666666666657</v>
      </c>
      <c r="AC3" s="230">
        <f t="shared" ref="AC3:AC33" si="14">1800/12</f>
        <v>150</v>
      </c>
      <c r="AD3" s="226">
        <f t="shared" ref="AD3:AD33" si="15">800/12</f>
        <v>66.666666666666671</v>
      </c>
      <c r="AE3" s="226">
        <f t="shared" ref="AE3:AE33" si="16">180/12</f>
        <v>15</v>
      </c>
      <c r="AF3" s="226">
        <v>400</v>
      </c>
      <c r="AG3" s="229">
        <f t="shared" ref="AG3:AG33" si="17">SUM(W3:AF3)</f>
        <v>865.97976190476197</v>
      </c>
      <c r="AH3" s="229">
        <f t="shared" ref="AH3:AH33" si="18">M3+V3+AG3</f>
        <v>6290.2261320380949</v>
      </c>
      <c r="AI3" s="231">
        <v>0.04</v>
      </c>
      <c r="AJ3" s="232">
        <f t="shared" ref="AJ3:AJ33" si="19">AH3*AI3</f>
        <v>251.60904528152381</v>
      </c>
      <c r="AK3" s="233">
        <v>0.04</v>
      </c>
      <c r="AL3" s="234">
        <f t="shared" ref="AL3:AL34" si="20">AZ3*AK3</f>
        <v>382.90830205680078</v>
      </c>
      <c r="AM3" s="231">
        <v>0.01</v>
      </c>
      <c r="AN3" s="232">
        <f t="shared" ref="AN3:AN34" si="21">AH3*AM3</f>
        <v>62.902261320380951</v>
      </c>
      <c r="AO3" s="233">
        <v>0.01</v>
      </c>
      <c r="AP3" s="234">
        <f t="shared" ref="AP3:AP33" si="22">AZ3*AO3</f>
        <v>95.727075514200195</v>
      </c>
      <c r="AQ3" s="231">
        <v>0.1</v>
      </c>
      <c r="AR3" s="232">
        <f t="shared" ref="AR3:AR34" si="23">AH3*AQ3</f>
        <v>629.02261320380956</v>
      </c>
      <c r="AS3" s="233">
        <v>0.1</v>
      </c>
      <c r="AT3" s="234">
        <f t="shared" ref="AT3:AT33" si="24">AZ3*AS3</f>
        <v>957.27075514200192</v>
      </c>
      <c r="AU3" s="231">
        <v>0.15640000000000001</v>
      </c>
      <c r="AV3" s="232">
        <f t="shared" ref="AV3:AV33" si="25">AY3*AU3</f>
        <v>1418.3843238909433</v>
      </c>
      <c r="AW3" s="233">
        <v>0.19289999999999999</v>
      </c>
      <c r="AX3" s="234">
        <f t="shared" ref="AX3:AX33" si="26">AZ3*AW3</f>
        <v>1846.5752866689215</v>
      </c>
      <c r="AY3" s="235">
        <f t="shared" ref="AY3:AY34" si="27">(AH3)/(1-AI3-AM3-AQ3-AU3)</f>
        <v>9068.9534775635748</v>
      </c>
      <c r="AZ3" s="234">
        <f t="shared" ref="AZ3:AZ34" si="28">($AH3)/(1-AK3-AO3-AS3-AW3)</f>
        <v>9572.7075514200187</v>
      </c>
      <c r="BA3" s="395">
        <f>SUM($D3+$W3+$X3+$Y3+$Z3+$AA3+$AB3+$AC3+$AD3+$AE3)/(1-$AK3-$AO3-$AW3)</f>
        <v>3362.8051273342512</v>
      </c>
      <c r="BB3" s="203"/>
    </row>
    <row r="4" spans="1:55" x14ac:dyDescent="0.25">
      <c r="A4" s="245">
        <f t="shared" ref="A4:A63" si="29">IF(D4=0,"",IF(C4="CLT",AZ4,BA4))</f>
        <v>10333.626741802002</v>
      </c>
      <c r="B4" s="248" t="str">
        <f>IF(Helexia!C4=0,"",Helexia!C4)</f>
        <v>Mônica Teles</v>
      </c>
      <c r="C4" s="221" t="str">
        <f>IF(Helexia!G4=0,"",Helexia!G4)</f>
        <v>CLT</v>
      </c>
      <c r="D4" s="226">
        <v>2080</v>
      </c>
      <c r="E4" s="222"/>
      <c r="G4" s="224"/>
      <c r="H4" s="225"/>
      <c r="I4" s="226"/>
      <c r="J4" s="227"/>
      <c r="K4" s="228">
        <f t="shared" ref="K4:K65" si="30">D4</f>
        <v>2080</v>
      </c>
      <c r="L4" s="243">
        <f t="shared" si="0"/>
        <v>624</v>
      </c>
      <c r="M4" s="229">
        <f t="shared" si="1"/>
        <v>2704</v>
      </c>
      <c r="N4" s="229">
        <f t="shared" si="2"/>
        <v>954.51199999999994</v>
      </c>
      <c r="O4" s="229">
        <f t="shared" si="3"/>
        <v>300.4144</v>
      </c>
      <c r="P4" s="226">
        <f t="shared" si="4"/>
        <v>225.2432</v>
      </c>
      <c r="Q4" s="229">
        <f t="shared" si="5"/>
        <v>185.55713279999998</v>
      </c>
      <c r="R4" s="229">
        <f t="shared" si="6"/>
        <v>225.33333333333334</v>
      </c>
      <c r="S4" s="229">
        <f t="shared" si="7"/>
        <v>129.18630400000001</v>
      </c>
      <c r="T4" s="226">
        <v>700</v>
      </c>
      <c r="U4" s="226">
        <v>500</v>
      </c>
      <c r="V4" s="229">
        <f t="shared" ref="V4:V65" si="31">SUM(N4:U4)</f>
        <v>3220.2463701333331</v>
      </c>
      <c r="W4" s="226">
        <f t="shared" si="8"/>
        <v>20.833333333333332</v>
      </c>
      <c r="X4" s="226">
        <f t="shared" si="9"/>
        <v>20.833333333333332</v>
      </c>
      <c r="Y4" s="226">
        <f t="shared" si="10"/>
        <v>18.75</v>
      </c>
      <c r="Z4" s="226">
        <f t="shared" si="11"/>
        <v>3.5714285714285716</v>
      </c>
      <c r="AA4" s="226">
        <f t="shared" si="12"/>
        <v>82.408333333333317</v>
      </c>
      <c r="AB4" s="226">
        <f t="shared" si="13"/>
        <v>87.916666666666657</v>
      </c>
      <c r="AC4" s="230">
        <f t="shared" si="14"/>
        <v>150</v>
      </c>
      <c r="AD4" s="226">
        <f t="shared" si="15"/>
        <v>66.666666666666671</v>
      </c>
      <c r="AE4" s="226">
        <f t="shared" si="16"/>
        <v>15</v>
      </c>
      <c r="AF4" s="226">
        <v>400</v>
      </c>
      <c r="AG4" s="229">
        <f>SUM(W4:AF4)</f>
        <v>865.97976190476197</v>
      </c>
      <c r="AH4" s="229">
        <f t="shared" si="18"/>
        <v>6790.2261320380949</v>
      </c>
      <c r="AI4" s="231">
        <v>0.04</v>
      </c>
      <c r="AJ4" s="232">
        <f t="shared" si="19"/>
        <v>271.60904528152378</v>
      </c>
      <c r="AK4" s="233">
        <v>0.04</v>
      </c>
      <c r="AL4" s="234">
        <f t="shared" si="20"/>
        <v>413.34506967208006</v>
      </c>
      <c r="AM4" s="231">
        <v>0.01</v>
      </c>
      <c r="AN4" s="232">
        <f t="shared" si="21"/>
        <v>67.902261320380944</v>
      </c>
      <c r="AO4" s="233">
        <v>0.01</v>
      </c>
      <c r="AP4" s="234">
        <f t="shared" si="22"/>
        <v>103.33626741802001</v>
      </c>
      <c r="AQ4" s="231">
        <v>0.1</v>
      </c>
      <c r="AR4" s="232">
        <f t="shared" si="23"/>
        <v>679.02261320380956</v>
      </c>
      <c r="AS4" s="233">
        <v>0.1</v>
      </c>
      <c r="AT4" s="234">
        <f t="shared" si="24"/>
        <v>1033.3626741802002</v>
      </c>
      <c r="AU4" s="231">
        <v>0.15640000000000001</v>
      </c>
      <c r="AV4" s="232">
        <f t="shared" si="25"/>
        <v>1531.1294219301587</v>
      </c>
      <c r="AW4" s="233">
        <v>0.19289999999999999</v>
      </c>
      <c r="AX4" s="234">
        <f t="shared" si="26"/>
        <v>1993.356598493606</v>
      </c>
      <c r="AY4" s="235">
        <f t="shared" si="27"/>
        <v>9789.8300634920633</v>
      </c>
      <c r="AZ4" s="234">
        <f t="shared" si="28"/>
        <v>10333.626741802002</v>
      </c>
      <c r="BA4" s="395">
        <f t="shared" ref="BA4:BA67" si="32">SUM($D4+$W4+$X4+$Y4+$Z4+$AA4+$AB4+$AC4+$AD4+$AE4)/(1-$AK4-$AO4-$AW4)</f>
        <v>3362.8051273342512</v>
      </c>
      <c r="BB4" s="236"/>
      <c r="BC4" s="197"/>
    </row>
    <row r="5" spans="1:55" x14ac:dyDescent="0.25">
      <c r="A5" s="245">
        <f t="shared" si="29"/>
        <v>12490.488575678122</v>
      </c>
      <c r="B5" s="220" t="str">
        <f>IF(Helexia!C5=0,"",Helexia!C5)</f>
        <v>Rogério Bastos</v>
      </c>
      <c r="C5" s="221" t="str">
        <f>IF(Helexia!G5=0,"",Helexia!G5)</f>
        <v>CLT</v>
      </c>
      <c r="D5" s="226">
        <v>2704</v>
      </c>
      <c r="E5" s="222"/>
      <c r="G5" s="224"/>
      <c r="H5" s="225"/>
      <c r="I5" s="226"/>
      <c r="J5" s="237"/>
      <c r="K5" s="228">
        <f t="shared" si="30"/>
        <v>2704</v>
      </c>
      <c r="L5" s="243">
        <f t="shared" si="0"/>
        <v>811.19999999999993</v>
      </c>
      <c r="M5" s="229">
        <f t="shared" si="1"/>
        <v>3515.2</v>
      </c>
      <c r="N5" s="229">
        <f t="shared" si="2"/>
        <v>1240.8655999999999</v>
      </c>
      <c r="O5" s="229">
        <f t="shared" si="3"/>
        <v>390.53871999999996</v>
      </c>
      <c r="P5" s="226">
        <f t="shared" si="4"/>
        <v>292.81615999999997</v>
      </c>
      <c r="Q5" s="229">
        <f t="shared" si="5"/>
        <v>241.22427263999995</v>
      </c>
      <c r="R5" s="229">
        <f t="shared" si="6"/>
        <v>292.93333333333334</v>
      </c>
      <c r="S5" s="229">
        <f t="shared" si="7"/>
        <v>167.94219519999999</v>
      </c>
      <c r="T5" s="226">
        <v>1200</v>
      </c>
      <c r="U5" s="226">
        <v>0</v>
      </c>
      <c r="V5" s="229">
        <f t="shared" si="31"/>
        <v>3826.3202811733331</v>
      </c>
      <c r="W5" s="226">
        <f t="shared" si="8"/>
        <v>20.833333333333332</v>
      </c>
      <c r="X5" s="226">
        <f t="shared" si="9"/>
        <v>20.833333333333332</v>
      </c>
      <c r="Y5" s="226">
        <f t="shared" si="10"/>
        <v>18.75</v>
      </c>
      <c r="Z5" s="226">
        <f t="shared" si="11"/>
        <v>3.5714285714285716</v>
      </c>
      <c r="AA5" s="226">
        <f t="shared" si="12"/>
        <v>82.408333333333317</v>
      </c>
      <c r="AB5" s="226">
        <f t="shared" si="13"/>
        <v>87.916666666666657</v>
      </c>
      <c r="AC5" s="230">
        <f t="shared" si="14"/>
        <v>150</v>
      </c>
      <c r="AD5" s="226">
        <f t="shared" si="15"/>
        <v>66.666666666666671</v>
      </c>
      <c r="AE5" s="226">
        <f t="shared" si="16"/>
        <v>15</v>
      </c>
      <c r="AF5" s="226">
        <v>400</v>
      </c>
      <c r="AG5" s="229">
        <f t="shared" si="17"/>
        <v>865.97976190476197</v>
      </c>
      <c r="AH5" s="229">
        <f t="shared" si="18"/>
        <v>8207.5000430780947</v>
      </c>
      <c r="AI5" s="231">
        <v>0.04</v>
      </c>
      <c r="AJ5" s="232">
        <f t="shared" si="19"/>
        <v>328.30000172312378</v>
      </c>
      <c r="AK5" s="233">
        <v>0.04</v>
      </c>
      <c r="AL5" s="234">
        <f t="shared" si="20"/>
        <v>499.61954302712491</v>
      </c>
      <c r="AM5" s="231">
        <v>0.01</v>
      </c>
      <c r="AN5" s="232">
        <f t="shared" si="21"/>
        <v>82.075000430780946</v>
      </c>
      <c r="AO5" s="233">
        <v>0.01</v>
      </c>
      <c r="AP5" s="234">
        <f t="shared" si="22"/>
        <v>124.90488575678123</v>
      </c>
      <c r="AQ5" s="231">
        <v>0.1</v>
      </c>
      <c r="AR5" s="232">
        <f t="shared" si="23"/>
        <v>820.75000430780949</v>
      </c>
      <c r="AS5" s="233">
        <v>0.1</v>
      </c>
      <c r="AT5" s="234">
        <f t="shared" si="24"/>
        <v>1249.0488575678123</v>
      </c>
      <c r="AU5" s="231">
        <v>0.15640000000000001</v>
      </c>
      <c r="AV5" s="232">
        <f t="shared" si="25"/>
        <v>1850.7107940274138</v>
      </c>
      <c r="AW5" s="233">
        <v>0.19289999999999999</v>
      </c>
      <c r="AX5" s="234">
        <f t="shared" si="26"/>
        <v>2409.4152462483098</v>
      </c>
      <c r="AY5" s="235">
        <f t="shared" si="27"/>
        <v>11833.189220124128</v>
      </c>
      <c r="AZ5" s="234">
        <f t="shared" si="28"/>
        <v>12490.488575678122</v>
      </c>
      <c r="BA5" s="395">
        <f t="shared" si="32"/>
        <v>4187.0027234245963</v>
      </c>
      <c r="BB5" s="236"/>
      <c r="BC5" s="197"/>
    </row>
    <row r="6" spans="1:55" x14ac:dyDescent="0.25">
      <c r="A6" s="245">
        <f t="shared" si="29"/>
        <v>12490.488575678122</v>
      </c>
      <c r="B6" s="248" t="str">
        <f>IF(Helexia!C6=0,"",Helexia!C6)</f>
        <v>Elaine Pimentel</v>
      </c>
      <c r="C6" s="221" t="str">
        <f>IF(Helexia!G6=0,"",Helexia!G6)</f>
        <v>CLT</v>
      </c>
      <c r="D6" s="226">
        <v>2704</v>
      </c>
      <c r="E6" s="222"/>
      <c r="G6" s="224"/>
      <c r="H6" s="225"/>
      <c r="I6" s="226"/>
      <c r="J6" s="227"/>
      <c r="K6" s="228">
        <f t="shared" si="30"/>
        <v>2704</v>
      </c>
      <c r="L6" s="243">
        <f t="shared" si="0"/>
        <v>811.19999999999993</v>
      </c>
      <c r="M6" s="229">
        <f t="shared" si="1"/>
        <v>3515.2</v>
      </c>
      <c r="N6" s="229">
        <f t="shared" si="2"/>
        <v>1240.8655999999999</v>
      </c>
      <c r="O6" s="229">
        <f t="shared" si="3"/>
        <v>390.53871999999996</v>
      </c>
      <c r="P6" s="226">
        <f t="shared" si="4"/>
        <v>292.81615999999997</v>
      </c>
      <c r="Q6" s="229">
        <f t="shared" si="5"/>
        <v>241.22427263999995</v>
      </c>
      <c r="R6" s="229">
        <f t="shared" si="6"/>
        <v>292.93333333333334</v>
      </c>
      <c r="S6" s="229">
        <f t="shared" si="7"/>
        <v>167.94219519999999</v>
      </c>
      <c r="T6" s="226">
        <v>1200</v>
      </c>
      <c r="U6" s="226">
        <v>0</v>
      </c>
      <c r="V6" s="229">
        <f t="shared" si="31"/>
        <v>3826.3202811733331</v>
      </c>
      <c r="W6" s="226">
        <f t="shared" si="8"/>
        <v>20.833333333333332</v>
      </c>
      <c r="X6" s="226">
        <f t="shared" si="9"/>
        <v>20.833333333333332</v>
      </c>
      <c r="Y6" s="226">
        <f t="shared" si="10"/>
        <v>18.75</v>
      </c>
      <c r="Z6" s="226">
        <f t="shared" si="11"/>
        <v>3.5714285714285716</v>
      </c>
      <c r="AA6" s="226">
        <f t="shared" si="12"/>
        <v>82.408333333333317</v>
      </c>
      <c r="AB6" s="226">
        <f t="shared" si="13"/>
        <v>87.916666666666657</v>
      </c>
      <c r="AC6" s="230">
        <f t="shared" si="14"/>
        <v>150</v>
      </c>
      <c r="AD6" s="226">
        <f t="shared" si="15"/>
        <v>66.666666666666671</v>
      </c>
      <c r="AE6" s="226">
        <f t="shared" si="16"/>
        <v>15</v>
      </c>
      <c r="AF6" s="226">
        <v>400</v>
      </c>
      <c r="AG6" s="229">
        <f t="shared" si="17"/>
        <v>865.97976190476197</v>
      </c>
      <c r="AH6" s="229">
        <f t="shared" si="18"/>
        <v>8207.5000430780947</v>
      </c>
      <c r="AI6" s="231">
        <v>0.04</v>
      </c>
      <c r="AJ6" s="232">
        <f t="shared" si="19"/>
        <v>328.30000172312378</v>
      </c>
      <c r="AK6" s="233">
        <v>0.04</v>
      </c>
      <c r="AL6" s="234">
        <f t="shared" si="20"/>
        <v>499.61954302712491</v>
      </c>
      <c r="AM6" s="231">
        <v>0.01</v>
      </c>
      <c r="AN6" s="232">
        <f t="shared" si="21"/>
        <v>82.075000430780946</v>
      </c>
      <c r="AO6" s="233">
        <v>0.01</v>
      </c>
      <c r="AP6" s="234">
        <f t="shared" si="22"/>
        <v>124.90488575678123</v>
      </c>
      <c r="AQ6" s="231">
        <v>0.1</v>
      </c>
      <c r="AR6" s="232">
        <f t="shared" si="23"/>
        <v>820.75000430780949</v>
      </c>
      <c r="AS6" s="233">
        <v>0.1</v>
      </c>
      <c r="AT6" s="234">
        <f t="shared" si="24"/>
        <v>1249.0488575678123</v>
      </c>
      <c r="AU6" s="231">
        <v>0.15640000000000001</v>
      </c>
      <c r="AV6" s="232">
        <f t="shared" si="25"/>
        <v>1850.7107940274138</v>
      </c>
      <c r="AW6" s="233">
        <v>0.19289999999999999</v>
      </c>
      <c r="AX6" s="234">
        <f t="shared" si="26"/>
        <v>2409.4152462483098</v>
      </c>
      <c r="AY6" s="235">
        <f t="shared" si="27"/>
        <v>11833.189220124128</v>
      </c>
      <c r="AZ6" s="234">
        <f t="shared" si="28"/>
        <v>12490.488575678122</v>
      </c>
      <c r="BA6" s="395">
        <f t="shared" si="32"/>
        <v>4187.0027234245963</v>
      </c>
      <c r="BB6" s="236"/>
      <c r="BC6" s="197"/>
    </row>
    <row r="7" spans="1:55" x14ac:dyDescent="0.25">
      <c r="A7" s="245">
        <f t="shared" si="29"/>
        <v>8187.5285026298807</v>
      </c>
      <c r="B7" s="220" t="str">
        <f>IF(Helexia!C7=0,"",Helexia!C7)</f>
        <v>Fábio Cunha</v>
      </c>
      <c r="C7" s="221" t="str">
        <f>IF(Helexia!G7=0,"",Helexia!G7)</f>
        <v>CLT</v>
      </c>
      <c r="D7" s="226">
        <v>1804</v>
      </c>
      <c r="E7" s="222"/>
      <c r="G7" s="224"/>
      <c r="H7" s="225"/>
      <c r="I7" s="226"/>
      <c r="J7" s="227"/>
      <c r="K7" s="228">
        <f t="shared" si="30"/>
        <v>1804</v>
      </c>
      <c r="L7" s="243">
        <f t="shared" si="0"/>
        <v>541.19999999999993</v>
      </c>
      <c r="M7" s="229">
        <f t="shared" si="1"/>
        <v>2345.1999999999998</v>
      </c>
      <c r="N7" s="229">
        <f t="shared" si="2"/>
        <v>827.85559999999987</v>
      </c>
      <c r="O7" s="229">
        <f t="shared" si="3"/>
        <v>260.55171999999993</v>
      </c>
      <c r="P7" s="226">
        <f t="shared" si="4"/>
        <v>195.35515999999998</v>
      </c>
      <c r="Q7" s="229">
        <f t="shared" si="5"/>
        <v>160.93512863999996</v>
      </c>
      <c r="R7" s="229">
        <f t="shared" si="6"/>
        <v>195.43333333333331</v>
      </c>
      <c r="S7" s="229">
        <f t="shared" si="7"/>
        <v>112.0442752</v>
      </c>
      <c r="T7" s="226">
        <v>416.67</v>
      </c>
      <c r="U7" s="226">
        <v>0</v>
      </c>
      <c r="V7" s="229">
        <f t="shared" si="31"/>
        <v>2168.8452171733329</v>
      </c>
      <c r="W7" s="226">
        <f t="shared" si="8"/>
        <v>20.833333333333332</v>
      </c>
      <c r="X7" s="226">
        <f t="shared" si="9"/>
        <v>20.833333333333332</v>
      </c>
      <c r="Y7" s="226">
        <f t="shared" si="10"/>
        <v>18.75</v>
      </c>
      <c r="Z7" s="226">
        <f t="shared" si="11"/>
        <v>3.5714285714285716</v>
      </c>
      <c r="AA7" s="226">
        <f t="shared" si="12"/>
        <v>82.408333333333317</v>
      </c>
      <c r="AB7" s="226">
        <f t="shared" si="13"/>
        <v>87.916666666666657</v>
      </c>
      <c r="AC7" s="230">
        <f t="shared" si="14"/>
        <v>150</v>
      </c>
      <c r="AD7" s="226">
        <f t="shared" si="15"/>
        <v>66.666666666666671</v>
      </c>
      <c r="AE7" s="226">
        <f t="shared" si="16"/>
        <v>15</v>
      </c>
      <c r="AF7" s="226">
        <v>400</v>
      </c>
      <c r="AG7" s="229">
        <f t="shared" si="17"/>
        <v>865.97976190476197</v>
      </c>
      <c r="AH7" s="229">
        <f t="shared" si="18"/>
        <v>5380.0249790780945</v>
      </c>
      <c r="AI7" s="231">
        <v>0.04</v>
      </c>
      <c r="AJ7" s="232">
        <f t="shared" si="19"/>
        <v>215.20099916312378</v>
      </c>
      <c r="AK7" s="233">
        <v>0.04</v>
      </c>
      <c r="AL7" s="234">
        <f t="shared" si="20"/>
        <v>327.50114010519525</v>
      </c>
      <c r="AM7" s="231">
        <v>0.01</v>
      </c>
      <c r="AN7" s="232">
        <f t="shared" si="21"/>
        <v>53.800249790780946</v>
      </c>
      <c r="AO7" s="233">
        <v>0.01</v>
      </c>
      <c r="AP7" s="234">
        <f t="shared" si="22"/>
        <v>81.875285026298812</v>
      </c>
      <c r="AQ7" s="231">
        <v>0.1</v>
      </c>
      <c r="AR7" s="232">
        <f t="shared" si="23"/>
        <v>538.00249790780947</v>
      </c>
      <c r="AS7" s="233">
        <v>0.1</v>
      </c>
      <c r="AT7" s="234">
        <f t="shared" si="24"/>
        <v>818.75285026298809</v>
      </c>
      <c r="AU7" s="231">
        <v>0.15640000000000001</v>
      </c>
      <c r="AV7" s="232">
        <f t="shared" si="25"/>
        <v>1213.1428874391784</v>
      </c>
      <c r="AW7" s="233">
        <v>0.19289999999999999</v>
      </c>
      <c r="AX7" s="234">
        <f t="shared" si="26"/>
        <v>1579.3742481573038</v>
      </c>
      <c r="AY7" s="235">
        <f t="shared" si="27"/>
        <v>7756.668078255615</v>
      </c>
      <c r="AZ7" s="234">
        <f t="shared" si="28"/>
        <v>8187.5285026298807</v>
      </c>
      <c r="BA7" s="395">
        <f t="shared" si="32"/>
        <v>2998.2561906019837</v>
      </c>
    </row>
    <row r="8" spans="1:55" x14ac:dyDescent="0.25">
      <c r="A8" s="245">
        <f t="shared" si="29"/>
        <v>9572.7075514200187</v>
      </c>
      <c r="B8" s="248" t="str">
        <f>IF(Helexia!C8=0,"",Helexia!C8)</f>
        <v>Patrícia Andrade Lopes</v>
      </c>
      <c r="C8" s="221" t="str">
        <f>IF(Helexia!G8=0,"",Helexia!G8)</f>
        <v>CLT</v>
      </c>
      <c r="D8" s="226">
        <v>2080</v>
      </c>
      <c r="E8" s="222"/>
      <c r="G8" s="224"/>
      <c r="H8" s="225"/>
      <c r="I8" s="226"/>
      <c r="J8" s="227"/>
      <c r="K8" s="228">
        <f t="shared" si="30"/>
        <v>2080</v>
      </c>
      <c r="L8" s="243">
        <f t="shared" si="0"/>
        <v>624</v>
      </c>
      <c r="M8" s="229">
        <f t="shared" si="1"/>
        <v>2704</v>
      </c>
      <c r="N8" s="229">
        <f t="shared" si="2"/>
        <v>954.51199999999994</v>
      </c>
      <c r="O8" s="229">
        <f t="shared" si="3"/>
        <v>300.4144</v>
      </c>
      <c r="P8" s="226">
        <f t="shared" si="4"/>
        <v>225.2432</v>
      </c>
      <c r="Q8" s="229">
        <f t="shared" si="5"/>
        <v>185.55713279999998</v>
      </c>
      <c r="R8" s="229">
        <f t="shared" si="6"/>
        <v>225.33333333333334</v>
      </c>
      <c r="S8" s="229">
        <f t="shared" si="7"/>
        <v>129.18630400000001</v>
      </c>
      <c r="T8" s="226">
        <v>700</v>
      </c>
      <c r="U8" s="226">
        <v>0</v>
      </c>
      <c r="V8" s="229">
        <f t="shared" si="31"/>
        <v>2720.2463701333331</v>
      </c>
      <c r="W8" s="226">
        <f t="shared" si="8"/>
        <v>20.833333333333332</v>
      </c>
      <c r="X8" s="226">
        <f t="shared" si="9"/>
        <v>20.833333333333332</v>
      </c>
      <c r="Y8" s="226">
        <f t="shared" si="10"/>
        <v>18.75</v>
      </c>
      <c r="Z8" s="226">
        <f t="shared" si="11"/>
        <v>3.5714285714285716</v>
      </c>
      <c r="AA8" s="226">
        <f t="shared" si="12"/>
        <v>82.408333333333317</v>
      </c>
      <c r="AB8" s="226">
        <f t="shared" si="13"/>
        <v>87.916666666666657</v>
      </c>
      <c r="AC8" s="230">
        <f t="shared" si="14"/>
        <v>150</v>
      </c>
      <c r="AD8" s="226">
        <f t="shared" si="15"/>
        <v>66.666666666666671</v>
      </c>
      <c r="AE8" s="226">
        <f t="shared" si="16"/>
        <v>15</v>
      </c>
      <c r="AF8" s="226">
        <v>400</v>
      </c>
      <c r="AG8" s="229">
        <f t="shared" si="17"/>
        <v>865.97976190476197</v>
      </c>
      <c r="AH8" s="229">
        <f t="shared" si="18"/>
        <v>6290.2261320380949</v>
      </c>
      <c r="AI8" s="231">
        <v>0.04</v>
      </c>
      <c r="AJ8" s="232">
        <f t="shared" si="19"/>
        <v>251.60904528152381</v>
      </c>
      <c r="AK8" s="233">
        <v>0.04</v>
      </c>
      <c r="AL8" s="234">
        <f t="shared" si="20"/>
        <v>382.90830205680078</v>
      </c>
      <c r="AM8" s="231">
        <v>0.01</v>
      </c>
      <c r="AN8" s="232">
        <f t="shared" si="21"/>
        <v>62.902261320380951</v>
      </c>
      <c r="AO8" s="233">
        <v>0.01</v>
      </c>
      <c r="AP8" s="234">
        <f t="shared" si="22"/>
        <v>95.727075514200195</v>
      </c>
      <c r="AQ8" s="231">
        <v>0.1</v>
      </c>
      <c r="AR8" s="232">
        <f t="shared" si="23"/>
        <v>629.02261320380956</v>
      </c>
      <c r="AS8" s="233">
        <v>0.1</v>
      </c>
      <c r="AT8" s="234">
        <f t="shared" si="24"/>
        <v>957.27075514200192</v>
      </c>
      <c r="AU8" s="231">
        <v>0.15640000000000001</v>
      </c>
      <c r="AV8" s="232">
        <f t="shared" si="25"/>
        <v>1418.3843238909433</v>
      </c>
      <c r="AW8" s="233">
        <v>0.19289999999999999</v>
      </c>
      <c r="AX8" s="234">
        <f t="shared" si="26"/>
        <v>1846.5752866689215</v>
      </c>
      <c r="AY8" s="235">
        <f t="shared" si="27"/>
        <v>9068.9534775635748</v>
      </c>
      <c r="AZ8" s="234">
        <f t="shared" si="28"/>
        <v>9572.7075514200187</v>
      </c>
      <c r="BA8" s="395">
        <f t="shared" si="32"/>
        <v>3362.8051273342512</v>
      </c>
    </row>
    <row r="9" spans="1:55" x14ac:dyDescent="0.25">
      <c r="A9" s="245">
        <f t="shared" si="29"/>
        <v>9572.7075514200187</v>
      </c>
      <c r="B9" s="220" t="str">
        <f>IF(Helexia!C9=0,"",Helexia!C9)</f>
        <v>Vinícius Moraes Rangel</v>
      </c>
      <c r="C9" s="221" t="str">
        <f>IF(Helexia!G9=0,"",Helexia!G9)</f>
        <v>CLT</v>
      </c>
      <c r="D9" s="226">
        <v>2080</v>
      </c>
      <c r="E9" s="222"/>
      <c r="G9" s="224"/>
      <c r="H9" s="225"/>
      <c r="I9" s="226"/>
      <c r="J9" s="238"/>
      <c r="K9" s="228">
        <f t="shared" si="30"/>
        <v>2080</v>
      </c>
      <c r="L9" s="243">
        <f t="shared" si="0"/>
        <v>624</v>
      </c>
      <c r="M9" s="229">
        <f t="shared" si="1"/>
        <v>2704</v>
      </c>
      <c r="N9" s="229">
        <f t="shared" si="2"/>
        <v>954.51199999999994</v>
      </c>
      <c r="O9" s="229">
        <f t="shared" si="3"/>
        <v>300.4144</v>
      </c>
      <c r="P9" s="226">
        <f t="shared" si="4"/>
        <v>225.2432</v>
      </c>
      <c r="Q9" s="229">
        <f t="shared" si="5"/>
        <v>185.55713279999998</v>
      </c>
      <c r="R9" s="229">
        <f t="shared" si="6"/>
        <v>225.33333333333334</v>
      </c>
      <c r="S9" s="229">
        <f t="shared" si="7"/>
        <v>129.18630400000001</v>
      </c>
      <c r="T9" s="226">
        <v>700</v>
      </c>
      <c r="U9" s="226">
        <v>0</v>
      </c>
      <c r="V9" s="229">
        <f t="shared" si="31"/>
        <v>2720.2463701333331</v>
      </c>
      <c r="W9" s="226">
        <f t="shared" si="8"/>
        <v>20.833333333333332</v>
      </c>
      <c r="X9" s="226">
        <f t="shared" si="9"/>
        <v>20.833333333333332</v>
      </c>
      <c r="Y9" s="226">
        <f t="shared" si="10"/>
        <v>18.75</v>
      </c>
      <c r="Z9" s="226">
        <f t="shared" si="11"/>
        <v>3.5714285714285716</v>
      </c>
      <c r="AA9" s="226">
        <f t="shared" si="12"/>
        <v>82.408333333333317</v>
      </c>
      <c r="AB9" s="226">
        <f t="shared" si="13"/>
        <v>87.916666666666657</v>
      </c>
      <c r="AC9" s="230">
        <f t="shared" si="14"/>
        <v>150</v>
      </c>
      <c r="AD9" s="226">
        <f t="shared" si="15"/>
        <v>66.666666666666671</v>
      </c>
      <c r="AE9" s="226">
        <f t="shared" si="16"/>
        <v>15</v>
      </c>
      <c r="AF9" s="226">
        <v>400</v>
      </c>
      <c r="AG9" s="229">
        <f t="shared" si="17"/>
        <v>865.97976190476197</v>
      </c>
      <c r="AH9" s="229">
        <f t="shared" si="18"/>
        <v>6290.2261320380949</v>
      </c>
      <c r="AI9" s="231">
        <v>0.04</v>
      </c>
      <c r="AJ9" s="232">
        <f t="shared" si="19"/>
        <v>251.60904528152381</v>
      </c>
      <c r="AK9" s="233">
        <v>0.04</v>
      </c>
      <c r="AL9" s="234">
        <f t="shared" si="20"/>
        <v>382.90830205680078</v>
      </c>
      <c r="AM9" s="231">
        <v>0.01</v>
      </c>
      <c r="AN9" s="232">
        <f t="shared" si="21"/>
        <v>62.902261320380951</v>
      </c>
      <c r="AO9" s="233">
        <v>0.01</v>
      </c>
      <c r="AP9" s="234">
        <f t="shared" si="22"/>
        <v>95.727075514200195</v>
      </c>
      <c r="AQ9" s="231">
        <v>0.1</v>
      </c>
      <c r="AR9" s="232">
        <f t="shared" si="23"/>
        <v>629.02261320380956</v>
      </c>
      <c r="AS9" s="233">
        <v>0.1</v>
      </c>
      <c r="AT9" s="234">
        <f t="shared" si="24"/>
        <v>957.27075514200192</v>
      </c>
      <c r="AU9" s="231">
        <v>0.15640000000000001</v>
      </c>
      <c r="AV9" s="232">
        <f t="shared" si="25"/>
        <v>1418.3843238909433</v>
      </c>
      <c r="AW9" s="233">
        <v>0.19289999999999999</v>
      </c>
      <c r="AX9" s="234">
        <f t="shared" si="26"/>
        <v>1846.5752866689215</v>
      </c>
      <c r="AY9" s="235">
        <f t="shared" si="27"/>
        <v>9068.9534775635748</v>
      </c>
      <c r="AZ9" s="234">
        <f t="shared" si="28"/>
        <v>9572.7075514200187</v>
      </c>
      <c r="BA9" s="395">
        <f t="shared" si="32"/>
        <v>3362.8051273342512</v>
      </c>
    </row>
    <row r="10" spans="1:55" x14ac:dyDescent="0.25">
      <c r="A10" s="245">
        <f t="shared" si="29"/>
        <v>9572.7075514200187</v>
      </c>
      <c r="B10" s="248" t="str">
        <f>IF(Helexia!C10=0,"",Helexia!C10)</f>
        <v>Cláudia Peixoto Nobre</v>
      </c>
      <c r="C10" s="221" t="str">
        <f>IF(Helexia!G10=0,"",Helexia!G10)</f>
        <v>CLT</v>
      </c>
      <c r="D10" s="226">
        <v>2080</v>
      </c>
      <c r="E10" s="222"/>
      <c r="G10" s="224"/>
      <c r="H10" s="225"/>
      <c r="I10" s="226"/>
      <c r="J10" s="227"/>
      <c r="K10" s="228">
        <f t="shared" si="30"/>
        <v>2080</v>
      </c>
      <c r="L10" s="243">
        <f t="shared" si="0"/>
        <v>624</v>
      </c>
      <c r="M10" s="229">
        <f t="shared" si="1"/>
        <v>2704</v>
      </c>
      <c r="N10" s="229">
        <f t="shared" si="2"/>
        <v>954.51199999999994</v>
      </c>
      <c r="O10" s="229">
        <f t="shared" si="3"/>
        <v>300.4144</v>
      </c>
      <c r="P10" s="226">
        <f t="shared" si="4"/>
        <v>225.2432</v>
      </c>
      <c r="Q10" s="229">
        <f t="shared" si="5"/>
        <v>185.55713279999998</v>
      </c>
      <c r="R10" s="229">
        <f t="shared" si="6"/>
        <v>225.33333333333334</v>
      </c>
      <c r="S10" s="229">
        <f t="shared" si="7"/>
        <v>129.18630400000001</v>
      </c>
      <c r="T10" s="226">
        <v>700</v>
      </c>
      <c r="U10" s="226">
        <v>0</v>
      </c>
      <c r="V10" s="229">
        <f t="shared" si="31"/>
        <v>2720.2463701333331</v>
      </c>
      <c r="W10" s="226">
        <f t="shared" si="8"/>
        <v>20.833333333333332</v>
      </c>
      <c r="X10" s="226">
        <f t="shared" si="9"/>
        <v>20.833333333333332</v>
      </c>
      <c r="Y10" s="226">
        <f t="shared" si="10"/>
        <v>18.75</v>
      </c>
      <c r="Z10" s="226">
        <f t="shared" si="11"/>
        <v>3.5714285714285716</v>
      </c>
      <c r="AA10" s="226">
        <f t="shared" si="12"/>
        <v>82.408333333333317</v>
      </c>
      <c r="AB10" s="226">
        <f t="shared" si="13"/>
        <v>87.916666666666657</v>
      </c>
      <c r="AC10" s="230">
        <f t="shared" si="14"/>
        <v>150</v>
      </c>
      <c r="AD10" s="226">
        <f t="shared" si="15"/>
        <v>66.666666666666671</v>
      </c>
      <c r="AE10" s="226">
        <f t="shared" si="16"/>
        <v>15</v>
      </c>
      <c r="AF10" s="226">
        <v>400</v>
      </c>
      <c r="AG10" s="229">
        <f t="shared" si="17"/>
        <v>865.97976190476197</v>
      </c>
      <c r="AH10" s="229">
        <f t="shared" si="18"/>
        <v>6290.2261320380949</v>
      </c>
      <c r="AI10" s="231">
        <v>0.04</v>
      </c>
      <c r="AJ10" s="232">
        <f t="shared" si="19"/>
        <v>251.60904528152381</v>
      </c>
      <c r="AK10" s="233">
        <v>0.04</v>
      </c>
      <c r="AL10" s="234">
        <f t="shared" si="20"/>
        <v>382.90830205680078</v>
      </c>
      <c r="AM10" s="231">
        <v>0.01</v>
      </c>
      <c r="AN10" s="232">
        <f t="shared" si="21"/>
        <v>62.902261320380951</v>
      </c>
      <c r="AO10" s="233">
        <v>0.01</v>
      </c>
      <c r="AP10" s="234">
        <f t="shared" si="22"/>
        <v>95.727075514200195</v>
      </c>
      <c r="AQ10" s="231">
        <v>0.1</v>
      </c>
      <c r="AR10" s="232">
        <f t="shared" si="23"/>
        <v>629.02261320380956</v>
      </c>
      <c r="AS10" s="233">
        <v>0.1</v>
      </c>
      <c r="AT10" s="234">
        <f t="shared" si="24"/>
        <v>957.27075514200192</v>
      </c>
      <c r="AU10" s="231">
        <v>0.15640000000000001</v>
      </c>
      <c r="AV10" s="232">
        <f t="shared" si="25"/>
        <v>1418.3843238909433</v>
      </c>
      <c r="AW10" s="233">
        <v>0.19289999999999999</v>
      </c>
      <c r="AX10" s="234">
        <f t="shared" si="26"/>
        <v>1846.5752866689215</v>
      </c>
      <c r="AY10" s="235">
        <f t="shared" si="27"/>
        <v>9068.9534775635748</v>
      </c>
      <c r="AZ10" s="234">
        <f t="shared" si="28"/>
        <v>9572.7075514200187</v>
      </c>
      <c r="BA10" s="395">
        <f t="shared" si="32"/>
        <v>3362.8051273342512</v>
      </c>
    </row>
    <row r="11" spans="1:55" x14ac:dyDescent="0.25">
      <c r="A11" s="245">
        <f t="shared" si="29"/>
        <v>7132.0222440593952</v>
      </c>
      <c r="B11" s="220" t="str">
        <f>IF(Helexia!C11=0,"",Helexia!C11)</f>
        <v>Renato Guedes Paiva</v>
      </c>
      <c r="C11" s="221" t="str">
        <f>IF(Helexia!G11=0,"",Helexia!G11)</f>
        <v>CLT</v>
      </c>
      <c r="D11" s="226">
        <v>1550</v>
      </c>
      <c r="E11" s="222"/>
      <c r="G11" s="224"/>
      <c r="H11" s="225"/>
      <c r="I11" s="226"/>
      <c r="J11" s="227"/>
      <c r="K11" s="228">
        <f t="shared" si="30"/>
        <v>1550</v>
      </c>
      <c r="L11" s="243">
        <f t="shared" si="0"/>
        <v>465</v>
      </c>
      <c r="M11" s="229">
        <f t="shared" si="1"/>
        <v>2015</v>
      </c>
      <c r="N11" s="229">
        <f t="shared" si="2"/>
        <v>711.29499999999996</v>
      </c>
      <c r="O11" s="229">
        <f t="shared" si="3"/>
        <v>223.86649999999997</v>
      </c>
      <c r="P11" s="226">
        <f t="shared" si="4"/>
        <v>167.84950000000001</v>
      </c>
      <c r="Q11" s="229">
        <f t="shared" si="5"/>
        <v>138.27574799999999</v>
      </c>
      <c r="R11" s="229">
        <f t="shared" si="6"/>
        <v>167.91666666666666</v>
      </c>
      <c r="S11" s="229">
        <f t="shared" si="7"/>
        <v>96.268640000000005</v>
      </c>
      <c r="T11" s="226">
        <v>300</v>
      </c>
      <c r="U11" s="226">
        <v>0</v>
      </c>
      <c r="V11" s="229">
        <f t="shared" si="31"/>
        <v>1805.4720546666667</v>
      </c>
      <c r="W11" s="226">
        <f t="shared" si="8"/>
        <v>20.833333333333332</v>
      </c>
      <c r="X11" s="226">
        <f t="shared" si="9"/>
        <v>20.833333333333332</v>
      </c>
      <c r="Y11" s="226">
        <f t="shared" si="10"/>
        <v>18.75</v>
      </c>
      <c r="Z11" s="226">
        <f t="shared" si="11"/>
        <v>3.5714285714285716</v>
      </c>
      <c r="AA11" s="226">
        <f t="shared" si="12"/>
        <v>82.408333333333317</v>
      </c>
      <c r="AB11" s="226">
        <f t="shared" si="13"/>
        <v>87.916666666666657</v>
      </c>
      <c r="AC11" s="230">
        <f t="shared" si="14"/>
        <v>150</v>
      </c>
      <c r="AD11" s="226">
        <f t="shared" si="15"/>
        <v>66.666666666666671</v>
      </c>
      <c r="AE11" s="226">
        <f t="shared" si="16"/>
        <v>15</v>
      </c>
      <c r="AF11" s="226">
        <v>400</v>
      </c>
      <c r="AG11" s="229">
        <f t="shared" si="17"/>
        <v>865.97976190476197</v>
      </c>
      <c r="AH11" s="229">
        <f t="shared" si="18"/>
        <v>4686.4518165714289</v>
      </c>
      <c r="AI11" s="231">
        <v>0.04</v>
      </c>
      <c r="AJ11" s="232">
        <f t="shared" si="19"/>
        <v>187.45807266285715</v>
      </c>
      <c r="AK11" s="233">
        <v>0.04</v>
      </c>
      <c r="AL11" s="234">
        <f t="shared" si="20"/>
        <v>285.28088976237581</v>
      </c>
      <c r="AM11" s="231">
        <v>0.01</v>
      </c>
      <c r="AN11" s="232">
        <f t="shared" si="21"/>
        <v>46.864518165714287</v>
      </c>
      <c r="AO11" s="233">
        <v>0.01</v>
      </c>
      <c r="AP11" s="234">
        <f t="shared" si="22"/>
        <v>71.320222440593952</v>
      </c>
      <c r="AQ11" s="231">
        <v>0.1</v>
      </c>
      <c r="AR11" s="232">
        <f t="shared" si="23"/>
        <v>468.64518165714293</v>
      </c>
      <c r="AS11" s="233">
        <v>0.1</v>
      </c>
      <c r="AT11" s="234">
        <f t="shared" si="24"/>
        <v>713.20222440593955</v>
      </c>
      <c r="AU11" s="231">
        <v>0.15640000000000001</v>
      </c>
      <c r="AV11" s="232">
        <f t="shared" si="25"/>
        <v>1056.7489390308126</v>
      </c>
      <c r="AW11" s="233">
        <v>0.19289999999999999</v>
      </c>
      <c r="AX11" s="234">
        <f t="shared" si="26"/>
        <v>1375.7670908790572</v>
      </c>
      <c r="AY11" s="235">
        <f t="shared" si="27"/>
        <v>6756.7067712967546</v>
      </c>
      <c r="AZ11" s="234">
        <f t="shared" si="28"/>
        <v>7132.0222440593952</v>
      </c>
      <c r="BA11" s="395">
        <f t="shared" si="32"/>
        <v>2662.7655024498245</v>
      </c>
    </row>
    <row r="12" spans="1:55" x14ac:dyDescent="0.25">
      <c r="A12" s="245">
        <f t="shared" si="29"/>
        <v>7132.0222440593952</v>
      </c>
      <c r="B12" s="248" t="str">
        <f>IF(Helexia!C12=0,"",Helexia!C12)</f>
        <v>Silvia Matos Barreto</v>
      </c>
      <c r="C12" s="221" t="str">
        <f>IF(Helexia!G12=0,"",Helexia!G12)</f>
        <v>CLT</v>
      </c>
      <c r="D12" s="226">
        <v>1550</v>
      </c>
      <c r="E12" s="222"/>
      <c r="G12" s="224"/>
      <c r="H12" s="225"/>
      <c r="I12" s="226"/>
      <c r="J12" s="227"/>
      <c r="K12" s="228">
        <f t="shared" si="30"/>
        <v>1550</v>
      </c>
      <c r="L12" s="243">
        <f t="shared" si="0"/>
        <v>465</v>
      </c>
      <c r="M12" s="229">
        <f t="shared" si="1"/>
        <v>2015</v>
      </c>
      <c r="N12" s="229">
        <f t="shared" si="2"/>
        <v>711.29499999999996</v>
      </c>
      <c r="O12" s="229">
        <f t="shared" si="3"/>
        <v>223.86649999999997</v>
      </c>
      <c r="P12" s="226">
        <f t="shared" si="4"/>
        <v>167.84950000000001</v>
      </c>
      <c r="Q12" s="229">
        <f t="shared" si="5"/>
        <v>138.27574799999999</v>
      </c>
      <c r="R12" s="229">
        <f t="shared" si="6"/>
        <v>167.91666666666666</v>
      </c>
      <c r="S12" s="229">
        <f t="shared" si="7"/>
        <v>96.268640000000005</v>
      </c>
      <c r="T12" s="226">
        <v>300</v>
      </c>
      <c r="U12" s="226">
        <v>0</v>
      </c>
      <c r="V12" s="229">
        <f t="shared" si="31"/>
        <v>1805.4720546666667</v>
      </c>
      <c r="W12" s="226">
        <f t="shared" si="8"/>
        <v>20.833333333333332</v>
      </c>
      <c r="X12" s="226">
        <f t="shared" si="9"/>
        <v>20.833333333333332</v>
      </c>
      <c r="Y12" s="226">
        <f t="shared" si="10"/>
        <v>18.75</v>
      </c>
      <c r="Z12" s="226">
        <f t="shared" si="11"/>
        <v>3.5714285714285716</v>
      </c>
      <c r="AA12" s="226">
        <f t="shared" si="12"/>
        <v>82.408333333333317</v>
      </c>
      <c r="AB12" s="226">
        <f t="shared" si="13"/>
        <v>87.916666666666657</v>
      </c>
      <c r="AC12" s="230">
        <f t="shared" si="14"/>
        <v>150</v>
      </c>
      <c r="AD12" s="226">
        <f t="shared" si="15"/>
        <v>66.666666666666671</v>
      </c>
      <c r="AE12" s="226">
        <f t="shared" si="16"/>
        <v>15</v>
      </c>
      <c r="AF12" s="226">
        <v>400</v>
      </c>
      <c r="AG12" s="229">
        <f t="shared" si="17"/>
        <v>865.97976190476197</v>
      </c>
      <c r="AH12" s="229">
        <f t="shared" si="18"/>
        <v>4686.4518165714289</v>
      </c>
      <c r="AI12" s="231">
        <v>0.04</v>
      </c>
      <c r="AJ12" s="232">
        <f t="shared" si="19"/>
        <v>187.45807266285715</v>
      </c>
      <c r="AK12" s="233">
        <v>0.04</v>
      </c>
      <c r="AL12" s="234">
        <f t="shared" si="20"/>
        <v>285.28088976237581</v>
      </c>
      <c r="AM12" s="231">
        <v>0.01</v>
      </c>
      <c r="AN12" s="232">
        <f t="shared" si="21"/>
        <v>46.864518165714287</v>
      </c>
      <c r="AO12" s="233">
        <v>0.01</v>
      </c>
      <c r="AP12" s="234">
        <f t="shared" si="22"/>
        <v>71.320222440593952</v>
      </c>
      <c r="AQ12" s="231">
        <v>0.1</v>
      </c>
      <c r="AR12" s="232">
        <f t="shared" si="23"/>
        <v>468.64518165714293</v>
      </c>
      <c r="AS12" s="233">
        <v>0.1</v>
      </c>
      <c r="AT12" s="234">
        <f t="shared" si="24"/>
        <v>713.20222440593955</v>
      </c>
      <c r="AU12" s="231">
        <v>0.15640000000000001</v>
      </c>
      <c r="AV12" s="232">
        <f t="shared" si="25"/>
        <v>1056.7489390308126</v>
      </c>
      <c r="AW12" s="233">
        <v>0.19289999999999999</v>
      </c>
      <c r="AX12" s="234">
        <f t="shared" si="26"/>
        <v>1375.7670908790572</v>
      </c>
      <c r="AY12" s="235">
        <f t="shared" si="27"/>
        <v>6756.7067712967546</v>
      </c>
      <c r="AZ12" s="234">
        <f t="shared" si="28"/>
        <v>7132.0222440593952</v>
      </c>
      <c r="BA12" s="395">
        <f t="shared" si="32"/>
        <v>2662.7655024498245</v>
      </c>
    </row>
    <row r="13" spans="1:55" x14ac:dyDescent="0.25">
      <c r="A13" s="245">
        <f t="shared" si="29"/>
        <v>9572.7075514200187</v>
      </c>
      <c r="B13" s="220" t="str">
        <f>IF(Helexia!C13=0,"",Helexia!C13)</f>
        <v>Daniel Afonso Queiroz Lima</v>
      </c>
      <c r="C13" s="221" t="str">
        <f>IF(Helexia!G13=0,"",Helexia!G13)</f>
        <v>CLT</v>
      </c>
      <c r="D13" s="226">
        <v>2080</v>
      </c>
      <c r="E13" s="222"/>
      <c r="G13" s="224"/>
      <c r="H13" s="225"/>
      <c r="I13" s="226"/>
      <c r="J13" s="227"/>
      <c r="K13" s="228">
        <f t="shared" si="30"/>
        <v>2080</v>
      </c>
      <c r="L13" s="243">
        <f t="shared" si="0"/>
        <v>624</v>
      </c>
      <c r="M13" s="229">
        <f t="shared" si="1"/>
        <v>2704</v>
      </c>
      <c r="N13" s="229">
        <f t="shared" si="2"/>
        <v>954.51199999999994</v>
      </c>
      <c r="O13" s="229">
        <f t="shared" si="3"/>
        <v>300.4144</v>
      </c>
      <c r="P13" s="226">
        <f t="shared" si="4"/>
        <v>225.2432</v>
      </c>
      <c r="Q13" s="229">
        <f t="shared" si="5"/>
        <v>185.55713279999998</v>
      </c>
      <c r="R13" s="229">
        <f t="shared" si="6"/>
        <v>225.33333333333334</v>
      </c>
      <c r="S13" s="229">
        <f t="shared" si="7"/>
        <v>129.18630400000001</v>
      </c>
      <c r="T13" s="226">
        <v>700</v>
      </c>
      <c r="U13" s="226">
        <v>0</v>
      </c>
      <c r="V13" s="229">
        <f t="shared" si="31"/>
        <v>2720.2463701333331</v>
      </c>
      <c r="W13" s="226">
        <f t="shared" si="8"/>
        <v>20.833333333333332</v>
      </c>
      <c r="X13" s="226">
        <f t="shared" si="9"/>
        <v>20.833333333333332</v>
      </c>
      <c r="Y13" s="226">
        <f t="shared" si="10"/>
        <v>18.75</v>
      </c>
      <c r="Z13" s="226">
        <f t="shared" si="11"/>
        <v>3.5714285714285716</v>
      </c>
      <c r="AA13" s="226">
        <f t="shared" si="12"/>
        <v>82.408333333333317</v>
      </c>
      <c r="AB13" s="226">
        <f t="shared" si="13"/>
        <v>87.916666666666657</v>
      </c>
      <c r="AC13" s="230">
        <f t="shared" si="14"/>
        <v>150</v>
      </c>
      <c r="AD13" s="226">
        <f t="shared" si="15"/>
        <v>66.666666666666671</v>
      </c>
      <c r="AE13" s="226">
        <f t="shared" si="16"/>
        <v>15</v>
      </c>
      <c r="AF13" s="226">
        <v>400</v>
      </c>
      <c r="AG13" s="229">
        <f t="shared" si="17"/>
        <v>865.97976190476197</v>
      </c>
      <c r="AH13" s="229">
        <f t="shared" si="18"/>
        <v>6290.2261320380949</v>
      </c>
      <c r="AI13" s="231">
        <v>0.04</v>
      </c>
      <c r="AJ13" s="232">
        <f t="shared" si="19"/>
        <v>251.60904528152381</v>
      </c>
      <c r="AK13" s="233">
        <v>0.04</v>
      </c>
      <c r="AL13" s="234">
        <f t="shared" si="20"/>
        <v>382.90830205680078</v>
      </c>
      <c r="AM13" s="231">
        <v>0.01</v>
      </c>
      <c r="AN13" s="232">
        <f t="shared" si="21"/>
        <v>62.902261320380951</v>
      </c>
      <c r="AO13" s="233">
        <v>0.01</v>
      </c>
      <c r="AP13" s="234">
        <f t="shared" si="22"/>
        <v>95.727075514200195</v>
      </c>
      <c r="AQ13" s="231">
        <v>0.1</v>
      </c>
      <c r="AR13" s="232">
        <f t="shared" si="23"/>
        <v>629.02261320380956</v>
      </c>
      <c r="AS13" s="233">
        <v>0.1</v>
      </c>
      <c r="AT13" s="234">
        <f t="shared" si="24"/>
        <v>957.27075514200192</v>
      </c>
      <c r="AU13" s="231">
        <v>0.15640000000000001</v>
      </c>
      <c r="AV13" s="232">
        <f t="shared" si="25"/>
        <v>1418.3843238909433</v>
      </c>
      <c r="AW13" s="233">
        <v>0.19289999999999999</v>
      </c>
      <c r="AX13" s="234">
        <f t="shared" si="26"/>
        <v>1846.5752866689215</v>
      </c>
      <c r="AY13" s="235">
        <f t="shared" si="27"/>
        <v>9068.9534775635748</v>
      </c>
      <c r="AZ13" s="234">
        <f t="shared" si="28"/>
        <v>9572.7075514200187</v>
      </c>
      <c r="BA13" s="395">
        <f t="shared" si="32"/>
        <v>3362.8051273342512</v>
      </c>
    </row>
    <row r="14" spans="1:55" x14ac:dyDescent="0.25">
      <c r="A14" s="245">
        <f t="shared" si="29"/>
        <v>9572.7075514200187</v>
      </c>
      <c r="B14" s="248" t="str">
        <f>IF(Helexia!C14=0,"",Helexia!C14)</f>
        <v>Juliane Costa Figueiredo</v>
      </c>
      <c r="C14" s="221" t="str">
        <f>IF(Helexia!G14=0,"",Helexia!G14)</f>
        <v>CLT</v>
      </c>
      <c r="D14" s="226">
        <v>2080</v>
      </c>
      <c r="E14" s="222"/>
      <c r="G14" s="224"/>
      <c r="H14" s="225"/>
      <c r="I14" s="226"/>
      <c r="J14" s="227"/>
      <c r="K14" s="228">
        <f t="shared" si="30"/>
        <v>2080</v>
      </c>
      <c r="L14" s="243">
        <f t="shared" si="0"/>
        <v>624</v>
      </c>
      <c r="M14" s="229">
        <f t="shared" si="1"/>
        <v>2704</v>
      </c>
      <c r="N14" s="229">
        <f t="shared" si="2"/>
        <v>954.51199999999994</v>
      </c>
      <c r="O14" s="229">
        <f t="shared" si="3"/>
        <v>300.4144</v>
      </c>
      <c r="P14" s="226">
        <f t="shared" si="4"/>
        <v>225.2432</v>
      </c>
      <c r="Q14" s="229">
        <f t="shared" si="5"/>
        <v>185.55713279999998</v>
      </c>
      <c r="R14" s="229">
        <f t="shared" si="6"/>
        <v>225.33333333333334</v>
      </c>
      <c r="S14" s="229">
        <f t="shared" si="7"/>
        <v>129.18630400000001</v>
      </c>
      <c r="T14" s="226">
        <v>700</v>
      </c>
      <c r="U14" s="226">
        <v>0</v>
      </c>
      <c r="V14" s="229">
        <f t="shared" si="31"/>
        <v>2720.2463701333331</v>
      </c>
      <c r="W14" s="226">
        <f t="shared" si="8"/>
        <v>20.833333333333332</v>
      </c>
      <c r="X14" s="226">
        <f t="shared" si="9"/>
        <v>20.833333333333332</v>
      </c>
      <c r="Y14" s="226">
        <f t="shared" si="10"/>
        <v>18.75</v>
      </c>
      <c r="Z14" s="226">
        <f t="shared" si="11"/>
        <v>3.5714285714285716</v>
      </c>
      <c r="AA14" s="226">
        <f t="shared" si="12"/>
        <v>82.408333333333317</v>
      </c>
      <c r="AB14" s="226">
        <f t="shared" si="13"/>
        <v>87.916666666666657</v>
      </c>
      <c r="AC14" s="230">
        <f t="shared" si="14"/>
        <v>150</v>
      </c>
      <c r="AD14" s="226">
        <f t="shared" si="15"/>
        <v>66.666666666666671</v>
      </c>
      <c r="AE14" s="226">
        <f t="shared" si="16"/>
        <v>15</v>
      </c>
      <c r="AF14" s="226">
        <v>400</v>
      </c>
      <c r="AG14" s="229">
        <f t="shared" si="17"/>
        <v>865.97976190476197</v>
      </c>
      <c r="AH14" s="229">
        <f t="shared" si="18"/>
        <v>6290.2261320380949</v>
      </c>
      <c r="AI14" s="231">
        <v>0.04</v>
      </c>
      <c r="AJ14" s="232">
        <f t="shared" si="19"/>
        <v>251.60904528152381</v>
      </c>
      <c r="AK14" s="233">
        <v>0.04</v>
      </c>
      <c r="AL14" s="234">
        <f t="shared" si="20"/>
        <v>382.90830205680078</v>
      </c>
      <c r="AM14" s="231">
        <v>0.01</v>
      </c>
      <c r="AN14" s="232">
        <f t="shared" si="21"/>
        <v>62.902261320380951</v>
      </c>
      <c r="AO14" s="233">
        <v>0.01</v>
      </c>
      <c r="AP14" s="234">
        <f t="shared" si="22"/>
        <v>95.727075514200195</v>
      </c>
      <c r="AQ14" s="231">
        <v>0.1</v>
      </c>
      <c r="AR14" s="232">
        <f t="shared" si="23"/>
        <v>629.02261320380956</v>
      </c>
      <c r="AS14" s="233">
        <v>0.1</v>
      </c>
      <c r="AT14" s="234">
        <f t="shared" si="24"/>
        <v>957.27075514200192</v>
      </c>
      <c r="AU14" s="231">
        <v>0.15640000000000001</v>
      </c>
      <c r="AV14" s="232">
        <f t="shared" si="25"/>
        <v>1418.3843238909433</v>
      </c>
      <c r="AW14" s="233">
        <v>0.19289999999999999</v>
      </c>
      <c r="AX14" s="234">
        <f t="shared" si="26"/>
        <v>1846.5752866689215</v>
      </c>
      <c r="AY14" s="235">
        <f t="shared" si="27"/>
        <v>9068.9534775635748</v>
      </c>
      <c r="AZ14" s="234">
        <f t="shared" si="28"/>
        <v>9572.7075514200187</v>
      </c>
      <c r="BA14" s="395">
        <f t="shared" si="32"/>
        <v>3362.8051273342512</v>
      </c>
    </row>
    <row r="15" spans="1:55" x14ac:dyDescent="0.25">
      <c r="A15" s="245">
        <f t="shared" si="29"/>
        <v>12490.488575678122</v>
      </c>
      <c r="B15" s="220" t="str">
        <f>IF(Helexia!C15=0,"",Helexia!C15)</f>
        <v>Mauro Silveira Prado</v>
      </c>
      <c r="C15" s="221" t="str">
        <f>IF(Helexia!G15=0,"",Helexia!G15)</f>
        <v>CLT</v>
      </c>
      <c r="D15" s="226">
        <v>2704</v>
      </c>
      <c r="E15" s="222"/>
      <c r="G15" s="224"/>
      <c r="H15" s="225"/>
      <c r="I15" s="226"/>
      <c r="J15" s="227"/>
      <c r="K15" s="228">
        <f t="shared" si="30"/>
        <v>2704</v>
      </c>
      <c r="L15" s="243">
        <f t="shared" si="0"/>
        <v>811.19999999999993</v>
      </c>
      <c r="M15" s="229">
        <f t="shared" si="1"/>
        <v>3515.2</v>
      </c>
      <c r="N15" s="229">
        <f t="shared" si="2"/>
        <v>1240.8655999999999</v>
      </c>
      <c r="O15" s="229">
        <f t="shared" si="3"/>
        <v>390.53871999999996</v>
      </c>
      <c r="P15" s="226">
        <f t="shared" si="4"/>
        <v>292.81615999999997</v>
      </c>
      <c r="Q15" s="229">
        <f t="shared" si="5"/>
        <v>241.22427263999995</v>
      </c>
      <c r="R15" s="229">
        <f t="shared" si="6"/>
        <v>292.93333333333334</v>
      </c>
      <c r="S15" s="229">
        <f t="shared" si="7"/>
        <v>167.94219519999999</v>
      </c>
      <c r="T15" s="226">
        <v>1200</v>
      </c>
      <c r="U15" s="226">
        <v>0</v>
      </c>
      <c r="V15" s="229">
        <f t="shared" si="31"/>
        <v>3826.3202811733331</v>
      </c>
      <c r="W15" s="226">
        <f t="shared" si="8"/>
        <v>20.833333333333332</v>
      </c>
      <c r="X15" s="226">
        <f t="shared" si="9"/>
        <v>20.833333333333332</v>
      </c>
      <c r="Y15" s="226">
        <f t="shared" si="10"/>
        <v>18.75</v>
      </c>
      <c r="Z15" s="226">
        <f t="shared" si="11"/>
        <v>3.5714285714285716</v>
      </c>
      <c r="AA15" s="226">
        <f t="shared" si="12"/>
        <v>82.408333333333317</v>
      </c>
      <c r="AB15" s="226">
        <f t="shared" si="13"/>
        <v>87.916666666666657</v>
      </c>
      <c r="AC15" s="230">
        <f t="shared" si="14"/>
        <v>150</v>
      </c>
      <c r="AD15" s="226">
        <f t="shared" si="15"/>
        <v>66.666666666666671</v>
      </c>
      <c r="AE15" s="226">
        <f t="shared" si="16"/>
        <v>15</v>
      </c>
      <c r="AF15" s="226">
        <v>400</v>
      </c>
      <c r="AG15" s="229">
        <f t="shared" si="17"/>
        <v>865.97976190476197</v>
      </c>
      <c r="AH15" s="229">
        <f t="shared" si="18"/>
        <v>8207.5000430780947</v>
      </c>
      <c r="AI15" s="231">
        <v>0.04</v>
      </c>
      <c r="AJ15" s="232">
        <f t="shared" si="19"/>
        <v>328.30000172312378</v>
      </c>
      <c r="AK15" s="233">
        <v>0.04</v>
      </c>
      <c r="AL15" s="234">
        <f t="shared" si="20"/>
        <v>499.61954302712491</v>
      </c>
      <c r="AM15" s="231">
        <v>0.01</v>
      </c>
      <c r="AN15" s="232">
        <f t="shared" si="21"/>
        <v>82.075000430780946</v>
      </c>
      <c r="AO15" s="233">
        <v>0.01</v>
      </c>
      <c r="AP15" s="234">
        <f t="shared" si="22"/>
        <v>124.90488575678123</v>
      </c>
      <c r="AQ15" s="231">
        <v>0.1</v>
      </c>
      <c r="AR15" s="232">
        <f t="shared" si="23"/>
        <v>820.75000430780949</v>
      </c>
      <c r="AS15" s="233">
        <v>0.1</v>
      </c>
      <c r="AT15" s="234">
        <f t="shared" si="24"/>
        <v>1249.0488575678123</v>
      </c>
      <c r="AU15" s="231">
        <v>0.15640000000000001</v>
      </c>
      <c r="AV15" s="232">
        <f t="shared" si="25"/>
        <v>1850.7107940274138</v>
      </c>
      <c r="AW15" s="233">
        <v>0.19289999999999999</v>
      </c>
      <c r="AX15" s="234">
        <f t="shared" si="26"/>
        <v>2409.4152462483098</v>
      </c>
      <c r="AY15" s="235">
        <f t="shared" si="27"/>
        <v>11833.189220124128</v>
      </c>
      <c r="AZ15" s="234">
        <f t="shared" si="28"/>
        <v>12490.488575678122</v>
      </c>
      <c r="BA15" s="395">
        <f t="shared" si="32"/>
        <v>4187.0027234245963</v>
      </c>
    </row>
    <row r="16" spans="1:55" x14ac:dyDescent="0.25">
      <c r="A16" s="245">
        <f t="shared" si="29"/>
        <v>9987.4886733192743</v>
      </c>
      <c r="B16" s="248" t="str">
        <f>IF(Helexia!C16=0,"",Helexia!C16)</f>
        <v>Tatiana Borges Nascimento</v>
      </c>
      <c r="C16" s="221" t="str">
        <f>IF(Helexia!G16=0,"",Helexia!G16)</f>
        <v>CLT</v>
      </c>
      <c r="D16" s="226">
        <v>2200</v>
      </c>
      <c r="E16" s="222"/>
      <c r="G16" s="224"/>
      <c r="H16" s="225"/>
      <c r="I16" s="226"/>
      <c r="J16" s="227"/>
      <c r="K16" s="228">
        <f t="shared" si="30"/>
        <v>2200</v>
      </c>
      <c r="L16" s="243">
        <f t="shared" si="0"/>
        <v>660</v>
      </c>
      <c r="M16" s="229">
        <f t="shared" si="1"/>
        <v>2860</v>
      </c>
      <c r="N16" s="229">
        <f t="shared" si="2"/>
        <v>1009.5799999999999</v>
      </c>
      <c r="O16" s="229">
        <f t="shared" si="3"/>
        <v>317.74599999999998</v>
      </c>
      <c r="P16" s="226">
        <f t="shared" si="4"/>
        <v>238.238</v>
      </c>
      <c r="Q16" s="229">
        <f t="shared" si="5"/>
        <v>196.26235199999996</v>
      </c>
      <c r="R16" s="229">
        <f t="shared" si="6"/>
        <v>238.33333333333334</v>
      </c>
      <c r="S16" s="229">
        <f t="shared" si="7"/>
        <v>136.63936000000001</v>
      </c>
      <c r="T16" s="226">
        <v>700</v>
      </c>
      <c r="U16" s="226">
        <v>0</v>
      </c>
      <c r="V16" s="229">
        <f t="shared" si="31"/>
        <v>2836.7990453333332</v>
      </c>
      <c r="W16" s="226">
        <f t="shared" si="8"/>
        <v>20.833333333333332</v>
      </c>
      <c r="X16" s="226">
        <f t="shared" si="9"/>
        <v>20.833333333333332</v>
      </c>
      <c r="Y16" s="226">
        <f t="shared" si="10"/>
        <v>18.75</v>
      </c>
      <c r="Z16" s="226">
        <f t="shared" si="11"/>
        <v>3.5714285714285716</v>
      </c>
      <c r="AA16" s="226">
        <f t="shared" si="12"/>
        <v>82.408333333333317</v>
      </c>
      <c r="AB16" s="226">
        <f t="shared" si="13"/>
        <v>87.916666666666657</v>
      </c>
      <c r="AC16" s="230">
        <f t="shared" si="14"/>
        <v>150</v>
      </c>
      <c r="AD16" s="226">
        <f t="shared" si="15"/>
        <v>66.666666666666671</v>
      </c>
      <c r="AE16" s="226">
        <f t="shared" si="16"/>
        <v>15</v>
      </c>
      <c r="AF16" s="226">
        <v>400</v>
      </c>
      <c r="AG16" s="229">
        <f t="shared" si="17"/>
        <v>865.97976190476197</v>
      </c>
      <c r="AH16" s="229">
        <f t="shared" si="18"/>
        <v>6562.7788072380954</v>
      </c>
      <c r="AI16" s="231">
        <v>0.04</v>
      </c>
      <c r="AJ16" s="232">
        <f t="shared" si="19"/>
        <v>262.51115228952381</v>
      </c>
      <c r="AK16" s="233">
        <v>0.04</v>
      </c>
      <c r="AL16" s="234">
        <f t="shared" si="20"/>
        <v>399.49954693277095</v>
      </c>
      <c r="AM16" s="231">
        <v>0.01</v>
      </c>
      <c r="AN16" s="232">
        <f t="shared" si="21"/>
        <v>65.627788072380952</v>
      </c>
      <c r="AO16" s="233">
        <v>0.01</v>
      </c>
      <c r="AP16" s="234">
        <f t="shared" si="22"/>
        <v>99.874886733192739</v>
      </c>
      <c r="AQ16" s="231">
        <v>0.1</v>
      </c>
      <c r="AR16" s="232">
        <f t="shared" si="23"/>
        <v>656.27788072380963</v>
      </c>
      <c r="AS16" s="233">
        <v>0.1</v>
      </c>
      <c r="AT16" s="234">
        <f t="shared" si="24"/>
        <v>998.7488673319275</v>
      </c>
      <c r="AU16" s="231">
        <v>0.15640000000000001</v>
      </c>
      <c r="AV16" s="232">
        <f t="shared" si="25"/>
        <v>1479.8422800634921</v>
      </c>
      <c r="AW16" s="233">
        <v>0.19289999999999999</v>
      </c>
      <c r="AX16" s="234">
        <f t="shared" si="26"/>
        <v>1926.586565083288</v>
      </c>
      <c r="AY16" s="235">
        <f t="shared" si="27"/>
        <v>9461.9071615312787</v>
      </c>
      <c r="AZ16" s="234">
        <f t="shared" si="28"/>
        <v>9987.4886733192743</v>
      </c>
      <c r="BA16" s="395">
        <f t="shared" si="32"/>
        <v>3521.3046650439333</v>
      </c>
    </row>
    <row r="17" spans="1:53" x14ac:dyDescent="0.25">
      <c r="A17" s="245">
        <f t="shared" si="29"/>
        <v>7436.3899202121884</v>
      </c>
      <c r="B17" s="220" t="str">
        <f>IF(Helexia!C17=0,"",Helexia!C17)</f>
        <v>Alex Rocha Pacheco</v>
      </c>
      <c r="C17" s="221" t="str">
        <f>IF(Helexia!G17=0,"",Helexia!G17)</f>
        <v>CLT</v>
      </c>
      <c r="D17" s="226">
        <v>1550</v>
      </c>
      <c r="E17" s="222"/>
      <c r="G17" s="224"/>
      <c r="I17" s="226"/>
      <c r="J17" s="227"/>
      <c r="K17" s="228">
        <f t="shared" si="30"/>
        <v>1550</v>
      </c>
      <c r="L17" s="243">
        <f t="shared" si="0"/>
        <v>465</v>
      </c>
      <c r="M17" s="229">
        <f t="shared" si="1"/>
        <v>2015</v>
      </c>
      <c r="N17" s="229">
        <f t="shared" si="2"/>
        <v>711.29499999999996</v>
      </c>
      <c r="O17" s="229">
        <f t="shared" si="3"/>
        <v>223.86649999999997</v>
      </c>
      <c r="P17" s="226">
        <f t="shared" si="4"/>
        <v>167.84950000000001</v>
      </c>
      <c r="Q17" s="229">
        <f t="shared" si="5"/>
        <v>138.27574799999999</v>
      </c>
      <c r="R17" s="229">
        <f t="shared" si="6"/>
        <v>167.91666666666666</v>
      </c>
      <c r="S17" s="229">
        <f t="shared" si="7"/>
        <v>96.268640000000005</v>
      </c>
      <c r="T17" s="226">
        <v>500</v>
      </c>
      <c r="U17" s="226">
        <v>0</v>
      </c>
      <c r="V17" s="229">
        <f t="shared" si="31"/>
        <v>2005.4720546666667</v>
      </c>
      <c r="W17" s="226">
        <f t="shared" si="8"/>
        <v>20.833333333333332</v>
      </c>
      <c r="X17" s="226">
        <f t="shared" si="9"/>
        <v>20.833333333333332</v>
      </c>
      <c r="Y17" s="226">
        <f t="shared" si="10"/>
        <v>18.75</v>
      </c>
      <c r="Z17" s="226">
        <f t="shared" si="11"/>
        <v>3.5714285714285716</v>
      </c>
      <c r="AA17" s="226">
        <f t="shared" si="12"/>
        <v>82.408333333333317</v>
      </c>
      <c r="AB17" s="226">
        <f t="shared" si="13"/>
        <v>87.916666666666657</v>
      </c>
      <c r="AC17" s="230">
        <f t="shared" si="14"/>
        <v>150</v>
      </c>
      <c r="AD17" s="226">
        <f t="shared" si="15"/>
        <v>66.666666666666671</v>
      </c>
      <c r="AE17" s="226">
        <f t="shared" si="16"/>
        <v>15</v>
      </c>
      <c r="AF17" s="226">
        <v>400</v>
      </c>
      <c r="AG17" s="229">
        <f t="shared" si="17"/>
        <v>865.97976190476197</v>
      </c>
      <c r="AH17" s="229">
        <f t="shared" si="18"/>
        <v>4886.4518165714289</v>
      </c>
      <c r="AI17" s="231">
        <v>0.04</v>
      </c>
      <c r="AJ17" s="232">
        <f t="shared" si="19"/>
        <v>195.45807266285715</v>
      </c>
      <c r="AK17" s="233">
        <v>0.04</v>
      </c>
      <c r="AL17" s="234">
        <f t="shared" si="20"/>
        <v>297.45559680848754</v>
      </c>
      <c r="AM17" s="231">
        <v>0.01</v>
      </c>
      <c r="AN17" s="232">
        <f t="shared" si="21"/>
        <v>48.864518165714287</v>
      </c>
      <c r="AO17" s="233">
        <v>0.01</v>
      </c>
      <c r="AP17" s="234">
        <f t="shared" si="22"/>
        <v>74.363899202121885</v>
      </c>
      <c r="AQ17" s="231">
        <v>0.1</v>
      </c>
      <c r="AR17" s="232">
        <f t="shared" si="23"/>
        <v>488.64518165714293</v>
      </c>
      <c r="AS17" s="233">
        <v>0.1</v>
      </c>
      <c r="AT17" s="234">
        <f t="shared" si="24"/>
        <v>743.63899202121888</v>
      </c>
      <c r="AU17" s="231">
        <v>0.15640000000000001</v>
      </c>
      <c r="AV17" s="232">
        <f t="shared" si="25"/>
        <v>1101.8469782464988</v>
      </c>
      <c r="AW17" s="233">
        <v>0.19289999999999999</v>
      </c>
      <c r="AX17" s="234">
        <f t="shared" si="26"/>
        <v>1434.479615608931</v>
      </c>
      <c r="AY17" s="235">
        <f t="shared" si="27"/>
        <v>7045.0574056681498</v>
      </c>
      <c r="AZ17" s="234">
        <f t="shared" si="28"/>
        <v>7436.3899202121884</v>
      </c>
      <c r="BA17" s="395">
        <f t="shared" si="32"/>
        <v>2662.7655024498245</v>
      </c>
    </row>
    <row r="18" spans="1:53" x14ac:dyDescent="0.25">
      <c r="A18" s="245">
        <f t="shared" si="29"/>
        <v>8203.5401422991363</v>
      </c>
      <c r="B18" s="248" t="str">
        <f>IF(Helexia!C18=0,"",Helexia!C18)</f>
        <v>Eduardo Tavares Montenegro</v>
      </c>
      <c r="C18" s="221" t="str">
        <f>IF(Helexia!G18=0,"",Helexia!G18)</f>
        <v>CLT</v>
      </c>
      <c r="D18" s="226">
        <v>1860</v>
      </c>
      <c r="E18" s="222"/>
      <c r="G18" s="224"/>
      <c r="I18" s="226"/>
      <c r="J18" s="227"/>
      <c r="K18" s="228">
        <f t="shared" si="30"/>
        <v>1860</v>
      </c>
      <c r="L18" s="243">
        <f t="shared" si="0"/>
        <v>558</v>
      </c>
      <c r="M18" s="229">
        <f t="shared" si="1"/>
        <v>2418</v>
      </c>
      <c r="N18" s="229">
        <f t="shared" si="2"/>
        <v>853.55399999999997</v>
      </c>
      <c r="O18" s="229">
        <f t="shared" si="3"/>
        <v>268.63979999999998</v>
      </c>
      <c r="P18" s="226">
        <f t="shared" si="4"/>
        <v>201.4194</v>
      </c>
      <c r="Q18" s="229">
        <f t="shared" si="5"/>
        <v>165.93089759999998</v>
      </c>
      <c r="R18" s="229">
        <f t="shared" si="6"/>
        <v>201.5</v>
      </c>
      <c r="S18" s="229">
        <f t="shared" si="7"/>
        <v>115.52236799999999</v>
      </c>
      <c r="T18" s="226">
        <v>300</v>
      </c>
      <c r="U18" s="226">
        <v>0</v>
      </c>
      <c r="V18" s="229">
        <f t="shared" si="31"/>
        <v>2106.5664655999999</v>
      </c>
      <c r="W18" s="226">
        <f t="shared" si="8"/>
        <v>20.833333333333332</v>
      </c>
      <c r="X18" s="226">
        <f t="shared" si="9"/>
        <v>20.833333333333332</v>
      </c>
      <c r="Y18" s="226">
        <f t="shared" si="10"/>
        <v>18.75</v>
      </c>
      <c r="Z18" s="226">
        <f t="shared" si="11"/>
        <v>3.5714285714285716</v>
      </c>
      <c r="AA18" s="226">
        <f t="shared" si="12"/>
        <v>82.408333333333317</v>
      </c>
      <c r="AB18" s="226">
        <f t="shared" si="13"/>
        <v>87.916666666666657</v>
      </c>
      <c r="AC18" s="230">
        <f t="shared" si="14"/>
        <v>150</v>
      </c>
      <c r="AD18" s="226">
        <f t="shared" si="15"/>
        <v>66.666666666666671</v>
      </c>
      <c r="AE18" s="226">
        <f t="shared" si="16"/>
        <v>15</v>
      </c>
      <c r="AF18" s="226">
        <v>400</v>
      </c>
      <c r="AG18" s="229">
        <f t="shared" si="17"/>
        <v>865.97976190476197</v>
      </c>
      <c r="AH18" s="229">
        <f t="shared" si="18"/>
        <v>5390.5462275047621</v>
      </c>
      <c r="AI18" s="231">
        <v>0.04</v>
      </c>
      <c r="AJ18" s="232">
        <f t="shared" si="19"/>
        <v>215.6218491001905</v>
      </c>
      <c r="AK18" s="233">
        <v>0.04</v>
      </c>
      <c r="AL18" s="234">
        <f t="shared" si="20"/>
        <v>328.14160569196548</v>
      </c>
      <c r="AM18" s="231">
        <v>0.01</v>
      </c>
      <c r="AN18" s="232">
        <f t="shared" si="21"/>
        <v>53.905462275047626</v>
      </c>
      <c r="AO18" s="233">
        <v>0.01</v>
      </c>
      <c r="AP18" s="234">
        <f t="shared" si="22"/>
        <v>82.03540142299137</v>
      </c>
      <c r="AQ18" s="231">
        <v>0.1</v>
      </c>
      <c r="AR18" s="232">
        <f t="shared" si="23"/>
        <v>539.05462275047626</v>
      </c>
      <c r="AS18" s="233">
        <v>0.1</v>
      </c>
      <c r="AT18" s="234">
        <f t="shared" si="24"/>
        <v>820.35401422991367</v>
      </c>
      <c r="AU18" s="231">
        <v>0.15640000000000001</v>
      </c>
      <c r="AV18" s="232">
        <f t="shared" si="25"/>
        <v>1215.5153258098976</v>
      </c>
      <c r="AW18" s="233">
        <v>0.19289999999999999</v>
      </c>
      <c r="AX18" s="234">
        <f t="shared" si="26"/>
        <v>1582.4628934495033</v>
      </c>
      <c r="AY18" s="235">
        <f t="shared" si="27"/>
        <v>7771.8371215466586</v>
      </c>
      <c r="AZ18" s="234">
        <f t="shared" si="28"/>
        <v>8203.5401422991363</v>
      </c>
      <c r="BA18" s="395">
        <f t="shared" si="32"/>
        <v>3072.2226415331684</v>
      </c>
    </row>
    <row r="19" spans="1:53" x14ac:dyDescent="0.25">
      <c r="A19" s="245">
        <f t="shared" si="29"/>
        <v>9572.7075514200187</v>
      </c>
      <c r="B19" s="220" t="str">
        <f>IF(Helexia!C19=0,"",Helexia!C19)</f>
        <v>Bianca Lacerda Fontes</v>
      </c>
      <c r="C19" s="221" t="str">
        <f>IF(Helexia!G19=0,"",Helexia!G19)</f>
        <v>CLT</v>
      </c>
      <c r="D19" s="226">
        <v>2080</v>
      </c>
      <c r="E19" s="222"/>
      <c r="G19" s="224"/>
      <c r="I19" s="226"/>
      <c r="J19" s="227"/>
      <c r="K19" s="228">
        <f t="shared" si="30"/>
        <v>2080</v>
      </c>
      <c r="L19" s="243">
        <f t="shared" si="0"/>
        <v>624</v>
      </c>
      <c r="M19" s="229">
        <f t="shared" si="1"/>
        <v>2704</v>
      </c>
      <c r="N19" s="229">
        <f t="shared" si="2"/>
        <v>954.51199999999994</v>
      </c>
      <c r="O19" s="229">
        <f t="shared" si="3"/>
        <v>300.4144</v>
      </c>
      <c r="P19" s="226">
        <f t="shared" si="4"/>
        <v>225.2432</v>
      </c>
      <c r="Q19" s="229">
        <f t="shared" si="5"/>
        <v>185.55713279999998</v>
      </c>
      <c r="R19" s="229">
        <f t="shared" si="6"/>
        <v>225.33333333333334</v>
      </c>
      <c r="S19" s="229">
        <f t="shared" si="7"/>
        <v>129.18630400000001</v>
      </c>
      <c r="T19" s="226">
        <v>700</v>
      </c>
      <c r="U19" s="226">
        <v>0</v>
      </c>
      <c r="V19" s="229">
        <f t="shared" si="31"/>
        <v>2720.2463701333331</v>
      </c>
      <c r="W19" s="226">
        <f t="shared" si="8"/>
        <v>20.833333333333332</v>
      </c>
      <c r="X19" s="226">
        <f t="shared" si="9"/>
        <v>20.833333333333332</v>
      </c>
      <c r="Y19" s="226">
        <f t="shared" si="10"/>
        <v>18.75</v>
      </c>
      <c r="Z19" s="226">
        <f t="shared" si="11"/>
        <v>3.5714285714285716</v>
      </c>
      <c r="AA19" s="226">
        <f t="shared" si="12"/>
        <v>82.408333333333317</v>
      </c>
      <c r="AB19" s="226">
        <f t="shared" si="13"/>
        <v>87.916666666666657</v>
      </c>
      <c r="AC19" s="230">
        <f t="shared" si="14"/>
        <v>150</v>
      </c>
      <c r="AD19" s="226">
        <f t="shared" si="15"/>
        <v>66.666666666666671</v>
      </c>
      <c r="AE19" s="226">
        <f t="shared" si="16"/>
        <v>15</v>
      </c>
      <c r="AF19" s="226">
        <v>400</v>
      </c>
      <c r="AG19" s="229">
        <f t="shared" si="17"/>
        <v>865.97976190476197</v>
      </c>
      <c r="AH19" s="229">
        <f t="shared" si="18"/>
        <v>6290.2261320380949</v>
      </c>
      <c r="AI19" s="231">
        <v>0.04</v>
      </c>
      <c r="AJ19" s="232">
        <f t="shared" si="19"/>
        <v>251.60904528152381</v>
      </c>
      <c r="AK19" s="233">
        <v>0.04</v>
      </c>
      <c r="AL19" s="234">
        <f t="shared" si="20"/>
        <v>382.90830205680078</v>
      </c>
      <c r="AM19" s="231">
        <v>0.01</v>
      </c>
      <c r="AN19" s="232">
        <f t="shared" si="21"/>
        <v>62.902261320380951</v>
      </c>
      <c r="AO19" s="233">
        <v>0.01</v>
      </c>
      <c r="AP19" s="234">
        <f t="shared" si="22"/>
        <v>95.727075514200195</v>
      </c>
      <c r="AQ19" s="231">
        <v>0.1</v>
      </c>
      <c r="AR19" s="232">
        <f t="shared" si="23"/>
        <v>629.02261320380956</v>
      </c>
      <c r="AS19" s="233">
        <v>0.1</v>
      </c>
      <c r="AT19" s="234">
        <f t="shared" si="24"/>
        <v>957.27075514200192</v>
      </c>
      <c r="AU19" s="231">
        <v>0.15640000000000001</v>
      </c>
      <c r="AV19" s="232">
        <f t="shared" si="25"/>
        <v>1418.3843238909433</v>
      </c>
      <c r="AW19" s="233">
        <v>0.19289999999999999</v>
      </c>
      <c r="AX19" s="234">
        <f t="shared" si="26"/>
        <v>1846.5752866689215</v>
      </c>
      <c r="AY19" s="235">
        <f t="shared" si="27"/>
        <v>9068.9534775635748</v>
      </c>
      <c r="AZ19" s="234">
        <f t="shared" si="28"/>
        <v>9572.7075514200187</v>
      </c>
      <c r="BA19" s="395">
        <f t="shared" si="32"/>
        <v>3362.8051273342512</v>
      </c>
    </row>
    <row r="20" spans="1:53" x14ac:dyDescent="0.25">
      <c r="A20" s="245">
        <f t="shared" si="29"/>
        <v>12490.488575678122</v>
      </c>
      <c r="B20" s="248" t="str">
        <f>IF(Helexia!C20=0,"",Helexia!C20)</f>
        <v>Samuel Torres Maciel</v>
      </c>
      <c r="C20" s="221" t="str">
        <f>IF(Helexia!G20=0,"",Helexia!G20)</f>
        <v>CLT</v>
      </c>
      <c r="D20" s="226">
        <v>2704</v>
      </c>
      <c r="E20" s="222"/>
      <c r="G20" s="224"/>
      <c r="I20" s="226"/>
      <c r="J20" s="227"/>
      <c r="K20" s="228">
        <f t="shared" si="30"/>
        <v>2704</v>
      </c>
      <c r="L20" s="243">
        <f t="shared" si="0"/>
        <v>811.19999999999993</v>
      </c>
      <c r="M20" s="229">
        <f t="shared" si="1"/>
        <v>3515.2</v>
      </c>
      <c r="N20" s="229">
        <f t="shared" si="2"/>
        <v>1240.8655999999999</v>
      </c>
      <c r="O20" s="229">
        <f t="shared" si="3"/>
        <v>390.53871999999996</v>
      </c>
      <c r="P20" s="226">
        <f t="shared" si="4"/>
        <v>292.81615999999997</v>
      </c>
      <c r="Q20" s="229">
        <f t="shared" si="5"/>
        <v>241.22427263999995</v>
      </c>
      <c r="R20" s="229">
        <f t="shared" si="6"/>
        <v>292.93333333333334</v>
      </c>
      <c r="S20" s="229">
        <f t="shared" si="7"/>
        <v>167.94219519999999</v>
      </c>
      <c r="T20" s="226">
        <v>1200</v>
      </c>
      <c r="U20" s="226">
        <v>0</v>
      </c>
      <c r="V20" s="229">
        <f t="shared" si="31"/>
        <v>3826.3202811733331</v>
      </c>
      <c r="W20" s="226">
        <f t="shared" si="8"/>
        <v>20.833333333333332</v>
      </c>
      <c r="X20" s="226">
        <f t="shared" si="9"/>
        <v>20.833333333333332</v>
      </c>
      <c r="Y20" s="226">
        <f t="shared" si="10"/>
        <v>18.75</v>
      </c>
      <c r="Z20" s="226">
        <f t="shared" si="11"/>
        <v>3.5714285714285716</v>
      </c>
      <c r="AA20" s="226">
        <f t="shared" si="12"/>
        <v>82.408333333333317</v>
      </c>
      <c r="AB20" s="226">
        <f t="shared" si="13"/>
        <v>87.916666666666657</v>
      </c>
      <c r="AC20" s="230">
        <f t="shared" si="14"/>
        <v>150</v>
      </c>
      <c r="AD20" s="226">
        <f t="shared" si="15"/>
        <v>66.666666666666671</v>
      </c>
      <c r="AE20" s="226">
        <f t="shared" si="16"/>
        <v>15</v>
      </c>
      <c r="AF20" s="226">
        <v>400</v>
      </c>
      <c r="AG20" s="229">
        <f t="shared" si="17"/>
        <v>865.97976190476197</v>
      </c>
      <c r="AH20" s="229">
        <f t="shared" si="18"/>
        <v>8207.5000430780947</v>
      </c>
      <c r="AI20" s="231">
        <v>0.04</v>
      </c>
      <c r="AJ20" s="232">
        <f t="shared" si="19"/>
        <v>328.30000172312378</v>
      </c>
      <c r="AK20" s="233">
        <v>0.04</v>
      </c>
      <c r="AL20" s="234">
        <f t="shared" si="20"/>
        <v>499.61954302712491</v>
      </c>
      <c r="AM20" s="231">
        <v>0.01</v>
      </c>
      <c r="AN20" s="232">
        <f t="shared" si="21"/>
        <v>82.075000430780946</v>
      </c>
      <c r="AO20" s="233">
        <v>0.01</v>
      </c>
      <c r="AP20" s="234">
        <f t="shared" si="22"/>
        <v>124.90488575678123</v>
      </c>
      <c r="AQ20" s="231">
        <v>0.1</v>
      </c>
      <c r="AR20" s="232">
        <f t="shared" si="23"/>
        <v>820.75000430780949</v>
      </c>
      <c r="AS20" s="233">
        <v>0.1</v>
      </c>
      <c r="AT20" s="234">
        <f t="shared" si="24"/>
        <v>1249.0488575678123</v>
      </c>
      <c r="AU20" s="231">
        <v>0.15640000000000001</v>
      </c>
      <c r="AV20" s="232">
        <f t="shared" si="25"/>
        <v>1850.7107940274138</v>
      </c>
      <c r="AW20" s="233">
        <v>0.19289999999999999</v>
      </c>
      <c r="AX20" s="234">
        <f t="shared" si="26"/>
        <v>2409.4152462483098</v>
      </c>
      <c r="AY20" s="235">
        <f t="shared" si="27"/>
        <v>11833.189220124128</v>
      </c>
      <c r="AZ20" s="234">
        <f t="shared" si="28"/>
        <v>12490.488575678122</v>
      </c>
      <c r="BA20" s="395">
        <f t="shared" si="32"/>
        <v>4187.0027234245963</v>
      </c>
    </row>
    <row r="21" spans="1:53" x14ac:dyDescent="0.25">
      <c r="A21" s="245">
        <f t="shared" si="29"/>
        <v>8203.5401422991363</v>
      </c>
      <c r="B21" s="220" t="str">
        <f>IF(Helexia!C21=0,"",Helexia!C21)</f>
        <v>Priscila Azevedo Goulart</v>
      </c>
      <c r="C21" s="221" t="str">
        <f>IF(Helexia!G21=0,"",Helexia!G21)</f>
        <v>CLT</v>
      </c>
      <c r="D21" s="226">
        <v>1860</v>
      </c>
      <c r="E21" s="222"/>
      <c r="G21" s="224"/>
      <c r="I21" s="226"/>
      <c r="J21" s="227"/>
      <c r="K21" s="228">
        <f t="shared" si="30"/>
        <v>1860</v>
      </c>
      <c r="L21" s="243">
        <f t="shared" si="0"/>
        <v>558</v>
      </c>
      <c r="M21" s="229">
        <f t="shared" si="1"/>
        <v>2418</v>
      </c>
      <c r="N21" s="229">
        <f t="shared" si="2"/>
        <v>853.55399999999997</v>
      </c>
      <c r="O21" s="229">
        <f t="shared" si="3"/>
        <v>268.63979999999998</v>
      </c>
      <c r="P21" s="226">
        <f t="shared" si="4"/>
        <v>201.4194</v>
      </c>
      <c r="Q21" s="229">
        <f t="shared" si="5"/>
        <v>165.93089759999998</v>
      </c>
      <c r="R21" s="229">
        <f t="shared" si="6"/>
        <v>201.5</v>
      </c>
      <c r="S21" s="229">
        <f t="shared" si="7"/>
        <v>115.52236799999999</v>
      </c>
      <c r="T21" s="226">
        <v>300</v>
      </c>
      <c r="U21" s="226">
        <v>0</v>
      </c>
      <c r="V21" s="229">
        <f t="shared" si="31"/>
        <v>2106.5664655999999</v>
      </c>
      <c r="W21" s="226">
        <f t="shared" si="8"/>
        <v>20.833333333333332</v>
      </c>
      <c r="X21" s="226">
        <f t="shared" si="9"/>
        <v>20.833333333333332</v>
      </c>
      <c r="Y21" s="226">
        <f t="shared" si="10"/>
        <v>18.75</v>
      </c>
      <c r="Z21" s="226">
        <f t="shared" si="11"/>
        <v>3.5714285714285716</v>
      </c>
      <c r="AA21" s="226">
        <f t="shared" si="12"/>
        <v>82.408333333333317</v>
      </c>
      <c r="AB21" s="226">
        <f t="shared" si="13"/>
        <v>87.916666666666657</v>
      </c>
      <c r="AC21" s="230">
        <f t="shared" si="14"/>
        <v>150</v>
      </c>
      <c r="AD21" s="226">
        <f t="shared" si="15"/>
        <v>66.666666666666671</v>
      </c>
      <c r="AE21" s="226">
        <f t="shared" si="16"/>
        <v>15</v>
      </c>
      <c r="AF21" s="226">
        <v>400</v>
      </c>
      <c r="AG21" s="229">
        <f t="shared" si="17"/>
        <v>865.97976190476197</v>
      </c>
      <c r="AH21" s="229">
        <f t="shared" si="18"/>
        <v>5390.5462275047621</v>
      </c>
      <c r="AI21" s="231">
        <v>0.04</v>
      </c>
      <c r="AJ21" s="232">
        <f t="shared" si="19"/>
        <v>215.6218491001905</v>
      </c>
      <c r="AK21" s="233">
        <v>0.04</v>
      </c>
      <c r="AL21" s="234">
        <f t="shared" si="20"/>
        <v>328.14160569196548</v>
      </c>
      <c r="AM21" s="231">
        <v>0.01</v>
      </c>
      <c r="AN21" s="232">
        <f t="shared" si="21"/>
        <v>53.905462275047626</v>
      </c>
      <c r="AO21" s="233">
        <v>0.01</v>
      </c>
      <c r="AP21" s="234">
        <f t="shared" si="22"/>
        <v>82.03540142299137</v>
      </c>
      <c r="AQ21" s="231">
        <v>0.1</v>
      </c>
      <c r="AR21" s="232">
        <f t="shared" si="23"/>
        <v>539.05462275047626</v>
      </c>
      <c r="AS21" s="233">
        <v>0.1</v>
      </c>
      <c r="AT21" s="234">
        <f t="shared" si="24"/>
        <v>820.35401422991367</v>
      </c>
      <c r="AU21" s="231">
        <v>0.15640000000000001</v>
      </c>
      <c r="AV21" s="232">
        <f t="shared" si="25"/>
        <v>1215.5153258098976</v>
      </c>
      <c r="AW21" s="233">
        <v>0.19289999999999999</v>
      </c>
      <c r="AX21" s="234">
        <f t="shared" si="26"/>
        <v>1582.4628934495033</v>
      </c>
      <c r="AY21" s="235">
        <f t="shared" si="27"/>
        <v>7771.8371215466586</v>
      </c>
      <c r="AZ21" s="234">
        <f t="shared" si="28"/>
        <v>8203.5401422991363</v>
      </c>
      <c r="BA21" s="395">
        <f t="shared" si="32"/>
        <v>3072.2226415331684</v>
      </c>
    </row>
    <row r="22" spans="1:53" x14ac:dyDescent="0.25">
      <c r="A22" s="245">
        <f t="shared" si="29"/>
        <v>8618.7109710517343</v>
      </c>
      <c r="B22" s="248" t="str">
        <f>IF(Helexia!C22=0,"",Helexia!C22)</f>
        <v>Henrique Vidal Soares</v>
      </c>
      <c r="C22" s="221" t="str">
        <f>IF(Helexia!G22=0,"",Helexia!G22)</f>
        <v>CLT</v>
      </c>
      <c r="D22" s="226">
        <v>1804</v>
      </c>
      <c r="E22" s="222"/>
      <c r="I22" s="226"/>
      <c r="J22" s="227"/>
      <c r="K22" s="228">
        <f t="shared" si="30"/>
        <v>1804</v>
      </c>
      <c r="L22" s="243">
        <f t="shared" si="0"/>
        <v>541.19999999999993</v>
      </c>
      <c r="M22" s="229">
        <f t="shared" si="1"/>
        <v>2345.1999999999998</v>
      </c>
      <c r="N22" s="229">
        <f t="shared" si="2"/>
        <v>827.85559999999987</v>
      </c>
      <c r="O22" s="229">
        <f t="shared" si="3"/>
        <v>260.55171999999993</v>
      </c>
      <c r="P22" s="226">
        <f t="shared" si="4"/>
        <v>195.35515999999998</v>
      </c>
      <c r="Q22" s="229">
        <f t="shared" si="5"/>
        <v>160.93512863999996</v>
      </c>
      <c r="R22" s="229">
        <f t="shared" si="6"/>
        <v>195.43333333333331</v>
      </c>
      <c r="S22" s="229">
        <f t="shared" si="7"/>
        <v>112.0442752</v>
      </c>
      <c r="T22" s="226">
        <v>700</v>
      </c>
      <c r="U22" s="226">
        <v>0</v>
      </c>
      <c r="V22" s="229">
        <f t="shared" si="31"/>
        <v>2452.1752171733333</v>
      </c>
      <c r="W22" s="226">
        <f t="shared" si="8"/>
        <v>20.833333333333332</v>
      </c>
      <c r="X22" s="226">
        <f t="shared" si="9"/>
        <v>20.833333333333332</v>
      </c>
      <c r="Y22" s="226">
        <f t="shared" si="10"/>
        <v>18.75</v>
      </c>
      <c r="Z22" s="226">
        <f t="shared" si="11"/>
        <v>3.5714285714285716</v>
      </c>
      <c r="AA22" s="226">
        <f t="shared" si="12"/>
        <v>82.408333333333317</v>
      </c>
      <c r="AB22" s="226">
        <f t="shared" si="13"/>
        <v>87.916666666666657</v>
      </c>
      <c r="AC22" s="230">
        <f t="shared" si="14"/>
        <v>150</v>
      </c>
      <c r="AD22" s="226">
        <f t="shared" si="15"/>
        <v>66.666666666666671</v>
      </c>
      <c r="AE22" s="226">
        <f t="shared" si="16"/>
        <v>15</v>
      </c>
      <c r="AF22" s="226">
        <v>400</v>
      </c>
      <c r="AG22" s="229">
        <f t="shared" si="17"/>
        <v>865.97976190476197</v>
      </c>
      <c r="AH22" s="229">
        <f t="shared" si="18"/>
        <v>5663.3549790780953</v>
      </c>
      <c r="AI22" s="231">
        <v>0.04</v>
      </c>
      <c r="AJ22" s="232">
        <f t="shared" si="19"/>
        <v>226.53419916312382</v>
      </c>
      <c r="AK22" s="233">
        <v>0.04</v>
      </c>
      <c r="AL22" s="234">
        <f t="shared" si="20"/>
        <v>344.74843884206939</v>
      </c>
      <c r="AM22" s="231">
        <v>0.01</v>
      </c>
      <c r="AN22" s="232">
        <f t="shared" si="21"/>
        <v>56.633549790780954</v>
      </c>
      <c r="AO22" s="233">
        <v>0.01</v>
      </c>
      <c r="AP22" s="234">
        <f t="shared" si="22"/>
        <v>86.187109710517348</v>
      </c>
      <c r="AQ22" s="231">
        <v>0.1</v>
      </c>
      <c r="AR22" s="232">
        <f t="shared" si="23"/>
        <v>566.33549790780955</v>
      </c>
      <c r="AS22" s="233">
        <v>0.1</v>
      </c>
      <c r="AT22" s="234">
        <f t="shared" si="24"/>
        <v>861.87109710517348</v>
      </c>
      <c r="AU22" s="231">
        <v>0.15640000000000001</v>
      </c>
      <c r="AV22" s="232">
        <f t="shared" si="25"/>
        <v>1277.0310246940803</v>
      </c>
      <c r="AW22" s="233">
        <v>0.19289999999999999</v>
      </c>
      <c r="AX22" s="234">
        <f t="shared" si="26"/>
        <v>1662.5493463158793</v>
      </c>
      <c r="AY22" s="235">
        <f t="shared" si="27"/>
        <v>8165.1600044378538</v>
      </c>
      <c r="AZ22" s="234">
        <f t="shared" si="28"/>
        <v>8618.7109710517343</v>
      </c>
      <c r="BA22" s="395">
        <f t="shared" si="32"/>
        <v>2998.2561906019837</v>
      </c>
    </row>
    <row r="23" spans="1:53" x14ac:dyDescent="0.25">
      <c r="A23" s="245">
        <f t="shared" si="29"/>
        <v>7021.4139448862607</v>
      </c>
      <c r="B23" s="220" t="str">
        <f>IF(Helexia!C23=0,"",Helexia!C23)</f>
        <v>André Luiz Falcão Duarte</v>
      </c>
      <c r="C23" s="221" t="str">
        <f>IF(Helexia!G23=0,"",Helexia!G23)</f>
        <v>CLT</v>
      </c>
      <c r="D23" s="226">
        <v>1518</v>
      </c>
      <c r="E23" s="222"/>
      <c r="I23" s="226"/>
      <c r="J23" s="227"/>
      <c r="K23" s="228">
        <f t="shared" si="30"/>
        <v>1518</v>
      </c>
      <c r="L23" s="243">
        <f t="shared" si="0"/>
        <v>455.4</v>
      </c>
      <c r="M23" s="229">
        <f t="shared" si="1"/>
        <v>1973.4</v>
      </c>
      <c r="N23" s="229">
        <f t="shared" si="2"/>
        <v>696.61019999999996</v>
      </c>
      <c r="O23" s="229">
        <f t="shared" si="3"/>
        <v>219.24473999999998</v>
      </c>
      <c r="P23" s="226">
        <f t="shared" si="4"/>
        <v>164.38422</v>
      </c>
      <c r="Q23" s="229">
        <f t="shared" si="5"/>
        <v>135.42102287999998</v>
      </c>
      <c r="R23" s="229">
        <f t="shared" si="6"/>
        <v>164.45000000000002</v>
      </c>
      <c r="S23" s="229">
        <f t="shared" si="7"/>
        <v>94.28115840000001</v>
      </c>
      <c r="T23" s="226">
        <v>300</v>
      </c>
      <c r="U23" s="226">
        <v>0</v>
      </c>
      <c r="V23" s="229">
        <f t="shared" si="31"/>
        <v>1774.39134128</v>
      </c>
      <c r="W23" s="226">
        <f t="shared" si="8"/>
        <v>20.833333333333332</v>
      </c>
      <c r="X23" s="226">
        <f t="shared" si="9"/>
        <v>20.833333333333332</v>
      </c>
      <c r="Y23" s="226">
        <f t="shared" si="10"/>
        <v>18.75</v>
      </c>
      <c r="Z23" s="226">
        <f t="shared" si="11"/>
        <v>3.5714285714285716</v>
      </c>
      <c r="AA23" s="226">
        <f t="shared" si="12"/>
        <v>82.408333333333317</v>
      </c>
      <c r="AB23" s="226">
        <f t="shared" si="13"/>
        <v>87.916666666666657</v>
      </c>
      <c r="AC23" s="230">
        <f t="shared" si="14"/>
        <v>150</v>
      </c>
      <c r="AD23" s="226">
        <f t="shared" si="15"/>
        <v>66.666666666666671</v>
      </c>
      <c r="AE23" s="226">
        <f t="shared" si="16"/>
        <v>15</v>
      </c>
      <c r="AF23" s="226">
        <v>400</v>
      </c>
      <c r="AG23" s="229">
        <f t="shared" si="17"/>
        <v>865.97976190476197</v>
      </c>
      <c r="AH23" s="229">
        <f t="shared" si="18"/>
        <v>4613.7711031847621</v>
      </c>
      <c r="AI23" s="231">
        <v>0.04</v>
      </c>
      <c r="AJ23" s="232">
        <f t="shared" si="19"/>
        <v>184.55084412739049</v>
      </c>
      <c r="AK23" s="233">
        <v>0.04</v>
      </c>
      <c r="AL23" s="234">
        <f t="shared" si="20"/>
        <v>280.85655779545044</v>
      </c>
      <c r="AM23" s="231">
        <v>0.01</v>
      </c>
      <c r="AN23" s="232">
        <f t="shared" si="21"/>
        <v>46.137711031847623</v>
      </c>
      <c r="AO23" s="233">
        <v>0.01</v>
      </c>
      <c r="AP23" s="234">
        <f t="shared" si="22"/>
        <v>70.21413944886261</v>
      </c>
      <c r="AQ23" s="231">
        <v>0.1</v>
      </c>
      <c r="AR23" s="232">
        <f t="shared" si="23"/>
        <v>461.37711031847624</v>
      </c>
      <c r="AS23" s="233">
        <v>0.1</v>
      </c>
      <c r="AT23" s="234">
        <f t="shared" si="24"/>
        <v>702.14139448862613</v>
      </c>
      <c r="AU23" s="231">
        <v>0.15640000000000001</v>
      </c>
      <c r="AV23" s="232">
        <f t="shared" si="25"/>
        <v>1040.3601507181327</v>
      </c>
      <c r="AW23" s="233">
        <v>0.19289999999999999</v>
      </c>
      <c r="AX23" s="234">
        <f t="shared" si="26"/>
        <v>1354.4307499685597</v>
      </c>
      <c r="AY23" s="235">
        <f t="shared" si="27"/>
        <v>6651.9191222386999</v>
      </c>
      <c r="AZ23" s="234">
        <f t="shared" si="28"/>
        <v>7021.4139448862607</v>
      </c>
      <c r="BA23" s="395">
        <f t="shared" si="32"/>
        <v>2620.498959060576</v>
      </c>
    </row>
    <row r="24" spans="1:53" x14ac:dyDescent="0.25">
      <c r="A24" s="245">
        <f t="shared" si="29"/>
        <v>11287.525895456949</v>
      </c>
      <c r="B24" s="248" t="str">
        <f>IF(Helexia!C24=0,"",Helexia!C24)</f>
        <v>Camila Noronha Brito</v>
      </c>
      <c r="C24" s="221" t="str">
        <f>IF(Helexia!G24=0,"",Helexia!G24)</f>
        <v>CLT</v>
      </c>
      <c r="D24" s="226">
        <v>2400</v>
      </c>
      <c r="E24" s="222"/>
      <c r="K24" s="228">
        <f t="shared" si="30"/>
        <v>2400</v>
      </c>
      <c r="L24" s="243">
        <f t="shared" si="0"/>
        <v>720</v>
      </c>
      <c r="M24" s="229">
        <f t="shared" si="1"/>
        <v>3120</v>
      </c>
      <c r="N24" s="229">
        <f t="shared" si="2"/>
        <v>1101.3599999999999</v>
      </c>
      <c r="O24" s="229">
        <f t="shared" si="3"/>
        <v>346.63199999999995</v>
      </c>
      <c r="P24" s="226">
        <f t="shared" si="4"/>
        <v>259.89600000000002</v>
      </c>
      <c r="Q24" s="229">
        <f t="shared" si="5"/>
        <v>214.10438399999998</v>
      </c>
      <c r="R24" s="229">
        <f t="shared" si="6"/>
        <v>260</v>
      </c>
      <c r="S24" s="229">
        <f t="shared" si="7"/>
        <v>149.06112000000002</v>
      </c>
      <c r="T24" s="226">
        <v>1100</v>
      </c>
      <c r="U24" s="226">
        <v>0</v>
      </c>
      <c r="V24" s="229">
        <f t="shared" si="31"/>
        <v>3431.0535039999995</v>
      </c>
      <c r="W24" s="226">
        <f t="shared" si="8"/>
        <v>20.833333333333332</v>
      </c>
      <c r="X24" s="226">
        <f t="shared" si="9"/>
        <v>20.833333333333332</v>
      </c>
      <c r="Y24" s="226">
        <f t="shared" si="10"/>
        <v>18.75</v>
      </c>
      <c r="Z24" s="226">
        <f t="shared" si="11"/>
        <v>3.5714285714285716</v>
      </c>
      <c r="AA24" s="226">
        <f t="shared" si="12"/>
        <v>82.408333333333317</v>
      </c>
      <c r="AB24" s="226">
        <f t="shared" si="13"/>
        <v>87.916666666666657</v>
      </c>
      <c r="AC24" s="230">
        <f t="shared" si="14"/>
        <v>150</v>
      </c>
      <c r="AD24" s="226">
        <f t="shared" si="15"/>
        <v>66.666666666666671</v>
      </c>
      <c r="AE24" s="226">
        <f t="shared" si="16"/>
        <v>15</v>
      </c>
      <c r="AF24" s="226">
        <v>400</v>
      </c>
      <c r="AG24" s="229">
        <f t="shared" si="17"/>
        <v>865.97976190476197</v>
      </c>
      <c r="AH24" s="229">
        <f t="shared" si="18"/>
        <v>7417.0332659047617</v>
      </c>
      <c r="AI24" s="231">
        <v>0.04</v>
      </c>
      <c r="AJ24" s="232">
        <f t="shared" si="19"/>
        <v>296.68133063619047</v>
      </c>
      <c r="AK24" s="233">
        <v>0.04</v>
      </c>
      <c r="AL24" s="234">
        <f t="shared" si="20"/>
        <v>451.50103581827796</v>
      </c>
      <c r="AM24" s="231">
        <v>0.01</v>
      </c>
      <c r="AN24" s="232">
        <f t="shared" si="21"/>
        <v>74.170332659047617</v>
      </c>
      <c r="AO24" s="233">
        <v>0.01</v>
      </c>
      <c r="AP24" s="234">
        <f t="shared" si="22"/>
        <v>112.87525895456949</v>
      </c>
      <c r="AQ24" s="231">
        <v>0.1</v>
      </c>
      <c r="AR24" s="232">
        <f t="shared" si="23"/>
        <v>741.70332659047619</v>
      </c>
      <c r="AS24" s="233">
        <v>0.1</v>
      </c>
      <c r="AT24" s="234">
        <f t="shared" si="24"/>
        <v>1128.7525895456949</v>
      </c>
      <c r="AU24" s="231">
        <v>0.15640000000000001</v>
      </c>
      <c r="AV24" s="232">
        <f t="shared" si="25"/>
        <v>1672.468285449113</v>
      </c>
      <c r="AW24" s="233">
        <v>0.19289999999999999</v>
      </c>
      <c r="AX24" s="234">
        <f t="shared" si="26"/>
        <v>2177.3637452336452</v>
      </c>
      <c r="AY24" s="235">
        <f t="shared" si="27"/>
        <v>10693.531236886911</v>
      </c>
      <c r="AZ24" s="234">
        <f t="shared" si="28"/>
        <v>11287.525895456949</v>
      </c>
      <c r="BA24" s="395">
        <f t="shared" si="32"/>
        <v>3785.4705612267358</v>
      </c>
    </row>
    <row r="25" spans="1:53" x14ac:dyDescent="0.25">
      <c r="A25" s="245">
        <f t="shared" si="29"/>
        <v>9987.4886733192743</v>
      </c>
      <c r="B25" s="220" t="str">
        <f>IF(Helexia!C25=0,"",Helexia!C25)</f>
        <v>João Victor Meireles</v>
      </c>
      <c r="C25" s="221" t="str">
        <f>IF(Helexia!G25=0,"",Helexia!G25)</f>
        <v>CLT</v>
      </c>
      <c r="D25" s="226">
        <v>2200</v>
      </c>
      <c r="K25" s="228">
        <f t="shared" si="30"/>
        <v>2200</v>
      </c>
      <c r="L25" s="243">
        <f t="shared" si="0"/>
        <v>660</v>
      </c>
      <c r="M25" s="229">
        <f t="shared" si="1"/>
        <v>2860</v>
      </c>
      <c r="N25" s="229">
        <f t="shared" si="2"/>
        <v>1009.5799999999999</v>
      </c>
      <c r="O25" s="229">
        <f t="shared" si="3"/>
        <v>317.74599999999998</v>
      </c>
      <c r="P25" s="226">
        <f t="shared" si="4"/>
        <v>238.238</v>
      </c>
      <c r="Q25" s="229">
        <f t="shared" si="5"/>
        <v>196.26235199999996</v>
      </c>
      <c r="R25" s="229">
        <f t="shared" si="6"/>
        <v>238.33333333333334</v>
      </c>
      <c r="S25" s="229">
        <f t="shared" si="7"/>
        <v>136.63936000000001</v>
      </c>
      <c r="T25" s="226">
        <v>700</v>
      </c>
      <c r="U25" s="226">
        <v>0</v>
      </c>
      <c r="V25" s="229">
        <f t="shared" si="31"/>
        <v>2836.7990453333332</v>
      </c>
      <c r="W25" s="226">
        <f t="shared" si="8"/>
        <v>20.833333333333332</v>
      </c>
      <c r="X25" s="226">
        <f t="shared" si="9"/>
        <v>20.833333333333332</v>
      </c>
      <c r="Y25" s="226">
        <f t="shared" si="10"/>
        <v>18.75</v>
      </c>
      <c r="Z25" s="226">
        <f t="shared" si="11"/>
        <v>3.5714285714285716</v>
      </c>
      <c r="AA25" s="226">
        <f t="shared" si="12"/>
        <v>82.408333333333317</v>
      </c>
      <c r="AB25" s="226">
        <f t="shared" si="13"/>
        <v>87.916666666666657</v>
      </c>
      <c r="AC25" s="230">
        <f t="shared" si="14"/>
        <v>150</v>
      </c>
      <c r="AD25" s="226">
        <f t="shared" si="15"/>
        <v>66.666666666666671</v>
      </c>
      <c r="AE25" s="226">
        <f t="shared" si="16"/>
        <v>15</v>
      </c>
      <c r="AF25" s="226">
        <v>400</v>
      </c>
      <c r="AG25" s="229">
        <f t="shared" si="17"/>
        <v>865.97976190476197</v>
      </c>
      <c r="AH25" s="229">
        <f t="shared" si="18"/>
        <v>6562.7788072380954</v>
      </c>
      <c r="AI25" s="231">
        <v>0.04</v>
      </c>
      <c r="AJ25" s="232">
        <f t="shared" si="19"/>
        <v>262.51115228952381</v>
      </c>
      <c r="AK25" s="233">
        <v>0.04</v>
      </c>
      <c r="AL25" s="234">
        <f t="shared" si="20"/>
        <v>399.49954693277095</v>
      </c>
      <c r="AM25" s="231">
        <v>0.01</v>
      </c>
      <c r="AN25" s="232">
        <f t="shared" si="21"/>
        <v>65.627788072380952</v>
      </c>
      <c r="AO25" s="233">
        <v>0.01</v>
      </c>
      <c r="AP25" s="234">
        <f t="shared" si="22"/>
        <v>99.874886733192739</v>
      </c>
      <c r="AQ25" s="231">
        <v>0.1</v>
      </c>
      <c r="AR25" s="232">
        <f t="shared" si="23"/>
        <v>656.27788072380963</v>
      </c>
      <c r="AS25" s="233">
        <v>0.1</v>
      </c>
      <c r="AT25" s="234">
        <f t="shared" si="24"/>
        <v>998.7488673319275</v>
      </c>
      <c r="AU25" s="231">
        <v>0.15640000000000001</v>
      </c>
      <c r="AV25" s="232">
        <f t="shared" si="25"/>
        <v>1479.8422800634921</v>
      </c>
      <c r="AW25" s="233">
        <v>0.19289999999999999</v>
      </c>
      <c r="AX25" s="234">
        <f t="shared" si="26"/>
        <v>1926.586565083288</v>
      </c>
      <c r="AY25" s="235">
        <f t="shared" si="27"/>
        <v>9461.9071615312787</v>
      </c>
      <c r="AZ25" s="234">
        <f t="shared" si="28"/>
        <v>9987.4886733192743</v>
      </c>
      <c r="BA25" s="395">
        <f t="shared" si="32"/>
        <v>3521.3046650439333</v>
      </c>
    </row>
    <row r="26" spans="1:53" x14ac:dyDescent="0.25">
      <c r="A26" s="245">
        <f t="shared" si="29"/>
        <v>8009.9756187461498</v>
      </c>
      <c r="B26" s="248" t="str">
        <f>IF(Helexia!C26=0,"",Helexia!C26)</f>
        <v>Renata Salgado Motta</v>
      </c>
      <c r="C26" s="221" t="str">
        <f>IF(Helexia!G26=0,"",Helexia!G26)</f>
        <v>CLT</v>
      </c>
      <c r="D26" s="226">
        <v>1804</v>
      </c>
      <c r="K26" s="228">
        <f t="shared" si="30"/>
        <v>1804</v>
      </c>
      <c r="L26" s="243">
        <f t="shared" si="0"/>
        <v>541.19999999999993</v>
      </c>
      <c r="M26" s="229">
        <f t="shared" si="1"/>
        <v>2345.1999999999998</v>
      </c>
      <c r="N26" s="229">
        <f t="shared" si="2"/>
        <v>827.85559999999987</v>
      </c>
      <c r="O26" s="229">
        <f t="shared" si="3"/>
        <v>260.55171999999993</v>
      </c>
      <c r="P26" s="226">
        <f t="shared" si="4"/>
        <v>195.35515999999998</v>
      </c>
      <c r="Q26" s="229">
        <f t="shared" si="5"/>
        <v>160.93512863999996</v>
      </c>
      <c r="R26" s="229">
        <f t="shared" si="6"/>
        <v>195.43333333333331</v>
      </c>
      <c r="S26" s="229">
        <f t="shared" si="7"/>
        <v>112.0442752</v>
      </c>
      <c r="T26" s="226">
        <v>300</v>
      </c>
      <c r="U26" s="226">
        <v>0</v>
      </c>
      <c r="V26" s="229">
        <f t="shared" si="31"/>
        <v>2052.1752171733333</v>
      </c>
      <c r="W26" s="226">
        <f t="shared" si="8"/>
        <v>20.833333333333332</v>
      </c>
      <c r="X26" s="226">
        <f t="shared" si="9"/>
        <v>20.833333333333332</v>
      </c>
      <c r="Y26" s="226">
        <f t="shared" si="10"/>
        <v>18.75</v>
      </c>
      <c r="Z26" s="226">
        <f t="shared" si="11"/>
        <v>3.5714285714285716</v>
      </c>
      <c r="AA26" s="226">
        <f t="shared" si="12"/>
        <v>82.408333333333317</v>
      </c>
      <c r="AB26" s="226">
        <f t="shared" si="13"/>
        <v>87.916666666666657</v>
      </c>
      <c r="AC26" s="230">
        <f t="shared" si="14"/>
        <v>150</v>
      </c>
      <c r="AD26" s="226">
        <f t="shared" si="15"/>
        <v>66.666666666666671</v>
      </c>
      <c r="AE26" s="226">
        <f t="shared" si="16"/>
        <v>15</v>
      </c>
      <c r="AF26" s="226">
        <v>400</v>
      </c>
      <c r="AG26" s="229">
        <f t="shared" si="17"/>
        <v>865.97976190476197</v>
      </c>
      <c r="AH26" s="229">
        <f t="shared" si="18"/>
        <v>5263.3549790780953</v>
      </c>
      <c r="AI26" s="231">
        <v>0.04</v>
      </c>
      <c r="AJ26" s="232">
        <f t="shared" si="19"/>
        <v>210.53419916312382</v>
      </c>
      <c r="AK26" s="233">
        <v>0.04</v>
      </c>
      <c r="AL26" s="234">
        <f t="shared" si="20"/>
        <v>320.39902474984598</v>
      </c>
      <c r="AM26" s="231">
        <v>0.01</v>
      </c>
      <c r="AN26" s="232">
        <f t="shared" si="21"/>
        <v>52.633549790780954</v>
      </c>
      <c r="AO26" s="233">
        <v>0.01</v>
      </c>
      <c r="AP26" s="234">
        <f t="shared" si="22"/>
        <v>80.099756187461495</v>
      </c>
      <c r="AQ26" s="231">
        <v>0.1</v>
      </c>
      <c r="AR26" s="232">
        <f t="shared" si="23"/>
        <v>526.33549790780955</v>
      </c>
      <c r="AS26" s="233">
        <v>0.1</v>
      </c>
      <c r="AT26" s="234">
        <f t="shared" si="24"/>
        <v>800.99756187461503</v>
      </c>
      <c r="AU26" s="231">
        <v>0.15640000000000001</v>
      </c>
      <c r="AV26" s="232">
        <f t="shared" si="25"/>
        <v>1186.8349462627079</v>
      </c>
      <c r="AW26" s="233">
        <v>0.19289999999999999</v>
      </c>
      <c r="AX26" s="234">
        <f t="shared" si="26"/>
        <v>1545.1242968561321</v>
      </c>
      <c r="AY26" s="235">
        <f t="shared" si="27"/>
        <v>7588.4587356950624</v>
      </c>
      <c r="AZ26" s="234">
        <f t="shared" si="28"/>
        <v>8009.9756187461498</v>
      </c>
      <c r="BA26" s="395">
        <f t="shared" si="32"/>
        <v>2998.2561906019837</v>
      </c>
    </row>
    <row r="27" spans="1:53" x14ac:dyDescent="0.25">
      <c r="A27" s="245">
        <f t="shared" si="29"/>
        <v>8009.9756187461498</v>
      </c>
      <c r="B27" s="220" t="str">
        <f>IF(Helexia!C27=0,"",Helexia!C27)</f>
        <v>Igor Valente Cruz</v>
      </c>
      <c r="C27" s="221" t="str">
        <f>IF(Helexia!G27=0,"",Helexia!G27)</f>
        <v>CLT</v>
      </c>
      <c r="D27" s="226">
        <v>1804</v>
      </c>
      <c r="K27" s="228">
        <f t="shared" si="30"/>
        <v>1804</v>
      </c>
      <c r="L27" s="243">
        <f t="shared" si="0"/>
        <v>541.19999999999993</v>
      </c>
      <c r="M27" s="229">
        <f t="shared" si="1"/>
        <v>2345.1999999999998</v>
      </c>
      <c r="N27" s="229">
        <f t="shared" si="2"/>
        <v>827.85559999999987</v>
      </c>
      <c r="O27" s="229">
        <f t="shared" si="3"/>
        <v>260.55171999999993</v>
      </c>
      <c r="P27" s="226">
        <f t="shared" si="4"/>
        <v>195.35515999999998</v>
      </c>
      <c r="Q27" s="229">
        <f t="shared" si="5"/>
        <v>160.93512863999996</v>
      </c>
      <c r="R27" s="229">
        <f t="shared" si="6"/>
        <v>195.43333333333331</v>
      </c>
      <c r="S27" s="229">
        <f t="shared" si="7"/>
        <v>112.0442752</v>
      </c>
      <c r="T27" s="226">
        <v>300</v>
      </c>
      <c r="U27" s="226">
        <v>0</v>
      </c>
      <c r="V27" s="229">
        <f t="shared" si="31"/>
        <v>2052.1752171733333</v>
      </c>
      <c r="W27" s="226">
        <f t="shared" si="8"/>
        <v>20.833333333333332</v>
      </c>
      <c r="X27" s="226">
        <f t="shared" si="9"/>
        <v>20.833333333333332</v>
      </c>
      <c r="Y27" s="226">
        <f t="shared" si="10"/>
        <v>18.75</v>
      </c>
      <c r="Z27" s="226">
        <f t="shared" si="11"/>
        <v>3.5714285714285716</v>
      </c>
      <c r="AA27" s="226">
        <f t="shared" si="12"/>
        <v>82.408333333333317</v>
      </c>
      <c r="AB27" s="226">
        <f t="shared" si="13"/>
        <v>87.916666666666657</v>
      </c>
      <c r="AC27" s="230">
        <f t="shared" si="14"/>
        <v>150</v>
      </c>
      <c r="AD27" s="226">
        <f t="shared" si="15"/>
        <v>66.666666666666671</v>
      </c>
      <c r="AE27" s="226">
        <f t="shared" si="16"/>
        <v>15</v>
      </c>
      <c r="AF27" s="226">
        <v>400</v>
      </c>
      <c r="AG27" s="229">
        <f t="shared" si="17"/>
        <v>865.97976190476197</v>
      </c>
      <c r="AH27" s="229">
        <f t="shared" si="18"/>
        <v>5263.3549790780953</v>
      </c>
      <c r="AI27" s="231">
        <v>0.04</v>
      </c>
      <c r="AJ27" s="232">
        <f t="shared" si="19"/>
        <v>210.53419916312382</v>
      </c>
      <c r="AK27" s="233">
        <v>0.04</v>
      </c>
      <c r="AL27" s="234">
        <f t="shared" si="20"/>
        <v>320.39902474984598</v>
      </c>
      <c r="AM27" s="231">
        <v>0.01</v>
      </c>
      <c r="AN27" s="232">
        <f t="shared" si="21"/>
        <v>52.633549790780954</v>
      </c>
      <c r="AO27" s="233">
        <v>0.01</v>
      </c>
      <c r="AP27" s="234">
        <f t="shared" si="22"/>
        <v>80.099756187461495</v>
      </c>
      <c r="AQ27" s="231">
        <v>0.1</v>
      </c>
      <c r="AR27" s="232">
        <f t="shared" si="23"/>
        <v>526.33549790780955</v>
      </c>
      <c r="AS27" s="233">
        <v>0.1</v>
      </c>
      <c r="AT27" s="234">
        <f t="shared" si="24"/>
        <v>800.99756187461503</v>
      </c>
      <c r="AU27" s="231">
        <v>0.15640000000000001</v>
      </c>
      <c r="AV27" s="232">
        <f t="shared" si="25"/>
        <v>1186.8349462627079</v>
      </c>
      <c r="AW27" s="233">
        <v>0.19289999999999999</v>
      </c>
      <c r="AX27" s="234">
        <f t="shared" si="26"/>
        <v>1545.1242968561321</v>
      </c>
      <c r="AY27" s="235">
        <f t="shared" si="27"/>
        <v>7588.4587356950624</v>
      </c>
      <c r="AZ27" s="234">
        <f t="shared" si="28"/>
        <v>8009.9756187461498</v>
      </c>
      <c r="BA27" s="395">
        <f t="shared" si="32"/>
        <v>2998.2561906019837</v>
      </c>
    </row>
    <row r="28" spans="1:53" x14ac:dyDescent="0.25">
      <c r="A28" s="245">
        <f t="shared" si="29"/>
        <v>13415.663960693088</v>
      </c>
      <c r="B28" s="248" t="str">
        <f>IF(Helexia!C28=0,"",Helexia!C28)</f>
        <v>Lucas Rafael Monte Verde Santos</v>
      </c>
      <c r="C28" s="221" t="str">
        <f>IF(Helexia!G28=0,"",Helexia!G28)</f>
        <v>CLT</v>
      </c>
      <c r="D28" s="226">
        <v>3500</v>
      </c>
      <c r="K28" s="228">
        <f t="shared" si="30"/>
        <v>3500</v>
      </c>
      <c r="L28" s="243">
        <f t="shared" si="0"/>
        <v>1050</v>
      </c>
      <c r="M28" s="229">
        <f t="shared" si="1"/>
        <v>4550</v>
      </c>
      <c r="N28" s="229">
        <f t="shared" si="2"/>
        <v>1606.1499999999999</v>
      </c>
      <c r="O28" s="229">
        <f t="shared" si="3"/>
        <v>505.50499999999994</v>
      </c>
      <c r="P28" s="226">
        <f t="shared" si="4"/>
        <v>379.01499999999999</v>
      </c>
      <c r="Q28" s="229">
        <f t="shared" si="5"/>
        <v>312.23555999999996</v>
      </c>
      <c r="R28" s="229">
        <f t="shared" si="6"/>
        <v>379.16666666666669</v>
      </c>
      <c r="S28" s="229">
        <f t="shared" si="7"/>
        <v>217.38080000000002</v>
      </c>
      <c r="T28" s="226">
        <v>0</v>
      </c>
      <c r="U28" s="226">
        <v>0</v>
      </c>
      <c r="V28" s="229">
        <f t="shared" si="31"/>
        <v>3399.4530266666661</v>
      </c>
      <c r="W28" s="226">
        <f t="shared" si="8"/>
        <v>20.833333333333332</v>
      </c>
      <c r="X28" s="226">
        <f t="shared" si="9"/>
        <v>20.833333333333332</v>
      </c>
      <c r="Y28" s="226">
        <f t="shared" si="10"/>
        <v>18.75</v>
      </c>
      <c r="Z28" s="226">
        <f t="shared" si="11"/>
        <v>3.5714285714285716</v>
      </c>
      <c r="AA28" s="226">
        <f t="shared" si="12"/>
        <v>82.408333333333317</v>
      </c>
      <c r="AB28" s="226">
        <f t="shared" si="13"/>
        <v>87.916666666666657</v>
      </c>
      <c r="AC28" s="230">
        <f t="shared" si="14"/>
        <v>150</v>
      </c>
      <c r="AD28" s="226">
        <f t="shared" si="15"/>
        <v>66.666666666666671</v>
      </c>
      <c r="AE28" s="226">
        <f t="shared" si="16"/>
        <v>15</v>
      </c>
      <c r="AF28" s="226">
        <v>400</v>
      </c>
      <c r="AG28" s="229">
        <f t="shared" si="17"/>
        <v>865.97976190476197</v>
      </c>
      <c r="AH28" s="229">
        <f t="shared" si="18"/>
        <v>8815.4327885714283</v>
      </c>
      <c r="AI28" s="231">
        <v>0.04</v>
      </c>
      <c r="AJ28" s="232">
        <f t="shared" si="19"/>
        <v>352.61731154285712</v>
      </c>
      <c r="AK28" s="233">
        <v>0.04</v>
      </c>
      <c r="AL28" s="234">
        <f t="shared" si="20"/>
        <v>536.62655842772347</v>
      </c>
      <c r="AM28" s="231">
        <v>0.01</v>
      </c>
      <c r="AN28" s="232">
        <f t="shared" si="21"/>
        <v>88.154327885714281</v>
      </c>
      <c r="AO28" s="233">
        <v>0.01</v>
      </c>
      <c r="AP28" s="234">
        <f t="shared" si="22"/>
        <v>134.15663960693087</v>
      </c>
      <c r="AQ28" s="231">
        <v>0.1</v>
      </c>
      <c r="AR28" s="232">
        <f t="shared" si="23"/>
        <v>881.54327885714292</v>
      </c>
      <c r="AS28" s="233">
        <v>0.1</v>
      </c>
      <c r="AT28" s="234">
        <f t="shared" si="24"/>
        <v>1341.5663960693089</v>
      </c>
      <c r="AU28" s="231">
        <v>0.15640000000000001</v>
      </c>
      <c r="AV28" s="232">
        <f t="shared" si="25"/>
        <v>1987.7936680112048</v>
      </c>
      <c r="AW28" s="233">
        <v>0.19289999999999999</v>
      </c>
      <c r="AX28" s="234">
        <f t="shared" si="26"/>
        <v>2587.8815780176965</v>
      </c>
      <c r="AY28" s="235">
        <f t="shared" si="27"/>
        <v>12709.678184214863</v>
      </c>
      <c r="AZ28" s="234">
        <f t="shared" si="28"/>
        <v>13415.663960693088</v>
      </c>
      <c r="BA28" s="395">
        <f t="shared" si="32"/>
        <v>5238.3829902321513</v>
      </c>
    </row>
    <row r="29" spans="1:53" x14ac:dyDescent="0.25">
      <c r="A29" s="245">
        <f t="shared" si="29"/>
        <v>23785.192008174447</v>
      </c>
      <c r="B29" s="220" t="str">
        <f>IF(Helexia!C29=0,"",Helexia!C29)</f>
        <v>Ana Beatriz Rocha Diniz</v>
      </c>
      <c r="C29" s="221" t="str">
        <f>IF(Helexia!G29=0,"",Helexia!G29)</f>
        <v>CLT</v>
      </c>
      <c r="D29" s="226">
        <v>6500</v>
      </c>
      <c r="K29" s="228">
        <f t="shared" si="30"/>
        <v>6500</v>
      </c>
      <c r="L29" s="243">
        <f t="shared" si="0"/>
        <v>1950</v>
      </c>
      <c r="M29" s="229">
        <f t="shared" si="1"/>
        <v>8450</v>
      </c>
      <c r="N29" s="229">
        <f t="shared" si="2"/>
        <v>2982.85</v>
      </c>
      <c r="O29" s="229">
        <f t="shared" si="3"/>
        <v>938.79499999999996</v>
      </c>
      <c r="P29" s="226">
        <f t="shared" si="4"/>
        <v>703.88499999999999</v>
      </c>
      <c r="Q29" s="229">
        <f t="shared" si="5"/>
        <v>579.86603999999988</v>
      </c>
      <c r="R29" s="229">
        <f t="shared" si="6"/>
        <v>704.16666666666663</v>
      </c>
      <c r="S29" s="229">
        <f t="shared" si="7"/>
        <v>403.7072</v>
      </c>
      <c r="T29" s="226">
        <v>0</v>
      </c>
      <c r="U29" s="226">
        <v>0</v>
      </c>
      <c r="V29" s="229">
        <f t="shared" si="31"/>
        <v>6313.2699066666664</v>
      </c>
      <c r="W29" s="226">
        <f t="shared" si="8"/>
        <v>20.833333333333332</v>
      </c>
      <c r="X29" s="226">
        <f t="shared" si="9"/>
        <v>20.833333333333332</v>
      </c>
      <c r="Y29" s="226">
        <f t="shared" si="10"/>
        <v>18.75</v>
      </c>
      <c r="Z29" s="226">
        <f t="shared" si="11"/>
        <v>3.5714285714285716</v>
      </c>
      <c r="AA29" s="226">
        <f t="shared" si="12"/>
        <v>82.408333333333317</v>
      </c>
      <c r="AB29" s="226">
        <f t="shared" si="13"/>
        <v>87.916666666666657</v>
      </c>
      <c r="AC29" s="230">
        <f t="shared" si="14"/>
        <v>150</v>
      </c>
      <c r="AD29" s="226">
        <f t="shared" si="15"/>
        <v>66.666666666666671</v>
      </c>
      <c r="AE29" s="226">
        <f t="shared" si="16"/>
        <v>15</v>
      </c>
      <c r="AF29" s="226">
        <v>400</v>
      </c>
      <c r="AG29" s="229">
        <f t="shared" si="17"/>
        <v>865.97976190476197</v>
      </c>
      <c r="AH29" s="229">
        <f t="shared" si="18"/>
        <v>15629.249668571429</v>
      </c>
      <c r="AI29" s="231">
        <v>0.04</v>
      </c>
      <c r="AJ29" s="232">
        <f t="shared" si="19"/>
        <v>625.16998674285719</v>
      </c>
      <c r="AK29" s="233">
        <v>0.04</v>
      </c>
      <c r="AL29" s="234">
        <f t="shared" si="20"/>
        <v>951.40768032697792</v>
      </c>
      <c r="AM29" s="231">
        <v>0.01</v>
      </c>
      <c r="AN29" s="232">
        <f t="shared" si="21"/>
        <v>156.2924966857143</v>
      </c>
      <c r="AO29" s="233">
        <v>0.01</v>
      </c>
      <c r="AP29" s="234">
        <f t="shared" si="22"/>
        <v>237.85192008174448</v>
      </c>
      <c r="AQ29" s="231">
        <v>0.1</v>
      </c>
      <c r="AR29" s="232">
        <f t="shared" si="23"/>
        <v>1562.9249668571429</v>
      </c>
      <c r="AS29" s="233">
        <v>0.1</v>
      </c>
      <c r="AT29" s="234">
        <f t="shared" si="24"/>
        <v>2378.5192008174449</v>
      </c>
      <c r="AU29" s="231">
        <v>0.15640000000000001</v>
      </c>
      <c r="AV29" s="232">
        <f t="shared" si="25"/>
        <v>3524.2425723249303</v>
      </c>
      <c r="AW29" s="233">
        <v>0.19289999999999999</v>
      </c>
      <c r="AX29" s="234">
        <f t="shared" si="26"/>
        <v>4588.1635383768507</v>
      </c>
      <c r="AY29" s="235">
        <f t="shared" si="27"/>
        <v>22533.520283407481</v>
      </c>
      <c r="AZ29" s="234">
        <f t="shared" si="28"/>
        <v>23785.192008174447</v>
      </c>
      <c r="BA29" s="395">
        <f t="shared" si="32"/>
        <v>9200.8714329741942</v>
      </c>
    </row>
    <row r="30" spans="1:53" x14ac:dyDescent="0.25">
      <c r="A30" s="245">
        <f t="shared" si="29"/>
        <v>12103.164675145481</v>
      </c>
      <c r="B30" s="248" t="str">
        <f>IF(Helexia!C30=0,"",Helexia!C30)</f>
        <v>Marcelo Augusto Ferraz Pinho</v>
      </c>
      <c r="C30" s="221" t="str">
        <f>IF(Helexia!G30=0,"",Helexia!G30)</f>
        <v>CLT</v>
      </c>
      <c r="D30" s="226">
        <v>2680</v>
      </c>
      <c r="K30" s="228">
        <f t="shared" si="30"/>
        <v>2680</v>
      </c>
      <c r="L30" s="243">
        <f t="shared" si="0"/>
        <v>804</v>
      </c>
      <c r="M30" s="229">
        <f t="shared" si="1"/>
        <v>3484</v>
      </c>
      <c r="N30" s="229">
        <f t="shared" si="2"/>
        <v>1229.8519999999999</v>
      </c>
      <c r="O30" s="229">
        <f t="shared" si="3"/>
        <v>387.07239999999996</v>
      </c>
      <c r="P30" s="226">
        <f t="shared" si="4"/>
        <v>290.21719999999999</v>
      </c>
      <c r="Q30" s="229">
        <f t="shared" si="5"/>
        <v>239.08322879999997</v>
      </c>
      <c r="R30" s="229">
        <f t="shared" si="6"/>
        <v>290.33333333333331</v>
      </c>
      <c r="S30" s="229">
        <f t="shared" si="7"/>
        <v>166.451584</v>
      </c>
      <c r="T30" s="226">
        <v>1000</v>
      </c>
      <c r="U30" s="226">
        <v>0</v>
      </c>
      <c r="V30" s="229">
        <f t="shared" si="31"/>
        <v>3603.0097461333335</v>
      </c>
      <c r="W30" s="226">
        <f t="shared" si="8"/>
        <v>20.833333333333332</v>
      </c>
      <c r="X30" s="226">
        <f t="shared" si="9"/>
        <v>20.833333333333332</v>
      </c>
      <c r="Y30" s="226">
        <f t="shared" si="10"/>
        <v>18.75</v>
      </c>
      <c r="Z30" s="226">
        <f t="shared" si="11"/>
        <v>3.5714285714285716</v>
      </c>
      <c r="AA30" s="226">
        <f t="shared" si="12"/>
        <v>82.408333333333317</v>
      </c>
      <c r="AB30" s="226">
        <f t="shared" si="13"/>
        <v>87.916666666666657</v>
      </c>
      <c r="AC30" s="230">
        <f t="shared" si="14"/>
        <v>150</v>
      </c>
      <c r="AD30" s="226">
        <f t="shared" si="15"/>
        <v>66.666666666666671</v>
      </c>
      <c r="AE30" s="226">
        <f t="shared" si="16"/>
        <v>15</v>
      </c>
      <c r="AF30" s="226">
        <v>400</v>
      </c>
      <c r="AG30" s="229">
        <f t="shared" si="17"/>
        <v>865.97976190476197</v>
      </c>
      <c r="AH30" s="229">
        <f t="shared" si="18"/>
        <v>7952.9895080380957</v>
      </c>
      <c r="AI30" s="231">
        <v>0.04</v>
      </c>
      <c r="AJ30" s="232">
        <f t="shared" si="19"/>
        <v>318.11958032152381</v>
      </c>
      <c r="AK30" s="233">
        <v>0.04</v>
      </c>
      <c r="AL30" s="234">
        <f t="shared" si="20"/>
        <v>484.12658700581926</v>
      </c>
      <c r="AM30" s="231">
        <v>0.01</v>
      </c>
      <c r="AN30" s="232">
        <f t="shared" si="21"/>
        <v>79.529895080380953</v>
      </c>
      <c r="AO30" s="233">
        <v>0.01</v>
      </c>
      <c r="AP30" s="234">
        <f t="shared" si="22"/>
        <v>121.03164675145482</v>
      </c>
      <c r="AQ30" s="231">
        <v>0.1</v>
      </c>
      <c r="AR30" s="232">
        <f t="shared" si="23"/>
        <v>795.29895080380959</v>
      </c>
      <c r="AS30" s="233">
        <v>0.1</v>
      </c>
      <c r="AT30" s="234">
        <f t="shared" si="24"/>
        <v>1210.3164675145481</v>
      </c>
      <c r="AU30" s="231">
        <v>0.15640000000000001</v>
      </c>
      <c r="AV30" s="232">
        <f t="shared" si="25"/>
        <v>1793.3211635772177</v>
      </c>
      <c r="AW30" s="233">
        <v>0.19289999999999999</v>
      </c>
      <c r="AX30" s="234">
        <f t="shared" si="26"/>
        <v>2334.7004658355631</v>
      </c>
      <c r="AY30" s="235">
        <f t="shared" si="27"/>
        <v>11466.247848959192</v>
      </c>
      <c r="AZ30" s="234">
        <f t="shared" si="28"/>
        <v>12103.164675145481</v>
      </c>
      <c r="BA30" s="395">
        <f t="shared" si="32"/>
        <v>4155.3028158826601</v>
      </c>
    </row>
    <row r="31" spans="1:53" x14ac:dyDescent="0.25">
      <c r="A31" s="245">
        <f t="shared" si="29"/>
        <v>9572.7075514200187</v>
      </c>
      <c r="B31" s="220" t="str">
        <f>IF(Helexia!C31=0,"",Helexia!C31)</f>
        <v>Carolina Venturini Paes</v>
      </c>
      <c r="C31" s="221" t="str">
        <f>IF(Helexia!G31=0,"",Helexia!G31)</f>
        <v>CLT</v>
      </c>
      <c r="D31" s="226">
        <v>2080</v>
      </c>
      <c r="K31" s="228">
        <f t="shared" si="30"/>
        <v>2080</v>
      </c>
      <c r="L31" s="243">
        <f t="shared" si="0"/>
        <v>624</v>
      </c>
      <c r="M31" s="229">
        <f t="shared" si="1"/>
        <v>2704</v>
      </c>
      <c r="N31" s="229">
        <f t="shared" si="2"/>
        <v>954.51199999999994</v>
      </c>
      <c r="O31" s="229">
        <f t="shared" si="3"/>
        <v>300.4144</v>
      </c>
      <c r="P31" s="226">
        <f t="shared" si="4"/>
        <v>225.2432</v>
      </c>
      <c r="Q31" s="229">
        <f t="shared" si="5"/>
        <v>185.55713279999998</v>
      </c>
      <c r="R31" s="229">
        <f t="shared" si="6"/>
        <v>225.33333333333334</v>
      </c>
      <c r="S31" s="229">
        <f t="shared" si="7"/>
        <v>129.18630400000001</v>
      </c>
      <c r="T31" s="226">
        <v>700</v>
      </c>
      <c r="U31" s="226">
        <v>0</v>
      </c>
      <c r="V31" s="229">
        <f t="shared" si="31"/>
        <v>2720.2463701333331</v>
      </c>
      <c r="W31" s="226">
        <f t="shared" si="8"/>
        <v>20.833333333333332</v>
      </c>
      <c r="X31" s="226">
        <f t="shared" si="9"/>
        <v>20.833333333333332</v>
      </c>
      <c r="Y31" s="226">
        <f t="shared" si="10"/>
        <v>18.75</v>
      </c>
      <c r="Z31" s="226">
        <f t="shared" si="11"/>
        <v>3.5714285714285716</v>
      </c>
      <c r="AA31" s="226">
        <f t="shared" si="12"/>
        <v>82.408333333333317</v>
      </c>
      <c r="AB31" s="226">
        <f t="shared" si="13"/>
        <v>87.916666666666657</v>
      </c>
      <c r="AC31" s="230">
        <f t="shared" si="14"/>
        <v>150</v>
      </c>
      <c r="AD31" s="226">
        <f t="shared" si="15"/>
        <v>66.666666666666671</v>
      </c>
      <c r="AE31" s="226">
        <f t="shared" si="16"/>
        <v>15</v>
      </c>
      <c r="AF31" s="226">
        <v>400</v>
      </c>
      <c r="AG31" s="229">
        <f t="shared" si="17"/>
        <v>865.97976190476197</v>
      </c>
      <c r="AH31" s="229">
        <f t="shared" si="18"/>
        <v>6290.2261320380949</v>
      </c>
      <c r="AI31" s="231">
        <v>0.04</v>
      </c>
      <c r="AJ31" s="232">
        <f t="shared" si="19"/>
        <v>251.60904528152381</v>
      </c>
      <c r="AK31" s="233">
        <v>0.04</v>
      </c>
      <c r="AL31" s="234">
        <f t="shared" si="20"/>
        <v>382.90830205680078</v>
      </c>
      <c r="AM31" s="231">
        <v>0.01</v>
      </c>
      <c r="AN31" s="232">
        <f t="shared" si="21"/>
        <v>62.902261320380951</v>
      </c>
      <c r="AO31" s="233">
        <v>0.01</v>
      </c>
      <c r="AP31" s="234">
        <f t="shared" si="22"/>
        <v>95.727075514200195</v>
      </c>
      <c r="AQ31" s="231">
        <v>0.1</v>
      </c>
      <c r="AR31" s="232">
        <f t="shared" si="23"/>
        <v>629.02261320380956</v>
      </c>
      <c r="AS31" s="233">
        <v>0.1</v>
      </c>
      <c r="AT31" s="234">
        <f t="shared" si="24"/>
        <v>957.27075514200192</v>
      </c>
      <c r="AU31" s="231">
        <v>0.15640000000000001</v>
      </c>
      <c r="AV31" s="232">
        <f t="shared" si="25"/>
        <v>1418.3843238909433</v>
      </c>
      <c r="AW31" s="233">
        <v>0.19289999999999999</v>
      </c>
      <c r="AX31" s="234">
        <f t="shared" si="26"/>
        <v>1846.5752866689215</v>
      </c>
      <c r="AY31" s="235">
        <f t="shared" si="27"/>
        <v>9068.9534775635748</v>
      </c>
      <c r="AZ31" s="234">
        <f t="shared" si="28"/>
        <v>9572.7075514200187</v>
      </c>
      <c r="BA31" s="395">
        <f t="shared" si="32"/>
        <v>3362.8051273342512</v>
      </c>
    </row>
    <row r="32" spans="1:53" x14ac:dyDescent="0.25">
      <c r="A32" s="245">
        <f t="shared" si="29"/>
        <v>6710.5229568884934</v>
      </c>
      <c r="B32" s="248" t="str">
        <f>IF(Helexia!C32=0,"",Helexia!C32)</f>
        <v>Felipe Otávio Corrêa Leite</v>
      </c>
      <c r="C32" s="221" t="str">
        <f>IF(Helexia!G32=0,"",Helexia!G32)</f>
        <v>CLT</v>
      </c>
      <c r="D32" s="226">
        <v>1340</v>
      </c>
      <c r="K32" s="228">
        <f t="shared" si="30"/>
        <v>1340</v>
      </c>
      <c r="L32" s="243">
        <f t="shared" si="0"/>
        <v>402</v>
      </c>
      <c r="M32" s="229">
        <f t="shared" si="1"/>
        <v>1742</v>
      </c>
      <c r="N32" s="229">
        <f t="shared" si="2"/>
        <v>614.92599999999993</v>
      </c>
      <c r="O32" s="229">
        <f t="shared" si="3"/>
        <v>193.53619999999998</v>
      </c>
      <c r="P32" s="226">
        <f t="shared" si="4"/>
        <v>145.1086</v>
      </c>
      <c r="Q32" s="229">
        <f t="shared" si="5"/>
        <v>119.54161439999999</v>
      </c>
      <c r="R32" s="229">
        <f t="shared" si="6"/>
        <v>145.16666666666666</v>
      </c>
      <c r="S32" s="229">
        <f t="shared" si="7"/>
        <v>83.225791999999998</v>
      </c>
      <c r="T32" s="226">
        <v>500</v>
      </c>
      <c r="U32" s="226">
        <v>0</v>
      </c>
      <c r="V32" s="229">
        <f t="shared" si="31"/>
        <v>1801.5048730666667</v>
      </c>
      <c r="W32" s="226">
        <f t="shared" si="8"/>
        <v>20.833333333333332</v>
      </c>
      <c r="X32" s="226">
        <f t="shared" si="9"/>
        <v>20.833333333333332</v>
      </c>
      <c r="Y32" s="226">
        <f t="shared" si="10"/>
        <v>18.75</v>
      </c>
      <c r="Z32" s="226">
        <f t="shared" si="11"/>
        <v>3.5714285714285716</v>
      </c>
      <c r="AA32" s="226">
        <f t="shared" si="12"/>
        <v>82.408333333333317</v>
      </c>
      <c r="AB32" s="226">
        <f t="shared" si="13"/>
        <v>87.916666666666657</v>
      </c>
      <c r="AC32" s="230">
        <f t="shared" si="14"/>
        <v>150</v>
      </c>
      <c r="AD32" s="226">
        <f t="shared" si="15"/>
        <v>66.666666666666671</v>
      </c>
      <c r="AE32" s="226">
        <f t="shared" si="16"/>
        <v>15</v>
      </c>
      <c r="AF32" s="226">
        <v>400</v>
      </c>
      <c r="AG32" s="229">
        <f t="shared" si="17"/>
        <v>865.97976190476197</v>
      </c>
      <c r="AH32" s="229">
        <f t="shared" si="18"/>
        <v>4409.4846349714289</v>
      </c>
      <c r="AI32" s="231">
        <v>0.04</v>
      </c>
      <c r="AJ32" s="232">
        <f t="shared" si="19"/>
        <v>176.37938539885715</v>
      </c>
      <c r="AK32" s="233">
        <v>0.04</v>
      </c>
      <c r="AL32" s="234">
        <f t="shared" si="20"/>
        <v>268.42091827553975</v>
      </c>
      <c r="AM32" s="231">
        <v>0.01</v>
      </c>
      <c r="AN32" s="232">
        <f t="shared" si="21"/>
        <v>44.094846349714288</v>
      </c>
      <c r="AO32" s="233">
        <v>0.01</v>
      </c>
      <c r="AP32" s="234">
        <f t="shared" si="22"/>
        <v>67.105229568884937</v>
      </c>
      <c r="AQ32" s="231">
        <v>0.1</v>
      </c>
      <c r="AR32" s="232">
        <f t="shared" si="23"/>
        <v>440.94846349714294</v>
      </c>
      <c r="AS32" s="233">
        <v>0.1</v>
      </c>
      <c r="AT32" s="234">
        <f t="shared" si="24"/>
        <v>671.05229568884943</v>
      </c>
      <c r="AU32" s="231">
        <v>0.15640000000000001</v>
      </c>
      <c r="AV32" s="232">
        <f t="shared" si="25"/>
        <v>994.29555494453791</v>
      </c>
      <c r="AW32" s="233">
        <v>0.19289999999999999</v>
      </c>
      <c r="AX32" s="234">
        <f t="shared" si="26"/>
        <v>1294.4598783837903</v>
      </c>
      <c r="AY32" s="235">
        <f t="shared" si="27"/>
        <v>6357.3884587246666</v>
      </c>
      <c r="AZ32" s="234">
        <f t="shared" si="28"/>
        <v>6710.5229568884934</v>
      </c>
      <c r="BA32" s="395">
        <f t="shared" si="32"/>
        <v>2385.3913114578813</v>
      </c>
    </row>
    <row r="33" spans="1:53" x14ac:dyDescent="0.25">
      <c r="A33" s="245">
        <f t="shared" si="29"/>
        <v>4663.9284286888269</v>
      </c>
      <c r="B33" s="220" t="str">
        <f>IF(Helexia!C33=0,"",Helexia!C33)</f>
        <v>Nathalia Freire Sampaio</v>
      </c>
      <c r="C33" s="221" t="str">
        <f>IF(Helexia!G33=0,"",Helexia!G33)</f>
        <v>CLT</v>
      </c>
      <c r="D33" s="226">
        <v>902</v>
      </c>
      <c r="K33" s="228">
        <f t="shared" si="30"/>
        <v>902</v>
      </c>
      <c r="L33" s="243">
        <f t="shared" si="0"/>
        <v>270.59999999999997</v>
      </c>
      <c r="M33" s="229">
        <f t="shared" si="1"/>
        <v>1172.5999999999999</v>
      </c>
      <c r="N33" s="229">
        <f t="shared" si="2"/>
        <v>413.92779999999993</v>
      </c>
      <c r="O33" s="229">
        <f t="shared" si="3"/>
        <v>130.27585999999997</v>
      </c>
      <c r="P33" s="226">
        <f t="shared" si="4"/>
        <v>97.677579999999992</v>
      </c>
      <c r="Q33" s="229">
        <f t="shared" si="5"/>
        <v>80.46756431999998</v>
      </c>
      <c r="R33" s="229">
        <f t="shared" si="6"/>
        <v>97.716666666666654</v>
      </c>
      <c r="S33" s="229">
        <f t="shared" si="7"/>
        <v>56.022137600000001</v>
      </c>
      <c r="T33" s="226">
        <v>150</v>
      </c>
      <c r="U33" s="226">
        <v>0</v>
      </c>
      <c r="V33" s="229">
        <f t="shared" si="31"/>
        <v>1026.0876085866666</v>
      </c>
      <c r="W33" s="226">
        <f t="shared" si="8"/>
        <v>20.833333333333332</v>
      </c>
      <c r="X33" s="226">
        <f t="shared" si="9"/>
        <v>20.833333333333332</v>
      </c>
      <c r="Y33" s="226">
        <f t="shared" si="10"/>
        <v>18.75</v>
      </c>
      <c r="Z33" s="226">
        <f t="shared" si="11"/>
        <v>3.5714285714285716</v>
      </c>
      <c r="AA33" s="226">
        <f t="shared" si="12"/>
        <v>82.408333333333317</v>
      </c>
      <c r="AB33" s="226">
        <f t="shared" si="13"/>
        <v>87.916666666666657</v>
      </c>
      <c r="AC33" s="230">
        <f t="shared" si="14"/>
        <v>150</v>
      </c>
      <c r="AD33" s="226">
        <f t="shared" si="15"/>
        <v>66.666666666666671</v>
      </c>
      <c r="AE33" s="226">
        <f t="shared" si="16"/>
        <v>15</v>
      </c>
      <c r="AF33" s="226">
        <v>400</v>
      </c>
      <c r="AG33" s="229">
        <f t="shared" si="17"/>
        <v>865.97976190476197</v>
      </c>
      <c r="AH33" s="229">
        <f t="shared" si="18"/>
        <v>3064.6673704914283</v>
      </c>
      <c r="AI33" s="231">
        <v>0.04</v>
      </c>
      <c r="AJ33" s="232">
        <f t="shared" si="19"/>
        <v>122.58669481965714</v>
      </c>
      <c r="AK33" s="233">
        <v>0.04</v>
      </c>
      <c r="AL33" s="234">
        <f t="shared" si="20"/>
        <v>186.55713714755308</v>
      </c>
      <c r="AM33" s="231">
        <v>0.01</v>
      </c>
      <c r="AN33" s="232">
        <f t="shared" si="21"/>
        <v>30.646673704914285</v>
      </c>
      <c r="AO33" s="233">
        <v>0.01</v>
      </c>
      <c r="AP33" s="234">
        <f t="shared" si="22"/>
        <v>46.63928428688827</v>
      </c>
      <c r="AQ33" s="231">
        <v>0.1</v>
      </c>
      <c r="AR33" s="232">
        <f t="shared" si="23"/>
        <v>306.46673704914286</v>
      </c>
      <c r="AS33" s="233">
        <v>0.1</v>
      </c>
      <c r="AT33" s="234">
        <f t="shared" si="24"/>
        <v>466.39284286888272</v>
      </c>
      <c r="AU33" s="231">
        <v>0.15640000000000001</v>
      </c>
      <c r="AV33" s="232">
        <f t="shared" si="25"/>
        <v>691.05244628728292</v>
      </c>
      <c r="AW33" s="233">
        <v>0.19289999999999999</v>
      </c>
      <c r="AX33" s="234">
        <f t="shared" si="26"/>
        <v>899.67179389407465</v>
      </c>
      <c r="AY33" s="235">
        <f t="shared" si="27"/>
        <v>4418.4939020926013</v>
      </c>
      <c r="AZ33" s="234">
        <f t="shared" si="28"/>
        <v>4663.9284286888269</v>
      </c>
      <c r="BA33" s="395">
        <f t="shared" si="32"/>
        <v>1806.8679988175436</v>
      </c>
    </row>
    <row r="34" spans="1:53" x14ac:dyDescent="0.25">
      <c r="A34" s="245">
        <f t="shared" si="29"/>
        <v>4224.9517413454505</v>
      </c>
      <c r="B34" s="248" t="str">
        <f>IF(Helexia!C34=0,"",Helexia!C34)</f>
        <v>Roberto Caetano Nolasco</v>
      </c>
      <c r="C34" s="221" t="str">
        <f>IF(Helexia!G34=0,"",Helexia!G34)</f>
        <v>CLT</v>
      </c>
      <c r="D34" s="226">
        <v>775</v>
      </c>
      <c r="K34" s="228">
        <f t="shared" si="30"/>
        <v>775</v>
      </c>
      <c r="L34" s="243">
        <f t="shared" ref="L34:L64" si="33">K34 * 0.3</f>
        <v>232.5</v>
      </c>
      <c r="M34" s="229">
        <f t="shared" ref="M34:M64" si="34">K34+L34</f>
        <v>1007.5</v>
      </c>
      <c r="N34" s="229">
        <f t="shared" ref="N34:N64" si="35">M34 * 35.3%</f>
        <v>355.64749999999998</v>
      </c>
      <c r="O34" s="229">
        <f t="shared" ref="O34:O64" si="36">M34 * 11.11%</f>
        <v>111.93324999999999</v>
      </c>
      <c r="P34" s="226">
        <f t="shared" ref="P34:P64" si="37">M34 * 8.33%</f>
        <v>83.924750000000003</v>
      </c>
      <c r="Q34" s="229">
        <f t="shared" ref="Q34:Q64" si="38">(O34+P34) * 35.3%</f>
        <v>69.137873999999996</v>
      </c>
      <c r="R34" s="229">
        <f t="shared" ref="R34:R64" si="39">M34/12</f>
        <v>83.958333333333329</v>
      </c>
      <c r="S34" s="229">
        <f t="shared" ref="S34:S64" si="40">((M34+O34+P34)*8%)*50%</f>
        <v>48.134320000000002</v>
      </c>
      <c r="T34" s="226">
        <v>150</v>
      </c>
      <c r="U34" s="226">
        <v>0</v>
      </c>
      <c r="V34" s="229">
        <f t="shared" si="31"/>
        <v>902.73602733333337</v>
      </c>
      <c r="W34" s="226">
        <f t="shared" ref="W34:W64" si="41">500/24</f>
        <v>20.833333333333332</v>
      </c>
      <c r="X34" s="226">
        <f t="shared" si="9"/>
        <v>20.833333333333332</v>
      </c>
      <c r="Y34" s="226">
        <f t="shared" ref="Y34:Y64" si="42">450/24</f>
        <v>18.75</v>
      </c>
      <c r="Z34" s="226">
        <f t="shared" ref="Z34:Z64" si="43">((1500*2)/24)/35</f>
        <v>3.5714285714285716</v>
      </c>
      <c r="AA34" s="226">
        <f t="shared" ref="AA34:AA64" si="44">(89.9 + 49.9 + 89.9 + 89.9 + 89.9 + 129.9 + 89.9 + 89.9 + 49.9 + 89.9 + 129.9)/12</f>
        <v>82.408333333333317</v>
      </c>
      <c r="AB34" s="226">
        <f t="shared" ref="AB34:AB64" si="45">(308/12)+(500/12)+(65/12)+(150/12)+(4/12)+(28/12)</f>
        <v>87.916666666666657</v>
      </c>
      <c r="AC34" s="230">
        <f t="shared" ref="AC34:AC64" si="46">1800/12</f>
        <v>150</v>
      </c>
      <c r="AD34" s="226">
        <f t="shared" ref="AD34:AD64" si="47">800/12</f>
        <v>66.666666666666671</v>
      </c>
      <c r="AE34" s="226">
        <f t="shared" ref="AE34:AE64" si="48">180/12</f>
        <v>15</v>
      </c>
      <c r="AF34" s="226">
        <v>400</v>
      </c>
      <c r="AG34" s="229">
        <f t="shared" ref="AG34:AG64" si="49">SUM(W34:AF34)</f>
        <v>865.97976190476197</v>
      </c>
      <c r="AH34" s="229">
        <f t="shared" ref="AH34:AH64" si="50">M34+V34+AG34</f>
        <v>2776.2157892380956</v>
      </c>
      <c r="AI34" s="231">
        <v>0.04</v>
      </c>
      <c r="AJ34" s="232">
        <f t="shared" ref="AJ34:AJ64" si="51">AH34*AI34</f>
        <v>111.04863156952382</v>
      </c>
      <c r="AK34" s="233">
        <v>0.04</v>
      </c>
      <c r="AL34" s="234">
        <f t="shared" si="20"/>
        <v>168.99806965381802</v>
      </c>
      <c r="AM34" s="231">
        <v>0.01</v>
      </c>
      <c r="AN34" s="232">
        <f t="shared" si="21"/>
        <v>27.762157892380955</v>
      </c>
      <c r="AO34" s="233">
        <v>0.01</v>
      </c>
      <c r="AP34" s="234">
        <f t="shared" ref="AP34:AP64" si="52">AZ34*AO34</f>
        <v>42.249517413454505</v>
      </c>
      <c r="AQ34" s="231">
        <v>0.1</v>
      </c>
      <c r="AR34" s="232">
        <f t="shared" si="23"/>
        <v>277.62157892380958</v>
      </c>
      <c r="AS34" s="233">
        <v>0.1</v>
      </c>
      <c r="AT34" s="234">
        <f t="shared" ref="AT34:AT64" si="53">AZ34*AS34</f>
        <v>422.4951741345451</v>
      </c>
      <c r="AU34" s="231">
        <v>0.15640000000000001</v>
      </c>
      <c r="AV34" s="232">
        <f t="shared" ref="AV34:AV64" si="54">AY34*AU34</f>
        <v>626.00944267133536</v>
      </c>
      <c r="AW34" s="233">
        <v>0.19289999999999999</v>
      </c>
      <c r="AX34" s="234">
        <f t="shared" ref="AX34:AX64" si="55">AZ34*AW34</f>
        <v>814.9931909055374</v>
      </c>
      <c r="AY34" s="235">
        <f t="shared" si="27"/>
        <v>4002.6179198934483</v>
      </c>
      <c r="AZ34" s="234">
        <f t="shared" si="28"/>
        <v>4224.9517413454505</v>
      </c>
      <c r="BA34" s="395">
        <f t="shared" si="32"/>
        <v>1639.1226547414635</v>
      </c>
    </row>
    <row r="35" spans="1:53" x14ac:dyDescent="0.25">
      <c r="A35" s="245">
        <f t="shared" si="29"/>
        <v>5445.2943950257622</v>
      </c>
      <c r="B35" s="220" t="str">
        <f>IF(Helexia!C35=0,"",Helexia!C35)</f>
        <v>Luiza Barcellos Antunes</v>
      </c>
      <c r="C35" s="221" t="str">
        <f>IF(Helexia!G35=0,"",Helexia!G35)</f>
        <v>CLT</v>
      </c>
      <c r="D35" s="226">
        <v>1040</v>
      </c>
      <c r="K35" s="228">
        <f t="shared" si="30"/>
        <v>1040</v>
      </c>
      <c r="L35" s="243">
        <f t="shared" si="33"/>
        <v>312</v>
      </c>
      <c r="M35" s="229">
        <f t="shared" si="34"/>
        <v>1352</v>
      </c>
      <c r="N35" s="229">
        <f t="shared" si="35"/>
        <v>477.25599999999997</v>
      </c>
      <c r="O35" s="229">
        <f t="shared" si="36"/>
        <v>150.2072</v>
      </c>
      <c r="P35" s="226">
        <f t="shared" si="37"/>
        <v>112.6216</v>
      </c>
      <c r="Q35" s="229">
        <f t="shared" si="38"/>
        <v>92.778566399999988</v>
      </c>
      <c r="R35" s="229">
        <f t="shared" si="39"/>
        <v>112.66666666666667</v>
      </c>
      <c r="S35" s="229">
        <f t="shared" si="40"/>
        <v>64.593152000000003</v>
      </c>
      <c r="T35" s="226">
        <v>350</v>
      </c>
      <c r="U35" s="226">
        <v>0</v>
      </c>
      <c r="V35" s="229">
        <f t="shared" si="31"/>
        <v>1360.1231850666666</v>
      </c>
      <c r="W35" s="226">
        <f t="shared" si="41"/>
        <v>20.833333333333332</v>
      </c>
      <c r="X35" s="226">
        <f t="shared" si="9"/>
        <v>20.833333333333332</v>
      </c>
      <c r="Y35" s="226">
        <f t="shared" si="42"/>
        <v>18.75</v>
      </c>
      <c r="Z35" s="226">
        <f t="shared" si="43"/>
        <v>3.5714285714285716</v>
      </c>
      <c r="AA35" s="226">
        <f t="shared" si="44"/>
        <v>82.408333333333317</v>
      </c>
      <c r="AB35" s="226">
        <f t="shared" si="45"/>
        <v>87.916666666666657</v>
      </c>
      <c r="AC35" s="230">
        <f t="shared" si="46"/>
        <v>150</v>
      </c>
      <c r="AD35" s="226">
        <f t="shared" si="47"/>
        <v>66.666666666666671</v>
      </c>
      <c r="AE35" s="226">
        <f t="shared" si="48"/>
        <v>15</v>
      </c>
      <c r="AF35" s="226">
        <v>400</v>
      </c>
      <c r="AG35" s="229">
        <f t="shared" si="49"/>
        <v>865.97976190476197</v>
      </c>
      <c r="AH35" s="229">
        <f t="shared" si="50"/>
        <v>3578.1029469714285</v>
      </c>
      <c r="AI35" s="231">
        <v>0.04</v>
      </c>
      <c r="AJ35" s="232">
        <f t="shared" si="51"/>
        <v>143.12411787885713</v>
      </c>
      <c r="AK35" s="233">
        <v>0.04</v>
      </c>
      <c r="AL35" s="234">
        <f t="shared" ref="AL35:AL66" si="56">AZ35*AK35</f>
        <v>217.81177580103051</v>
      </c>
      <c r="AM35" s="231">
        <v>0.01</v>
      </c>
      <c r="AN35" s="232">
        <f t="shared" ref="AN35:AN66" si="57">AH35*AM35</f>
        <v>35.781029469714284</v>
      </c>
      <c r="AO35" s="233">
        <v>0.01</v>
      </c>
      <c r="AP35" s="234">
        <f t="shared" si="52"/>
        <v>54.452943950257627</v>
      </c>
      <c r="AQ35" s="231">
        <v>0.1</v>
      </c>
      <c r="AR35" s="232">
        <f t="shared" ref="AR35:AR66" si="58">AH35*AQ35</f>
        <v>357.81029469714287</v>
      </c>
      <c r="AS35" s="233">
        <v>0.1</v>
      </c>
      <c r="AT35" s="234">
        <f t="shared" si="53"/>
        <v>544.52943950257622</v>
      </c>
      <c r="AU35" s="231">
        <v>0.15640000000000001</v>
      </c>
      <c r="AV35" s="232">
        <f t="shared" si="54"/>
        <v>806.82713510140059</v>
      </c>
      <c r="AW35" s="233">
        <v>0.19289999999999999</v>
      </c>
      <c r="AX35" s="234">
        <f t="shared" si="55"/>
        <v>1050.3972888004694</v>
      </c>
      <c r="AY35" s="235">
        <f t="shared" ref="AY35:AY66" si="59">(AH35)/(1-AI35-AM35-AQ35-AU35)</f>
        <v>5158.7412730268579</v>
      </c>
      <c r="AZ35" s="234">
        <f t="shared" ref="AZ35:AZ66" si="60">($AH35)/(1-AK35-AO35-AS35-AW35)</f>
        <v>5445.2943950257622</v>
      </c>
      <c r="BA35" s="395">
        <f t="shared" si="32"/>
        <v>1989.1424671836771</v>
      </c>
    </row>
    <row r="36" spans="1:53" x14ac:dyDescent="0.25">
      <c r="A36" s="245">
        <f t="shared" si="29"/>
        <v>6826.4083615656091</v>
      </c>
      <c r="B36" s="248" t="str">
        <f>IF(Helexia!C36=0,"",Helexia!C36)</f>
        <v>Pedro Henrique Alvarenga</v>
      </c>
      <c r="C36" s="221" t="str">
        <f>IF(Helexia!G36=0,"",Helexia!G36)</f>
        <v>CLT</v>
      </c>
      <c r="D36" s="226">
        <v>1488</v>
      </c>
      <c r="K36" s="228">
        <f t="shared" si="30"/>
        <v>1488</v>
      </c>
      <c r="L36" s="243">
        <f t="shared" si="33"/>
        <v>446.4</v>
      </c>
      <c r="M36" s="229">
        <f t="shared" si="34"/>
        <v>1934.4</v>
      </c>
      <c r="N36" s="229">
        <f t="shared" si="35"/>
        <v>682.84320000000002</v>
      </c>
      <c r="O36" s="229">
        <f t="shared" si="36"/>
        <v>214.91183999999998</v>
      </c>
      <c r="P36" s="226">
        <f t="shared" si="37"/>
        <v>161.13552000000001</v>
      </c>
      <c r="Q36" s="229">
        <f t="shared" si="38"/>
        <v>132.74471808000001</v>
      </c>
      <c r="R36" s="229">
        <f t="shared" si="39"/>
        <v>161.20000000000002</v>
      </c>
      <c r="S36" s="229">
        <f t="shared" si="40"/>
        <v>92.417894400000009</v>
      </c>
      <c r="T36" s="226">
        <v>240</v>
      </c>
      <c r="U36" s="226">
        <v>0</v>
      </c>
      <c r="V36" s="229">
        <f t="shared" si="31"/>
        <v>1685.2531724800001</v>
      </c>
      <c r="W36" s="226">
        <f t="shared" si="41"/>
        <v>20.833333333333332</v>
      </c>
      <c r="X36" s="226">
        <f t="shared" si="9"/>
        <v>20.833333333333332</v>
      </c>
      <c r="Y36" s="226">
        <f t="shared" si="42"/>
        <v>18.75</v>
      </c>
      <c r="Z36" s="226">
        <f t="shared" si="43"/>
        <v>3.5714285714285716</v>
      </c>
      <c r="AA36" s="226">
        <f t="shared" si="44"/>
        <v>82.408333333333317</v>
      </c>
      <c r="AB36" s="226">
        <f t="shared" si="45"/>
        <v>87.916666666666657</v>
      </c>
      <c r="AC36" s="230">
        <f t="shared" si="46"/>
        <v>150</v>
      </c>
      <c r="AD36" s="226">
        <f t="shared" si="47"/>
        <v>66.666666666666671</v>
      </c>
      <c r="AE36" s="226">
        <f t="shared" si="48"/>
        <v>15</v>
      </c>
      <c r="AF36" s="226">
        <v>400</v>
      </c>
      <c r="AG36" s="229">
        <f t="shared" si="49"/>
        <v>865.97976190476197</v>
      </c>
      <c r="AH36" s="229">
        <f t="shared" si="50"/>
        <v>4485.6329343847619</v>
      </c>
      <c r="AI36" s="231">
        <v>0.04</v>
      </c>
      <c r="AJ36" s="232">
        <f t="shared" si="51"/>
        <v>179.42531737539048</v>
      </c>
      <c r="AK36" s="233">
        <v>0.04</v>
      </c>
      <c r="AL36" s="234">
        <f t="shared" si="56"/>
        <v>273.05633446262436</v>
      </c>
      <c r="AM36" s="231">
        <v>0.01</v>
      </c>
      <c r="AN36" s="232">
        <f t="shared" si="57"/>
        <v>44.856329343847619</v>
      </c>
      <c r="AO36" s="233">
        <v>0.01</v>
      </c>
      <c r="AP36" s="234">
        <f t="shared" si="52"/>
        <v>68.264083615656091</v>
      </c>
      <c r="AQ36" s="231">
        <v>0.1</v>
      </c>
      <c r="AR36" s="232">
        <f t="shared" si="58"/>
        <v>448.56329343847619</v>
      </c>
      <c r="AS36" s="233">
        <v>0.1</v>
      </c>
      <c r="AT36" s="234">
        <f t="shared" si="53"/>
        <v>682.64083615656091</v>
      </c>
      <c r="AU36" s="231">
        <v>0.15640000000000001</v>
      </c>
      <c r="AV36" s="232">
        <f t="shared" si="54"/>
        <v>1011.4662499102895</v>
      </c>
      <c r="AW36" s="233">
        <v>0.19289999999999999</v>
      </c>
      <c r="AX36" s="234">
        <f t="shared" si="55"/>
        <v>1316.814172946006</v>
      </c>
      <c r="AY36" s="235">
        <f t="shared" si="59"/>
        <v>6467.1755109353544</v>
      </c>
      <c r="AZ36" s="234">
        <f t="shared" si="60"/>
        <v>6826.4083615656091</v>
      </c>
      <c r="BA36" s="395">
        <f t="shared" si="32"/>
        <v>2580.8740746331555</v>
      </c>
    </row>
    <row r="37" spans="1:53" x14ac:dyDescent="0.25">
      <c r="A37" s="245">
        <f t="shared" si="29"/>
        <v>9200.8714329741942</v>
      </c>
      <c r="B37" s="220" t="str">
        <f>IF(Helexia!C37=0,"",Helexia!C37)</f>
        <v>Sofia Mendes Albuquerque</v>
      </c>
      <c r="C37" s="221" t="str">
        <f>IF(Helexia!G37=0,"",Helexia!G37)</f>
        <v>PJ</v>
      </c>
      <c r="D37" s="226">
        <v>6500</v>
      </c>
      <c r="K37" s="228">
        <f t="shared" si="30"/>
        <v>6500</v>
      </c>
      <c r="L37" s="243">
        <f t="shared" si="33"/>
        <v>1950</v>
      </c>
      <c r="M37" s="229">
        <f t="shared" si="34"/>
        <v>8450</v>
      </c>
      <c r="N37" s="229">
        <f t="shared" si="35"/>
        <v>2982.85</v>
      </c>
      <c r="O37" s="229">
        <f t="shared" si="36"/>
        <v>938.79499999999996</v>
      </c>
      <c r="P37" s="226">
        <f t="shared" si="37"/>
        <v>703.88499999999999</v>
      </c>
      <c r="Q37" s="229">
        <f t="shared" si="38"/>
        <v>579.86603999999988</v>
      </c>
      <c r="R37" s="229">
        <f t="shared" si="39"/>
        <v>704.16666666666663</v>
      </c>
      <c r="S37" s="229">
        <f t="shared" si="40"/>
        <v>403.7072</v>
      </c>
      <c r="T37" s="226">
        <v>0</v>
      </c>
      <c r="U37" s="226">
        <v>0</v>
      </c>
      <c r="V37" s="229">
        <f t="shared" si="31"/>
        <v>6313.2699066666664</v>
      </c>
      <c r="W37" s="226">
        <f t="shared" si="41"/>
        <v>20.833333333333332</v>
      </c>
      <c r="X37" s="226">
        <f t="shared" si="9"/>
        <v>20.833333333333332</v>
      </c>
      <c r="Y37" s="226">
        <f t="shared" si="42"/>
        <v>18.75</v>
      </c>
      <c r="Z37" s="226">
        <f t="shared" si="43"/>
        <v>3.5714285714285716</v>
      </c>
      <c r="AA37" s="226">
        <f t="shared" si="44"/>
        <v>82.408333333333317</v>
      </c>
      <c r="AB37" s="226">
        <f t="shared" si="45"/>
        <v>87.916666666666657</v>
      </c>
      <c r="AC37" s="230">
        <f t="shared" si="46"/>
        <v>150</v>
      </c>
      <c r="AD37" s="226">
        <f t="shared" si="47"/>
        <v>66.666666666666671</v>
      </c>
      <c r="AE37" s="226">
        <f t="shared" si="48"/>
        <v>15</v>
      </c>
      <c r="AF37" s="226">
        <v>400</v>
      </c>
      <c r="AG37" s="229">
        <f t="shared" si="49"/>
        <v>865.97976190476197</v>
      </c>
      <c r="AH37" s="229">
        <f t="shared" si="50"/>
        <v>15629.249668571429</v>
      </c>
      <c r="AI37" s="231">
        <v>0.04</v>
      </c>
      <c r="AJ37" s="232">
        <f t="shared" si="51"/>
        <v>625.16998674285719</v>
      </c>
      <c r="AK37" s="233">
        <v>0.04</v>
      </c>
      <c r="AL37" s="234">
        <f t="shared" si="56"/>
        <v>951.40768032697792</v>
      </c>
      <c r="AM37" s="231">
        <v>0.01</v>
      </c>
      <c r="AN37" s="232">
        <f t="shared" si="57"/>
        <v>156.2924966857143</v>
      </c>
      <c r="AO37" s="233">
        <v>0.01</v>
      </c>
      <c r="AP37" s="234">
        <f t="shared" si="52"/>
        <v>237.85192008174448</v>
      </c>
      <c r="AQ37" s="231">
        <v>0.1</v>
      </c>
      <c r="AR37" s="232">
        <f t="shared" si="58"/>
        <v>1562.9249668571429</v>
      </c>
      <c r="AS37" s="233">
        <v>0.1</v>
      </c>
      <c r="AT37" s="234">
        <f t="shared" si="53"/>
        <v>2378.5192008174449</v>
      </c>
      <c r="AU37" s="231">
        <v>0.15640000000000001</v>
      </c>
      <c r="AV37" s="232">
        <f t="shared" si="54"/>
        <v>3524.2425723249303</v>
      </c>
      <c r="AW37" s="233">
        <v>0.19289999999999999</v>
      </c>
      <c r="AX37" s="234">
        <f t="shared" si="55"/>
        <v>4588.1635383768507</v>
      </c>
      <c r="AY37" s="235">
        <f t="shared" si="59"/>
        <v>22533.520283407481</v>
      </c>
      <c r="AZ37" s="234">
        <f t="shared" si="60"/>
        <v>23785.192008174447</v>
      </c>
      <c r="BA37" s="395">
        <f t="shared" si="32"/>
        <v>9200.8714329741942</v>
      </c>
    </row>
    <row r="38" spans="1:53" x14ac:dyDescent="0.25">
      <c r="A38" s="245" t="str">
        <f t="shared" si="29"/>
        <v/>
      </c>
      <c r="B38" s="248" t="str">
        <f>IF(Helexia!C38=0,"",Helexia!C38)</f>
        <v/>
      </c>
      <c r="C38" s="221" t="str">
        <f>IF(Helexia!G38=0,"",Helexia!G38)</f>
        <v/>
      </c>
      <c r="K38" s="228">
        <f t="shared" si="30"/>
        <v>0</v>
      </c>
      <c r="L38" s="243">
        <f t="shared" si="33"/>
        <v>0</v>
      </c>
      <c r="M38" s="229">
        <f t="shared" si="34"/>
        <v>0</v>
      </c>
      <c r="N38" s="229">
        <f t="shared" si="35"/>
        <v>0</v>
      </c>
      <c r="O38" s="229">
        <f t="shared" si="36"/>
        <v>0</v>
      </c>
      <c r="P38" s="226">
        <f t="shared" si="37"/>
        <v>0</v>
      </c>
      <c r="Q38" s="229">
        <f t="shared" si="38"/>
        <v>0</v>
      </c>
      <c r="R38" s="229">
        <f t="shared" si="39"/>
        <v>0</v>
      </c>
      <c r="S38" s="229">
        <f t="shared" si="40"/>
        <v>0</v>
      </c>
      <c r="T38" s="226">
        <v>0</v>
      </c>
      <c r="U38" s="226">
        <v>0</v>
      </c>
      <c r="V38" s="229">
        <f t="shared" si="31"/>
        <v>0</v>
      </c>
      <c r="W38" s="226">
        <f t="shared" si="41"/>
        <v>20.833333333333332</v>
      </c>
      <c r="X38" s="226">
        <f t="shared" si="9"/>
        <v>20.833333333333332</v>
      </c>
      <c r="Y38" s="226">
        <f t="shared" si="42"/>
        <v>18.75</v>
      </c>
      <c r="Z38" s="226">
        <f t="shared" si="43"/>
        <v>3.5714285714285716</v>
      </c>
      <c r="AA38" s="226">
        <f t="shared" si="44"/>
        <v>82.408333333333317</v>
      </c>
      <c r="AB38" s="226">
        <f t="shared" si="45"/>
        <v>87.916666666666657</v>
      </c>
      <c r="AC38" s="230">
        <f t="shared" si="46"/>
        <v>150</v>
      </c>
      <c r="AD38" s="226">
        <f t="shared" si="47"/>
        <v>66.666666666666671</v>
      </c>
      <c r="AE38" s="226">
        <f t="shared" si="48"/>
        <v>15</v>
      </c>
      <c r="AF38" s="226">
        <v>400</v>
      </c>
      <c r="AG38" s="229">
        <f t="shared" si="49"/>
        <v>865.97976190476197</v>
      </c>
      <c r="AH38" s="229">
        <f t="shared" si="50"/>
        <v>865.97976190476197</v>
      </c>
      <c r="AI38" s="231">
        <v>0.04</v>
      </c>
      <c r="AJ38" s="232">
        <f t="shared" si="51"/>
        <v>34.639190476190478</v>
      </c>
      <c r="AK38" s="233">
        <v>0.04</v>
      </c>
      <c r="AL38" s="234">
        <f t="shared" si="56"/>
        <v>52.715249545260207</v>
      </c>
      <c r="AM38" s="231">
        <v>0.01</v>
      </c>
      <c r="AN38" s="232">
        <f t="shared" si="57"/>
        <v>8.6597976190476196</v>
      </c>
      <c r="AO38" s="233">
        <v>0.01</v>
      </c>
      <c r="AP38" s="234">
        <f t="shared" si="52"/>
        <v>13.178812386315052</v>
      </c>
      <c r="AQ38" s="231">
        <v>0.1</v>
      </c>
      <c r="AR38" s="232">
        <f t="shared" si="58"/>
        <v>86.597976190476203</v>
      </c>
      <c r="AS38" s="233">
        <v>0.1</v>
      </c>
      <c r="AT38" s="234">
        <f t="shared" si="53"/>
        <v>131.7881238631505</v>
      </c>
      <c r="AU38" s="231">
        <v>0.15640000000000001</v>
      </c>
      <c r="AV38" s="232">
        <f t="shared" si="54"/>
        <v>195.26994631185812</v>
      </c>
      <c r="AW38" s="233">
        <v>0.19289999999999999</v>
      </c>
      <c r="AX38" s="234">
        <f t="shared" si="55"/>
        <v>254.21929093201732</v>
      </c>
      <c r="AY38" s="235">
        <f t="shared" si="59"/>
        <v>1248.5290684901413</v>
      </c>
      <c r="AZ38" s="234">
        <f t="shared" si="60"/>
        <v>1317.8812386315051</v>
      </c>
      <c r="BA38" s="395">
        <f t="shared" si="32"/>
        <v>615.47980703310247</v>
      </c>
    </row>
    <row r="39" spans="1:53" x14ac:dyDescent="0.25">
      <c r="A39" s="245" t="str">
        <f t="shared" si="29"/>
        <v/>
      </c>
      <c r="B39" s="220" t="str">
        <f>IF(Helexia!C39=0,"",Helexia!C39)</f>
        <v/>
      </c>
      <c r="C39" s="221" t="str">
        <f>IF(Helexia!G39=0,"",Helexia!G39)</f>
        <v/>
      </c>
      <c r="K39" s="228">
        <f t="shared" si="30"/>
        <v>0</v>
      </c>
      <c r="L39" s="243">
        <f t="shared" si="33"/>
        <v>0</v>
      </c>
      <c r="M39" s="229">
        <f t="shared" si="34"/>
        <v>0</v>
      </c>
      <c r="N39" s="229">
        <f t="shared" si="35"/>
        <v>0</v>
      </c>
      <c r="O39" s="229">
        <f t="shared" si="36"/>
        <v>0</v>
      </c>
      <c r="P39" s="226">
        <f t="shared" si="37"/>
        <v>0</v>
      </c>
      <c r="Q39" s="229">
        <f t="shared" si="38"/>
        <v>0</v>
      </c>
      <c r="R39" s="229">
        <f t="shared" si="39"/>
        <v>0</v>
      </c>
      <c r="S39" s="229">
        <f t="shared" si="40"/>
        <v>0</v>
      </c>
      <c r="T39" s="226">
        <v>0</v>
      </c>
      <c r="U39" s="226">
        <v>0</v>
      </c>
      <c r="V39" s="229">
        <f t="shared" si="31"/>
        <v>0</v>
      </c>
      <c r="W39" s="226">
        <f t="shared" si="41"/>
        <v>20.833333333333332</v>
      </c>
      <c r="X39" s="226">
        <f t="shared" si="9"/>
        <v>20.833333333333332</v>
      </c>
      <c r="Y39" s="226">
        <f t="shared" si="42"/>
        <v>18.75</v>
      </c>
      <c r="Z39" s="226">
        <f t="shared" si="43"/>
        <v>3.5714285714285716</v>
      </c>
      <c r="AA39" s="226">
        <f t="shared" si="44"/>
        <v>82.408333333333317</v>
      </c>
      <c r="AB39" s="226">
        <f t="shared" si="45"/>
        <v>87.916666666666657</v>
      </c>
      <c r="AC39" s="230">
        <f t="shared" si="46"/>
        <v>150</v>
      </c>
      <c r="AD39" s="226">
        <f t="shared" si="47"/>
        <v>66.666666666666671</v>
      </c>
      <c r="AE39" s="226">
        <f t="shared" si="48"/>
        <v>15</v>
      </c>
      <c r="AF39" s="226">
        <v>400</v>
      </c>
      <c r="AG39" s="229">
        <f t="shared" si="49"/>
        <v>865.97976190476197</v>
      </c>
      <c r="AH39" s="229">
        <f t="shared" si="50"/>
        <v>865.97976190476197</v>
      </c>
      <c r="AI39" s="231">
        <v>0.04</v>
      </c>
      <c r="AJ39" s="232">
        <f t="shared" si="51"/>
        <v>34.639190476190478</v>
      </c>
      <c r="AK39" s="233">
        <v>0.04</v>
      </c>
      <c r="AL39" s="234">
        <f t="shared" si="56"/>
        <v>52.715249545260207</v>
      </c>
      <c r="AM39" s="231">
        <v>0.01</v>
      </c>
      <c r="AN39" s="232">
        <f t="shared" si="57"/>
        <v>8.6597976190476196</v>
      </c>
      <c r="AO39" s="233">
        <v>0.01</v>
      </c>
      <c r="AP39" s="234">
        <f t="shared" si="52"/>
        <v>13.178812386315052</v>
      </c>
      <c r="AQ39" s="231">
        <v>0.1</v>
      </c>
      <c r="AR39" s="232">
        <f t="shared" si="58"/>
        <v>86.597976190476203</v>
      </c>
      <c r="AS39" s="233">
        <v>0.1</v>
      </c>
      <c r="AT39" s="234">
        <f t="shared" si="53"/>
        <v>131.7881238631505</v>
      </c>
      <c r="AU39" s="231">
        <v>0.15640000000000001</v>
      </c>
      <c r="AV39" s="232">
        <f t="shared" si="54"/>
        <v>195.26994631185812</v>
      </c>
      <c r="AW39" s="233">
        <v>0.19289999999999999</v>
      </c>
      <c r="AX39" s="234">
        <f t="shared" si="55"/>
        <v>254.21929093201732</v>
      </c>
      <c r="AY39" s="235">
        <f t="shared" si="59"/>
        <v>1248.5290684901413</v>
      </c>
      <c r="AZ39" s="234">
        <f t="shared" si="60"/>
        <v>1317.8812386315051</v>
      </c>
      <c r="BA39" s="395">
        <f t="shared" si="32"/>
        <v>615.47980703310247</v>
      </c>
    </row>
    <row r="40" spans="1:53" x14ac:dyDescent="0.25">
      <c r="A40" s="245" t="str">
        <f t="shared" si="29"/>
        <v/>
      </c>
      <c r="B40" s="248" t="str">
        <f>IF(Helexia!C40=0,"",Helexia!C40)</f>
        <v/>
      </c>
      <c r="C40" s="221" t="str">
        <f>IF(Helexia!G40=0,"",Helexia!G40)</f>
        <v/>
      </c>
      <c r="K40" s="228">
        <f t="shared" si="30"/>
        <v>0</v>
      </c>
      <c r="L40" s="243">
        <f t="shared" si="33"/>
        <v>0</v>
      </c>
      <c r="M40" s="229">
        <f t="shared" si="34"/>
        <v>0</v>
      </c>
      <c r="N40" s="229">
        <f t="shared" si="35"/>
        <v>0</v>
      </c>
      <c r="O40" s="229">
        <f t="shared" si="36"/>
        <v>0</v>
      </c>
      <c r="P40" s="226">
        <f t="shared" si="37"/>
        <v>0</v>
      </c>
      <c r="Q40" s="229">
        <f t="shared" si="38"/>
        <v>0</v>
      </c>
      <c r="R40" s="229">
        <f t="shared" si="39"/>
        <v>0</v>
      </c>
      <c r="S40" s="229">
        <f t="shared" si="40"/>
        <v>0</v>
      </c>
      <c r="T40" s="226">
        <v>0</v>
      </c>
      <c r="U40" s="226">
        <v>0</v>
      </c>
      <c r="V40" s="229">
        <f t="shared" si="31"/>
        <v>0</v>
      </c>
      <c r="W40" s="226">
        <f t="shared" si="41"/>
        <v>20.833333333333332</v>
      </c>
      <c r="X40" s="226">
        <f t="shared" si="9"/>
        <v>20.833333333333332</v>
      </c>
      <c r="Y40" s="226">
        <f t="shared" si="42"/>
        <v>18.75</v>
      </c>
      <c r="Z40" s="226">
        <f t="shared" si="43"/>
        <v>3.5714285714285716</v>
      </c>
      <c r="AA40" s="226">
        <f t="shared" si="44"/>
        <v>82.408333333333317</v>
      </c>
      <c r="AB40" s="226">
        <f t="shared" si="45"/>
        <v>87.916666666666657</v>
      </c>
      <c r="AC40" s="230">
        <f t="shared" si="46"/>
        <v>150</v>
      </c>
      <c r="AD40" s="226">
        <f t="shared" si="47"/>
        <v>66.666666666666671</v>
      </c>
      <c r="AE40" s="226">
        <f t="shared" si="48"/>
        <v>15</v>
      </c>
      <c r="AF40" s="226">
        <v>400</v>
      </c>
      <c r="AG40" s="229">
        <f t="shared" si="49"/>
        <v>865.97976190476197</v>
      </c>
      <c r="AH40" s="229">
        <f t="shared" si="50"/>
        <v>865.97976190476197</v>
      </c>
      <c r="AI40" s="231">
        <v>0.04</v>
      </c>
      <c r="AJ40" s="232">
        <f t="shared" si="51"/>
        <v>34.639190476190478</v>
      </c>
      <c r="AK40" s="233">
        <v>0.04</v>
      </c>
      <c r="AL40" s="234">
        <f t="shared" si="56"/>
        <v>52.715249545260207</v>
      </c>
      <c r="AM40" s="231">
        <v>0.01</v>
      </c>
      <c r="AN40" s="232">
        <f t="shared" si="57"/>
        <v>8.6597976190476196</v>
      </c>
      <c r="AO40" s="233">
        <v>0.01</v>
      </c>
      <c r="AP40" s="234">
        <f t="shared" si="52"/>
        <v>13.178812386315052</v>
      </c>
      <c r="AQ40" s="231">
        <v>0.1</v>
      </c>
      <c r="AR40" s="232">
        <f t="shared" si="58"/>
        <v>86.597976190476203</v>
      </c>
      <c r="AS40" s="233">
        <v>0.1</v>
      </c>
      <c r="AT40" s="234">
        <f t="shared" si="53"/>
        <v>131.7881238631505</v>
      </c>
      <c r="AU40" s="231">
        <v>0.15640000000000001</v>
      </c>
      <c r="AV40" s="232">
        <f t="shared" si="54"/>
        <v>195.26994631185812</v>
      </c>
      <c r="AW40" s="233">
        <v>0.19289999999999999</v>
      </c>
      <c r="AX40" s="234">
        <f t="shared" si="55"/>
        <v>254.21929093201732</v>
      </c>
      <c r="AY40" s="235">
        <f t="shared" si="59"/>
        <v>1248.5290684901413</v>
      </c>
      <c r="AZ40" s="234">
        <f t="shared" si="60"/>
        <v>1317.8812386315051</v>
      </c>
      <c r="BA40" s="395">
        <f t="shared" si="32"/>
        <v>615.47980703310247</v>
      </c>
    </row>
    <row r="41" spans="1:53" x14ac:dyDescent="0.25">
      <c r="A41" s="245" t="str">
        <f t="shared" si="29"/>
        <v/>
      </c>
      <c r="B41" s="220" t="str">
        <f>IF(Helexia!C41=0,"",Helexia!C41)</f>
        <v/>
      </c>
      <c r="C41" s="221" t="str">
        <f>IF(Helexia!G41=0,"",Helexia!G41)</f>
        <v/>
      </c>
      <c r="K41" s="228">
        <f t="shared" si="30"/>
        <v>0</v>
      </c>
      <c r="L41" s="243">
        <f t="shared" si="33"/>
        <v>0</v>
      </c>
      <c r="M41" s="229">
        <f t="shared" si="34"/>
        <v>0</v>
      </c>
      <c r="N41" s="229">
        <f t="shared" si="35"/>
        <v>0</v>
      </c>
      <c r="O41" s="229">
        <f t="shared" si="36"/>
        <v>0</v>
      </c>
      <c r="P41" s="226">
        <f t="shared" si="37"/>
        <v>0</v>
      </c>
      <c r="Q41" s="229">
        <f t="shared" si="38"/>
        <v>0</v>
      </c>
      <c r="R41" s="229">
        <f t="shared" si="39"/>
        <v>0</v>
      </c>
      <c r="S41" s="229">
        <f t="shared" si="40"/>
        <v>0</v>
      </c>
      <c r="T41" s="226">
        <v>0</v>
      </c>
      <c r="U41" s="226">
        <v>0</v>
      </c>
      <c r="V41" s="229">
        <f t="shared" si="31"/>
        <v>0</v>
      </c>
      <c r="W41" s="226">
        <f t="shared" si="41"/>
        <v>20.833333333333332</v>
      </c>
      <c r="X41" s="226">
        <f t="shared" si="9"/>
        <v>20.833333333333332</v>
      </c>
      <c r="Y41" s="226">
        <f t="shared" si="42"/>
        <v>18.75</v>
      </c>
      <c r="Z41" s="226">
        <f t="shared" si="43"/>
        <v>3.5714285714285716</v>
      </c>
      <c r="AA41" s="226">
        <f t="shared" si="44"/>
        <v>82.408333333333317</v>
      </c>
      <c r="AB41" s="226">
        <f t="shared" si="45"/>
        <v>87.916666666666657</v>
      </c>
      <c r="AC41" s="230">
        <f t="shared" si="46"/>
        <v>150</v>
      </c>
      <c r="AD41" s="226">
        <f t="shared" si="47"/>
        <v>66.666666666666671</v>
      </c>
      <c r="AE41" s="226">
        <f t="shared" si="48"/>
        <v>15</v>
      </c>
      <c r="AF41" s="226">
        <v>400</v>
      </c>
      <c r="AG41" s="229">
        <f t="shared" si="49"/>
        <v>865.97976190476197</v>
      </c>
      <c r="AH41" s="229">
        <f t="shared" si="50"/>
        <v>865.97976190476197</v>
      </c>
      <c r="AI41" s="231">
        <v>0.04</v>
      </c>
      <c r="AJ41" s="232">
        <f t="shared" si="51"/>
        <v>34.639190476190478</v>
      </c>
      <c r="AK41" s="233">
        <v>0.04</v>
      </c>
      <c r="AL41" s="234">
        <f t="shared" si="56"/>
        <v>52.715249545260207</v>
      </c>
      <c r="AM41" s="231">
        <v>0.01</v>
      </c>
      <c r="AN41" s="232">
        <f t="shared" si="57"/>
        <v>8.6597976190476196</v>
      </c>
      <c r="AO41" s="233">
        <v>0.01</v>
      </c>
      <c r="AP41" s="234">
        <f t="shared" si="52"/>
        <v>13.178812386315052</v>
      </c>
      <c r="AQ41" s="231">
        <v>0.1</v>
      </c>
      <c r="AR41" s="232">
        <f t="shared" si="58"/>
        <v>86.597976190476203</v>
      </c>
      <c r="AS41" s="233">
        <v>0.1</v>
      </c>
      <c r="AT41" s="234">
        <f t="shared" si="53"/>
        <v>131.7881238631505</v>
      </c>
      <c r="AU41" s="231">
        <v>0.15640000000000001</v>
      </c>
      <c r="AV41" s="232">
        <f t="shared" si="54"/>
        <v>195.26994631185812</v>
      </c>
      <c r="AW41" s="233">
        <v>0.19289999999999999</v>
      </c>
      <c r="AX41" s="234">
        <f t="shared" si="55"/>
        <v>254.21929093201732</v>
      </c>
      <c r="AY41" s="235">
        <f t="shared" si="59"/>
        <v>1248.5290684901413</v>
      </c>
      <c r="AZ41" s="234">
        <f t="shared" si="60"/>
        <v>1317.8812386315051</v>
      </c>
      <c r="BA41" s="395">
        <f t="shared" si="32"/>
        <v>615.47980703310247</v>
      </c>
    </row>
    <row r="42" spans="1:53" x14ac:dyDescent="0.25">
      <c r="A42" s="245" t="str">
        <f t="shared" si="29"/>
        <v/>
      </c>
      <c r="B42" s="248" t="str">
        <f>IF(Helexia!C42=0,"",Helexia!C42)</f>
        <v/>
      </c>
      <c r="C42" s="221" t="str">
        <f>IF(Helexia!G42=0,"",Helexia!G42)</f>
        <v/>
      </c>
      <c r="K42" s="228">
        <f t="shared" si="30"/>
        <v>0</v>
      </c>
      <c r="L42" s="243">
        <f t="shared" si="33"/>
        <v>0</v>
      </c>
      <c r="M42" s="229">
        <f t="shared" si="34"/>
        <v>0</v>
      </c>
      <c r="N42" s="229">
        <f t="shared" si="35"/>
        <v>0</v>
      </c>
      <c r="O42" s="229">
        <f t="shared" si="36"/>
        <v>0</v>
      </c>
      <c r="P42" s="226">
        <f t="shared" si="37"/>
        <v>0</v>
      </c>
      <c r="Q42" s="229">
        <f t="shared" si="38"/>
        <v>0</v>
      </c>
      <c r="R42" s="229">
        <f t="shared" si="39"/>
        <v>0</v>
      </c>
      <c r="S42" s="229">
        <f t="shared" si="40"/>
        <v>0</v>
      </c>
      <c r="T42" s="226">
        <v>0</v>
      </c>
      <c r="U42" s="226">
        <v>0</v>
      </c>
      <c r="V42" s="229">
        <f t="shared" si="31"/>
        <v>0</v>
      </c>
      <c r="W42" s="226">
        <f t="shared" si="41"/>
        <v>20.833333333333332</v>
      </c>
      <c r="X42" s="226">
        <f t="shared" si="9"/>
        <v>20.833333333333332</v>
      </c>
      <c r="Y42" s="226">
        <f t="shared" si="42"/>
        <v>18.75</v>
      </c>
      <c r="Z42" s="226">
        <f t="shared" si="43"/>
        <v>3.5714285714285716</v>
      </c>
      <c r="AA42" s="226">
        <f t="shared" si="44"/>
        <v>82.408333333333317</v>
      </c>
      <c r="AB42" s="226">
        <f t="shared" si="45"/>
        <v>87.916666666666657</v>
      </c>
      <c r="AC42" s="230">
        <f t="shared" si="46"/>
        <v>150</v>
      </c>
      <c r="AD42" s="226">
        <f t="shared" si="47"/>
        <v>66.666666666666671</v>
      </c>
      <c r="AE42" s="226">
        <f t="shared" si="48"/>
        <v>15</v>
      </c>
      <c r="AF42" s="226">
        <v>400</v>
      </c>
      <c r="AG42" s="229">
        <f t="shared" si="49"/>
        <v>865.97976190476197</v>
      </c>
      <c r="AH42" s="229">
        <f t="shared" si="50"/>
        <v>865.97976190476197</v>
      </c>
      <c r="AI42" s="231">
        <v>0.04</v>
      </c>
      <c r="AJ42" s="232">
        <f t="shared" si="51"/>
        <v>34.639190476190478</v>
      </c>
      <c r="AK42" s="233">
        <v>0.04</v>
      </c>
      <c r="AL42" s="234">
        <f t="shared" si="56"/>
        <v>52.715249545260207</v>
      </c>
      <c r="AM42" s="231">
        <v>0.01</v>
      </c>
      <c r="AN42" s="232">
        <f t="shared" si="57"/>
        <v>8.6597976190476196</v>
      </c>
      <c r="AO42" s="233">
        <v>0.01</v>
      </c>
      <c r="AP42" s="234">
        <f t="shared" si="52"/>
        <v>13.178812386315052</v>
      </c>
      <c r="AQ42" s="231">
        <v>0.1</v>
      </c>
      <c r="AR42" s="232">
        <f t="shared" si="58"/>
        <v>86.597976190476203</v>
      </c>
      <c r="AS42" s="233">
        <v>0.1</v>
      </c>
      <c r="AT42" s="234">
        <f t="shared" si="53"/>
        <v>131.7881238631505</v>
      </c>
      <c r="AU42" s="231">
        <v>0.15640000000000001</v>
      </c>
      <c r="AV42" s="232">
        <f t="shared" si="54"/>
        <v>195.26994631185812</v>
      </c>
      <c r="AW42" s="233">
        <v>0.19289999999999999</v>
      </c>
      <c r="AX42" s="234">
        <f t="shared" si="55"/>
        <v>254.21929093201732</v>
      </c>
      <c r="AY42" s="235">
        <f t="shared" si="59"/>
        <v>1248.5290684901413</v>
      </c>
      <c r="AZ42" s="234">
        <f t="shared" si="60"/>
        <v>1317.8812386315051</v>
      </c>
      <c r="BA42" s="395">
        <f t="shared" si="32"/>
        <v>615.47980703310247</v>
      </c>
    </row>
    <row r="43" spans="1:53" x14ac:dyDescent="0.25">
      <c r="A43" s="245" t="str">
        <f t="shared" si="29"/>
        <v/>
      </c>
      <c r="B43" s="220" t="str">
        <f>IF(Helexia!C43=0,"",Helexia!C43)</f>
        <v/>
      </c>
      <c r="C43" s="221" t="str">
        <f>IF(Helexia!G43=0,"",Helexia!G43)</f>
        <v/>
      </c>
      <c r="K43" s="228">
        <f t="shared" si="30"/>
        <v>0</v>
      </c>
      <c r="L43" s="243">
        <f t="shared" si="33"/>
        <v>0</v>
      </c>
      <c r="M43" s="229">
        <f t="shared" si="34"/>
        <v>0</v>
      </c>
      <c r="N43" s="229">
        <f t="shared" si="35"/>
        <v>0</v>
      </c>
      <c r="O43" s="229">
        <f t="shared" si="36"/>
        <v>0</v>
      </c>
      <c r="P43" s="226">
        <f t="shared" si="37"/>
        <v>0</v>
      </c>
      <c r="Q43" s="229">
        <f t="shared" si="38"/>
        <v>0</v>
      </c>
      <c r="R43" s="229">
        <f t="shared" si="39"/>
        <v>0</v>
      </c>
      <c r="S43" s="229">
        <f t="shared" si="40"/>
        <v>0</v>
      </c>
      <c r="T43" s="226">
        <v>0</v>
      </c>
      <c r="U43" s="226">
        <v>0</v>
      </c>
      <c r="V43" s="229">
        <f t="shared" si="31"/>
        <v>0</v>
      </c>
      <c r="W43" s="226">
        <f t="shared" si="41"/>
        <v>20.833333333333332</v>
      </c>
      <c r="X43" s="226">
        <f t="shared" si="9"/>
        <v>20.833333333333332</v>
      </c>
      <c r="Y43" s="226">
        <f t="shared" si="42"/>
        <v>18.75</v>
      </c>
      <c r="Z43" s="226">
        <f t="shared" si="43"/>
        <v>3.5714285714285716</v>
      </c>
      <c r="AA43" s="226">
        <f t="shared" si="44"/>
        <v>82.408333333333317</v>
      </c>
      <c r="AB43" s="226">
        <f t="shared" si="45"/>
        <v>87.916666666666657</v>
      </c>
      <c r="AC43" s="230">
        <f t="shared" si="46"/>
        <v>150</v>
      </c>
      <c r="AD43" s="226">
        <f t="shared" si="47"/>
        <v>66.666666666666671</v>
      </c>
      <c r="AE43" s="226">
        <f t="shared" si="48"/>
        <v>15</v>
      </c>
      <c r="AF43" s="226">
        <v>400</v>
      </c>
      <c r="AG43" s="229">
        <f t="shared" si="49"/>
        <v>865.97976190476197</v>
      </c>
      <c r="AH43" s="229">
        <f t="shared" si="50"/>
        <v>865.97976190476197</v>
      </c>
      <c r="AI43" s="231">
        <v>0.04</v>
      </c>
      <c r="AJ43" s="232">
        <f t="shared" si="51"/>
        <v>34.639190476190478</v>
      </c>
      <c r="AK43" s="233">
        <v>0.04</v>
      </c>
      <c r="AL43" s="234">
        <f t="shared" si="56"/>
        <v>52.715249545260207</v>
      </c>
      <c r="AM43" s="231">
        <v>0.01</v>
      </c>
      <c r="AN43" s="232">
        <f t="shared" si="57"/>
        <v>8.6597976190476196</v>
      </c>
      <c r="AO43" s="233">
        <v>0.01</v>
      </c>
      <c r="AP43" s="234">
        <f t="shared" si="52"/>
        <v>13.178812386315052</v>
      </c>
      <c r="AQ43" s="231">
        <v>0.1</v>
      </c>
      <c r="AR43" s="232">
        <f t="shared" si="58"/>
        <v>86.597976190476203</v>
      </c>
      <c r="AS43" s="233">
        <v>0.1</v>
      </c>
      <c r="AT43" s="234">
        <f t="shared" si="53"/>
        <v>131.7881238631505</v>
      </c>
      <c r="AU43" s="231">
        <v>0.15640000000000001</v>
      </c>
      <c r="AV43" s="232">
        <f t="shared" si="54"/>
        <v>195.26994631185812</v>
      </c>
      <c r="AW43" s="233">
        <v>0.19289999999999999</v>
      </c>
      <c r="AX43" s="234">
        <f t="shared" si="55"/>
        <v>254.21929093201732</v>
      </c>
      <c r="AY43" s="235">
        <f t="shared" si="59"/>
        <v>1248.5290684901413</v>
      </c>
      <c r="AZ43" s="234">
        <f t="shared" si="60"/>
        <v>1317.8812386315051</v>
      </c>
      <c r="BA43" s="395">
        <f t="shared" si="32"/>
        <v>615.47980703310247</v>
      </c>
    </row>
    <row r="44" spans="1:53" x14ac:dyDescent="0.25">
      <c r="A44" s="245" t="str">
        <f t="shared" si="29"/>
        <v/>
      </c>
      <c r="B44" s="248" t="str">
        <f>IF(Helexia!C44=0,"",Helexia!C44)</f>
        <v/>
      </c>
      <c r="C44" s="221" t="str">
        <f>IF(Helexia!G44=0,"",Helexia!G44)</f>
        <v/>
      </c>
      <c r="K44" s="228">
        <f t="shared" si="30"/>
        <v>0</v>
      </c>
      <c r="L44" s="243">
        <f t="shared" si="33"/>
        <v>0</v>
      </c>
      <c r="M44" s="229">
        <f t="shared" si="34"/>
        <v>0</v>
      </c>
      <c r="N44" s="229">
        <f t="shared" si="35"/>
        <v>0</v>
      </c>
      <c r="O44" s="229">
        <f t="shared" si="36"/>
        <v>0</v>
      </c>
      <c r="P44" s="226">
        <f t="shared" si="37"/>
        <v>0</v>
      </c>
      <c r="Q44" s="229">
        <f t="shared" si="38"/>
        <v>0</v>
      </c>
      <c r="R44" s="229">
        <f t="shared" si="39"/>
        <v>0</v>
      </c>
      <c r="S44" s="229">
        <f t="shared" si="40"/>
        <v>0</v>
      </c>
      <c r="T44" s="226">
        <v>0</v>
      </c>
      <c r="U44" s="226">
        <v>0</v>
      </c>
      <c r="V44" s="229">
        <f t="shared" si="31"/>
        <v>0</v>
      </c>
      <c r="W44" s="226">
        <f t="shared" si="41"/>
        <v>20.833333333333332</v>
      </c>
      <c r="X44" s="226">
        <f t="shared" si="9"/>
        <v>20.833333333333332</v>
      </c>
      <c r="Y44" s="226">
        <f t="shared" si="42"/>
        <v>18.75</v>
      </c>
      <c r="Z44" s="226">
        <f t="shared" si="43"/>
        <v>3.5714285714285716</v>
      </c>
      <c r="AA44" s="226">
        <f t="shared" si="44"/>
        <v>82.408333333333317</v>
      </c>
      <c r="AB44" s="226">
        <f t="shared" si="45"/>
        <v>87.916666666666657</v>
      </c>
      <c r="AC44" s="230">
        <f t="shared" si="46"/>
        <v>150</v>
      </c>
      <c r="AD44" s="226">
        <f t="shared" si="47"/>
        <v>66.666666666666671</v>
      </c>
      <c r="AE44" s="226">
        <f t="shared" si="48"/>
        <v>15</v>
      </c>
      <c r="AF44" s="226">
        <v>400</v>
      </c>
      <c r="AG44" s="229">
        <f t="shared" si="49"/>
        <v>865.97976190476197</v>
      </c>
      <c r="AH44" s="229">
        <f t="shared" si="50"/>
        <v>865.97976190476197</v>
      </c>
      <c r="AI44" s="231">
        <v>0.04</v>
      </c>
      <c r="AJ44" s="232">
        <f t="shared" si="51"/>
        <v>34.639190476190478</v>
      </c>
      <c r="AK44" s="233">
        <v>0.04</v>
      </c>
      <c r="AL44" s="234">
        <f t="shared" si="56"/>
        <v>52.715249545260207</v>
      </c>
      <c r="AM44" s="231">
        <v>0.01</v>
      </c>
      <c r="AN44" s="232">
        <f t="shared" si="57"/>
        <v>8.6597976190476196</v>
      </c>
      <c r="AO44" s="233">
        <v>0.01</v>
      </c>
      <c r="AP44" s="234">
        <f t="shared" si="52"/>
        <v>13.178812386315052</v>
      </c>
      <c r="AQ44" s="231">
        <v>0.1</v>
      </c>
      <c r="AR44" s="232">
        <f t="shared" si="58"/>
        <v>86.597976190476203</v>
      </c>
      <c r="AS44" s="233">
        <v>0.1</v>
      </c>
      <c r="AT44" s="234">
        <f t="shared" si="53"/>
        <v>131.7881238631505</v>
      </c>
      <c r="AU44" s="231">
        <v>0.15640000000000001</v>
      </c>
      <c r="AV44" s="232">
        <f t="shared" si="54"/>
        <v>195.26994631185812</v>
      </c>
      <c r="AW44" s="233">
        <v>0.19289999999999999</v>
      </c>
      <c r="AX44" s="234">
        <f t="shared" si="55"/>
        <v>254.21929093201732</v>
      </c>
      <c r="AY44" s="235">
        <f t="shared" si="59"/>
        <v>1248.5290684901413</v>
      </c>
      <c r="AZ44" s="234">
        <f t="shared" si="60"/>
        <v>1317.8812386315051</v>
      </c>
      <c r="BA44" s="395">
        <f t="shared" si="32"/>
        <v>615.47980703310247</v>
      </c>
    </row>
    <row r="45" spans="1:53" x14ac:dyDescent="0.25">
      <c r="A45" s="245" t="str">
        <f t="shared" si="29"/>
        <v/>
      </c>
      <c r="B45" s="220" t="str">
        <f>IF(Helexia!C45=0,"",Helexia!C45)</f>
        <v/>
      </c>
      <c r="C45" s="221" t="str">
        <f>IF(Helexia!G45=0,"",Helexia!G45)</f>
        <v/>
      </c>
      <c r="K45" s="228">
        <f t="shared" si="30"/>
        <v>0</v>
      </c>
      <c r="L45" s="243">
        <f t="shared" si="33"/>
        <v>0</v>
      </c>
      <c r="M45" s="229">
        <f t="shared" si="34"/>
        <v>0</v>
      </c>
      <c r="N45" s="229">
        <f t="shared" si="35"/>
        <v>0</v>
      </c>
      <c r="O45" s="229">
        <f t="shared" si="36"/>
        <v>0</v>
      </c>
      <c r="P45" s="226">
        <f t="shared" si="37"/>
        <v>0</v>
      </c>
      <c r="Q45" s="229">
        <f t="shared" si="38"/>
        <v>0</v>
      </c>
      <c r="R45" s="229">
        <f t="shared" si="39"/>
        <v>0</v>
      </c>
      <c r="S45" s="229">
        <f t="shared" si="40"/>
        <v>0</v>
      </c>
      <c r="T45" s="226">
        <v>0</v>
      </c>
      <c r="U45" s="226">
        <v>0</v>
      </c>
      <c r="V45" s="229">
        <f t="shared" si="31"/>
        <v>0</v>
      </c>
      <c r="W45" s="226">
        <f t="shared" si="41"/>
        <v>20.833333333333332</v>
      </c>
      <c r="X45" s="226">
        <f t="shared" si="9"/>
        <v>20.833333333333332</v>
      </c>
      <c r="Y45" s="226">
        <f t="shared" si="42"/>
        <v>18.75</v>
      </c>
      <c r="Z45" s="226">
        <f t="shared" si="43"/>
        <v>3.5714285714285716</v>
      </c>
      <c r="AA45" s="226">
        <f t="shared" si="44"/>
        <v>82.408333333333317</v>
      </c>
      <c r="AB45" s="226">
        <f t="shared" si="45"/>
        <v>87.916666666666657</v>
      </c>
      <c r="AC45" s="230">
        <f t="shared" si="46"/>
        <v>150</v>
      </c>
      <c r="AD45" s="226">
        <f t="shared" si="47"/>
        <v>66.666666666666671</v>
      </c>
      <c r="AE45" s="226">
        <f t="shared" si="48"/>
        <v>15</v>
      </c>
      <c r="AF45" s="226">
        <v>400</v>
      </c>
      <c r="AG45" s="229">
        <f t="shared" si="49"/>
        <v>865.97976190476197</v>
      </c>
      <c r="AH45" s="229">
        <f t="shared" si="50"/>
        <v>865.97976190476197</v>
      </c>
      <c r="AI45" s="231">
        <v>0.04</v>
      </c>
      <c r="AJ45" s="232">
        <f t="shared" si="51"/>
        <v>34.639190476190478</v>
      </c>
      <c r="AK45" s="233">
        <v>0.04</v>
      </c>
      <c r="AL45" s="234">
        <f t="shared" si="56"/>
        <v>52.715249545260207</v>
      </c>
      <c r="AM45" s="231">
        <v>0.01</v>
      </c>
      <c r="AN45" s="232">
        <f t="shared" si="57"/>
        <v>8.6597976190476196</v>
      </c>
      <c r="AO45" s="233">
        <v>0.01</v>
      </c>
      <c r="AP45" s="234">
        <f t="shared" si="52"/>
        <v>13.178812386315052</v>
      </c>
      <c r="AQ45" s="231">
        <v>0.1</v>
      </c>
      <c r="AR45" s="232">
        <f t="shared" si="58"/>
        <v>86.597976190476203</v>
      </c>
      <c r="AS45" s="233">
        <v>0.1</v>
      </c>
      <c r="AT45" s="234">
        <f t="shared" si="53"/>
        <v>131.7881238631505</v>
      </c>
      <c r="AU45" s="231">
        <v>0.15640000000000001</v>
      </c>
      <c r="AV45" s="232">
        <f t="shared" si="54"/>
        <v>195.26994631185812</v>
      </c>
      <c r="AW45" s="233">
        <v>0.19289999999999999</v>
      </c>
      <c r="AX45" s="234">
        <f t="shared" si="55"/>
        <v>254.21929093201732</v>
      </c>
      <c r="AY45" s="235">
        <f t="shared" si="59"/>
        <v>1248.5290684901413</v>
      </c>
      <c r="AZ45" s="234">
        <f t="shared" si="60"/>
        <v>1317.8812386315051</v>
      </c>
      <c r="BA45" s="395">
        <f t="shared" si="32"/>
        <v>615.47980703310247</v>
      </c>
    </row>
    <row r="46" spans="1:53" x14ac:dyDescent="0.25">
      <c r="A46" s="245" t="str">
        <f t="shared" si="29"/>
        <v/>
      </c>
      <c r="B46" s="248" t="str">
        <f>IF(Helexia!C46=0,"",Helexia!C46)</f>
        <v/>
      </c>
      <c r="C46" s="221" t="str">
        <f>IF(Helexia!G46=0,"",Helexia!G46)</f>
        <v/>
      </c>
      <c r="K46" s="228">
        <f t="shared" si="30"/>
        <v>0</v>
      </c>
      <c r="L46" s="243">
        <f t="shared" si="33"/>
        <v>0</v>
      </c>
      <c r="M46" s="229">
        <f t="shared" si="34"/>
        <v>0</v>
      </c>
      <c r="N46" s="229">
        <f t="shared" si="35"/>
        <v>0</v>
      </c>
      <c r="O46" s="229">
        <f t="shared" si="36"/>
        <v>0</v>
      </c>
      <c r="P46" s="226">
        <f t="shared" si="37"/>
        <v>0</v>
      </c>
      <c r="Q46" s="229">
        <f t="shared" si="38"/>
        <v>0</v>
      </c>
      <c r="R46" s="229">
        <f t="shared" si="39"/>
        <v>0</v>
      </c>
      <c r="S46" s="229">
        <f t="shared" si="40"/>
        <v>0</v>
      </c>
      <c r="T46" s="226">
        <v>0</v>
      </c>
      <c r="U46" s="226">
        <v>0</v>
      </c>
      <c r="V46" s="229">
        <f t="shared" si="31"/>
        <v>0</v>
      </c>
      <c r="W46" s="226">
        <f t="shared" si="41"/>
        <v>20.833333333333332</v>
      </c>
      <c r="X46" s="226">
        <f t="shared" si="9"/>
        <v>20.833333333333332</v>
      </c>
      <c r="Y46" s="226">
        <f t="shared" si="42"/>
        <v>18.75</v>
      </c>
      <c r="Z46" s="226">
        <f t="shared" si="43"/>
        <v>3.5714285714285716</v>
      </c>
      <c r="AA46" s="226">
        <f t="shared" si="44"/>
        <v>82.408333333333317</v>
      </c>
      <c r="AB46" s="226">
        <f t="shared" si="45"/>
        <v>87.916666666666657</v>
      </c>
      <c r="AC46" s="230">
        <f t="shared" si="46"/>
        <v>150</v>
      </c>
      <c r="AD46" s="226">
        <f t="shared" si="47"/>
        <v>66.666666666666671</v>
      </c>
      <c r="AE46" s="226">
        <f t="shared" si="48"/>
        <v>15</v>
      </c>
      <c r="AF46" s="226">
        <v>400</v>
      </c>
      <c r="AG46" s="229">
        <f t="shared" si="49"/>
        <v>865.97976190476197</v>
      </c>
      <c r="AH46" s="229">
        <f t="shared" si="50"/>
        <v>865.97976190476197</v>
      </c>
      <c r="AI46" s="231">
        <v>0.04</v>
      </c>
      <c r="AJ46" s="232">
        <f t="shared" si="51"/>
        <v>34.639190476190478</v>
      </c>
      <c r="AK46" s="233">
        <v>0.04</v>
      </c>
      <c r="AL46" s="234">
        <f t="shared" si="56"/>
        <v>52.715249545260207</v>
      </c>
      <c r="AM46" s="231">
        <v>0.01</v>
      </c>
      <c r="AN46" s="232">
        <f t="shared" si="57"/>
        <v>8.6597976190476196</v>
      </c>
      <c r="AO46" s="233">
        <v>0.01</v>
      </c>
      <c r="AP46" s="234">
        <f t="shared" si="52"/>
        <v>13.178812386315052</v>
      </c>
      <c r="AQ46" s="231">
        <v>0.1</v>
      </c>
      <c r="AR46" s="232">
        <f t="shared" si="58"/>
        <v>86.597976190476203</v>
      </c>
      <c r="AS46" s="233">
        <v>0.1</v>
      </c>
      <c r="AT46" s="234">
        <f t="shared" si="53"/>
        <v>131.7881238631505</v>
      </c>
      <c r="AU46" s="231">
        <v>0.15640000000000001</v>
      </c>
      <c r="AV46" s="232">
        <f t="shared" si="54"/>
        <v>195.26994631185812</v>
      </c>
      <c r="AW46" s="233">
        <v>0.19289999999999999</v>
      </c>
      <c r="AX46" s="234">
        <f t="shared" si="55"/>
        <v>254.21929093201732</v>
      </c>
      <c r="AY46" s="235">
        <f t="shared" si="59"/>
        <v>1248.5290684901413</v>
      </c>
      <c r="AZ46" s="234">
        <f t="shared" si="60"/>
        <v>1317.8812386315051</v>
      </c>
      <c r="BA46" s="395">
        <f t="shared" si="32"/>
        <v>615.47980703310247</v>
      </c>
    </row>
    <row r="47" spans="1:53" x14ac:dyDescent="0.25">
      <c r="A47" s="245" t="str">
        <f t="shared" si="29"/>
        <v/>
      </c>
      <c r="B47" s="220" t="str">
        <f>IF(Helexia!C47=0,"",Helexia!C47)</f>
        <v/>
      </c>
      <c r="C47" s="221" t="str">
        <f>IF(Helexia!G47=0,"",Helexia!G47)</f>
        <v/>
      </c>
      <c r="K47" s="228">
        <f t="shared" si="30"/>
        <v>0</v>
      </c>
      <c r="L47" s="243">
        <f t="shared" si="33"/>
        <v>0</v>
      </c>
      <c r="M47" s="229">
        <f t="shared" si="34"/>
        <v>0</v>
      </c>
      <c r="N47" s="229">
        <f t="shared" si="35"/>
        <v>0</v>
      </c>
      <c r="O47" s="229">
        <f t="shared" si="36"/>
        <v>0</v>
      </c>
      <c r="P47" s="226">
        <f t="shared" si="37"/>
        <v>0</v>
      </c>
      <c r="Q47" s="229">
        <f t="shared" si="38"/>
        <v>0</v>
      </c>
      <c r="R47" s="229">
        <f t="shared" si="39"/>
        <v>0</v>
      </c>
      <c r="S47" s="229">
        <f t="shared" si="40"/>
        <v>0</v>
      </c>
      <c r="T47" s="226">
        <v>0</v>
      </c>
      <c r="U47" s="226">
        <v>0</v>
      </c>
      <c r="V47" s="229">
        <f t="shared" si="31"/>
        <v>0</v>
      </c>
      <c r="W47" s="226">
        <f t="shared" si="41"/>
        <v>20.833333333333332</v>
      </c>
      <c r="X47" s="226">
        <f t="shared" si="9"/>
        <v>20.833333333333332</v>
      </c>
      <c r="Y47" s="226">
        <f t="shared" si="42"/>
        <v>18.75</v>
      </c>
      <c r="Z47" s="226">
        <f t="shared" si="43"/>
        <v>3.5714285714285716</v>
      </c>
      <c r="AA47" s="226">
        <f t="shared" si="44"/>
        <v>82.408333333333317</v>
      </c>
      <c r="AB47" s="226">
        <f t="shared" si="45"/>
        <v>87.916666666666657</v>
      </c>
      <c r="AC47" s="230">
        <f t="shared" si="46"/>
        <v>150</v>
      </c>
      <c r="AD47" s="226">
        <f t="shared" si="47"/>
        <v>66.666666666666671</v>
      </c>
      <c r="AE47" s="226">
        <f t="shared" si="48"/>
        <v>15</v>
      </c>
      <c r="AF47" s="226">
        <v>400</v>
      </c>
      <c r="AG47" s="229">
        <f t="shared" si="49"/>
        <v>865.97976190476197</v>
      </c>
      <c r="AH47" s="229">
        <f t="shared" si="50"/>
        <v>865.97976190476197</v>
      </c>
      <c r="AI47" s="231">
        <v>0.04</v>
      </c>
      <c r="AJ47" s="232">
        <f t="shared" si="51"/>
        <v>34.639190476190478</v>
      </c>
      <c r="AK47" s="233">
        <v>0.04</v>
      </c>
      <c r="AL47" s="234">
        <f t="shared" si="56"/>
        <v>52.715249545260207</v>
      </c>
      <c r="AM47" s="231">
        <v>0.01</v>
      </c>
      <c r="AN47" s="232">
        <f t="shared" si="57"/>
        <v>8.6597976190476196</v>
      </c>
      <c r="AO47" s="233">
        <v>0.01</v>
      </c>
      <c r="AP47" s="234">
        <f t="shared" si="52"/>
        <v>13.178812386315052</v>
      </c>
      <c r="AQ47" s="231">
        <v>0.1</v>
      </c>
      <c r="AR47" s="232">
        <f t="shared" si="58"/>
        <v>86.597976190476203</v>
      </c>
      <c r="AS47" s="233">
        <v>0.1</v>
      </c>
      <c r="AT47" s="234">
        <f t="shared" si="53"/>
        <v>131.7881238631505</v>
      </c>
      <c r="AU47" s="231">
        <v>0.15640000000000001</v>
      </c>
      <c r="AV47" s="232">
        <f t="shared" si="54"/>
        <v>195.26994631185812</v>
      </c>
      <c r="AW47" s="233">
        <v>0.19289999999999999</v>
      </c>
      <c r="AX47" s="234">
        <f t="shared" si="55"/>
        <v>254.21929093201732</v>
      </c>
      <c r="AY47" s="235">
        <f t="shared" si="59"/>
        <v>1248.5290684901413</v>
      </c>
      <c r="AZ47" s="234">
        <f t="shared" si="60"/>
        <v>1317.8812386315051</v>
      </c>
      <c r="BA47" s="395">
        <f t="shared" si="32"/>
        <v>615.47980703310247</v>
      </c>
    </row>
    <row r="48" spans="1:53" x14ac:dyDescent="0.25">
      <c r="A48" s="245" t="str">
        <f t="shared" si="29"/>
        <v/>
      </c>
      <c r="B48" s="248" t="str">
        <f>IF(Helexia!C48=0,"",Helexia!C48)</f>
        <v/>
      </c>
      <c r="C48" s="221" t="str">
        <f>IF(Helexia!G48=0,"",Helexia!G48)</f>
        <v/>
      </c>
      <c r="K48" s="228">
        <f t="shared" si="30"/>
        <v>0</v>
      </c>
      <c r="L48" s="243">
        <f t="shared" si="33"/>
        <v>0</v>
      </c>
      <c r="M48" s="229">
        <f t="shared" si="34"/>
        <v>0</v>
      </c>
      <c r="N48" s="229">
        <f t="shared" si="35"/>
        <v>0</v>
      </c>
      <c r="O48" s="229">
        <f t="shared" si="36"/>
        <v>0</v>
      </c>
      <c r="P48" s="226">
        <f t="shared" si="37"/>
        <v>0</v>
      </c>
      <c r="Q48" s="229">
        <f t="shared" si="38"/>
        <v>0</v>
      </c>
      <c r="R48" s="229">
        <f t="shared" si="39"/>
        <v>0</v>
      </c>
      <c r="S48" s="229">
        <f t="shared" si="40"/>
        <v>0</v>
      </c>
      <c r="T48" s="226">
        <v>0</v>
      </c>
      <c r="U48" s="226">
        <v>0</v>
      </c>
      <c r="V48" s="229">
        <f t="shared" si="31"/>
        <v>0</v>
      </c>
      <c r="W48" s="226">
        <f t="shared" si="41"/>
        <v>20.833333333333332</v>
      </c>
      <c r="X48" s="226">
        <f t="shared" si="9"/>
        <v>20.833333333333332</v>
      </c>
      <c r="Y48" s="226">
        <f t="shared" si="42"/>
        <v>18.75</v>
      </c>
      <c r="Z48" s="226">
        <f t="shared" si="43"/>
        <v>3.5714285714285716</v>
      </c>
      <c r="AA48" s="226">
        <f t="shared" si="44"/>
        <v>82.408333333333317</v>
      </c>
      <c r="AB48" s="226">
        <f t="shared" si="45"/>
        <v>87.916666666666657</v>
      </c>
      <c r="AC48" s="230">
        <f t="shared" si="46"/>
        <v>150</v>
      </c>
      <c r="AD48" s="226">
        <f t="shared" si="47"/>
        <v>66.666666666666671</v>
      </c>
      <c r="AE48" s="226">
        <f t="shared" si="48"/>
        <v>15</v>
      </c>
      <c r="AF48" s="226">
        <v>400</v>
      </c>
      <c r="AG48" s="229">
        <f t="shared" si="49"/>
        <v>865.97976190476197</v>
      </c>
      <c r="AH48" s="229">
        <f t="shared" si="50"/>
        <v>865.97976190476197</v>
      </c>
      <c r="AI48" s="231">
        <v>0.04</v>
      </c>
      <c r="AJ48" s="232">
        <f t="shared" si="51"/>
        <v>34.639190476190478</v>
      </c>
      <c r="AK48" s="233">
        <v>0.04</v>
      </c>
      <c r="AL48" s="234">
        <f t="shared" si="56"/>
        <v>52.715249545260207</v>
      </c>
      <c r="AM48" s="231">
        <v>0.01</v>
      </c>
      <c r="AN48" s="232">
        <f t="shared" si="57"/>
        <v>8.6597976190476196</v>
      </c>
      <c r="AO48" s="233">
        <v>0.01</v>
      </c>
      <c r="AP48" s="234">
        <f t="shared" si="52"/>
        <v>13.178812386315052</v>
      </c>
      <c r="AQ48" s="231">
        <v>0.1</v>
      </c>
      <c r="AR48" s="232">
        <f t="shared" si="58"/>
        <v>86.597976190476203</v>
      </c>
      <c r="AS48" s="233">
        <v>0.1</v>
      </c>
      <c r="AT48" s="234">
        <f t="shared" si="53"/>
        <v>131.7881238631505</v>
      </c>
      <c r="AU48" s="231">
        <v>0.15640000000000001</v>
      </c>
      <c r="AV48" s="232">
        <f t="shared" si="54"/>
        <v>195.26994631185812</v>
      </c>
      <c r="AW48" s="233">
        <v>0.19289999999999999</v>
      </c>
      <c r="AX48" s="234">
        <f t="shared" si="55"/>
        <v>254.21929093201732</v>
      </c>
      <c r="AY48" s="235">
        <f t="shared" si="59"/>
        <v>1248.5290684901413</v>
      </c>
      <c r="AZ48" s="234">
        <f t="shared" si="60"/>
        <v>1317.8812386315051</v>
      </c>
      <c r="BA48" s="395">
        <f t="shared" si="32"/>
        <v>615.47980703310247</v>
      </c>
    </row>
    <row r="49" spans="1:53" x14ac:dyDescent="0.25">
      <c r="A49" s="245" t="str">
        <f t="shared" si="29"/>
        <v/>
      </c>
      <c r="B49" s="220" t="str">
        <f>IF(Helexia!C49=0,"",Helexia!C49)</f>
        <v/>
      </c>
      <c r="C49" s="221" t="str">
        <f>IF(Helexia!G49=0,"",Helexia!G49)</f>
        <v/>
      </c>
      <c r="K49" s="228">
        <f t="shared" si="30"/>
        <v>0</v>
      </c>
      <c r="L49" s="243">
        <f t="shared" si="33"/>
        <v>0</v>
      </c>
      <c r="M49" s="229">
        <f t="shared" si="34"/>
        <v>0</v>
      </c>
      <c r="N49" s="229">
        <f t="shared" si="35"/>
        <v>0</v>
      </c>
      <c r="O49" s="229">
        <f t="shared" si="36"/>
        <v>0</v>
      </c>
      <c r="P49" s="226">
        <f t="shared" si="37"/>
        <v>0</v>
      </c>
      <c r="Q49" s="229">
        <f t="shared" si="38"/>
        <v>0</v>
      </c>
      <c r="R49" s="229">
        <f t="shared" si="39"/>
        <v>0</v>
      </c>
      <c r="S49" s="229">
        <f t="shared" si="40"/>
        <v>0</v>
      </c>
      <c r="T49" s="226">
        <v>0</v>
      </c>
      <c r="U49" s="226">
        <v>0</v>
      </c>
      <c r="V49" s="229">
        <f t="shared" si="31"/>
        <v>0</v>
      </c>
      <c r="W49" s="226">
        <f t="shared" si="41"/>
        <v>20.833333333333332</v>
      </c>
      <c r="X49" s="226">
        <f t="shared" si="9"/>
        <v>20.833333333333332</v>
      </c>
      <c r="Y49" s="226">
        <f t="shared" si="42"/>
        <v>18.75</v>
      </c>
      <c r="Z49" s="226">
        <f t="shared" si="43"/>
        <v>3.5714285714285716</v>
      </c>
      <c r="AA49" s="226">
        <f t="shared" si="44"/>
        <v>82.408333333333317</v>
      </c>
      <c r="AB49" s="226">
        <f t="shared" si="45"/>
        <v>87.916666666666657</v>
      </c>
      <c r="AC49" s="230">
        <f t="shared" si="46"/>
        <v>150</v>
      </c>
      <c r="AD49" s="226">
        <f t="shared" si="47"/>
        <v>66.666666666666671</v>
      </c>
      <c r="AE49" s="226">
        <f t="shared" si="48"/>
        <v>15</v>
      </c>
      <c r="AF49" s="226">
        <v>400</v>
      </c>
      <c r="AG49" s="229">
        <f t="shared" si="49"/>
        <v>865.97976190476197</v>
      </c>
      <c r="AH49" s="229">
        <f t="shared" si="50"/>
        <v>865.97976190476197</v>
      </c>
      <c r="AI49" s="231">
        <v>0.04</v>
      </c>
      <c r="AJ49" s="232">
        <f t="shared" si="51"/>
        <v>34.639190476190478</v>
      </c>
      <c r="AK49" s="233">
        <v>0.04</v>
      </c>
      <c r="AL49" s="234">
        <f t="shared" si="56"/>
        <v>52.715249545260207</v>
      </c>
      <c r="AM49" s="231">
        <v>0.01</v>
      </c>
      <c r="AN49" s="232">
        <f t="shared" si="57"/>
        <v>8.6597976190476196</v>
      </c>
      <c r="AO49" s="233">
        <v>0.01</v>
      </c>
      <c r="AP49" s="234">
        <f t="shared" si="52"/>
        <v>13.178812386315052</v>
      </c>
      <c r="AQ49" s="231">
        <v>0.1</v>
      </c>
      <c r="AR49" s="232">
        <f t="shared" si="58"/>
        <v>86.597976190476203</v>
      </c>
      <c r="AS49" s="233">
        <v>0.1</v>
      </c>
      <c r="AT49" s="234">
        <f t="shared" si="53"/>
        <v>131.7881238631505</v>
      </c>
      <c r="AU49" s="231">
        <v>0.15640000000000001</v>
      </c>
      <c r="AV49" s="232">
        <f t="shared" si="54"/>
        <v>195.26994631185812</v>
      </c>
      <c r="AW49" s="233">
        <v>0.19289999999999999</v>
      </c>
      <c r="AX49" s="234">
        <f t="shared" si="55"/>
        <v>254.21929093201732</v>
      </c>
      <c r="AY49" s="235">
        <f t="shared" si="59"/>
        <v>1248.5290684901413</v>
      </c>
      <c r="AZ49" s="234">
        <f t="shared" si="60"/>
        <v>1317.8812386315051</v>
      </c>
      <c r="BA49" s="395">
        <f t="shared" si="32"/>
        <v>615.47980703310247</v>
      </c>
    </row>
    <row r="50" spans="1:53" x14ac:dyDescent="0.25">
      <c r="A50" s="245" t="str">
        <f t="shared" si="29"/>
        <v/>
      </c>
      <c r="B50" s="248" t="str">
        <f>IF(Helexia!C50=0,"",Helexia!C50)</f>
        <v/>
      </c>
      <c r="C50" s="221" t="str">
        <f>IF(Helexia!G50=0,"",Helexia!G50)</f>
        <v/>
      </c>
      <c r="K50" s="228">
        <f t="shared" si="30"/>
        <v>0</v>
      </c>
      <c r="L50" s="243">
        <f t="shared" si="33"/>
        <v>0</v>
      </c>
      <c r="M50" s="229">
        <f t="shared" si="34"/>
        <v>0</v>
      </c>
      <c r="N50" s="229">
        <f t="shared" si="35"/>
        <v>0</v>
      </c>
      <c r="O50" s="229">
        <f t="shared" si="36"/>
        <v>0</v>
      </c>
      <c r="P50" s="226">
        <f t="shared" si="37"/>
        <v>0</v>
      </c>
      <c r="Q50" s="229">
        <f t="shared" si="38"/>
        <v>0</v>
      </c>
      <c r="R50" s="229">
        <f t="shared" si="39"/>
        <v>0</v>
      </c>
      <c r="S50" s="229">
        <f t="shared" si="40"/>
        <v>0</v>
      </c>
      <c r="T50" s="226">
        <v>0</v>
      </c>
      <c r="U50" s="226">
        <v>0</v>
      </c>
      <c r="V50" s="229">
        <f t="shared" si="31"/>
        <v>0</v>
      </c>
      <c r="W50" s="226">
        <f t="shared" si="41"/>
        <v>20.833333333333332</v>
      </c>
      <c r="X50" s="226">
        <f t="shared" si="9"/>
        <v>20.833333333333332</v>
      </c>
      <c r="Y50" s="226">
        <f t="shared" si="42"/>
        <v>18.75</v>
      </c>
      <c r="Z50" s="226">
        <f t="shared" si="43"/>
        <v>3.5714285714285716</v>
      </c>
      <c r="AA50" s="226">
        <f t="shared" si="44"/>
        <v>82.408333333333317</v>
      </c>
      <c r="AB50" s="226">
        <f t="shared" si="45"/>
        <v>87.916666666666657</v>
      </c>
      <c r="AC50" s="230">
        <f t="shared" si="46"/>
        <v>150</v>
      </c>
      <c r="AD50" s="226">
        <f t="shared" si="47"/>
        <v>66.666666666666671</v>
      </c>
      <c r="AE50" s="226">
        <f t="shared" si="48"/>
        <v>15</v>
      </c>
      <c r="AF50" s="226">
        <v>400</v>
      </c>
      <c r="AG50" s="229">
        <f t="shared" si="49"/>
        <v>865.97976190476197</v>
      </c>
      <c r="AH50" s="229">
        <f t="shared" si="50"/>
        <v>865.97976190476197</v>
      </c>
      <c r="AI50" s="231">
        <v>0.04</v>
      </c>
      <c r="AJ50" s="232">
        <f t="shared" si="51"/>
        <v>34.639190476190478</v>
      </c>
      <c r="AK50" s="233">
        <v>0.04</v>
      </c>
      <c r="AL50" s="234">
        <f t="shared" si="56"/>
        <v>52.715249545260207</v>
      </c>
      <c r="AM50" s="231">
        <v>0.01</v>
      </c>
      <c r="AN50" s="232">
        <f t="shared" si="57"/>
        <v>8.6597976190476196</v>
      </c>
      <c r="AO50" s="233">
        <v>0.01</v>
      </c>
      <c r="AP50" s="234">
        <f t="shared" si="52"/>
        <v>13.178812386315052</v>
      </c>
      <c r="AQ50" s="231">
        <v>0.1</v>
      </c>
      <c r="AR50" s="232">
        <f t="shared" si="58"/>
        <v>86.597976190476203</v>
      </c>
      <c r="AS50" s="233">
        <v>0.1</v>
      </c>
      <c r="AT50" s="234">
        <f t="shared" si="53"/>
        <v>131.7881238631505</v>
      </c>
      <c r="AU50" s="231">
        <v>0.15640000000000001</v>
      </c>
      <c r="AV50" s="232">
        <f t="shared" si="54"/>
        <v>195.26994631185812</v>
      </c>
      <c r="AW50" s="233">
        <v>0.19289999999999999</v>
      </c>
      <c r="AX50" s="234">
        <f t="shared" si="55"/>
        <v>254.21929093201732</v>
      </c>
      <c r="AY50" s="235">
        <f t="shared" si="59"/>
        <v>1248.5290684901413</v>
      </c>
      <c r="AZ50" s="234">
        <f t="shared" si="60"/>
        <v>1317.8812386315051</v>
      </c>
      <c r="BA50" s="395">
        <f t="shared" si="32"/>
        <v>615.47980703310247</v>
      </c>
    </row>
    <row r="51" spans="1:53" x14ac:dyDescent="0.25">
      <c r="A51" s="245" t="str">
        <f t="shared" si="29"/>
        <v/>
      </c>
      <c r="B51" s="220" t="str">
        <f>IF(Helexia!C51=0,"",Helexia!C51)</f>
        <v/>
      </c>
      <c r="C51" s="221" t="str">
        <f>IF(Helexia!G51=0,"",Helexia!G51)</f>
        <v/>
      </c>
      <c r="K51" s="228">
        <f t="shared" ref="K51" si="61">D51</f>
        <v>0</v>
      </c>
      <c r="L51" s="243">
        <f t="shared" ref="L51" si="62">K51 * 0.3</f>
        <v>0</v>
      </c>
      <c r="M51" s="229">
        <f t="shared" ref="M51" si="63">K51+L51</f>
        <v>0</v>
      </c>
      <c r="N51" s="229">
        <f t="shared" ref="N51" si="64">M51 * 35.3%</f>
        <v>0</v>
      </c>
      <c r="O51" s="229">
        <f t="shared" ref="O51" si="65">M51 * 11.11%</f>
        <v>0</v>
      </c>
      <c r="P51" s="226">
        <f t="shared" ref="P51" si="66">M51 * 8.33%</f>
        <v>0</v>
      </c>
      <c r="Q51" s="229">
        <f t="shared" ref="Q51" si="67">(O51+P51) * 35.3%</f>
        <v>0</v>
      </c>
      <c r="R51" s="229">
        <f t="shared" ref="R51" si="68">M51/12</f>
        <v>0</v>
      </c>
      <c r="S51" s="229">
        <f t="shared" ref="S51" si="69">((M51+O51+P51)*8%)*50%</f>
        <v>0</v>
      </c>
      <c r="T51" s="226">
        <v>0</v>
      </c>
      <c r="U51" s="226">
        <v>0</v>
      </c>
      <c r="V51" s="229">
        <f t="shared" ref="V51" si="70">SUM(N51:U51)</f>
        <v>0</v>
      </c>
      <c r="W51" s="226">
        <f t="shared" si="41"/>
        <v>20.833333333333332</v>
      </c>
      <c r="X51" s="226">
        <f t="shared" si="9"/>
        <v>20.833333333333332</v>
      </c>
      <c r="Y51" s="226">
        <f t="shared" si="42"/>
        <v>18.75</v>
      </c>
      <c r="Z51" s="226">
        <f t="shared" si="43"/>
        <v>3.5714285714285716</v>
      </c>
      <c r="AA51" s="226">
        <f t="shared" si="44"/>
        <v>82.408333333333317</v>
      </c>
      <c r="AB51" s="226">
        <f t="shared" si="45"/>
        <v>87.916666666666657</v>
      </c>
      <c r="AC51" s="230">
        <f t="shared" si="46"/>
        <v>150</v>
      </c>
      <c r="AD51" s="226">
        <f t="shared" si="47"/>
        <v>66.666666666666671</v>
      </c>
      <c r="AE51" s="226">
        <f t="shared" si="48"/>
        <v>15</v>
      </c>
      <c r="AF51" s="226">
        <v>400</v>
      </c>
      <c r="AG51" s="229">
        <f t="shared" ref="AG51" si="71">SUM(W51:AF51)</f>
        <v>865.97976190476197</v>
      </c>
      <c r="AH51" s="229">
        <f t="shared" ref="AH51" si="72">M51+V51+AG51</f>
        <v>865.97976190476197</v>
      </c>
      <c r="AI51" s="231">
        <v>0.04</v>
      </c>
      <c r="AJ51" s="232">
        <f t="shared" ref="AJ51" si="73">AH51*AI51</f>
        <v>34.639190476190478</v>
      </c>
      <c r="AK51" s="233">
        <v>0.04</v>
      </c>
      <c r="AL51" s="234">
        <f t="shared" si="56"/>
        <v>52.715249545260207</v>
      </c>
      <c r="AM51" s="231">
        <v>0.01</v>
      </c>
      <c r="AN51" s="232">
        <f t="shared" si="57"/>
        <v>8.6597976190476196</v>
      </c>
      <c r="AO51" s="233">
        <v>0.01</v>
      </c>
      <c r="AP51" s="234">
        <f t="shared" ref="AP51" si="74">AZ51*AO51</f>
        <v>13.178812386315052</v>
      </c>
      <c r="AQ51" s="231">
        <v>0.1</v>
      </c>
      <c r="AR51" s="232">
        <f t="shared" si="58"/>
        <v>86.597976190476203</v>
      </c>
      <c r="AS51" s="233">
        <v>0.1</v>
      </c>
      <c r="AT51" s="234">
        <f t="shared" ref="AT51" si="75">AZ51*AS51</f>
        <v>131.7881238631505</v>
      </c>
      <c r="AU51" s="231">
        <v>0.15640000000000001</v>
      </c>
      <c r="AV51" s="232">
        <f t="shared" ref="AV51" si="76">AY51*AU51</f>
        <v>195.26994631185812</v>
      </c>
      <c r="AW51" s="233">
        <v>0.19289999999999999</v>
      </c>
      <c r="AX51" s="234">
        <f t="shared" ref="AX51" si="77">AZ51*AW51</f>
        <v>254.21929093201732</v>
      </c>
      <c r="AY51" s="235">
        <f t="shared" si="59"/>
        <v>1248.5290684901413</v>
      </c>
      <c r="AZ51" s="234">
        <f t="shared" si="60"/>
        <v>1317.8812386315051</v>
      </c>
      <c r="BA51" s="395">
        <f t="shared" si="32"/>
        <v>615.47980703310247</v>
      </c>
    </row>
    <row r="52" spans="1:53" x14ac:dyDescent="0.25">
      <c r="A52" s="245" t="str">
        <f t="shared" si="29"/>
        <v/>
      </c>
      <c r="B52" s="248" t="str">
        <f>IF(Helexia!C52=0,"",Helexia!C52)</f>
        <v/>
      </c>
      <c r="C52" s="221" t="str">
        <f>IF(Helexia!G52=0,"",Helexia!G52)</f>
        <v/>
      </c>
      <c r="K52" s="228">
        <f t="shared" si="30"/>
        <v>0</v>
      </c>
      <c r="L52" s="243">
        <f t="shared" si="33"/>
        <v>0</v>
      </c>
      <c r="M52" s="229">
        <f t="shared" si="34"/>
        <v>0</v>
      </c>
      <c r="N52" s="229">
        <f t="shared" si="35"/>
        <v>0</v>
      </c>
      <c r="O52" s="229">
        <f t="shared" si="36"/>
        <v>0</v>
      </c>
      <c r="P52" s="226">
        <f t="shared" si="37"/>
        <v>0</v>
      </c>
      <c r="Q52" s="229">
        <f t="shared" si="38"/>
        <v>0</v>
      </c>
      <c r="R52" s="229">
        <f t="shared" si="39"/>
        <v>0</v>
      </c>
      <c r="S52" s="229">
        <f t="shared" si="40"/>
        <v>0</v>
      </c>
      <c r="T52" s="226">
        <v>0</v>
      </c>
      <c r="U52" s="226">
        <v>0</v>
      </c>
      <c r="V52" s="229">
        <f t="shared" si="31"/>
        <v>0</v>
      </c>
      <c r="W52" s="226">
        <f t="shared" si="41"/>
        <v>20.833333333333332</v>
      </c>
      <c r="X52" s="226">
        <f t="shared" si="9"/>
        <v>20.833333333333332</v>
      </c>
      <c r="Y52" s="226">
        <f t="shared" si="42"/>
        <v>18.75</v>
      </c>
      <c r="Z52" s="226">
        <f t="shared" si="43"/>
        <v>3.5714285714285716</v>
      </c>
      <c r="AA52" s="226">
        <f t="shared" si="44"/>
        <v>82.408333333333317</v>
      </c>
      <c r="AB52" s="226">
        <f t="shared" si="45"/>
        <v>87.916666666666657</v>
      </c>
      <c r="AC52" s="230">
        <f t="shared" si="46"/>
        <v>150</v>
      </c>
      <c r="AD52" s="226">
        <f t="shared" si="47"/>
        <v>66.666666666666671</v>
      </c>
      <c r="AE52" s="226">
        <f t="shared" si="48"/>
        <v>15</v>
      </c>
      <c r="AF52" s="226">
        <v>400</v>
      </c>
      <c r="AG52" s="229">
        <f t="shared" si="49"/>
        <v>865.97976190476197</v>
      </c>
      <c r="AH52" s="229">
        <f t="shared" si="50"/>
        <v>865.97976190476197</v>
      </c>
      <c r="AI52" s="231">
        <v>0.04</v>
      </c>
      <c r="AJ52" s="232">
        <f t="shared" si="51"/>
        <v>34.639190476190478</v>
      </c>
      <c r="AK52" s="233">
        <v>0.04</v>
      </c>
      <c r="AL52" s="234">
        <f t="shared" si="56"/>
        <v>52.715249545260207</v>
      </c>
      <c r="AM52" s="231">
        <v>0.01</v>
      </c>
      <c r="AN52" s="232">
        <f t="shared" si="57"/>
        <v>8.6597976190476196</v>
      </c>
      <c r="AO52" s="233">
        <v>0.01</v>
      </c>
      <c r="AP52" s="234">
        <f t="shared" si="52"/>
        <v>13.178812386315052</v>
      </c>
      <c r="AQ52" s="231">
        <v>0.1</v>
      </c>
      <c r="AR52" s="232">
        <f t="shared" si="58"/>
        <v>86.597976190476203</v>
      </c>
      <c r="AS52" s="233">
        <v>0.1</v>
      </c>
      <c r="AT52" s="234">
        <f t="shared" si="53"/>
        <v>131.7881238631505</v>
      </c>
      <c r="AU52" s="231">
        <v>0.15640000000000001</v>
      </c>
      <c r="AV52" s="232">
        <f t="shared" si="54"/>
        <v>195.26994631185812</v>
      </c>
      <c r="AW52" s="233">
        <v>0.19289999999999999</v>
      </c>
      <c r="AX52" s="234">
        <f t="shared" si="55"/>
        <v>254.21929093201732</v>
      </c>
      <c r="AY52" s="235">
        <f t="shared" si="59"/>
        <v>1248.5290684901413</v>
      </c>
      <c r="AZ52" s="234">
        <f t="shared" si="60"/>
        <v>1317.8812386315051</v>
      </c>
      <c r="BA52" s="395">
        <f t="shared" si="32"/>
        <v>615.47980703310247</v>
      </c>
    </row>
    <row r="53" spans="1:53" x14ac:dyDescent="0.25">
      <c r="A53" s="245" t="str">
        <f t="shared" si="29"/>
        <v/>
      </c>
      <c r="B53" s="220" t="str">
        <f>IF(Helexia!C53=0,"",Helexia!C53)</f>
        <v/>
      </c>
      <c r="C53" s="221" t="str">
        <f>IF(Helexia!G53=0,"",Helexia!G53)</f>
        <v/>
      </c>
      <c r="K53" s="228">
        <f t="shared" si="30"/>
        <v>0</v>
      </c>
      <c r="L53" s="243">
        <f t="shared" si="33"/>
        <v>0</v>
      </c>
      <c r="M53" s="229">
        <f t="shared" si="34"/>
        <v>0</v>
      </c>
      <c r="N53" s="229">
        <f t="shared" si="35"/>
        <v>0</v>
      </c>
      <c r="O53" s="229">
        <f t="shared" si="36"/>
        <v>0</v>
      </c>
      <c r="P53" s="226">
        <f t="shared" si="37"/>
        <v>0</v>
      </c>
      <c r="Q53" s="229">
        <f t="shared" si="38"/>
        <v>0</v>
      </c>
      <c r="R53" s="229">
        <f t="shared" si="39"/>
        <v>0</v>
      </c>
      <c r="S53" s="229">
        <f t="shared" si="40"/>
        <v>0</v>
      </c>
      <c r="T53" s="226">
        <v>0</v>
      </c>
      <c r="U53" s="226">
        <v>0</v>
      </c>
      <c r="V53" s="229">
        <f t="shared" si="31"/>
        <v>0</v>
      </c>
      <c r="W53" s="226">
        <f t="shared" si="41"/>
        <v>20.833333333333332</v>
      </c>
      <c r="X53" s="226">
        <f t="shared" si="9"/>
        <v>20.833333333333332</v>
      </c>
      <c r="Y53" s="226">
        <f t="shared" si="42"/>
        <v>18.75</v>
      </c>
      <c r="Z53" s="226">
        <f t="shared" si="43"/>
        <v>3.5714285714285716</v>
      </c>
      <c r="AA53" s="226">
        <f t="shared" si="44"/>
        <v>82.408333333333317</v>
      </c>
      <c r="AB53" s="226">
        <f t="shared" si="45"/>
        <v>87.916666666666657</v>
      </c>
      <c r="AC53" s="230">
        <f t="shared" si="46"/>
        <v>150</v>
      </c>
      <c r="AD53" s="226">
        <f t="shared" si="47"/>
        <v>66.666666666666671</v>
      </c>
      <c r="AE53" s="226">
        <f t="shared" si="48"/>
        <v>15</v>
      </c>
      <c r="AF53" s="226">
        <v>400</v>
      </c>
      <c r="AG53" s="229">
        <f t="shared" si="49"/>
        <v>865.97976190476197</v>
      </c>
      <c r="AH53" s="229">
        <f t="shared" si="50"/>
        <v>865.97976190476197</v>
      </c>
      <c r="AI53" s="231">
        <v>0.04</v>
      </c>
      <c r="AJ53" s="232">
        <f t="shared" si="51"/>
        <v>34.639190476190478</v>
      </c>
      <c r="AK53" s="233">
        <v>0.04</v>
      </c>
      <c r="AL53" s="234">
        <f t="shared" si="56"/>
        <v>52.715249545260207</v>
      </c>
      <c r="AM53" s="231">
        <v>0.01</v>
      </c>
      <c r="AN53" s="232">
        <f t="shared" si="57"/>
        <v>8.6597976190476196</v>
      </c>
      <c r="AO53" s="233">
        <v>0.01</v>
      </c>
      <c r="AP53" s="234">
        <f t="shared" si="52"/>
        <v>13.178812386315052</v>
      </c>
      <c r="AQ53" s="231">
        <v>0.1</v>
      </c>
      <c r="AR53" s="232">
        <f t="shared" si="58"/>
        <v>86.597976190476203</v>
      </c>
      <c r="AS53" s="233">
        <v>0.1</v>
      </c>
      <c r="AT53" s="234">
        <f t="shared" si="53"/>
        <v>131.7881238631505</v>
      </c>
      <c r="AU53" s="231">
        <v>0.15640000000000001</v>
      </c>
      <c r="AV53" s="232">
        <f t="shared" si="54"/>
        <v>195.26994631185812</v>
      </c>
      <c r="AW53" s="233">
        <v>0.19289999999999999</v>
      </c>
      <c r="AX53" s="234">
        <f t="shared" si="55"/>
        <v>254.21929093201732</v>
      </c>
      <c r="AY53" s="235">
        <f t="shared" si="59"/>
        <v>1248.5290684901413</v>
      </c>
      <c r="AZ53" s="234">
        <f t="shared" si="60"/>
        <v>1317.8812386315051</v>
      </c>
      <c r="BA53" s="395">
        <f t="shared" si="32"/>
        <v>615.47980703310247</v>
      </c>
    </row>
    <row r="54" spans="1:53" x14ac:dyDescent="0.25">
      <c r="A54" s="245">
        <f t="shared" si="29"/>
        <v>7600.3212649288735</v>
      </c>
      <c r="B54" s="248" t="str">
        <f>IF(Helexia!C54=0,"",Helexia!C54)</f>
        <v>Carlos Eduardo de Almeida Pereira</v>
      </c>
      <c r="C54" s="221" t="str">
        <f>IF(Helexia!G54=0,"",Helexia!G54)</f>
        <v>CLT</v>
      </c>
      <c r="D54" s="226">
        <v>1518</v>
      </c>
      <c r="K54" s="228">
        <f t="shared" si="30"/>
        <v>1518</v>
      </c>
      <c r="L54" s="243">
        <f t="shared" si="33"/>
        <v>455.4</v>
      </c>
      <c r="M54" s="229">
        <f t="shared" si="34"/>
        <v>1973.4</v>
      </c>
      <c r="N54" s="229">
        <f t="shared" si="35"/>
        <v>696.61019999999996</v>
      </c>
      <c r="O54" s="229">
        <f t="shared" si="36"/>
        <v>219.24473999999998</v>
      </c>
      <c r="P54" s="226">
        <f t="shared" si="37"/>
        <v>164.38422</v>
      </c>
      <c r="Q54" s="229">
        <f t="shared" si="38"/>
        <v>135.42102287999998</v>
      </c>
      <c r="R54" s="229">
        <f t="shared" si="39"/>
        <v>164.45000000000002</v>
      </c>
      <c r="S54" s="229">
        <f t="shared" si="40"/>
        <v>94.28115840000001</v>
      </c>
      <c r="T54" s="226">
        <v>680.4</v>
      </c>
      <c r="U54" s="226">
        <v>0</v>
      </c>
      <c r="V54" s="229">
        <f t="shared" si="31"/>
        <v>2154.7913412799999</v>
      </c>
      <c r="W54" s="226">
        <f t="shared" si="41"/>
        <v>20.833333333333332</v>
      </c>
      <c r="X54" s="226">
        <f t="shared" si="9"/>
        <v>20.833333333333332</v>
      </c>
      <c r="Y54" s="226">
        <f t="shared" si="42"/>
        <v>18.75</v>
      </c>
      <c r="Z54" s="226">
        <f t="shared" si="43"/>
        <v>3.5714285714285716</v>
      </c>
      <c r="AA54" s="226">
        <f t="shared" si="44"/>
        <v>82.408333333333317</v>
      </c>
      <c r="AB54" s="226">
        <f t="shared" si="45"/>
        <v>87.916666666666657</v>
      </c>
      <c r="AC54" s="230">
        <f t="shared" si="46"/>
        <v>150</v>
      </c>
      <c r="AD54" s="226">
        <f t="shared" si="47"/>
        <v>66.666666666666671</v>
      </c>
      <c r="AE54" s="226">
        <f t="shared" si="48"/>
        <v>15</v>
      </c>
      <c r="AF54" s="226">
        <v>400</v>
      </c>
      <c r="AG54" s="229">
        <f t="shared" si="49"/>
        <v>865.97976190476197</v>
      </c>
      <c r="AH54" s="229">
        <f t="shared" si="50"/>
        <v>4994.1711031847626</v>
      </c>
      <c r="AI54" s="231">
        <v>0.04</v>
      </c>
      <c r="AJ54" s="232">
        <f t="shared" si="51"/>
        <v>199.7668441273905</v>
      </c>
      <c r="AK54" s="233">
        <v>0.04</v>
      </c>
      <c r="AL54" s="234">
        <f t="shared" si="56"/>
        <v>304.01285059715497</v>
      </c>
      <c r="AM54" s="231">
        <v>0.01</v>
      </c>
      <c r="AN54" s="232">
        <f t="shared" si="57"/>
        <v>49.941711031847625</v>
      </c>
      <c r="AO54" s="233">
        <v>0.01</v>
      </c>
      <c r="AP54" s="234">
        <f t="shared" si="52"/>
        <v>76.003212649288741</v>
      </c>
      <c r="AQ54" s="231">
        <v>0.1</v>
      </c>
      <c r="AR54" s="232">
        <f t="shared" si="58"/>
        <v>499.41711031847626</v>
      </c>
      <c r="AS54" s="233">
        <v>0.1</v>
      </c>
      <c r="AT54" s="234">
        <f t="shared" si="53"/>
        <v>760.03212649288741</v>
      </c>
      <c r="AU54" s="231">
        <v>0.15640000000000001</v>
      </c>
      <c r="AV54" s="232">
        <f t="shared" si="54"/>
        <v>1126.1366213063682</v>
      </c>
      <c r="AW54" s="233">
        <v>0.19289999999999999</v>
      </c>
      <c r="AX54" s="234">
        <f t="shared" si="55"/>
        <v>1466.1019720047796</v>
      </c>
      <c r="AY54" s="235">
        <f t="shared" si="59"/>
        <v>7200.3620288130951</v>
      </c>
      <c r="AZ54" s="234">
        <f t="shared" si="60"/>
        <v>7600.3212649288735</v>
      </c>
      <c r="BA54" s="395">
        <f t="shared" si="32"/>
        <v>2620.498959060576</v>
      </c>
    </row>
    <row r="55" spans="1:53" x14ac:dyDescent="0.25">
      <c r="A55" s="245">
        <f t="shared" si="29"/>
        <v>18735.80737274437</v>
      </c>
      <c r="B55" s="220" t="str">
        <f>IF(Helexia!C55=0,"",Helexia!C55)</f>
        <v>Marina Lopes da Costa Figueiredo</v>
      </c>
      <c r="C55" s="221" t="str">
        <f>IF(Helexia!G55=0,"",Helexia!G55)</f>
        <v>PJ</v>
      </c>
      <c r="D55" s="226">
        <v>13718.9</v>
      </c>
      <c r="K55" s="228">
        <f t="shared" si="30"/>
        <v>13718.9</v>
      </c>
      <c r="L55" s="243">
        <f t="shared" si="33"/>
        <v>4115.67</v>
      </c>
      <c r="M55" s="229">
        <f t="shared" si="34"/>
        <v>17834.57</v>
      </c>
      <c r="N55" s="229">
        <f t="shared" si="35"/>
        <v>6295.6032099999993</v>
      </c>
      <c r="O55" s="229">
        <f t="shared" si="36"/>
        <v>1981.4207269999997</v>
      </c>
      <c r="P55" s="226">
        <f t="shared" si="37"/>
        <v>1485.6196809999999</v>
      </c>
      <c r="Q55" s="229">
        <f t="shared" si="38"/>
        <v>1223.8652640239998</v>
      </c>
      <c r="R55" s="229">
        <f t="shared" si="39"/>
        <v>1486.2141666666666</v>
      </c>
      <c r="S55" s="229">
        <f t="shared" si="40"/>
        <v>852.06441632000008</v>
      </c>
      <c r="T55" s="226">
        <v>0</v>
      </c>
      <c r="U55" s="226">
        <v>0</v>
      </c>
      <c r="V55" s="229">
        <f t="shared" si="31"/>
        <v>13324.787465010664</v>
      </c>
      <c r="W55" s="226">
        <f t="shared" si="41"/>
        <v>20.833333333333332</v>
      </c>
      <c r="X55" s="226">
        <f t="shared" si="9"/>
        <v>20.833333333333332</v>
      </c>
      <c r="Y55" s="226">
        <f t="shared" si="42"/>
        <v>18.75</v>
      </c>
      <c r="Z55" s="226">
        <f t="shared" si="43"/>
        <v>3.5714285714285716</v>
      </c>
      <c r="AA55" s="226">
        <f t="shared" si="44"/>
        <v>82.408333333333317</v>
      </c>
      <c r="AB55" s="226">
        <f t="shared" si="45"/>
        <v>87.916666666666657</v>
      </c>
      <c r="AC55" s="230">
        <f t="shared" si="46"/>
        <v>150</v>
      </c>
      <c r="AD55" s="226">
        <f t="shared" si="47"/>
        <v>66.666666666666671</v>
      </c>
      <c r="AE55" s="226">
        <f t="shared" si="48"/>
        <v>15</v>
      </c>
      <c r="AF55" s="226">
        <v>400</v>
      </c>
      <c r="AG55" s="229">
        <f t="shared" si="49"/>
        <v>865.97976190476197</v>
      </c>
      <c r="AH55" s="229">
        <f t="shared" si="50"/>
        <v>32025.337226915424</v>
      </c>
      <c r="AI55" s="231">
        <v>0.04</v>
      </c>
      <c r="AJ55" s="232">
        <f t="shared" si="51"/>
        <v>1281.0134890766169</v>
      </c>
      <c r="AK55" s="233">
        <v>0.04</v>
      </c>
      <c r="AL55" s="234">
        <f t="shared" si="56"/>
        <v>1949.4954939531533</v>
      </c>
      <c r="AM55" s="231">
        <v>0.01</v>
      </c>
      <c r="AN55" s="232">
        <f t="shared" si="57"/>
        <v>320.25337226915423</v>
      </c>
      <c r="AO55" s="233">
        <v>0.01</v>
      </c>
      <c r="AP55" s="234">
        <f t="shared" si="52"/>
        <v>487.37387348828833</v>
      </c>
      <c r="AQ55" s="231">
        <v>0.1</v>
      </c>
      <c r="AR55" s="232">
        <f t="shared" si="58"/>
        <v>3202.5337226915426</v>
      </c>
      <c r="AS55" s="233">
        <v>0.1</v>
      </c>
      <c r="AT55" s="234">
        <f t="shared" si="53"/>
        <v>4873.7387348828834</v>
      </c>
      <c r="AU55" s="231">
        <v>0.15640000000000001</v>
      </c>
      <c r="AV55" s="232">
        <f t="shared" si="54"/>
        <v>7221.3995707750464</v>
      </c>
      <c r="AW55" s="233">
        <v>0.19289999999999999</v>
      </c>
      <c r="AX55" s="234">
        <f t="shared" si="55"/>
        <v>9401.4420195890816</v>
      </c>
      <c r="AY55" s="235">
        <f t="shared" si="59"/>
        <v>46172.631526694669</v>
      </c>
      <c r="AZ55" s="234">
        <f t="shared" si="60"/>
        <v>48737.38734882883</v>
      </c>
      <c r="BA55" s="395">
        <f t="shared" si="32"/>
        <v>18735.80737274437</v>
      </c>
    </row>
    <row r="56" spans="1:53" x14ac:dyDescent="0.25">
      <c r="A56" s="245">
        <f t="shared" si="29"/>
        <v>2491.0576699310027</v>
      </c>
      <c r="B56" s="248" t="str">
        <f>IF(Helexia!C56=0,"",Helexia!C56)</f>
        <v>Rafael Henrique do Nascimento Barros</v>
      </c>
      <c r="C56" s="221" t="str">
        <f>IF(Helexia!G56=0,"",Helexia!G56)</f>
        <v>PJ</v>
      </c>
      <c r="D56" s="226">
        <v>1420</v>
      </c>
      <c r="K56" s="228">
        <f t="shared" si="30"/>
        <v>1420</v>
      </c>
      <c r="L56" s="243">
        <f t="shared" si="33"/>
        <v>426</v>
      </c>
      <c r="M56" s="229">
        <f t="shared" si="34"/>
        <v>1846</v>
      </c>
      <c r="N56" s="229">
        <f t="shared" si="35"/>
        <v>651.63799999999992</v>
      </c>
      <c r="O56" s="229">
        <f t="shared" si="36"/>
        <v>205.09059999999999</v>
      </c>
      <c r="P56" s="226">
        <f t="shared" si="37"/>
        <v>153.77179999999998</v>
      </c>
      <c r="Q56" s="229">
        <f t="shared" si="38"/>
        <v>126.67842719999999</v>
      </c>
      <c r="R56" s="229">
        <f t="shared" si="39"/>
        <v>153.83333333333334</v>
      </c>
      <c r="S56" s="229">
        <f t="shared" si="40"/>
        <v>88.194496000000001</v>
      </c>
      <c r="T56" s="226">
        <v>0</v>
      </c>
      <c r="U56" s="226">
        <v>0</v>
      </c>
      <c r="V56" s="229">
        <f t="shared" si="31"/>
        <v>1379.2066565333332</v>
      </c>
      <c r="W56" s="226">
        <f t="shared" si="41"/>
        <v>20.833333333333332</v>
      </c>
      <c r="X56" s="226">
        <f t="shared" si="9"/>
        <v>20.833333333333332</v>
      </c>
      <c r="Y56" s="226">
        <f t="shared" si="42"/>
        <v>18.75</v>
      </c>
      <c r="Z56" s="226">
        <f t="shared" si="43"/>
        <v>3.5714285714285716</v>
      </c>
      <c r="AA56" s="226">
        <f t="shared" si="44"/>
        <v>82.408333333333317</v>
      </c>
      <c r="AB56" s="226">
        <f t="shared" si="45"/>
        <v>87.916666666666657</v>
      </c>
      <c r="AC56" s="230">
        <f t="shared" si="46"/>
        <v>150</v>
      </c>
      <c r="AD56" s="226">
        <f t="shared" si="47"/>
        <v>66.666666666666671</v>
      </c>
      <c r="AE56" s="226">
        <f t="shared" si="48"/>
        <v>15</v>
      </c>
      <c r="AF56" s="226">
        <v>400</v>
      </c>
      <c r="AG56" s="229">
        <f t="shared" si="49"/>
        <v>865.97976190476197</v>
      </c>
      <c r="AH56" s="229">
        <f t="shared" si="50"/>
        <v>4091.1864184380956</v>
      </c>
      <c r="AI56" s="231">
        <v>0.04</v>
      </c>
      <c r="AJ56" s="232">
        <f t="shared" si="51"/>
        <v>163.64745673752384</v>
      </c>
      <c r="AK56" s="233">
        <v>0.04</v>
      </c>
      <c r="AL56" s="234">
        <f t="shared" si="56"/>
        <v>249.04498057757391</v>
      </c>
      <c r="AM56" s="231">
        <v>0.01</v>
      </c>
      <c r="AN56" s="232">
        <f t="shared" si="57"/>
        <v>40.91186418438096</v>
      </c>
      <c r="AO56" s="233">
        <v>0.01</v>
      </c>
      <c r="AP56" s="234">
        <f t="shared" si="52"/>
        <v>62.261245144393477</v>
      </c>
      <c r="AQ56" s="231">
        <v>0.1</v>
      </c>
      <c r="AR56" s="232">
        <f t="shared" si="58"/>
        <v>409.1186418438096</v>
      </c>
      <c r="AS56" s="233">
        <v>0.1</v>
      </c>
      <c r="AT56" s="234">
        <f t="shared" si="53"/>
        <v>622.61245144393479</v>
      </c>
      <c r="AU56" s="231">
        <v>0.15640000000000001</v>
      </c>
      <c r="AV56" s="232">
        <f t="shared" si="54"/>
        <v>922.5224276870216</v>
      </c>
      <c r="AW56" s="233">
        <v>0.19289999999999999</v>
      </c>
      <c r="AX56" s="234">
        <f t="shared" si="55"/>
        <v>1201.0194188353501</v>
      </c>
      <c r="AY56" s="235">
        <f t="shared" si="59"/>
        <v>5898.480995441314</v>
      </c>
      <c r="AZ56" s="234">
        <f t="shared" si="60"/>
        <v>6226.1245144393479</v>
      </c>
      <c r="BA56" s="395">
        <f t="shared" si="32"/>
        <v>2491.0576699310027</v>
      </c>
    </row>
    <row r="57" spans="1:53" x14ac:dyDescent="0.25">
      <c r="A57" s="245">
        <f t="shared" si="29"/>
        <v>9200.8714329741942</v>
      </c>
      <c r="B57" s="220" t="str">
        <f>IF(Helexia!C57=0,"",Helexia!C57)</f>
        <v>Ana Paula Ribeiro dos Santos Azevedo</v>
      </c>
      <c r="C57" s="221" t="str">
        <f>IF(Helexia!G57=0,"",Helexia!G57)</f>
        <v>PJ</v>
      </c>
      <c r="D57" s="226">
        <v>6500</v>
      </c>
      <c r="K57" s="228">
        <f t="shared" si="30"/>
        <v>6500</v>
      </c>
      <c r="L57" s="243">
        <f t="shared" si="33"/>
        <v>1950</v>
      </c>
      <c r="M57" s="229">
        <f t="shared" si="34"/>
        <v>8450</v>
      </c>
      <c r="N57" s="229">
        <f t="shared" si="35"/>
        <v>2982.85</v>
      </c>
      <c r="O57" s="229">
        <f t="shared" si="36"/>
        <v>938.79499999999996</v>
      </c>
      <c r="P57" s="226">
        <f t="shared" si="37"/>
        <v>703.88499999999999</v>
      </c>
      <c r="Q57" s="229">
        <f t="shared" si="38"/>
        <v>579.86603999999988</v>
      </c>
      <c r="R57" s="229">
        <f t="shared" si="39"/>
        <v>704.16666666666663</v>
      </c>
      <c r="S57" s="229">
        <f t="shared" si="40"/>
        <v>403.7072</v>
      </c>
      <c r="T57" s="226">
        <v>0</v>
      </c>
      <c r="U57" s="226">
        <v>0</v>
      </c>
      <c r="V57" s="229">
        <f t="shared" si="31"/>
        <v>6313.2699066666664</v>
      </c>
      <c r="W57" s="226">
        <f t="shared" si="41"/>
        <v>20.833333333333332</v>
      </c>
      <c r="X57" s="226">
        <f t="shared" si="9"/>
        <v>20.833333333333332</v>
      </c>
      <c r="Y57" s="226">
        <f t="shared" si="42"/>
        <v>18.75</v>
      </c>
      <c r="Z57" s="226">
        <f t="shared" si="43"/>
        <v>3.5714285714285716</v>
      </c>
      <c r="AA57" s="226">
        <f t="shared" si="44"/>
        <v>82.408333333333317</v>
      </c>
      <c r="AB57" s="226">
        <f t="shared" si="45"/>
        <v>87.916666666666657</v>
      </c>
      <c r="AC57" s="230">
        <f t="shared" si="46"/>
        <v>150</v>
      </c>
      <c r="AD57" s="226">
        <f t="shared" si="47"/>
        <v>66.666666666666671</v>
      </c>
      <c r="AE57" s="226">
        <f t="shared" si="48"/>
        <v>15</v>
      </c>
      <c r="AF57" s="226">
        <v>400</v>
      </c>
      <c r="AG57" s="229">
        <f t="shared" si="49"/>
        <v>865.97976190476197</v>
      </c>
      <c r="AH57" s="229">
        <f t="shared" si="50"/>
        <v>15629.249668571429</v>
      </c>
      <c r="AI57" s="231">
        <v>0.04</v>
      </c>
      <c r="AJ57" s="232">
        <f t="shared" si="51"/>
        <v>625.16998674285719</v>
      </c>
      <c r="AK57" s="233">
        <v>0.04</v>
      </c>
      <c r="AL57" s="234">
        <f t="shared" si="56"/>
        <v>951.40768032697792</v>
      </c>
      <c r="AM57" s="231">
        <v>0.01</v>
      </c>
      <c r="AN57" s="232">
        <f t="shared" si="57"/>
        <v>156.2924966857143</v>
      </c>
      <c r="AO57" s="233">
        <v>0.01</v>
      </c>
      <c r="AP57" s="234">
        <f t="shared" si="52"/>
        <v>237.85192008174448</v>
      </c>
      <c r="AQ57" s="231">
        <v>0.1</v>
      </c>
      <c r="AR57" s="232">
        <f t="shared" si="58"/>
        <v>1562.9249668571429</v>
      </c>
      <c r="AS57" s="233">
        <v>0.1</v>
      </c>
      <c r="AT57" s="234">
        <f t="shared" si="53"/>
        <v>2378.5192008174449</v>
      </c>
      <c r="AU57" s="231">
        <v>0.15640000000000001</v>
      </c>
      <c r="AV57" s="232">
        <f t="shared" si="54"/>
        <v>3524.2425723249303</v>
      </c>
      <c r="AW57" s="233">
        <v>0.19289999999999999</v>
      </c>
      <c r="AX57" s="234">
        <f t="shared" si="55"/>
        <v>4588.1635383768507</v>
      </c>
      <c r="AY57" s="235">
        <f t="shared" si="59"/>
        <v>22533.520283407481</v>
      </c>
      <c r="AZ57" s="234">
        <f t="shared" si="60"/>
        <v>23785.192008174447</v>
      </c>
      <c r="BA57" s="395">
        <f t="shared" si="32"/>
        <v>9200.8714329741942</v>
      </c>
    </row>
    <row r="58" spans="1:53" x14ac:dyDescent="0.25">
      <c r="A58" s="245">
        <f t="shared" si="29"/>
        <v>6564.8624306570719</v>
      </c>
      <c r="B58" s="248" t="str">
        <f>IF(Helexia!C58=0,"",Helexia!C58)</f>
        <v>Felipe Augusto de Oliveira Cunha</v>
      </c>
      <c r="C58" s="221" t="str">
        <f>IF(Helexia!G58=0,"",Helexia!G58)</f>
        <v>CLT</v>
      </c>
      <c r="D58" s="226">
        <v>1518</v>
      </c>
      <c r="K58" s="228">
        <f t="shared" si="30"/>
        <v>1518</v>
      </c>
      <c r="L58" s="243">
        <f t="shared" si="33"/>
        <v>455.4</v>
      </c>
      <c r="M58" s="229">
        <f t="shared" si="34"/>
        <v>1973.4</v>
      </c>
      <c r="N58" s="229">
        <f t="shared" si="35"/>
        <v>696.61019999999996</v>
      </c>
      <c r="O58" s="229">
        <f t="shared" si="36"/>
        <v>219.24473999999998</v>
      </c>
      <c r="P58" s="226">
        <f t="shared" si="37"/>
        <v>164.38422</v>
      </c>
      <c r="Q58" s="229">
        <f t="shared" si="38"/>
        <v>135.42102287999998</v>
      </c>
      <c r="R58" s="229">
        <f t="shared" si="39"/>
        <v>164.45000000000002</v>
      </c>
      <c r="S58" s="229">
        <f t="shared" si="40"/>
        <v>94.28115840000001</v>
      </c>
      <c r="T58" s="226">
        <v>0</v>
      </c>
      <c r="U58" s="226">
        <v>0</v>
      </c>
      <c r="V58" s="229">
        <f t="shared" si="31"/>
        <v>1474.39134128</v>
      </c>
      <c r="W58" s="226">
        <f t="shared" si="41"/>
        <v>20.833333333333332</v>
      </c>
      <c r="X58" s="226">
        <f t="shared" si="9"/>
        <v>20.833333333333332</v>
      </c>
      <c r="Y58" s="226">
        <f t="shared" si="42"/>
        <v>18.75</v>
      </c>
      <c r="Z58" s="226">
        <f t="shared" si="43"/>
        <v>3.5714285714285716</v>
      </c>
      <c r="AA58" s="226">
        <f t="shared" si="44"/>
        <v>82.408333333333317</v>
      </c>
      <c r="AB58" s="226">
        <f t="shared" si="45"/>
        <v>87.916666666666657</v>
      </c>
      <c r="AC58" s="230">
        <f t="shared" si="46"/>
        <v>150</v>
      </c>
      <c r="AD58" s="226">
        <f t="shared" si="47"/>
        <v>66.666666666666671</v>
      </c>
      <c r="AE58" s="226">
        <f t="shared" si="48"/>
        <v>15</v>
      </c>
      <c r="AF58" s="226">
        <v>400</v>
      </c>
      <c r="AG58" s="229">
        <f t="shared" si="49"/>
        <v>865.97976190476197</v>
      </c>
      <c r="AH58" s="229">
        <f t="shared" si="50"/>
        <v>4313.7711031847621</v>
      </c>
      <c r="AI58" s="231">
        <v>0.04</v>
      </c>
      <c r="AJ58" s="232">
        <f t="shared" si="51"/>
        <v>172.55084412739049</v>
      </c>
      <c r="AK58" s="233">
        <v>0.04</v>
      </c>
      <c r="AL58" s="234">
        <f t="shared" si="56"/>
        <v>262.5944972262829</v>
      </c>
      <c r="AM58" s="231">
        <v>0.01</v>
      </c>
      <c r="AN58" s="232">
        <f t="shared" si="57"/>
        <v>43.137711031847623</v>
      </c>
      <c r="AO58" s="233">
        <v>0.01</v>
      </c>
      <c r="AP58" s="234">
        <f t="shared" si="52"/>
        <v>65.648624306570724</v>
      </c>
      <c r="AQ58" s="231">
        <v>0.1</v>
      </c>
      <c r="AR58" s="232">
        <f t="shared" si="58"/>
        <v>431.37711031847624</v>
      </c>
      <c r="AS58" s="233">
        <v>0.1</v>
      </c>
      <c r="AT58" s="234">
        <f t="shared" si="53"/>
        <v>656.48624306570719</v>
      </c>
      <c r="AU58" s="231">
        <v>0.15640000000000001</v>
      </c>
      <c r="AV58" s="232">
        <f t="shared" si="54"/>
        <v>972.71309189460328</v>
      </c>
      <c r="AW58" s="233">
        <v>0.19289999999999999</v>
      </c>
      <c r="AX58" s="234">
        <f t="shared" si="55"/>
        <v>1266.361962873749</v>
      </c>
      <c r="AY58" s="235">
        <f t="shared" si="59"/>
        <v>6219.3931706816065</v>
      </c>
      <c r="AZ58" s="234">
        <f t="shared" si="60"/>
        <v>6564.8624306570719</v>
      </c>
      <c r="BA58" s="395">
        <f t="shared" si="32"/>
        <v>2620.498959060576</v>
      </c>
    </row>
    <row r="59" spans="1:53" x14ac:dyDescent="0.25">
      <c r="A59" s="245">
        <f t="shared" si="29"/>
        <v>6893.579520902088</v>
      </c>
      <c r="B59" s="220" t="str">
        <f>IF(Helexia!C59=0,"",Helexia!C59)</f>
        <v>Luciana Martins da Rocha Pimentel</v>
      </c>
      <c r="C59" s="221" t="str">
        <f>IF(Helexia!G59=0,"",Helexia!G59)</f>
        <v>CLT</v>
      </c>
      <c r="D59" s="226">
        <v>1518</v>
      </c>
      <c r="K59" s="228">
        <f t="shared" si="30"/>
        <v>1518</v>
      </c>
      <c r="L59" s="243">
        <f t="shared" si="33"/>
        <v>455.4</v>
      </c>
      <c r="M59" s="229">
        <f t="shared" si="34"/>
        <v>1973.4</v>
      </c>
      <c r="N59" s="229">
        <f t="shared" si="35"/>
        <v>696.61019999999996</v>
      </c>
      <c r="O59" s="229">
        <f t="shared" si="36"/>
        <v>219.24473999999998</v>
      </c>
      <c r="P59" s="226">
        <f t="shared" si="37"/>
        <v>164.38422</v>
      </c>
      <c r="Q59" s="229">
        <f t="shared" si="38"/>
        <v>135.42102287999998</v>
      </c>
      <c r="R59" s="229">
        <f t="shared" si="39"/>
        <v>164.45000000000002</v>
      </c>
      <c r="S59" s="229">
        <f t="shared" si="40"/>
        <v>94.28115840000001</v>
      </c>
      <c r="T59" s="226">
        <v>216</v>
      </c>
      <c r="U59" s="226">
        <v>0</v>
      </c>
      <c r="V59" s="229">
        <f t="shared" si="31"/>
        <v>1690.39134128</v>
      </c>
      <c r="W59" s="226">
        <f t="shared" si="41"/>
        <v>20.833333333333332</v>
      </c>
      <c r="X59" s="226">
        <f t="shared" si="9"/>
        <v>20.833333333333332</v>
      </c>
      <c r="Y59" s="226">
        <f t="shared" si="42"/>
        <v>18.75</v>
      </c>
      <c r="Z59" s="226">
        <f t="shared" si="43"/>
        <v>3.5714285714285716</v>
      </c>
      <c r="AA59" s="226">
        <f t="shared" si="44"/>
        <v>82.408333333333317</v>
      </c>
      <c r="AB59" s="226">
        <f t="shared" si="45"/>
        <v>87.916666666666657</v>
      </c>
      <c r="AC59" s="230">
        <f t="shared" si="46"/>
        <v>150</v>
      </c>
      <c r="AD59" s="226">
        <f t="shared" si="47"/>
        <v>66.666666666666671</v>
      </c>
      <c r="AE59" s="226">
        <f t="shared" si="48"/>
        <v>15</v>
      </c>
      <c r="AF59" s="226">
        <v>400</v>
      </c>
      <c r="AG59" s="229">
        <f t="shared" si="49"/>
        <v>865.97976190476197</v>
      </c>
      <c r="AH59" s="229">
        <f t="shared" si="50"/>
        <v>4529.7711031847621</v>
      </c>
      <c r="AI59" s="231">
        <v>0.04</v>
      </c>
      <c r="AJ59" s="232">
        <f t="shared" si="51"/>
        <v>181.19084412739048</v>
      </c>
      <c r="AK59" s="233">
        <v>0.04</v>
      </c>
      <c r="AL59" s="234">
        <f t="shared" si="56"/>
        <v>275.74318083608352</v>
      </c>
      <c r="AM59" s="231">
        <v>0.01</v>
      </c>
      <c r="AN59" s="232">
        <f t="shared" si="57"/>
        <v>45.297711031847619</v>
      </c>
      <c r="AO59" s="233">
        <v>0.01</v>
      </c>
      <c r="AP59" s="234">
        <f t="shared" si="52"/>
        <v>68.935795209020881</v>
      </c>
      <c r="AQ59" s="231">
        <v>0.1</v>
      </c>
      <c r="AR59" s="232">
        <f t="shared" si="58"/>
        <v>452.97711031847621</v>
      </c>
      <c r="AS59" s="233">
        <v>0.1</v>
      </c>
      <c r="AT59" s="234">
        <f t="shared" si="53"/>
        <v>689.35795209020887</v>
      </c>
      <c r="AU59" s="231">
        <v>0.15640000000000001</v>
      </c>
      <c r="AV59" s="232">
        <f t="shared" si="54"/>
        <v>1021.4189742475445</v>
      </c>
      <c r="AW59" s="233">
        <v>0.19289999999999999</v>
      </c>
      <c r="AX59" s="234">
        <f t="shared" si="55"/>
        <v>1329.7714895820127</v>
      </c>
      <c r="AY59" s="235">
        <f t="shared" si="59"/>
        <v>6530.8118558027136</v>
      </c>
      <c r="AZ59" s="234">
        <f t="shared" si="60"/>
        <v>6893.579520902088</v>
      </c>
      <c r="BA59" s="395">
        <f t="shared" si="32"/>
        <v>2620.498959060576</v>
      </c>
    </row>
    <row r="60" spans="1:53" x14ac:dyDescent="0.25">
      <c r="A60" s="245">
        <f t="shared" si="29"/>
        <v>1698.5599813825941</v>
      </c>
      <c r="B60" s="248" t="str">
        <f>IF(Helexia!C60=0,"",Helexia!C60)</f>
        <v>Bruno César do Carmo Teixeira</v>
      </c>
      <c r="C60" s="221" t="str">
        <f>IF(Helexia!G60=0,"",Helexia!G60)</f>
        <v>Estágio</v>
      </c>
      <c r="D60" s="226">
        <v>820</v>
      </c>
      <c r="K60" s="228">
        <f t="shared" si="30"/>
        <v>820</v>
      </c>
      <c r="L60" s="243">
        <f t="shared" si="33"/>
        <v>246</v>
      </c>
      <c r="M60" s="229">
        <f t="shared" si="34"/>
        <v>1066</v>
      </c>
      <c r="N60" s="229">
        <f t="shared" si="35"/>
        <v>376.298</v>
      </c>
      <c r="O60" s="229">
        <f t="shared" si="36"/>
        <v>118.43259999999999</v>
      </c>
      <c r="P60" s="226">
        <f t="shared" si="37"/>
        <v>88.797799999999995</v>
      </c>
      <c r="Q60" s="229">
        <f t="shared" si="38"/>
        <v>73.152331199999992</v>
      </c>
      <c r="R60" s="229">
        <f t="shared" si="39"/>
        <v>88.833333333333329</v>
      </c>
      <c r="S60" s="229">
        <f t="shared" si="40"/>
        <v>50.929216000000004</v>
      </c>
      <c r="T60" s="226">
        <v>0</v>
      </c>
      <c r="U60" s="226">
        <v>0</v>
      </c>
      <c r="V60" s="229">
        <f t="shared" si="31"/>
        <v>796.44328053333322</v>
      </c>
      <c r="W60" s="226">
        <f t="shared" si="41"/>
        <v>20.833333333333332</v>
      </c>
      <c r="X60" s="226">
        <f t="shared" si="9"/>
        <v>20.833333333333332</v>
      </c>
      <c r="Y60" s="226">
        <f t="shared" si="42"/>
        <v>18.75</v>
      </c>
      <c r="Z60" s="226">
        <f t="shared" si="43"/>
        <v>3.5714285714285716</v>
      </c>
      <c r="AA60" s="226">
        <f t="shared" si="44"/>
        <v>82.408333333333317</v>
      </c>
      <c r="AB60" s="226">
        <f t="shared" si="45"/>
        <v>87.916666666666657</v>
      </c>
      <c r="AC60" s="230">
        <f t="shared" si="46"/>
        <v>150</v>
      </c>
      <c r="AD60" s="226">
        <f t="shared" si="47"/>
        <v>66.666666666666671</v>
      </c>
      <c r="AE60" s="226">
        <f t="shared" si="48"/>
        <v>15</v>
      </c>
      <c r="AF60" s="226">
        <v>400</v>
      </c>
      <c r="AG60" s="229">
        <f t="shared" si="49"/>
        <v>865.97976190476197</v>
      </c>
      <c r="AH60" s="229">
        <f t="shared" si="50"/>
        <v>2728.4230424380949</v>
      </c>
      <c r="AI60" s="231">
        <v>0.04</v>
      </c>
      <c r="AJ60" s="232">
        <f t="shared" si="51"/>
        <v>109.1369216975238</v>
      </c>
      <c r="AK60" s="233">
        <v>0.04</v>
      </c>
      <c r="AL60" s="234">
        <f t="shared" si="56"/>
        <v>166.08875619772303</v>
      </c>
      <c r="AM60" s="231">
        <v>0.01</v>
      </c>
      <c r="AN60" s="232">
        <f t="shared" si="57"/>
        <v>27.284230424380951</v>
      </c>
      <c r="AO60" s="233">
        <v>0.01</v>
      </c>
      <c r="AP60" s="234">
        <f t="shared" si="52"/>
        <v>41.522189049430757</v>
      </c>
      <c r="AQ60" s="231">
        <v>0.1</v>
      </c>
      <c r="AR60" s="232">
        <f t="shared" si="58"/>
        <v>272.84230424380951</v>
      </c>
      <c r="AS60" s="233">
        <v>0.1</v>
      </c>
      <c r="AT60" s="234">
        <f t="shared" si="53"/>
        <v>415.22189049430756</v>
      </c>
      <c r="AU60" s="231">
        <v>0.15640000000000001</v>
      </c>
      <c r="AV60" s="232">
        <f t="shared" si="54"/>
        <v>615.23264682427634</v>
      </c>
      <c r="AW60" s="233">
        <v>0.19289999999999999</v>
      </c>
      <c r="AX60" s="234">
        <f t="shared" si="55"/>
        <v>800.96302676351922</v>
      </c>
      <c r="AY60" s="235">
        <f t="shared" si="59"/>
        <v>3933.7125756027895</v>
      </c>
      <c r="AZ60" s="234">
        <f t="shared" si="60"/>
        <v>4152.2189049430754</v>
      </c>
      <c r="BA60" s="395">
        <f t="shared" si="32"/>
        <v>1698.5599813825941</v>
      </c>
    </row>
    <row r="61" spans="1:53" x14ac:dyDescent="0.25">
      <c r="A61" s="245">
        <f t="shared" si="29"/>
        <v>1698.5599813825941</v>
      </c>
      <c r="B61" s="248" t="str">
        <f>IF(Helexia!C61=0,"",Helexia!C61)</f>
        <v>Patrícia Alves dos Anjos Guimarães</v>
      </c>
      <c r="C61" s="221" t="str">
        <f>IF(Helexia!G61=0,"",Helexia!G61)</f>
        <v>Estágio</v>
      </c>
      <c r="D61" s="226">
        <v>820</v>
      </c>
      <c r="K61" s="228">
        <f t="shared" si="30"/>
        <v>820</v>
      </c>
      <c r="L61" s="243">
        <f t="shared" si="33"/>
        <v>246</v>
      </c>
      <c r="M61" s="229">
        <f t="shared" si="34"/>
        <v>1066</v>
      </c>
      <c r="N61" s="229">
        <f t="shared" si="35"/>
        <v>376.298</v>
      </c>
      <c r="O61" s="229">
        <f t="shared" si="36"/>
        <v>118.43259999999999</v>
      </c>
      <c r="P61" s="226">
        <f t="shared" si="37"/>
        <v>88.797799999999995</v>
      </c>
      <c r="Q61" s="229">
        <f t="shared" si="38"/>
        <v>73.152331199999992</v>
      </c>
      <c r="R61" s="229">
        <f t="shared" si="39"/>
        <v>88.833333333333329</v>
      </c>
      <c r="S61" s="229">
        <f t="shared" si="40"/>
        <v>50.929216000000004</v>
      </c>
      <c r="T61" s="226">
        <v>0</v>
      </c>
      <c r="U61" s="226">
        <v>0</v>
      </c>
      <c r="V61" s="229">
        <f t="shared" si="31"/>
        <v>796.44328053333322</v>
      </c>
      <c r="W61" s="226">
        <f t="shared" si="41"/>
        <v>20.833333333333332</v>
      </c>
      <c r="X61" s="226">
        <f t="shared" si="9"/>
        <v>20.833333333333332</v>
      </c>
      <c r="Y61" s="226">
        <f t="shared" si="42"/>
        <v>18.75</v>
      </c>
      <c r="Z61" s="226">
        <f t="shared" si="43"/>
        <v>3.5714285714285716</v>
      </c>
      <c r="AA61" s="226">
        <f t="shared" si="44"/>
        <v>82.408333333333317</v>
      </c>
      <c r="AB61" s="226">
        <f t="shared" si="45"/>
        <v>87.916666666666657</v>
      </c>
      <c r="AC61" s="230">
        <f t="shared" si="46"/>
        <v>150</v>
      </c>
      <c r="AD61" s="226">
        <f t="shared" si="47"/>
        <v>66.666666666666671</v>
      </c>
      <c r="AE61" s="226">
        <f t="shared" si="48"/>
        <v>15</v>
      </c>
      <c r="AF61" s="226">
        <v>400</v>
      </c>
      <c r="AG61" s="229">
        <f t="shared" si="49"/>
        <v>865.97976190476197</v>
      </c>
      <c r="AH61" s="229">
        <f t="shared" si="50"/>
        <v>2728.4230424380949</v>
      </c>
      <c r="AI61" s="231">
        <v>0.04</v>
      </c>
      <c r="AJ61" s="232">
        <f t="shared" si="51"/>
        <v>109.1369216975238</v>
      </c>
      <c r="AK61" s="233">
        <v>0.04</v>
      </c>
      <c r="AL61" s="234">
        <f t="shared" si="56"/>
        <v>166.08875619772303</v>
      </c>
      <c r="AM61" s="231">
        <v>0.01</v>
      </c>
      <c r="AN61" s="232">
        <f t="shared" si="57"/>
        <v>27.284230424380951</v>
      </c>
      <c r="AO61" s="233">
        <v>0.01</v>
      </c>
      <c r="AP61" s="234">
        <f t="shared" si="52"/>
        <v>41.522189049430757</v>
      </c>
      <c r="AQ61" s="231">
        <v>0.1</v>
      </c>
      <c r="AR61" s="232">
        <f t="shared" si="58"/>
        <v>272.84230424380951</v>
      </c>
      <c r="AS61" s="233">
        <v>0.1</v>
      </c>
      <c r="AT61" s="234">
        <f t="shared" si="53"/>
        <v>415.22189049430756</v>
      </c>
      <c r="AU61" s="231">
        <v>0.15640000000000001</v>
      </c>
      <c r="AV61" s="232">
        <f t="shared" si="54"/>
        <v>615.23264682427634</v>
      </c>
      <c r="AW61" s="233">
        <v>0.19289999999999999</v>
      </c>
      <c r="AX61" s="234">
        <f t="shared" si="55"/>
        <v>800.96302676351922</v>
      </c>
      <c r="AY61" s="235">
        <f t="shared" si="59"/>
        <v>3933.7125756027895</v>
      </c>
      <c r="AZ61" s="234">
        <f t="shared" si="60"/>
        <v>4152.2189049430754</v>
      </c>
      <c r="BA61" s="395">
        <f t="shared" si="32"/>
        <v>1698.5599813825941</v>
      </c>
    </row>
    <row r="62" spans="1:53" x14ac:dyDescent="0.25">
      <c r="A62" s="245">
        <f t="shared" si="29"/>
        <v>1698.5599813825941</v>
      </c>
      <c r="B62" s="248" t="str">
        <f>IF(Helexia!C62=0,"",Helexia!C62)</f>
        <v>Eduardo Vinícius de Azevedo Moreira</v>
      </c>
      <c r="C62" s="221" t="str">
        <f>IF(Helexia!G62=0,"",Helexia!G62)</f>
        <v>Estágio</v>
      </c>
      <c r="D62" s="226">
        <v>820</v>
      </c>
      <c r="K62" s="228">
        <f t="shared" si="30"/>
        <v>820</v>
      </c>
      <c r="L62" s="243">
        <f t="shared" si="33"/>
        <v>246</v>
      </c>
      <c r="M62" s="229">
        <f t="shared" si="34"/>
        <v>1066</v>
      </c>
      <c r="N62" s="229">
        <f t="shared" si="35"/>
        <v>376.298</v>
      </c>
      <c r="O62" s="229">
        <f t="shared" si="36"/>
        <v>118.43259999999999</v>
      </c>
      <c r="P62" s="226">
        <f t="shared" si="37"/>
        <v>88.797799999999995</v>
      </c>
      <c r="Q62" s="229">
        <f t="shared" si="38"/>
        <v>73.152331199999992</v>
      </c>
      <c r="R62" s="229">
        <f t="shared" si="39"/>
        <v>88.833333333333329</v>
      </c>
      <c r="S62" s="229">
        <f t="shared" si="40"/>
        <v>50.929216000000004</v>
      </c>
      <c r="T62" s="226">
        <v>0</v>
      </c>
      <c r="U62" s="226">
        <v>0</v>
      </c>
      <c r="V62" s="229">
        <f t="shared" si="31"/>
        <v>796.44328053333322</v>
      </c>
      <c r="W62" s="226">
        <f t="shared" si="41"/>
        <v>20.833333333333332</v>
      </c>
      <c r="X62" s="226">
        <f t="shared" si="9"/>
        <v>20.833333333333332</v>
      </c>
      <c r="Y62" s="226">
        <f t="shared" si="42"/>
        <v>18.75</v>
      </c>
      <c r="Z62" s="226">
        <f t="shared" si="43"/>
        <v>3.5714285714285716</v>
      </c>
      <c r="AA62" s="226">
        <f t="shared" si="44"/>
        <v>82.408333333333317</v>
      </c>
      <c r="AB62" s="226">
        <f t="shared" si="45"/>
        <v>87.916666666666657</v>
      </c>
      <c r="AC62" s="230">
        <f t="shared" si="46"/>
        <v>150</v>
      </c>
      <c r="AD62" s="226">
        <f t="shared" si="47"/>
        <v>66.666666666666671</v>
      </c>
      <c r="AE62" s="226">
        <f t="shared" si="48"/>
        <v>15</v>
      </c>
      <c r="AF62" s="226">
        <v>400</v>
      </c>
      <c r="AG62" s="229">
        <f t="shared" si="49"/>
        <v>865.97976190476197</v>
      </c>
      <c r="AH62" s="229">
        <f t="shared" si="50"/>
        <v>2728.4230424380949</v>
      </c>
      <c r="AI62" s="231">
        <v>0.04</v>
      </c>
      <c r="AJ62" s="232">
        <f t="shared" si="51"/>
        <v>109.1369216975238</v>
      </c>
      <c r="AK62" s="233">
        <v>0.04</v>
      </c>
      <c r="AL62" s="234">
        <f t="shared" si="56"/>
        <v>166.08875619772303</v>
      </c>
      <c r="AM62" s="231">
        <v>0.01</v>
      </c>
      <c r="AN62" s="232">
        <f t="shared" si="57"/>
        <v>27.284230424380951</v>
      </c>
      <c r="AO62" s="233">
        <v>0.01</v>
      </c>
      <c r="AP62" s="234">
        <f t="shared" si="52"/>
        <v>41.522189049430757</v>
      </c>
      <c r="AQ62" s="231">
        <v>0.1</v>
      </c>
      <c r="AR62" s="232">
        <f t="shared" si="58"/>
        <v>272.84230424380951</v>
      </c>
      <c r="AS62" s="233">
        <v>0.1</v>
      </c>
      <c r="AT62" s="234">
        <f t="shared" si="53"/>
        <v>415.22189049430756</v>
      </c>
      <c r="AU62" s="231">
        <v>0.15640000000000001</v>
      </c>
      <c r="AV62" s="232">
        <f t="shared" si="54"/>
        <v>615.23264682427634</v>
      </c>
      <c r="AW62" s="233">
        <v>0.19289999999999999</v>
      </c>
      <c r="AX62" s="234">
        <f t="shared" si="55"/>
        <v>800.96302676351922</v>
      </c>
      <c r="AY62" s="235">
        <f t="shared" si="59"/>
        <v>3933.7125756027895</v>
      </c>
      <c r="AZ62" s="234">
        <f t="shared" si="60"/>
        <v>4152.2189049430754</v>
      </c>
      <c r="BA62" s="395">
        <f t="shared" si="32"/>
        <v>1698.5599813825941</v>
      </c>
    </row>
    <row r="63" spans="1:53" x14ac:dyDescent="0.25">
      <c r="A63" s="245">
        <f t="shared" si="29"/>
        <v>1698.5599813825941</v>
      </c>
      <c r="B63" s="220" t="str">
        <f>IF(Helexia!C63=0,"",Helexia!C63)</f>
        <v>Renata Cristina da Silva Monteiro</v>
      </c>
      <c r="C63" s="221" t="str">
        <f>IF(Helexia!G63=0,"",Helexia!G63)</f>
        <v>Estágio</v>
      </c>
      <c r="D63" s="226">
        <v>820</v>
      </c>
      <c r="K63" s="228">
        <f t="shared" si="30"/>
        <v>820</v>
      </c>
      <c r="L63" s="243">
        <f t="shared" si="33"/>
        <v>246</v>
      </c>
      <c r="M63" s="229">
        <f t="shared" si="34"/>
        <v>1066</v>
      </c>
      <c r="N63" s="229">
        <f t="shared" si="35"/>
        <v>376.298</v>
      </c>
      <c r="O63" s="229">
        <f t="shared" si="36"/>
        <v>118.43259999999999</v>
      </c>
      <c r="P63" s="226">
        <f t="shared" si="37"/>
        <v>88.797799999999995</v>
      </c>
      <c r="Q63" s="229">
        <f t="shared" si="38"/>
        <v>73.152331199999992</v>
      </c>
      <c r="R63" s="229">
        <f t="shared" si="39"/>
        <v>88.833333333333329</v>
      </c>
      <c r="S63" s="229">
        <f t="shared" si="40"/>
        <v>50.929216000000004</v>
      </c>
      <c r="T63" s="226">
        <v>0</v>
      </c>
      <c r="U63" s="226">
        <v>0</v>
      </c>
      <c r="V63" s="229">
        <f t="shared" si="31"/>
        <v>796.44328053333322</v>
      </c>
      <c r="W63" s="226">
        <f t="shared" si="41"/>
        <v>20.833333333333332</v>
      </c>
      <c r="X63" s="226">
        <f t="shared" si="9"/>
        <v>20.833333333333332</v>
      </c>
      <c r="Y63" s="226">
        <f t="shared" si="42"/>
        <v>18.75</v>
      </c>
      <c r="Z63" s="226">
        <f t="shared" si="43"/>
        <v>3.5714285714285716</v>
      </c>
      <c r="AA63" s="226">
        <f t="shared" si="44"/>
        <v>82.408333333333317</v>
      </c>
      <c r="AB63" s="226">
        <f t="shared" si="45"/>
        <v>87.916666666666657</v>
      </c>
      <c r="AC63" s="230">
        <f t="shared" si="46"/>
        <v>150</v>
      </c>
      <c r="AD63" s="226">
        <f t="shared" si="47"/>
        <v>66.666666666666671</v>
      </c>
      <c r="AE63" s="226">
        <f t="shared" si="48"/>
        <v>15</v>
      </c>
      <c r="AF63" s="226">
        <v>400</v>
      </c>
      <c r="AG63" s="229">
        <f t="shared" si="49"/>
        <v>865.97976190476197</v>
      </c>
      <c r="AH63" s="229">
        <f t="shared" si="50"/>
        <v>2728.4230424380949</v>
      </c>
      <c r="AI63" s="231">
        <v>0.04</v>
      </c>
      <c r="AJ63" s="232">
        <f t="shared" si="51"/>
        <v>109.1369216975238</v>
      </c>
      <c r="AK63" s="233">
        <v>0.04</v>
      </c>
      <c r="AL63" s="234">
        <f t="shared" si="56"/>
        <v>166.08875619772303</v>
      </c>
      <c r="AM63" s="231">
        <v>0.01</v>
      </c>
      <c r="AN63" s="232">
        <f t="shared" si="57"/>
        <v>27.284230424380951</v>
      </c>
      <c r="AO63" s="233">
        <v>0.01</v>
      </c>
      <c r="AP63" s="234">
        <f t="shared" si="52"/>
        <v>41.522189049430757</v>
      </c>
      <c r="AQ63" s="231">
        <v>0.1</v>
      </c>
      <c r="AR63" s="232">
        <f t="shared" si="58"/>
        <v>272.84230424380951</v>
      </c>
      <c r="AS63" s="233">
        <v>0.1</v>
      </c>
      <c r="AT63" s="234">
        <f t="shared" si="53"/>
        <v>415.22189049430756</v>
      </c>
      <c r="AU63" s="231">
        <v>0.15640000000000001</v>
      </c>
      <c r="AV63" s="232">
        <f t="shared" si="54"/>
        <v>615.23264682427634</v>
      </c>
      <c r="AW63" s="233">
        <v>0.19289999999999999</v>
      </c>
      <c r="AX63" s="234">
        <f t="shared" si="55"/>
        <v>800.96302676351922</v>
      </c>
      <c r="AY63" s="235">
        <f t="shared" si="59"/>
        <v>3933.7125756027895</v>
      </c>
      <c r="AZ63" s="234">
        <f t="shared" si="60"/>
        <v>4152.2189049430754</v>
      </c>
      <c r="BA63" s="395">
        <f t="shared" si="32"/>
        <v>1698.5599813825941</v>
      </c>
    </row>
    <row r="64" spans="1:53" x14ac:dyDescent="0.25">
      <c r="A64" s="245" t="str">
        <f>IF(D64=0, "", AZ64)</f>
        <v/>
      </c>
      <c r="B64" s="220" t="str">
        <f>IF(Helexia!C64=0,"",Helexia!C64)</f>
        <v/>
      </c>
      <c r="C64" s="221" t="str">
        <f>IF(Helexia!G64=0,"",Helexia!G64)</f>
        <v/>
      </c>
      <c r="K64" s="228">
        <f t="shared" si="30"/>
        <v>0</v>
      </c>
      <c r="L64" s="243">
        <f t="shared" si="33"/>
        <v>0</v>
      </c>
      <c r="M64" s="229">
        <f t="shared" si="34"/>
        <v>0</v>
      </c>
      <c r="N64" s="229">
        <f t="shared" si="35"/>
        <v>0</v>
      </c>
      <c r="O64" s="229">
        <f t="shared" si="36"/>
        <v>0</v>
      </c>
      <c r="P64" s="226">
        <f t="shared" si="37"/>
        <v>0</v>
      </c>
      <c r="Q64" s="229">
        <f t="shared" si="38"/>
        <v>0</v>
      </c>
      <c r="R64" s="229">
        <f t="shared" si="39"/>
        <v>0</v>
      </c>
      <c r="S64" s="229">
        <f t="shared" si="40"/>
        <v>0</v>
      </c>
      <c r="T64" s="226">
        <v>0</v>
      </c>
      <c r="U64" s="226">
        <v>0</v>
      </c>
      <c r="V64" s="229">
        <f t="shared" si="31"/>
        <v>0</v>
      </c>
      <c r="W64" s="226">
        <f t="shared" si="41"/>
        <v>20.833333333333332</v>
      </c>
      <c r="X64" s="226">
        <f t="shared" si="9"/>
        <v>20.833333333333332</v>
      </c>
      <c r="Y64" s="226">
        <f t="shared" si="42"/>
        <v>18.75</v>
      </c>
      <c r="Z64" s="226">
        <f t="shared" si="43"/>
        <v>3.5714285714285716</v>
      </c>
      <c r="AA64" s="226">
        <f t="shared" si="44"/>
        <v>82.408333333333317</v>
      </c>
      <c r="AB64" s="226">
        <f t="shared" si="45"/>
        <v>87.916666666666657</v>
      </c>
      <c r="AC64" s="230">
        <f t="shared" si="46"/>
        <v>150</v>
      </c>
      <c r="AD64" s="226">
        <f t="shared" si="47"/>
        <v>66.666666666666671</v>
      </c>
      <c r="AE64" s="226">
        <f t="shared" si="48"/>
        <v>15</v>
      </c>
      <c r="AF64" s="226">
        <v>400</v>
      </c>
      <c r="AG64" s="229">
        <f t="shared" si="49"/>
        <v>865.97976190476197</v>
      </c>
      <c r="AH64" s="229">
        <f t="shared" si="50"/>
        <v>865.97976190476197</v>
      </c>
      <c r="AI64" s="231">
        <v>0.04</v>
      </c>
      <c r="AJ64" s="232">
        <f t="shared" si="51"/>
        <v>34.639190476190478</v>
      </c>
      <c r="AK64" s="233">
        <v>0.04</v>
      </c>
      <c r="AL64" s="234">
        <f t="shared" si="56"/>
        <v>52.715249545260207</v>
      </c>
      <c r="AM64" s="231">
        <v>0.01</v>
      </c>
      <c r="AN64" s="232">
        <f t="shared" si="57"/>
        <v>8.6597976190476196</v>
      </c>
      <c r="AO64" s="233">
        <v>0.01</v>
      </c>
      <c r="AP64" s="234">
        <f t="shared" si="52"/>
        <v>13.178812386315052</v>
      </c>
      <c r="AQ64" s="231">
        <v>0.1</v>
      </c>
      <c r="AR64" s="232">
        <f t="shared" si="58"/>
        <v>86.597976190476203</v>
      </c>
      <c r="AS64" s="233">
        <v>0.1</v>
      </c>
      <c r="AT64" s="234">
        <f t="shared" si="53"/>
        <v>131.7881238631505</v>
      </c>
      <c r="AU64" s="231">
        <v>0.15640000000000001</v>
      </c>
      <c r="AV64" s="232">
        <f t="shared" si="54"/>
        <v>195.26994631185812</v>
      </c>
      <c r="AW64" s="233">
        <v>0.19289999999999999</v>
      </c>
      <c r="AX64" s="234">
        <f t="shared" si="55"/>
        <v>254.21929093201732</v>
      </c>
      <c r="AY64" s="235">
        <f t="shared" si="59"/>
        <v>1248.5290684901413</v>
      </c>
      <c r="AZ64" s="234">
        <f t="shared" si="60"/>
        <v>1317.8812386315051</v>
      </c>
      <c r="BA64" s="395">
        <f t="shared" si="32"/>
        <v>615.47980703310247</v>
      </c>
    </row>
    <row r="65" spans="1:53" x14ac:dyDescent="0.25">
      <c r="A65" s="245" t="str">
        <f>IF(D65=0, "", AZ65)</f>
        <v/>
      </c>
      <c r="B65" s="220" t="str">
        <f>IF(Helexia!C65=0,"",Helexia!C65)</f>
        <v/>
      </c>
      <c r="C65" s="221" t="str">
        <f>IF(Helexia!G65=0,"",Helexia!G65)</f>
        <v/>
      </c>
      <c r="K65" s="228">
        <f t="shared" si="30"/>
        <v>0</v>
      </c>
      <c r="L65" s="243">
        <f t="shared" ref="L65:L82" si="78">K65 * 0.3</f>
        <v>0</v>
      </c>
      <c r="M65" s="229">
        <f t="shared" ref="M65:M82" si="79">K65+L65</f>
        <v>0</v>
      </c>
      <c r="N65" s="229">
        <f t="shared" ref="N65:N82" si="80">M65 * 35.3%</f>
        <v>0</v>
      </c>
      <c r="O65" s="229">
        <f t="shared" ref="O65:O82" si="81">M65 * 11.11%</f>
        <v>0</v>
      </c>
      <c r="P65" s="226">
        <f t="shared" ref="P65:P82" si="82">M65 * 8.33%</f>
        <v>0</v>
      </c>
      <c r="Q65" s="229">
        <f t="shared" ref="Q65:Q82" si="83">(O65+P65) * 35.3%</f>
        <v>0</v>
      </c>
      <c r="R65" s="229">
        <f t="shared" ref="R65:R82" si="84">M65/12</f>
        <v>0</v>
      </c>
      <c r="S65" s="229">
        <f t="shared" ref="S65:S82" si="85">((M65+O65+P65)*8%)*50%</f>
        <v>0</v>
      </c>
      <c r="T65" s="226">
        <v>0</v>
      </c>
      <c r="U65" s="226">
        <v>0</v>
      </c>
      <c r="V65" s="229">
        <f t="shared" si="31"/>
        <v>0</v>
      </c>
      <c r="W65" s="226">
        <f t="shared" ref="W65:W82" si="86">500/24</f>
        <v>20.833333333333332</v>
      </c>
      <c r="X65" s="226">
        <f t="shared" si="9"/>
        <v>20.833333333333332</v>
      </c>
      <c r="Y65" s="226">
        <f t="shared" ref="Y65:Y82" si="87">450/24</f>
        <v>18.75</v>
      </c>
      <c r="Z65" s="226">
        <f t="shared" ref="Z65:Z82" si="88">((1500*2)/24)/35</f>
        <v>3.5714285714285716</v>
      </c>
      <c r="AA65" s="226">
        <f t="shared" ref="AA65:AA82" si="89">(89.9 + 49.9 + 89.9 + 89.9 + 89.9 + 129.9 + 89.9 + 89.9 + 49.9 + 89.9 + 129.9)/12</f>
        <v>82.408333333333317</v>
      </c>
      <c r="AB65" s="226">
        <f t="shared" ref="AB65:AB82" si="90">(308/12)+(500/12)+(65/12)+(150/12)+(4/12)+(28/12)</f>
        <v>87.916666666666657</v>
      </c>
      <c r="AC65" s="230">
        <f t="shared" ref="AC65:AC82" si="91">1800/12</f>
        <v>150</v>
      </c>
      <c r="AD65" s="226">
        <f t="shared" ref="AD65:AD82" si="92">800/12</f>
        <v>66.666666666666671</v>
      </c>
      <c r="AE65" s="226">
        <f t="shared" ref="AE65:AE82" si="93">180/12</f>
        <v>15</v>
      </c>
      <c r="AF65" s="226">
        <v>400</v>
      </c>
      <c r="AG65" s="229">
        <f t="shared" ref="AG65:AG82" si="94">SUM(W65:AF65)</f>
        <v>865.97976190476197</v>
      </c>
      <c r="AH65" s="229">
        <f t="shared" ref="AH65:AH82" si="95">M65+V65+AG65</f>
        <v>865.97976190476197</v>
      </c>
      <c r="AI65" s="231">
        <v>0.04</v>
      </c>
      <c r="AJ65" s="232">
        <f t="shared" ref="AJ65:AJ82" si="96">AH65*AI65</f>
        <v>34.639190476190478</v>
      </c>
      <c r="AK65" s="233">
        <v>0.04</v>
      </c>
      <c r="AL65" s="234">
        <f t="shared" si="56"/>
        <v>52.715249545260207</v>
      </c>
      <c r="AM65" s="231">
        <v>0.01</v>
      </c>
      <c r="AN65" s="232">
        <f t="shared" si="57"/>
        <v>8.6597976190476196</v>
      </c>
      <c r="AO65" s="233">
        <v>0.01</v>
      </c>
      <c r="AP65" s="234">
        <f t="shared" ref="AP65:AP82" si="97">AZ65*AO65</f>
        <v>13.178812386315052</v>
      </c>
      <c r="AQ65" s="231">
        <v>0.1</v>
      </c>
      <c r="AR65" s="232">
        <f t="shared" si="58"/>
        <v>86.597976190476203</v>
      </c>
      <c r="AS65" s="233">
        <v>0.1</v>
      </c>
      <c r="AT65" s="234">
        <f t="shared" ref="AT65:AT82" si="98">AZ65*AS65</f>
        <v>131.7881238631505</v>
      </c>
      <c r="AU65" s="231">
        <v>0.15640000000000001</v>
      </c>
      <c r="AV65" s="232">
        <f t="shared" ref="AV65:AV82" si="99">AY65*AU65</f>
        <v>195.26994631185812</v>
      </c>
      <c r="AW65" s="233">
        <v>0.19289999999999999</v>
      </c>
      <c r="AX65" s="234">
        <f t="shared" ref="AX65:AX82" si="100">AZ65*AW65</f>
        <v>254.21929093201732</v>
      </c>
      <c r="AY65" s="235">
        <f t="shared" si="59"/>
        <v>1248.5290684901413</v>
      </c>
      <c r="AZ65" s="234">
        <f t="shared" si="60"/>
        <v>1317.8812386315051</v>
      </c>
      <c r="BA65" s="395">
        <f t="shared" si="32"/>
        <v>615.47980703310247</v>
      </c>
    </row>
    <row r="66" spans="1:53" x14ac:dyDescent="0.25">
      <c r="A66" s="245" t="str">
        <f>IF(D66=0, "", AZ66)</f>
        <v/>
      </c>
      <c r="C66" s="221" t="str">
        <f>IF(Helexia!G66=0,"",Helexia!G66)</f>
        <v/>
      </c>
      <c r="K66" s="228">
        <f t="shared" ref="K66:K82" si="101">D66</f>
        <v>0</v>
      </c>
      <c r="L66" s="243">
        <f t="shared" si="78"/>
        <v>0</v>
      </c>
      <c r="M66" s="229">
        <f t="shared" si="79"/>
        <v>0</v>
      </c>
      <c r="N66" s="229">
        <f t="shared" si="80"/>
        <v>0</v>
      </c>
      <c r="O66" s="229">
        <f t="shared" si="81"/>
        <v>0</v>
      </c>
      <c r="P66" s="226">
        <f t="shared" si="82"/>
        <v>0</v>
      </c>
      <c r="Q66" s="229">
        <f t="shared" si="83"/>
        <v>0</v>
      </c>
      <c r="R66" s="229">
        <f t="shared" si="84"/>
        <v>0</v>
      </c>
      <c r="S66" s="229">
        <f t="shared" si="85"/>
        <v>0</v>
      </c>
      <c r="T66" s="226">
        <v>0</v>
      </c>
      <c r="U66" s="226">
        <v>0</v>
      </c>
      <c r="V66" s="229">
        <f t="shared" ref="V66:V82" si="102">SUM(N66:U66)</f>
        <v>0</v>
      </c>
      <c r="W66" s="226">
        <f t="shared" si="86"/>
        <v>20.833333333333332</v>
      </c>
      <c r="X66" s="226">
        <f t="shared" ref="X66" si="103">500/24</f>
        <v>20.833333333333332</v>
      </c>
      <c r="Y66" s="226">
        <f t="shared" si="87"/>
        <v>18.75</v>
      </c>
      <c r="Z66" s="226">
        <f t="shared" si="88"/>
        <v>3.5714285714285716</v>
      </c>
      <c r="AA66" s="226">
        <f t="shared" si="89"/>
        <v>82.408333333333317</v>
      </c>
      <c r="AB66" s="226">
        <f t="shared" si="90"/>
        <v>87.916666666666657</v>
      </c>
      <c r="AC66" s="230">
        <f t="shared" si="91"/>
        <v>150</v>
      </c>
      <c r="AD66" s="226">
        <f t="shared" si="92"/>
        <v>66.666666666666671</v>
      </c>
      <c r="AE66" s="226">
        <f t="shared" si="93"/>
        <v>15</v>
      </c>
      <c r="AF66" s="226">
        <v>400</v>
      </c>
      <c r="AG66" s="229">
        <f t="shared" si="94"/>
        <v>865.97976190476197</v>
      </c>
      <c r="AH66" s="229">
        <f t="shared" si="95"/>
        <v>865.97976190476197</v>
      </c>
      <c r="AI66" s="231">
        <v>0.04</v>
      </c>
      <c r="AJ66" s="232">
        <f t="shared" si="96"/>
        <v>34.639190476190478</v>
      </c>
      <c r="AK66" s="233">
        <v>0.04</v>
      </c>
      <c r="AL66" s="234">
        <f t="shared" si="56"/>
        <v>52.715249545260207</v>
      </c>
      <c r="AM66" s="231">
        <v>0.01</v>
      </c>
      <c r="AN66" s="232">
        <f t="shared" si="57"/>
        <v>8.6597976190476196</v>
      </c>
      <c r="AO66" s="233">
        <v>0.01</v>
      </c>
      <c r="AP66" s="234">
        <f t="shared" si="97"/>
        <v>13.178812386315052</v>
      </c>
      <c r="AQ66" s="231">
        <v>0.1</v>
      </c>
      <c r="AR66" s="232">
        <f t="shared" si="58"/>
        <v>86.597976190476203</v>
      </c>
      <c r="AS66" s="233">
        <v>0.1</v>
      </c>
      <c r="AT66" s="234">
        <f t="shared" si="98"/>
        <v>131.7881238631505</v>
      </c>
      <c r="AU66" s="231">
        <v>0.15640000000000001</v>
      </c>
      <c r="AV66" s="232">
        <f t="shared" si="99"/>
        <v>195.26994631185812</v>
      </c>
      <c r="AW66" s="233">
        <v>0.19289999999999999</v>
      </c>
      <c r="AX66" s="234">
        <f t="shared" si="100"/>
        <v>254.21929093201732</v>
      </c>
      <c r="AY66" s="235">
        <f t="shared" si="59"/>
        <v>1248.5290684901413</v>
      </c>
      <c r="AZ66" s="234">
        <f t="shared" si="60"/>
        <v>1317.8812386315051</v>
      </c>
      <c r="BA66" s="395">
        <f t="shared" si="32"/>
        <v>615.47980703310247</v>
      </c>
    </row>
    <row r="67" spans="1:53" x14ac:dyDescent="0.25">
      <c r="A67" s="245" t="str">
        <f>IF(D67=0, "", AZ67)</f>
        <v/>
      </c>
      <c r="C67" s="221" t="str">
        <f>IF(Helexia!G67=0,"",Helexia!G67)</f>
        <v/>
      </c>
      <c r="K67" s="228">
        <f t="shared" si="101"/>
        <v>0</v>
      </c>
      <c r="L67" s="243">
        <f t="shared" si="78"/>
        <v>0</v>
      </c>
      <c r="M67" s="229">
        <f t="shared" si="79"/>
        <v>0</v>
      </c>
      <c r="N67" s="229">
        <f t="shared" si="80"/>
        <v>0</v>
      </c>
      <c r="O67" s="229">
        <f t="shared" si="81"/>
        <v>0</v>
      </c>
      <c r="P67" s="226">
        <f t="shared" si="82"/>
        <v>0</v>
      </c>
      <c r="Q67" s="229">
        <f t="shared" si="83"/>
        <v>0</v>
      </c>
      <c r="R67" s="229">
        <f t="shared" si="84"/>
        <v>0</v>
      </c>
      <c r="S67" s="229">
        <f t="shared" si="85"/>
        <v>0</v>
      </c>
      <c r="T67" s="226">
        <v>0</v>
      </c>
      <c r="U67" s="226">
        <v>0</v>
      </c>
      <c r="V67" s="229">
        <f t="shared" si="102"/>
        <v>0</v>
      </c>
      <c r="W67" s="226">
        <f t="shared" si="86"/>
        <v>20.833333333333332</v>
      </c>
      <c r="X67" s="226">
        <f t="shared" si="9"/>
        <v>20.833333333333332</v>
      </c>
      <c r="Y67" s="226">
        <f t="shared" si="87"/>
        <v>18.75</v>
      </c>
      <c r="Z67" s="226">
        <f t="shared" si="88"/>
        <v>3.5714285714285716</v>
      </c>
      <c r="AA67" s="226">
        <f t="shared" si="89"/>
        <v>82.408333333333317</v>
      </c>
      <c r="AB67" s="226">
        <f t="shared" si="90"/>
        <v>87.916666666666657</v>
      </c>
      <c r="AC67" s="230">
        <f t="shared" si="91"/>
        <v>150</v>
      </c>
      <c r="AD67" s="226">
        <f t="shared" si="92"/>
        <v>66.666666666666671</v>
      </c>
      <c r="AE67" s="226">
        <f t="shared" si="93"/>
        <v>15</v>
      </c>
      <c r="AF67" s="226">
        <v>400</v>
      </c>
      <c r="AG67" s="229">
        <f t="shared" si="94"/>
        <v>865.97976190476197</v>
      </c>
      <c r="AH67" s="229">
        <f t="shared" si="95"/>
        <v>865.97976190476197</v>
      </c>
      <c r="AI67" s="231">
        <v>0.04</v>
      </c>
      <c r="AJ67" s="232">
        <f t="shared" si="96"/>
        <v>34.639190476190478</v>
      </c>
      <c r="AK67" s="233">
        <v>0.04</v>
      </c>
      <c r="AL67" s="234">
        <f t="shared" ref="AL67:AL82" si="104">AZ67*AK67</f>
        <v>52.715249545260207</v>
      </c>
      <c r="AM67" s="231">
        <v>0.01</v>
      </c>
      <c r="AN67" s="232">
        <f t="shared" ref="AN67:AN82" si="105">AH67*AM67</f>
        <v>8.6597976190476196</v>
      </c>
      <c r="AO67" s="233">
        <v>0.01</v>
      </c>
      <c r="AP67" s="234">
        <f t="shared" si="97"/>
        <v>13.178812386315052</v>
      </c>
      <c r="AQ67" s="231">
        <v>0.1</v>
      </c>
      <c r="AR67" s="232">
        <f t="shared" ref="AR67:AR82" si="106">AH67*AQ67</f>
        <v>86.597976190476203</v>
      </c>
      <c r="AS67" s="233">
        <v>0.1</v>
      </c>
      <c r="AT67" s="234">
        <f t="shared" si="98"/>
        <v>131.7881238631505</v>
      </c>
      <c r="AU67" s="231">
        <v>0.15640000000000001</v>
      </c>
      <c r="AV67" s="232">
        <f t="shared" si="99"/>
        <v>195.26994631185812</v>
      </c>
      <c r="AW67" s="233">
        <v>0.19289999999999999</v>
      </c>
      <c r="AX67" s="234">
        <f t="shared" si="100"/>
        <v>254.21929093201732</v>
      </c>
      <c r="AY67" s="235">
        <f t="shared" ref="AY67:AY82" si="107">(AH67)/(1-AI67-AM67-AQ67-AU67)</f>
        <v>1248.5290684901413</v>
      </c>
      <c r="AZ67" s="234">
        <f t="shared" ref="AZ67:AZ82" si="108">($AH67)/(1-AK67-AO67-AS67-AW67)</f>
        <v>1317.8812386315051</v>
      </c>
      <c r="BA67" s="395">
        <f t="shared" si="32"/>
        <v>615.47980703310247</v>
      </c>
    </row>
    <row r="68" spans="1:53" x14ac:dyDescent="0.25">
      <c r="A68" s="245" t="str">
        <f>IF(D68=0, "", AZ68)</f>
        <v/>
      </c>
      <c r="C68" s="221" t="str">
        <f>IF(Helexia!G68=0,"",Helexia!G68)</f>
        <v/>
      </c>
      <c r="K68" s="228">
        <f t="shared" si="101"/>
        <v>0</v>
      </c>
      <c r="L68" s="243">
        <f t="shared" si="78"/>
        <v>0</v>
      </c>
      <c r="M68" s="229">
        <f t="shared" si="79"/>
        <v>0</v>
      </c>
      <c r="N68" s="229">
        <f t="shared" si="80"/>
        <v>0</v>
      </c>
      <c r="O68" s="229">
        <f t="shared" si="81"/>
        <v>0</v>
      </c>
      <c r="P68" s="226">
        <f t="shared" si="82"/>
        <v>0</v>
      </c>
      <c r="Q68" s="229">
        <f t="shared" si="83"/>
        <v>0</v>
      </c>
      <c r="R68" s="229">
        <f t="shared" si="84"/>
        <v>0</v>
      </c>
      <c r="S68" s="229">
        <f t="shared" si="85"/>
        <v>0</v>
      </c>
      <c r="T68" s="226">
        <v>0</v>
      </c>
      <c r="U68" s="226">
        <v>0</v>
      </c>
      <c r="V68" s="229">
        <f t="shared" si="102"/>
        <v>0</v>
      </c>
      <c r="W68" s="226">
        <f t="shared" si="86"/>
        <v>20.833333333333332</v>
      </c>
      <c r="X68" s="226">
        <f t="shared" ref="X68:X82" si="109">500/24</f>
        <v>20.833333333333332</v>
      </c>
      <c r="Y68" s="226">
        <f t="shared" si="87"/>
        <v>18.75</v>
      </c>
      <c r="Z68" s="226">
        <f t="shared" si="88"/>
        <v>3.5714285714285716</v>
      </c>
      <c r="AA68" s="226">
        <f t="shared" si="89"/>
        <v>82.408333333333317</v>
      </c>
      <c r="AB68" s="226">
        <f t="shared" si="90"/>
        <v>87.916666666666657</v>
      </c>
      <c r="AC68" s="230">
        <f t="shared" si="91"/>
        <v>150</v>
      </c>
      <c r="AD68" s="226">
        <f t="shared" si="92"/>
        <v>66.666666666666671</v>
      </c>
      <c r="AE68" s="226">
        <f t="shared" si="93"/>
        <v>15</v>
      </c>
      <c r="AF68" s="226">
        <v>400</v>
      </c>
      <c r="AG68" s="229">
        <f t="shared" si="94"/>
        <v>865.97976190476197</v>
      </c>
      <c r="AH68" s="229">
        <f t="shared" si="95"/>
        <v>865.97976190476197</v>
      </c>
      <c r="AI68" s="231">
        <v>0.04</v>
      </c>
      <c r="AJ68" s="232">
        <f t="shared" si="96"/>
        <v>34.639190476190478</v>
      </c>
      <c r="AK68" s="233">
        <v>0.04</v>
      </c>
      <c r="AL68" s="234">
        <f t="shared" si="104"/>
        <v>52.715249545260207</v>
      </c>
      <c r="AM68" s="231">
        <v>0.01</v>
      </c>
      <c r="AN68" s="232">
        <f t="shared" si="105"/>
        <v>8.6597976190476196</v>
      </c>
      <c r="AO68" s="233">
        <v>0.01</v>
      </c>
      <c r="AP68" s="234">
        <f t="shared" si="97"/>
        <v>13.178812386315052</v>
      </c>
      <c r="AQ68" s="231">
        <v>0.1</v>
      </c>
      <c r="AR68" s="232">
        <f t="shared" si="106"/>
        <v>86.597976190476203</v>
      </c>
      <c r="AS68" s="233">
        <v>0.1</v>
      </c>
      <c r="AT68" s="234">
        <f t="shared" si="98"/>
        <v>131.7881238631505</v>
      </c>
      <c r="AU68" s="231">
        <v>0.15640000000000001</v>
      </c>
      <c r="AV68" s="232">
        <f t="shared" si="99"/>
        <v>195.26994631185812</v>
      </c>
      <c r="AW68" s="233">
        <v>0.19289999999999999</v>
      </c>
      <c r="AX68" s="234">
        <f t="shared" si="100"/>
        <v>254.21929093201732</v>
      </c>
      <c r="AY68" s="235">
        <f t="shared" si="107"/>
        <v>1248.5290684901413</v>
      </c>
      <c r="AZ68" s="234">
        <f t="shared" si="108"/>
        <v>1317.8812386315051</v>
      </c>
      <c r="BA68" s="395">
        <f t="shared" ref="BA68:BA82" si="110">SUM($D68+$W68+$X68+$Y68+$Z68+$AA68+$AB68+$AC68+$AD68+$AE68)/(1-$AK68-$AO68-$AW68)</f>
        <v>615.47980703310247</v>
      </c>
    </row>
    <row r="69" spans="1:53" x14ac:dyDescent="0.25">
      <c r="A69" s="246"/>
      <c r="K69" s="228">
        <f t="shared" si="101"/>
        <v>0</v>
      </c>
      <c r="L69" s="243">
        <f t="shared" si="78"/>
        <v>0</v>
      </c>
      <c r="M69" s="229">
        <f t="shared" si="79"/>
        <v>0</v>
      </c>
      <c r="N69" s="229">
        <f t="shared" si="80"/>
        <v>0</v>
      </c>
      <c r="O69" s="229">
        <f t="shared" si="81"/>
        <v>0</v>
      </c>
      <c r="P69" s="226">
        <f t="shared" si="82"/>
        <v>0</v>
      </c>
      <c r="Q69" s="229">
        <f t="shared" si="83"/>
        <v>0</v>
      </c>
      <c r="R69" s="229">
        <f t="shared" si="84"/>
        <v>0</v>
      </c>
      <c r="S69" s="229">
        <f t="shared" si="85"/>
        <v>0</v>
      </c>
      <c r="T69" s="226">
        <v>0</v>
      </c>
      <c r="U69" s="226">
        <v>0</v>
      </c>
      <c r="V69" s="229">
        <f t="shared" si="102"/>
        <v>0</v>
      </c>
      <c r="W69" s="226">
        <f t="shared" si="86"/>
        <v>20.833333333333332</v>
      </c>
      <c r="X69" s="226">
        <f t="shared" si="109"/>
        <v>20.833333333333332</v>
      </c>
      <c r="Y69" s="226">
        <f t="shared" si="87"/>
        <v>18.75</v>
      </c>
      <c r="Z69" s="226">
        <f t="shared" si="88"/>
        <v>3.5714285714285716</v>
      </c>
      <c r="AA69" s="226">
        <f t="shared" si="89"/>
        <v>82.408333333333317</v>
      </c>
      <c r="AB69" s="226">
        <f t="shared" si="90"/>
        <v>87.916666666666657</v>
      </c>
      <c r="AC69" s="230">
        <f t="shared" si="91"/>
        <v>150</v>
      </c>
      <c r="AD69" s="226">
        <f t="shared" si="92"/>
        <v>66.666666666666671</v>
      </c>
      <c r="AE69" s="226">
        <f t="shared" si="93"/>
        <v>15</v>
      </c>
      <c r="AF69" s="226">
        <v>400</v>
      </c>
      <c r="AG69" s="229">
        <f t="shared" si="94"/>
        <v>865.97976190476197</v>
      </c>
      <c r="AH69" s="229">
        <f t="shared" si="95"/>
        <v>865.97976190476197</v>
      </c>
      <c r="AI69" s="231">
        <v>0.04</v>
      </c>
      <c r="AJ69" s="232">
        <f t="shared" si="96"/>
        <v>34.639190476190478</v>
      </c>
      <c r="AK69" s="233">
        <v>0.04</v>
      </c>
      <c r="AL69" s="234">
        <f t="shared" si="104"/>
        <v>52.715249545260207</v>
      </c>
      <c r="AM69" s="231">
        <v>0.01</v>
      </c>
      <c r="AN69" s="232">
        <f t="shared" si="105"/>
        <v>8.6597976190476196</v>
      </c>
      <c r="AO69" s="233">
        <v>0.01</v>
      </c>
      <c r="AP69" s="234">
        <f t="shared" si="97"/>
        <v>13.178812386315052</v>
      </c>
      <c r="AQ69" s="231">
        <v>0.1</v>
      </c>
      <c r="AR69" s="232">
        <f t="shared" si="106"/>
        <v>86.597976190476203</v>
      </c>
      <c r="AS69" s="233">
        <v>0.1</v>
      </c>
      <c r="AT69" s="234">
        <f t="shared" si="98"/>
        <v>131.7881238631505</v>
      </c>
      <c r="AU69" s="231">
        <v>0.15640000000000001</v>
      </c>
      <c r="AV69" s="232">
        <f t="shared" si="99"/>
        <v>195.26994631185812</v>
      </c>
      <c r="AW69" s="233">
        <v>0.19289999999999999</v>
      </c>
      <c r="AX69" s="234">
        <f t="shared" si="100"/>
        <v>254.21929093201732</v>
      </c>
      <c r="AY69" s="235">
        <f t="shared" si="107"/>
        <v>1248.5290684901413</v>
      </c>
      <c r="AZ69" s="234">
        <f t="shared" si="108"/>
        <v>1317.8812386315051</v>
      </c>
      <c r="BA69" s="395">
        <f t="shared" si="110"/>
        <v>615.47980703310247</v>
      </c>
    </row>
    <row r="70" spans="1:53" x14ac:dyDescent="0.25">
      <c r="A70" s="246"/>
      <c r="K70" s="228">
        <f t="shared" si="101"/>
        <v>0</v>
      </c>
      <c r="L70" s="243">
        <f t="shared" si="78"/>
        <v>0</v>
      </c>
      <c r="M70" s="229">
        <f t="shared" si="79"/>
        <v>0</v>
      </c>
      <c r="N70" s="229">
        <f t="shared" si="80"/>
        <v>0</v>
      </c>
      <c r="O70" s="229">
        <f t="shared" si="81"/>
        <v>0</v>
      </c>
      <c r="P70" s="226">
        <f t="shared" si="82"/>
        <v>0</v>
      </c>
      <c r="Q70" s="229">
        <f t="shared" si="83"/>
        <v>0</v>
      </c>
      <c r="R70" s="229">
        <f t="shared" si="84"/>
        <v>0</v>
      </c>
      <c r="S70" s="229">
        <f t="shared" si="85"/>
        <v>0</v>
      </c>
      <c r="T70" s="226">
        <v>0</v>
      </c>
      <c r="U70" s="226">
        <v>0</v>
      </c>
      <c r="V70" s="229">
        <f t="shared" si="102"/>
        <v>0</v>
      </c>
      <c r="W70" s="226">
        <f t="shared" si="86"/>
        <v>20.833333333333332</v>
      </c>
      <c r="X70" s="226">
        <f t="shared" si="109"/>
        <v>20.833333333333332</v>
      </c>
      <c r="Y70" s="226">
        <f t="shared" si="87"/>
        <v>18.75</v>
      </c>
      <c r="Z70" s="226">
        <f t="shared" si="88"/>
        <v>3.5714285714285716</v>
      </c>
      <c r="AA70" s="226">
        <f t="shared" si="89"/>
        <v>82.408333333333317</v>
      </c>
      <c r="AB70" s="226">
        <f t="shared" si="90"/>
        <v>87.916666666666657</v>
      </c>
      <c r="AC70" s="230">
        <f t="shared" si="91"/>
        <v>150</v>
      </c>
      <c r="AD70" s="226">
        <f t="shared" si="92"/>
        <v>66.666666666666671</v>
      </c>
      <c r="AE70" s="226">
        <f t="shared" si="93"/>
        <v>15</v>
      </c>
      <c r="AF70" s="226">
        <v>400</v>
      </c>
      <c r="AG70" s="229">
        <f t="shared" si="94"/>
        <v>865.97976190476197</v>
      </c>
      <c r="AH70" s="229">
        <f t="shared" si="95"/>
        <v>865.97976190476197</v>
      </c>
      <c r="AI70" s="231">
        <v>0.04</v>
      </c>
      <c r="AJ70" s="232">
        <f t="shared" si="96"/>
        <v>34.639190476190478</v>
      </c>
      <c r="AK70" s="233">
        <v>0.04</v>
      </c>
      <c r="AL70" s="234">
        <f t="shared" si="104"/>
        <v>52.715249545260207</v>
      </c>
      <c r="AM70" s="231">
        <v>0.01</v>
      </c>
      <c r="AN70" s="232">
        <f t="shared" si="105"/>
        <v>8.6597976190476196</v>
      </c>
      <c r="AO70" s="233">
        <v>0.01</v>
      </c>
      <c r="AP70" s="234">
        <f t="shared" si="97"/>
        <v>13.178812386315052</v>
      </c>
      <c r="AQ70" s="231">
        <v>0.1</v>
      </c>
      <c r="AR70" s="232">
        <f t="shared" si="106"/>
        <v>86.597976190476203</v>
      </c>
      <c r="AS70" s="233">
        <v>0.1</v>
      </c>
      <c r="AT70" s="234">
        <f t="shared" si="98"/>
        <v>131.7881238631505</v>
      </c>
      <c r="AU70" s="231">
        <v>0.15640000000000001</v>
      </c>
      <c r="AV70" s="232">
        <f t="shared" si="99"/>
        <v>195.26994631185812</v>
      </c>
      <c r="AW70" s="233">
        <v>0.19289999999999999</v>
      </c>
      <c r="AX70" s="234">
        <f t="shared" si="100"/>
        <v>254.21929093201732</v>
      </c>
      <c r="AY70" s="235">
        <f t="shared" si="107"/>
        <v>1248.5290684901413</v>
      </c>
      <c r="AZ70" s="234">
        <f t="shared" si="108"/>
        <v>1317.8812386315051</v>
      </c>
      <c r="BA70" s="395">
        <f t="shared" si="110"/>
        <v>615.47980703310247</v>
      </c>
    </row>
    <row r="71" spans="1:53" x14ac:dyDescent="0.25">
      <c r="A71" s="246"/>
      <c r="K71" s="228">
        <f t="shared" si="101"/>
        <v>0</v>
      </c>
      <c r="L71" s="243">
        <f t="shared" si="78"/>
        <v>0</v>
      </c>
      <c r="M71" s="229">
        <f t="shared" si="79"/>
        <v>0</v>
      </c>
      <c r="N71" s="229">
        <f t="shared" si="80"/>
        <v>0</v>
      </c>
      <c r="O71" s="229">
        <f t="shared" si="81"/>
        <v>0</v>
      </c>
      <c r="P71" s="226">
        <f t="shared" si="82"/>
        <v>0</v>
      </c>
      <c r="Q71" s="229">
        <f t="shared" si="83"/>
        <v>0</v>
      </c>
      <c r="R71" s="229">
        <f t="shared" si="84"/>
        <v>0</v>
      </c>
      <c r="S71" s="229">
        <f t="shared" si="85"/>
        <v>0</v>
      </c>
      <c r="T71" s="226">
        <v>0</v>
      </c>
      <c r="U71" s="226">
        <v>0</v>
      </c>
      <c r="V71" s="229">
        <f t="shared" si="102"/>
        <v>0</v>
      </c>
      <c r="W71" s="226">
        <f t="shared" si="86"/>
        <v>20.833333333333332</v>
      </c>
      <c r="X71" s="226">
        <f t="shared" si="109"/>
        <v>20.833333333333332</v>
      </c>
      <c r="Y71" s="226">
        <f t="shared" si="87"/>
        <v>18.75</v>
      </c>
      <c r="Z71" s="226">
        <f t="shared" si="88"/>
        <v>3.5714285714285716</v>
      </c>
      <c r="AA71" s="226">
        <f t="shared" si="89"/>
        <v>82.408333333333317</v>
      </c>
      <c r="AB71" s="226">
        <f t="shared" si="90"/>
        <v>87.916666666666657</v>
      </c>
      <c r="AC71" s="230">
        <f t="shared" si="91"/>
        <v>150</v>
      </c>
      <c r="AD71" s="226">
        <f t="shared" si="92"/>
        <v>66.666666666666671</v>
      </c>
      <c r="AE71" s="226">
        <f t="shared" si="93"/>
        <v>15</v>
      </c>
      <c r="AF71" s="226">
        <v>400</v>
      </c>
      <c r="AG71" s="229">
        <f t="shared" si="94"/>
        <v>865.97976190476197</v>
      </c>
      <c r="AH71" s="229">
        <f t="shared" si="95"/>
        <v>865.97976190476197</v>
      </c>
      <c r="AI71" s="231">
        <v>0.04</v>
      </c>
      <c r="AJ71" s="232">
        <f t="shared" si="96"/>
        <v>34.639190476190478</v>
      </c>
      <c r="AK71" s="233">
        <v>0.04</v>
      </c>
      <c r="AL71" s="234">
        <f t="shared" si="104"/>
        <v>52.715249545260207</v>
      </c>
      <c r="AM71" s="231">
        <v>0.01</v>
      </c>
      <c r="AN71" s="232">
        <f t="shared" si="105"/>
        <v>8.6597976190476196</v>
      </c>
      <c r="AO71" s="233">
        <v>0.01</v>
      </c>
      <c r="AP71" s="234">
        <f t="shared" si="97"/>
        <v>13.178812386315052</v>
      </c>
      <c r="AQ71" s="231">
        <v>0.1</v>
      </c>
      <c r="AR71" s="232">
        <f t="shared" si="106"/>
        <v>86.597976190476203</v>
      </c>
      <c r="AS71" s="233">
        <v>0.1</v>
      </c>
      <c r="AT71" s="234">
        <f t="shared" si="98"/>
        <v>131.7881238631505</v>
      </c>
      <c r="AU71" s="231">
        <v>0.15640000000000001</v>
      </c>
      <c r="AV71" s="232">
        <f t="shared" si="99"/>
        <v>195.26994631185812</v>
      </c>
      <c r="AW71" s="233">
        <v>0.19289999999999999</v>
      </c>
      <c r="AX71" s="234">
        <f t="shared" si="100"/>
        <v>254.21929093201732</v>
      </c>
      <c r="AY71" s="235">
        <f t="shared" si="107"/>
        <v>1248.5290684901413</v>
      </c>
      <c r="AZ71" s="234">
        <f t="shared" si="108"/>
        <v>1317.8812386315051</v>
      </c>
      <c r="BA71" s="395">
        <f t="shared" si="110"/>
        <v>615.47980703310247</v>
      </c>
    </row>
    <row r="72" spans="1:53" x14ac:dyDescent="0.25">
      <c r="A72" s="246"/>
      <c r="K72" s="228">
        <f t="shared" si="101"/>
        <v>0</v>
      </c>
      <c r="L72" s="243">
        <f t="shared" si="78"/>
        <v>0</v>
      </c>
      <c r="M72" s="229">
        <f t="shared" si="79"/>
        <v>0</v>
      </c>
      <c r="N72" s="229">
        <f t="shared" si="80"/>
        <v>0</v>
      </c>
      <c r="O72" s="229">
        <f t="shared" si="81"/>
        <v>0</v>
      </c>
      <c r="P72" s="226">
        <f t="shared" si="82"/>
        <v>0</v>
      </c>
      <c r="Q72" s="229">
        <f t="shared" si="83"/>
        <v>0</v>
      </c>
      <c r="R72" s="229">
        <f t="shared" si="84"/>
        <v>0</v>
      </c>
      <c r="S72" s="229">
        <f t="shared" si="85"/>
        <v>0</v>
      </c>
      <c r="T72" s="226">
        <v>0</v>
      </c>
      <c r="U72" s="226">
        <v>0</v>
      </c>
      <c r="V72" s="229">
        <f t="shared" si="102"/>
        <v>0</v>
      </c>
      <c r="W72" s="226">
        <f t="shared" si="86"/>
        <v>20.833333333333332</v>
      </c>
      <c r="X72" s="226">
        <f t="shared" si="109"/>
        <v>20.833333333333332</v>
      </c>
      <c r="Y72" s="226">
        <f t="shared" si="87"/>
        <v>18.75</v>
      </c>
      <c r="Z72" s="226">
        <f t="shared" si="88"/>
        <v>3.5714285714285716</v>
      </c>
      <c r="AA72" s="226">
        <f t="shared" si="89"/>
        <v>82.408333333333317</v>
      </c>
      <c r="AB72" s="226">
        <f t="shared" si="90"/>
        <v>87.916666666666657</v>
      </c>
      <c r="AC72" s="230">
        <f t="shared" si="91"/>
        <v>150</v>
      </c>
      <c r="AD72" s="226">
        <f t="shared" si="92"/>
        <v>66.666666666666671</v>
      </c>
      <c r="AE72" s="226">
        <f t="shared" si="93"/>
        <v>15</v>
      </c>
      <c r="AF72" s="226">
        <v>400</v>
      </c>
      <c r="AG72" s="229">
        <f t="shared" si="94"/>
        <v>865.97976190476197</v>
      </c>
      <c r="AH72" s="229">
        <f t="shared" si="95"/>
        <v>865.97976190476197</v>
      </c>
      <c r="AI72" s="231">
        <v>0.04</v>
      </c>
      <c r="AJ72" s="232">
        <f t="shared" si="96"/>
        <v>34.639190476190478</v>
      </c>
      <c r="AK72" s="233">
        <v>0.04</v>
      </c>
      <c r="AL72" s="234">
        <f t="shared" si="104"/>
        <v>52.715249545260207</v>
      </c>
      <c r="AM72" s="231">
        <v>0.01</v>
      </c>
      <c r="AN72" s="232">
        <f t="shared" si="105"/>
        <v>8.6597976190476196</v>
      </c>
      <c r="AO72" s="233">
        <v>0.01</v>
      </c>
      <c r="AP72" s="234">
        <f t="shared" si="97"/>
        <v>13.178812386315052</v>
      </c>
      <c r="AQ72" s="231">
        <v>0.1</v>
      </c>
      <c r="AR72" s="232">
        <f t="shared" si="106"/>
        <v>86.597976190476203</v>
      </c>
      <c r="AS72" s="233">
        <v>0.1</v>
      </c>
      <c r="AT72" s="234">
        <f t="shared" si="98"/>
        <v>131.7881238631505</v>
      </c>
      <c r="AU72" s="231">
        <v>0.15640000000000001</v>
      </c>
      <c r="AV72" s="232">
        <f t="shared" si="99"/>
        <v>195.26994631185812</v>
      </c>
      <c r="AW72" s="233">
        <v>0.19289999999999999</v>
      </c>
      <c r="AX72" s="234">
        <f t="shared" si="100"/>
        <v>254.21929093201732</v>
      </c>
      <c r="AY72" s="235">
        <f t="shared" si="107"/>
        <v>1248.5290684901413</v>
      </c>
      <c r="AZ72" s="234">
        <f t="shared" si="108"/>
        <v>1317.8812386315051</v>
      </c>
      <c r="BA72" s="395">
        <f t="shared" si="110"/>
        <v>615.47980703310247</v>
      </c>
    </row>
    <row r="73" spans="1:53" x14ac:dyDescent="0.25">
      <c r="A73" s="246"/>
      <c r="K73" s="228">
        <f t="shared" si="101"/>
        <v>0</v>
      </c>
      <c r="L73" s="243">
        <f t="shared" si="78"/>
        <v>0</v>
      </c>
      <c r="M73" s="229">
        <f t="shared" si="79"/>
        <v>0</v>
      </c>
      <c r="N73" s="229">
        <f t="shared" si="80"/>
        <v>0</v>
      </c>
      <c r="O73" s="229">
        <f t="shared" si="81"/>
        <v>0</v>
      </c>
      <c r="P73" s="226">
        <f t="shared" si="82"/>
        <v>0</v>
      </c>
      <c r="Q73" s="229">
        <f t="shared" si="83"/>
        <v>0</v>
      </c>
      <c r="R73" s="229">
        <f t="shared" si="84"/>
        <v>0</v>
      </c>
      <c r="S73" s="229">
        <f t="shared" si="85"/>
        <v>0</v>
      </c>
      <c r="T73" s="226">
        <v>0</v>
      </c>
      <c r="U73" s="226">
        <v>0</v>
      </c>
      <c r="V73" s="229">
        <f t="shared" si="102"/>
        <v>0</v>
      </c>
      <c r="W73" s="226">
        <f t="shared" si="86"/>
        <v>20.833333333333332</v>
      </c>
      <c r="X73" s="226">
        <f t="shared" si="109"/>
        <v>20.833333333333332</v>
      </c>
      <c r="Y73" s="226">
        <f t="shared" si="87"/>
        <v>18.75</v>
      </c>
      <c r="Z73" s="226">
        <f t="shared" si="88"/>
        <v>3.5714285714285716</v>
      </c>
      <c r="AA73" s="226">
        <f t="shared" si="89"/>
        <v>82.408333333333317</v>
      </c>
      <c r="AB73" s="226">
        <f t="shared" si="90"/>
        <v>87.916666666666657</v>
      </c>
      <c r="AC73" s="230">
        <f t="shared" si="91"/>
        <v>150</v>
      </c>
      <c r="AD73" s="226">
        <f t="shared" si="92"/>
        <v>66.666666666666671</v>
      </c>
      <c r="AE73" s="226">
        <f t="shared" si="93"/>
        <v>15</v>
      </c>
      <c r="AF73" s="226">
        <v>400</v>
      </c>
      <c r="AG73" s="229">
        <f t="shared" si="94"/>
        <v>865.97976190476197</v>
      </c>
      <c r="AH73" s="229">
        <f t="shared" si="95"/>
        <v>865.97976190476197</v>
      </c>
      <c r="AI73" s="231">
        <v>0.04</v>
      </c>
      <c r="AJ73" s="232">
        <f t="shared" si="96"/>
        <v>34.639190476190478</v>
      </c>
      <c r="AK73" s="233">
        <v>0.04</v>
      </c>
      <c r="AL73" s="234">
        <f t="shared" si="104"/>
        <v>52.715249545260207</v>
      </c>
      <c r="AM73" s="231">
        <v>0.01</v>
      </c>
      <c r="AN73" s="232">
        <f t="shared" si="105"/>
        <v>8.6597976190476196</v>
      </c>
      <c r="AO73" s="233">
        <v>0.01</v>
      </c>
      <c r="AP73" s="234">
        <f t="shared" si="97"/>
        <v>13.178812386315052</v>
      </c>
      <c r="AQ73" s="231">
        <v>0.1</v>
      </c>
      <c r="AR73" s="232">
        <f t="shared" si="106"/>
        <v>86.597976190476203</v>
      </c>
      <c r="AS73" s="233">
        <v>0.1</v>
      </c>
      <c r="AT73" s="234">
        <f t="shared" si="98"/>
        <v>131.7881238631505</v>
      </c>
      <c r="AU73" s="231">
        <v>0.15640000000000001</v>
      </c>
      <c r="AV73" s="232">
        <f t="shared" si="99"/>
        <v>195.26994631185812</v>
      </c>
      <c r="AW73" s="233">
        <v>0.19289999999999999</v>
      </c>
      <c r="AX73" s="234">
        <f t="shared" si="100"/>
        <v>254.21929093201732</v>
      </c>
      <c r="AY73" s="235">
        <f t="shared" si="107"/>
        <v>1248.5290684901413</v>
      </c>
      <c r="AZ73" s="234">
        <f t="shared" si="108"/>
        <v>1317.8812386315051</v>
      </c>
      <c r="BA73" s="395">
        <f t="shared" si="110"/>
        <v>615.47980703310247</v>
      </c>
    </row>
    <row r="74" spans="1:53" x14ac:dyDescent="0.25">
      <c r="A74" s="246"/>
      <c r="K74" s="228">
        <f t="shared" si="101"/>
        <v>0</v>
      </c>
      <c r="L74" s="243">
        <f t="shared" si="78"/>
        <v>0</v>
      </c>
      <c r="M74" s="229">
        <f t="shared" si="79"/>
        <v>0</v>
      </c>
      <c r="N74" s="229">
        <f t="shared" si="80"/>
        <v>0</v>
      </c>
      <c r="O74" s="229">
        <f t="shared" si="81"/>
        <v>0</v>
      </c>
      <c r="P74" s="226">
        <f t="shared" si="82"/>
        <v>0</v>
      </c>
      <c r="Q74" s="229">
        <f t="shared" si="83"/>
        <v>0</v>
      </c>
      <c r="R74" s="229">
        <f t="shared" si="84"/>
        <v>0</v>
      </c>
      <c r="S74" s="229">
        <f t="shared" si="85"/>
        <v>0</v>
      </c>
      <c r="T74" s="226">
        <v>0</v>
      </c>
      <c r="U74" s="226">
        <v>0</v>
      </c>
      <c r="V74" s="229">
        <f t="shared" si="102"/>
        <v>0</v>
      </c>
      <c r="W74" s="226">
        <f t="shared" si="86"/>
        <v>20.833333333333332</v>
      </c>
      <c r="X74" s="226">
        <f t="shared" si="109"/>
        <v>20.833333333333332</v>
      </c>
      <c r="Y74" s="226">
        <f t="shared" si="87"/>
        <v>18.75</v>
      </c>
      <c r="Z74" s="226">
        <f t="shared" si="88"/>
        <v>3.5714285714285716</v>
      </c>
      <c r="AA74" s="226">
        <f t="shared" si="89"/>
        <v>82.408333333333317</v>
      </c>
      <c r="AB74" s="226">
        <f t="shared" si="90"/>
        <v>87.916666666666657</v>
      </c>
      <c r="AC74" s="230">
        <f t="shared" si="91"/>
        <v>150</v>
      </c>
      <c r="AD74" s="226">
        <f t="shared" si="92"/>
        <v>66.666666666666671</v>
      </c>
      <c r="AE74" s="226">
        <f t="shared" si="93"/>
        <v>15</v>
      </c>
      <c r="AF74" s="226">
        <v>400</v>
      </c>
      <c r="AG74" s="229">
        <f t="shared" si="94"/>
        <v>865.97976190476197</v>
      </c>
      <c r="AH74" s="229">
        <f t="shared" si="95"/>
        <v>865.97976190476197</v>
      </c>
      <c r="AI74" s="231">
        <v>0.04</v>
      </c>
      <c r="AJ74" s="232">
        <f t="shared" si="96"/>
        <v>34.639190476190478</v>
      </c>
      <c r="AK74" s="233">
        <v>0.04</v>
      </c>
      <c r="AL74" s="234">
        <f t="shared" si="104"/>
        <v>52.715249545260207</v>
      </c>
      <c r="AM74" s="231">
        <v>0.01</v>
      </c>
      <c r="AN74" s="232">
        <f t="shared" si="105"/>
        <v>8.6597976190476196</v>
      </c>
      <c r="AO74" s="233">
        <v>0.01</v>
      </c>
      <c r="AP74" s="234">
        <f t="shared" si="97"/>
        <v>13.178812386315052</v>
      </c>
      <c r="AQ74" s="231">
        <v>0.1</v>
      </c>
      <c r="AR74" s="232">
        <f t="shared" si="106"/>
        <v>86.597976190476203</v>
      </c>
      <c r="AS74" s="233">
        <v>0.1</v>
      </c>
      <c r="AT74" s="234">
        <f t="shared" si="98"/>
        <v>131.7881238631505</v>
      </c>
      <c r="AU74" s="231">
        <v>0.15640000000000001</v>
      </c>
      <c r="AV74" s="232">
        <f t="shared" si="99"/>
        <v>195.26994631185812</v>
      </c>
      <c r="AW74" s="233">
        <v>0.19289999999999999</v>
      </c>
      <c r="AX74" s="234">
        <f t="shared" si="100"/>
        <v>254.21929093201732</v>
      </c>
      <c r="AY74" s="235">
        <f t="shared" si="107"/>
        <v>1248.5290684901413</v>
      </c>
      <c r="AZ74" s="234">
        <f t="shared" si="108"/>
        <v>1317.8812386315051</v>
      </c>
      <c r="BA74" s="395">
        <f t="shared" si="110"/>
        <v>615.47980703310247</v>
      </c>
    </row>
    <row r="75" spans="1:53" x14ac:dyDescent="0.25">
      <c r="A75" s="246"/>
      <c r="K75" s="228">
        <f t="shared" si="101"/>
        <v>0</v>
      </c>
      <c r="L75" s="243">
        <f t="shared" si="78"/>
        <v>0</v>
      </c>
      <c r="M75" s="229">
        <f t="shared" si="79"/>
        <v>0</v>
      </c>
      <c r="N75" s="229">
        <f t="shared" si="80"/>
        <v>0</v>
      </c>
      <c r="O75" s="229">
        <f t="shared" si="81"/>
        <v>0</v>
      </c>
      <c r="P75" s="226">
        <f t="shared" si="82"/>
        <v>0</v>
      </c>
      <c r="Q75" s="229">
        <f t="shared" si="83"/>
        <v>0</v>
      </c>
      <c r="R75" s="229">
        <f t="shared" si="84"/>
        <v>0</v>
      </c>
      <c r="S75" s="229">
        <f t="shared" si="85"/>
        <v>0</v>
      </c>
      <c r="T75" s="226">
        <v>0</v>
      </c>
      <c r="U75" s="226">
        <v>0</v>
      </c>
      <c r="V75" s="229">
        <f t="shared" si="102"/>
        <v>0</v>
      </c>
      <c r="W75" s="226">
        <f t="shared" si="86"/>
        <v>20.833333333333332</v>
      </c>
      <c r="X75" s="226">
        <f t="shared" si="109"/>
        <v>20.833333333333332</v>
      </c>
      <c r="Y75" s="226">
        <f t="shared" si="87"/>
        <v>18.75</v>
      </c>
      <c r="Z75" s="226">
        <f t="shared" si="88"/>
        <v>3.5714285714285716</v>
      </c>
      <c r="AA75" s="226">
        <f t="shared" si="89"/>
        <v>82.408333333333317</v>
      </c>
      <c r="AB75" s="226">
        <f t="shared" si="90"/>
        <v>87.916666666666657</v>
      </c>
      <c r="AC75" s="230">
        <f t="shared" si="91"/>
        <v>150</v>
      </c>
      <c r="AD75" s="226">
        <f t="shared" si="92"/>
        <v>66.666666666666671</v>
      </c>
      <c r="AE75" s="226">
        <f t="shared" si="93"/>
        <v>15</v>
      </c>
      <c r="AF75" s="226">
        <v>400</v>
      </c>
      <c r="AG75" s="229">
        <f t="shared" si="94"/>
        <v>865.97976190476197</v>
      </c>
      <c r="AH75" s="229">
        <f t="shared" si="95"/>
        <v>865.97976190476197</v>
      </c>
      <c r="AI75" s="231">
        <v>0.04</v>
      </c>
      <c r="AJ75" s="232">
        <f t="shared" si="96"/>
        <v>34.639190476190478</v>
      </c>
      <c r="AK75" s="233">
        <v>0.04</v>
      </c>
      <c r="AL75" s="234">
        <f t="shared" si="104"/>
        <v>52.715249545260207</v>
      </c>
      <c r="AM75" s="231">
        <v>0.01</v>
      </c>
      <c r="AN75" s="232">
        <f t="shared" si="105"/>
        <v>8.6597976190476196</v>
      </c>
      <c r="AO75" s="233">
        <v>0.01</v>
      </c>
      <c r="AP75" s="234">
        <f t="shared" si="97"/>
        <v>13.178812386315052</v>
      </c>
      <c r="AQ75" s="231">
        <v>0.1</v>
      </c>
      <c r="AR75" s="232">
        <f t="shared" si="106"/>
        <v>86.597976190476203</v>
      </c>
      <c r="AS75" s="233">
        <v>0.1</v>
      </c>
      <c r="AT75" s="234">
        <f t="shared" si="98"/>
        <v>131.7881238631505</v>
      </c>
      <c r="AU75" s="231">
        <v>0.15640000000000001</v>
      </c>
      <c r="AV75" s="232">
        <f t="shared" si="99"/>
        <v>195.26994631185812</v>
      </c>
      <c r="AW75" s="233">
        <v>0.19289999999999999</v>
      </c>
      <c r="AX75" s="234">
        <f t="shared" si="100"/>
        <v>254.21929093201732</v>
      </c>
      <c r="AY75" s="235">
        <f t="shared" si="107"/>
        <v>1248.5290684901413</v>
      </c>
      <c r="AZ75" s="234">
        <f t="shared" si="108"/>
        <v>1317.8812386315051</v>
      </c>
      <c r="BA75" s="395">
        <f t="shared" si="110"/>
        <v>615.47980703310247</v>
      </c>
    </row>
    <row r="76" spans="1:53" x14ac:dyDescent="0.25">
      <c r="A76" s="246"/>
      <c r="K76" s="228">
        <f t="shared" si="101"/>
        <v>0</v>
      </c>
      <c r="L76" s="243">
        <f t="shared" si="78"/>
        <v>0</v>
      </c>
      <c r="M76" s="229">
        <f t="shared" si="79"/>
        <v>0</v>
      </c>
      <c r="N76" s="229">
        <f t="shared" si="80"/>
        <v>0</v>
      </c>
      <c r="O76" s="229">
        <f t="shared" si="81"/>
        <v>0</v>
      </c>
      <c r="P76" s="226">
        <f t="shared" si="82"/>
        <v>0</v>
      </c>
      <c r="Q76" s="229">
        <f t="shared" si="83"/>
        <v>0</v>
      </c>
      <c r="R76" s="229">
        <f t="shared" si="84"/>
        <v>0</v>
      </c>
      <c r="S76" s="229">
        <f t="shared" si="85"/>
        <v>0</v>
      </c>
      <c r="T76" s="226">
        <v>0</v>
      </c>
      <c r="U76" s="226">
        <v>0</v>
      </c>
      <c r="V76" s="229">
        <f t="shared" si="102"/>
        <v>0</v>
      </c>
      <c r="W76" s="226">
        <f t="shared" si="86"/>
        <v>20.833333333333332</v>
      </c>
      <c r="X76" s="226">
        <f t="shared" si="109"/>
        <v>20.833333333333332</v>
      </c>
      <c r="Y76" s="226">
        <f t="shared" si="87"/>
        <v>18.75</v>
      </c>
      <c r="Z76" s="226">
        <f t="shared" si="88"/>
        <v>3.5714285714285716</v>
      </c>
      <c r="AA76" s="226">
        <f t="shared" si="89"/>
        <v>82.408333333333317</v>
      </c>
      <c r="AB76" s="226">
        <f t="shared" si="90"/>
        <v>87.916666666666657</v>
      </c>
      <c r="AC76" s="230">
        <f t="shared" si="91"/>
        <v>150</v>
      </c>
      <c r="AD76" s="226">
        <f t="shared" si="92"/>
        <v>66.666666666666671</v>
      </c>
      <c r="AE76" s="226">
        <f t="shared" si="93"/>
        <v>15</v>
      </c>
      <c r="AF76" s="226">
        <v>400</v>
      </c>
      <c r="AG76" s="229">
        <f t="shared" si="94"/>
        <v>865.97976190476197</v>
      </c>
      <c r="AH76" s="229">
        <f t="shared" si="95"/>
        <v>865.97976190476197</v>
      </c>
      <c r="AI76" s="231">
        <v>0.04</v>
      </c>
      <c r="AJ76" s="232">
        <f t="shared" si="96"/>
        <v>34.639190476190478</v>
      </c>
      <c r="AK76" s="233">
        <v>0.04</v>
      </c>
      <c r="AL76" s="234">
        <f t="shared" si="104"/>
        <v>52.715249545260207</v>
      </c>
      <c r="AM76" s="231">
        <v>0.01</v>
      </c>
      <c r="AN76" s="232">
        <f t="shared" si="105"/>
        <v>8.6597976190476196</v>
      </c>
      <c r="AO76" s="233">
        <v>0.01</v>
      </c>
      <c r="AP76" s="234">
        <f t="shared" si="97"/>
        <v>13.178812386315052</v>
      </c>
      <c r="AQ76" s="231">
        <v>0.1</v>
      </c>
      <c r="AR76" s="232">
        <f t="shared" si="106"/>
        <v>86.597976190476203</v>
      </c>
      <c r="AS76" s="233">
        <v>0.1</v>
      </c>
      <c r="AT76" s="234">
        <f t="shared" si="98"/>
        <v>131.7881238631505</v>
      </c>
      <c r="AU76" s="231">
        <v>0.15640000000000001</v>
      </c>
      <c r="AV76" s="232">
        <f t="shared" si="99"/>
        <v>195.26994631185812</v>
      </c>
      <c r="AW76" s="233">
        <v>0.19289999999999999</v>
      </c>
      <c r="AX76" s="234">
        <f t="shared" si="100"/>
        <v>254.21929093201732</v>
      </c>
      <c r="AY76" s="235">
        <f t="shared" si="107"/>
        <v>1248.5290684901413</v>
      </c>
      <c r="AZ76" s="234">
        <f t="shared" si="108"/>
        <v>1317.8812386315051</v>
      </c>
      <c r="BA76" s="395">
        <f t="shared" si="110"/>
        <v>615.47980703310247</v>
      </c>
    </row>
    <row r="77" spans="1:53" x14ac:dyDescent="0.25">
      <c r="A77" s="246"/>
      <c r="K77" s="228">
        <f t="shared" si="101"/>
        <v>0</v>
      </c>
      <c r="L77" s="243">
        <f t="shared" si="78"/>
        <v>0</v>
      </c>
      <c r="M77" s="229">
        <f t="shared" si="79"/>
        <v>0</v>
      </c>
      <c r="N77" s="229">
        <f t="shared" si="80"/>
        <v>0</v>
      </c>
      <c r="O77" s="229">
        <f t="shared" si="81"/>
        <v>0</v>
      </c>
      <c r="P77" s="226">
        <f t="shared" si="82"/>
        <v>0</v>
      </c>
      <c r="Q77" s="229">
        <f t="shared" si="83"/>
        <v>0</v>
      </c>
      <c r="R77" s="229">
        <f t="shared" si="84"/>
        <v>0</v>
      </c>
      <c r="S77" s="229">
        <f t="shared" si="85"/>
        <v>0</v>
      </c>
      <c r="T77" s="226">
        <v>0</v>
      </c>
      <c r="U77" s="226">
        <v>0</v>
      </c>
      <c r="V77" s="229">
        <f t="shared" si="102"/>
        <v>0</v>
      </c>
      <c r="W77" s="226">
        <f t="shared" si="86"/>
        <v>20.833333333333332</v>
      </c>
      <c r="X77" s="226">
        <f t="shared" si="109"/>
        <v>20.833333333333332</v>
      </c>
      <c r="Y77" s="226">
        <f t="shared" si="87"/>
        <v>18.75</v>
      </c>
      <c r="Z77" s="226">
        <f t="shared" si="88"/>
        <v>3.5714285714285716</v>
      </c>
      <c r="AA77" s="226">
        <f t="shared" si="89"/>
        <v>82.408333333333317</v>
      </c>
      <c r="AB77" s="226">
        <f t="shared" si="90"/>
        <v>87.916666666666657</v>
      </c>
      <c r="AC77" s="230">
        <f t="shared" si="91"/>
        <v>150</v>
      </c>
      <c r="AD77" s="226">
        <f t="shared" si="92"/>
        <v>66.666666666666671</v>
      </c>
      <c r="AE77" s="226">
        <f t="shared" si="93"/>
        <v>15</v>
      </c>
      <c r="AF77" s="226">
        <v>400</v>
      </c>
      <c r="AG77" s="229">
        <f t="shared" si="94"/>
        <v>865.97976190476197</v>
      </c>
      <c r="AH77" s="229">
        <f t="shared" si="95"/>
        <v>865.97976190476197</v>
      </c>
      <c r="AI77" s="231">
        <v>0.04</v>
      </c>
      <c r="AJ77" s="232">
        <f t="shared" si="96"/>
        <v>34.639190476190478</v>
      </c>
      <c r="AK77" s="233">
        <v>0.04</v>
      </c>
      <c r="AL77" s="234">
        <f t="shared" si="104"/>
        <v>52.715249545260207</v>
      </c>
      <c r="AM77" s="231">
        <v>0.01</v>
      </c>
      <c r="AN77" s="232">
        <f t="shared" si="105"/>
        <v>8.6597976190476196</v>
      </c>
      <c r="AO77" s="233">
        <v>0.01</v>
      </c>
      <c r="AP77" s="234">
        <f t="shared" si="97"/>
        <v>13.178812386315052</v>
      </c>
      <c r="AQ77" s="231">
        <v>0.1</v>
      </c>
      <c r="AR77" s="232">
        <f t="shared" si="106"/>
        <v>86.597976190476203</v>
      </c>
      <c r="AS77" s="233">
        <v>0.1</v>
      </c>
      <c r="AT77" s="234">
        <f t="shared" si="98"/>
        <v>131.7881238631505</v>
      </c>
      <c r="AU77" s="231">
        <v>0.15640000000000001</v>
      </c>
      <c r="AV77" s="232">
        <f t="shared" si="99"/>
        <v>195.26994631185812</v>
      </c>
      <c r="AW77" s="233">
        <v>0.19289999999999999</v>
      </c>
      <c r="AX77" s="234">
        <f t="shared" si="100"/>
        <v>254.21929093201732</v>
      </c>
      <c r="AY77" s="235">
        <f t="shared" si="107"/>
        <v>1248.5290684901413</v>
      </c>
      <c r="AZ77" s="234">
        <f t="shared" si="108"/>
        <v>1317.8812386315051</v>
      </c>
      <c r="BA77" s="395">
        <f t="shared" si="110"/>
        <v>615.47980703310247</v>
      </c>
    </row>
    <row r="78" spans="1:53" x14ac:dyDescent="0.25">
      <c r="A78" s="246"/>
      <c r="K78" s="228">
        <f t="shared" si="101"/>
        <v>0</v>
      </c>
      <c r="L78" s="243">
        <f t="shared" si="78"/>
        <v>0</v>
      </c>
      <c r="M78" s="229">
        <f t="shared" si="79"/>
        <v>0</v>
      </c>
      <c r="N78" s="229">
        <f t="shared" si="80"/>
        <v>0</v>
      </c>
      <c r="O78" s="229">
        <f t="shared" si="81"/>
        <v>0</v>
      </c>
      <c r="P78" s="226">
        <f t="shared" si="82"/>
        <v>0</v>
      </c>
      <c r="Q78" s="229">
        <f t="shared" si="83"/>
        <v>0</v>
      </c>
      <c r="R78" s="229">
        <f t="shared" si="84"/>
        <v>0</v>
      </c>
      <c r="S78" s="229">
        <f t="shared" si="85"/>
        <v>0</v>
      </c>
      <c r="T78" s="226">
        <v>0</v>
      </c>
      <c r="U78" s="226">
        <v>0</v>
      </c>
      <c r="V78" s="229">
        <f t="shared" si="102"/>
        <v>0</v>
      </c>
      <c r="W78" s="226">
        <f t="shared" si="86"/>
        <v>20.833333333333332</v>
      </c>
      <c r="X78" s="226">
        <f t="shared" si="109"/>
        <v>20.833333333333332</v>
      </c>
      <c r="Y78" s="226">
        <f t="shared" si="87"/>
        <v>18.75</v>
      </c>
      <c r="Z78" s="226">
        <f t="shared" si="88"/>
        <v>3.5714285714285716</v>
      </c>
      <c r="AA78" s="226">
        <f t="shared" si="89"/>
        <v>82.408333333333317</v>
      </c>
      <c r="AB78" s="226">
        <f t="shared" si="90"/>
        <v>87.916666666666657</v>
      </c>
      <c r="AC78" s="230">
        <f t="shared" si="91"/>
        <v>150</v>
      </c>
      <c r="AD78" s="226">
        <f t="shared" si="92"/>
        <v>66.666666666666671</v>
      </c>
      <c r="AE78" s="226">
        <f t="shared" si="93"/>
        <v>15</v>
      </c>
      <c r="AF78" s="226">
        <v>400</v>
      </c>
      <c r="AG78" s="229">
        <f t="shared" si="94"/>
        <v>865.97976190476197</v>
      </c>
      <c r="AH78" s="229">
        <f t="shared" si="95"/>
        <v>865.97976190476197</v>
      </c>
      <c r="AI78" s="231">
        <v>0.04</v>
      </c>
      <c r="AJ78" s="232">
        <f t="shared" si="96"/>
        <v>34.639190476190478</v>
      </c>
      <c r="AK78" s="233">
        <v>0.04</v>
      </c>
      <c r="AL78" s="234">
        <f t="shared" si="104"/>
        <v>52.715249545260207</v>
      </c>
      <c r="AM78" s="231">
        <v>0.01</v>
      </c>
      <c r="AN78" s="232">
        <f t="shared" si="105"/>
        <v>8.6597976190476196</v>
      </c>
      <c r="AO78" s="233">
        <v>0.01</v>
      </c>
      <c r="AP78" s="234">
        <f t="shared" si="97"/>
        <v>13.178812386315052</v>
      </c>
      <c r="AQ78" s="231">
        <v>0.1</v>
      </c>
      <c r="AR78" s="232">
        <f t="shared" si="106"/>
        <v>86.597976190476203</v>
      </c>
      <c r="AS78" s="233">
        <v>0.1</v>
      </c>
      <c r="AT78" s="234">
        <f t="shared" si="98"/>
        <v>131.7881238631505</v>
      </c>
      <c r="AU78" s="231">
        <v>0.15640000000000001</v>
      </c>
      <c r="AV78" s="232">
        <f t="shared" si="99"/>
        <v>195.26994631185812</v>
      </c>
      <c r="AW78" s="233">
        <v>0.19289999999999999</v>
      </c>
      <c r="AX78" s="234">
        <f t="shared" si="100"/>
        <v>254.21929093201732</v>
      </c>
      <c r="AY78" s="235">
        <f t="shared" si="107"/>
        <v>1248.5290684901413</v>
      </c>
      <c r="AZ78" s="234">
        <f t="shared" si="108"/>
        <v>1317.8812386315051</v>
      </c>
      <c r="BA78" s="395">
        <f t="shared" si="110"/>
        <v>615.47980703310247</v>
      </c>
    </row>
    <row r="79" spans="1:53" x14ac:dyDescent="0.25">
      <c r="A79" s="246"/>
      <c r="K79" s="228">
        <f t="shared" si="101"/>
        <v>0</v>
      </c>
      <c r="L79" s="243">
        <f t="shared" si="78"/>
        <v>0</v>
      </c>
      <c r="M79" s="229">
        <f t="shared" si="79"/>
        <v>0</v>
      </c>
      <c r="N79" s="229">
        <f t="shared" si="80"/>
        <v>0</v>
      </c>
      <c r="O79" s="229">
        <f t="shared" si="81"/>
        <v>0</v>
      </c>
      <c r="P79" s="226">
        <f t="shared" si="82"/>
        <v>0</v>
      </c>
      <c r="Q79" s="229">
        <f t="shared" si="83"/>
        <v>0</v>
      </c>
      <c r="R79" s="229">
        <f t="shared" si="84"/>
        <v>0</v>
      </c>
      <c r="S79" s="229">
        <f t="shared" si="85"/>
        <v>0</v>
      </c>
      <c r="T79" s="226">
        <v>0</v>
      </c>
      <c r="U79" s="226">
        <v>0</v>
      </c>
      <c r="V79" s="229">
        <f t="shared" si="102"/>
        <v>0</v>
      </c>
      <c r="W79" s="226">
        <f t="shared" si="86"/>
        <v>20.833333333333332</v>
      </c>
      <c r="X79" s="226">
        <f t="shared" si="109"/>
        <v>20.833333333333332</v>
      </c>
      <c r="Y79" s="226">
        <f t="shared" si="87"/>
        <v>18.75</v>
      </c>
      <c r="Z79" s="226">
        <f t="shared" si="88"/>
        <v>3.5714285714285716</v>
      </c>
      <c r="AA79" s="226">
        <f t="shared" si="89"/>
        <v>82.408333333333317</v>
      </c>
      <c r="AB79" s="226">
        <f t="shared" si="90"/>
        <v>87.916666666666657</v>
      </c>
      <c r="AC79" s="230">
        <f t="shared" si="91"/>
        <v>150</v>
      </c>
      <c r="AD79" s="226">
        <f t="shared" si="92"/>
        <v>66.666666666666671</v>
      </c>
      <c r="AE79" s="226">
        <f t="shared" si="93"/>
        <v>15</v>
      </c>
      <c r="AF79" s="226">
        <v>400</v>
      </c>
      <c r="AG79" s="229">
        <f t="shared" si="94"/>
        <v>865.97976190476197</v>
      </c>
      <c r="AH79" s="229">
        <f t="shared" si="95"/>
        <v>865.97976190476197</v>
      </c>
      <c r="AI79" s="231">
        <v>0.04</v>
      </c>
      <c r="AJ79" s="232">
        <f t="shared" si="96"/>
        <v>34.639190476190478</v>
      </c>
      <c r="AK79" s="233">
        <v>0.04</v>
      </c>
      <c r="AL79" s="234">
        <f t="shared" si="104"/>
        <v>52.715249545260207</v>
      </c>
      <c r="AM79" s="231">
        <v>0.01</v>
      </c>
      <c r="AN79" s="232">
        <f t="shared" si="105"/>
        <v>8.6597976190476196</v>
      </c>
      <c r="AO79" s="233">
        <v>0.01</v>
      </c>
      <c r="AP79" s="234">
        <f t="shared" si="97"/>
        <v>13.178812386315052</v>
      </c>
      <c r="AQ79" s="231">
        <v>0.1</v>
      </c>
      <c r="AR79" s="232">
        <f t="shared" si="106"/>
        <v>86.597976190476203</v>
      </c>
      <c r="AS79" s="233">
        <v>0.1</v>
      </c>
      <c r="AT79" s="234">
        <f t="shared" si="98"/>
        <v>131.7881238631505</v>
      </c>
      <c r="AU79" s="231">
        <v>0.15640000000000001</v>
      </c>
      <c r="AV79" s="232">
        <f t="shared" si="99"/>
        <v>195.26994631185812</v>
      </c>
      <c r="AW79" s="233">
        <v>0.19289999999999999</v>
      </c>
      <c r="AX79" s="234">
        <f t="shared" si="100"/>
        <v>254.21929093201732</v>
      </c>
      <c r="AY79" s="235">
        <f t="shared" si="107"/>
        <v>1248.5290684901413</v>
      </c>
      <c r="AZ79" s="234">
        <f t="shared" si="108"/>
        <v>1317.8812386315051</v>
      </c>
      <c r="BA79" s="395">
        <f t="shared" si="110"/>
        <v>615.47980703310247</v>
      </c>
    </row>
    <row r="80" spans="1:53" x14ac:dyDescent="0.25">
      <c r="A80" s="246"/>
      <c r="K80" s="228">
        <f t="shared" si="101"/>
        <v>0</v>
      </c>
      <c r="L80" s="243">
        <f t="shared" si="78"/>
        <v>0</v>
      </c>
      <c r="M80" s="229">
        <f t="shared" si="79"/>
        <v>0</v>
      </c>
      <c r="N80" s="229">
        <f t="shared" si="80"/>
        <v>0</v>
      </c>
      <c r="O80" s="229">
        <f t="shared" si="81"/>
        <v>0</v>
      </c>
      <c r="P80" s="226">
        <f t="shared" si="82"/>
        <v>0</v>
      </c>
      <c r="Q80" s="229">
        <f t="shared" si="83"/>
        <v>0</v>
      </c>
      <c r="R80" s="229">
        <f t="shared" si="84"/>
        <v>0</v>
      </c>
      <c r="S80" s="229">
        <f t="shared" si="85"/>
        <v>0</v>
      </c>
      <c r="T80" s="226">
        <v>0</v>
      </c>
      <c r="U80" s="226">
        <v>0</v>
      </c>
      <c r="V80" s="229">
        <f t="shared" si="102"/>
        <v>0</v>
      </c>
      <c r="W80" s="226">
        <f t="shared" si="86"/>
        <v>20.833333333333332</v>
      </c>
      <c r="X80" s="226">
        <f t="shared" si="109"/>
        <v>20.833333333333332</v>
      </c>
      <c r="Y80" s="226">
        <f t="shared" si="87"/>
        <v>18.75</v>
      </c>
      <c r="Z80" s="226">
        <f t="shared" si="88"/>
        <v>3.5714285714285716</v>
      </c>
      <c r="AA80" s="226">
        <f t="shared" si="89"/>
        <v>82.408333333333317</v>
      </c>
      <c r="AB80" s="226">
        <f t="shared" si="90"/>
        <v>87.916666666666657</v>
      </c>
      <c r="AC80" s="230">
        <f t="shared" si="91"/>
        <v>150</v>
      </c>
      <c r="AD80" s="226">
        <f t="shared" si="92"/>
        <v>66.666666666666671</v>
      </c>
      <c r="AE80" s="226">
        <f t="shared" si="93"/>
        <v>15</v>
      </c>
      <c r="AF80" s="226">
        <v>400</v>
      </c>
      <c r="AG80" s="229">
        <f t="shared" si="94"/>
        <v>865.97976190476197</v>
      </c>
      <c r="AH80" s="229">
        <f t="shared" si="95"/>
        <v>865.97976190476197</v>
      </c>
      <c r="AI80" s="231">
        <v>0.04</v>
      </c>
      <c r="AJ80" s="232">
        <f t="shared" si="96"/>
        <v>34.639190476190478</v>
      </c>
      <c r="AK80" s="233">
        <v>0.04</v>
      </c>
      <c r="AL80" s="234">
        <f t="shared" si="104"/>
        <v>52.715249545260207</v>
      </c>
      <c r="AM80" s="231">
        <v>0.01</v>
      </c>
      <c r="AN80" s="232">
        <f t="shared" si="105"/>
        <v>8.6597976190476196</v>
      </c>
      <c r="AO80" s="233">
        <v>0.01</v>
      </c>
      <c r="AP80" s="234">
        <f t="shared" si="97"/>
        <v>13.178812386315052</v>
      </c>
      <c r="AQ80" s="231">
        <v>0.1</v>
      </c>
      <c r="AR80" s="232">
        <f t="shared" si="106"/>
        <v>86.597976190476203</v>
      </c>
      <c r="AS80" s="233">
        <v>0.1</v>
      </c>
      <c r="AT80" s="234">
        <f t="shared" si="98"/>
        <v>131.7881238631505</v>
      </c>
      <c r="AU80" s="231">
        <v>0.15640000000000001</v>
      </c>
      <c r="AV80" s="232">
        <f t="shared" si="99"/>
        <v>195.26994631185812</v>
      </c>
      <c r="AW80" s="233">
        <v>0.19289999999999999</v>
      </c>
      <c r="AX80" s="234">
        <f t="shared" si="100"/>
        <v>254.21929093201732</v>
      </c>
      <c r="AY80" s="235">
        <f t="shared" si="107"/>
        <v>1248.5290684901413</v>
      </c>
      <c r="AZ80" s="234">
        <f t="shared" si="108"/>
        <v>1317.8812386315051</v>
      </c>
      <c r="BA80" s="395">
        <f t="shared" si="110"/>
        <v>615.47980703310247</v>
      </c>
    </row>
    <row r="81" spans="1:53" x14ac:dyDescent="0.25">
      <c r="A81" s="246"/>
      <c r="K81" s="228">
        <f t="shared" si="101"/>
        <v>0</v>
      </c>
      <c r="L81" s="243">
        <f t="shared" si="78"/>
        <v>0</v>
      </c>
      <c r="M81" s="229">
        <f t="shared" si="79"/>
        <v>0</v>
      </c>
      <c r="N81" s="229">
        <f t="shared" si="80"/>
        <v>0</v>
      </c>
      <c r="O81" s="229">
        <f t="shared" si="81"/>
        <v>0</v>
      </c>
      <c r="P81" s="226">
        <f t="shared" si="82"/>
        <v>0</v>
      </c>
      <c r="Q81" s="229">
        <f t="shared" si="83"/>
        <v>0</v>
      </c>
      <c r="R81" s="229">
        <f t="shared" si="84"/>
        <v>0</v>
      </c>
      <c r="S81" s="229">
        <f t="shared" si="85"/>
        <v>0</v>
      </c>
      <c r="T81" s="226">
        <v>0</v>
      </c>
      <c r="U81" s="226">
        <v>0</v>
      </c>
      <c r="V81" s="229">
        <f t="shared" si="102"/>
        <v>0</v>
      </c>
      <c r="W81" s="226">
        <f t="shared" si="86"/>
        <v>20.833333333333332</v>
      </c>
      <c r="X81" s="226">
        <f t="shared" si="109"/>
        <v>20.833333333333332</v>
      </c>
      <c r="Y81" s="226">
        <f t="shared" si="87"/>
        <v>18.75</v>
      </c>
      <c r="Z81" s="226">
        <f t="shared" si="88"/>
        <v>3.5714285714285716</v>
      </c>
      <c r="AA81" s="226">
        <f t="shared" si="89"/>
        <v>82.408333333333317</v>
      </c>
      <c r="AB81" s="226">
        <f t="shared" si="90"/>
        <v>87.916666666666657</v>
      </c>
      <c r="AC81" s="230">
        <f t="shared" si="91"/>
        <v>150</v>
      </c>
      <c r="AD81" s="226">
        <f t="shared" si="92"/>
        <v>66.666666666666671</v>
      </c>
      <c r="AE81" s="226">
        <f t="shared" si="93"/>
        <v>15</v>
      </c>
      <c r="AF81" s="226">
        <v>400</v>
      </c>
      <c r="AG81" s="229">
        <f t="shared" si="94"/>
        <v>865.97976190476197</v>
      </c>
      <c r="AH81" s="229">
        <f t="shared" si="95"/>
        <v>865.97976190476197</v>
      </c>
      <c r="AI81" s="231">
        <v>0.04</v>
      </c>
      <c r="AJ81" s="232">
        <f t="shared" si="96"/>
        <v>34.639190476190478</v>
      </c>
      <c r="AK81" s="233">
        <v>0.04</v>
      </c>
      <c r="AL81" s="234">
        <f t="shared" si="104"/>
        <v>52.715249545260207</v>
      </c>
      <c r="AM81" s="231">
        <v>0.01</v>
      </c>
      <c r="AN81" s="232">
        <f t="shared" si="105"/>
        <v>8.6597976190476196</v>
      </c>
      <c r="AO81" s="233">
        <v>0.01</v>
      </c>
      <c r="AP81" s="234">
        <f t="shared" si="97"/>
        <v>13.178812386315052</v>
      </c>
      <c r="AQ81" s="231">
        <v>0.1</v>
      </c>
      <c r="AR81" s="232">
        <f t="shared" si="106"/>
        <v>86.597976190476203</v>
      </c>
      <c r="AS81" s="233">
        <v>0.1</v>
      </c>
      <c r="AT81" s="234">
        <f t="shared" si="98"/>
        <v>131.7881238631505</v>
      </c>
      <c r="AU81" s="231">
        <v>0.15640000000000001</v>
      </c>
      <c r="AV81" s="232">
        <f t="shared" si="99"/>
        <v>195.26994631185812</v>
      </c>
      <c r="AW81" s="233">
        <v>0.19289999999999999</v>
      </c>
      <c r="AX81" s="234">
        <f t="shared" si="100"/>
        <v>254.21929093201732</v>
      </c>
      <c r="AY81" s="235">
        <f t="shared" si="107"/>
        <v>1248.5290684901413</v>
      </c>
      <c r="AZ81" s="234">
        <f t="shared" si="108"/>
        <v>1317.8812386315051</v>
      </c>
      <c r="BA81" s="395">
        <f t="shared" si="110"/>
        <v>615.47980703310247</v>
      </c>
    </row>
    <row r="82" spans="1:53" x14ac:dyDescent="0.25">
      <c r="A82" s="246"/>
      <c r="K82" s="228">
        <f t="shared" si="101"/>
        <v>0</v>
      </c>
      <c r="L82" s="243">
        <f t="shared" si="78"/>
        <v>0</v>
      </c>
      <c r="M82" s="229">
        <f t="shared" si="79"/>
        <v>0</v>
      </c>
      <c r="N82" s="229">
        <f t="shared" si="80"/>
        <v>0</v>
      </c>
      <c r="O82" s="229">
        <f t="shared" si="81"/>
        <v>0</v>
      </c>
      <c r="P82" s="226">
        <f t="shared" si="82"/>
        <v>0</v>
      </c>
      <c r="Q82" s="229">
        <f t="shared" si="83"/>
        <v>0</v>
      </c>
      <c r="R82" s="229">
        <f t="shared" si="84"/>
        <v>0</v>
      </c>
      <c r="S82" s="229">
        <f t="shared" si="85"/>
        <v>0</v>
      </c>
      <c r="T82" s="226">
        <v>0</v>
      </c>
      <c r="U82" s="226">
        <v>0</v>
      </c>
      <c r="V82" s="229">
        <f t="shared" si="102"/>
        <v>0</v>
      </c>
      <c r="W82" s="226">
        <f t="shared" si="86"/>
        <v>20.833333333333332</v>
      </c>
      <c r="X82" s="226">
        <f t="shared" si="109"/>
        <v>20.833333333333332</v>
      </c>
      <c r="Y82" s="226">
        <f t="shared" si="87"/>
        <v>18.75</v>
      </c>
      <c r="Z82" s="226">
        <f t="shared" si="88"/>
        <v>3.5714285714285716</v>
      </c>
      <c r="AA82" s="226">
        <f t="shared" si="89"/>
        <v>82.408333333333317</v>
      </c>
      <c r="AB82" s="226">
        <f t="shared" si="90"/>
        <v>87.916666666666657</v>
      </c>
      <c r="AC82" s="230">
        <f t="shared" si="91"/>
        <v>150</v>
      </c>
      <c r="AD82" s="226">
        <f t="shared" si="92"/>
        <v>66.666666666666671</v>
      </c>
      <c r="AE82" s="226">
        <f t="shared" si="93"/>
        <v>15</v>
      </c>
      <c r="AF82" s="226">
        <v>400</v>
      </c>
      <c r="AG82" s="229">
        <f t="shared" si="94"/>
        <v>865.97976190476197</v>
      </c>
      <c r="AH82" s="229">
        <f t="shared" si="95"/>
        <v>865.97976190476197</v>
      </c>
      <c r="AI82" s="231">
        <v>0.04</v>
      </c>
      <c r="AJ82" s="232">
        <f t="shared" si="96"/>
        <v>34.639190476190478</v>
      </c>
      <c r="AK82" s="233">
        <v>0.04</v>
      </c>
      <c r="AL82" s="234">
        <f t="shared" si="104"/>
        <v>52.715249545260207</v>
      </c>
      <c r="AM82" s="231">
        <v>0.01</v>
      </c>
      <c r="AN82" s="232">
        <f t="shared" si="105"/>
        <v>8.6597976190476196</v>
      </c>
      <c r="AO82" s="233">
        <v>0.01</v>
      </c>
      <c r="AP82" s="234">
        <f t="shared" si="97"/>
        <v>13.178812386315052</v>
      </c>
      <c r="AQ82" s="231">
        <v>0.1</v>
      </c>
      <c r="AR82" s="232">
        <f t="shared" si="106"/>
        <v>86.597976190476203</v>
      </c>
      <c r="AS82" s="233">
        <v>0.1</v>
      </c>
      <c r="AT82" s="234">
        <f t="shared" si="98"/>
        <v>131.7881238631505</v>
      </c>
      <c r="AU82" s="231">
        <v>0.15640000000000001</v>
      </c>
      <c r="AV82" s="232">
        <f t="shared" si="99"/>
        <v>195.26994631185812</v>
      </c>
      <c r="AW82" s="233">
        <v>0.19289999999999999</v>
      </c>
      <c r="AX82" s="234">
        <f t="shared" si="100"/>
        <v>254.21929093201732</v>
      </c>
      <c r="AY82" s="235">
        <f t="shared" si="107"/>
        <v>1248.5290684901413</v>
      </c>
      <c r="AZ82" s="234">
        <f t="shared" si="108"/>
        <v>1317.8812386315051</v>
      </c>
      <c r="BA82" s="395">
        <f t="shared" si="110"/>
        <v>615.47980703310247</v>
      </c>
    </row>
  </sheetData>
  <mergeCells count="5">
    <mergeCell ref="AU2:AV2"/>
    <mergeCell ref="AW2:AX2"/>
    <mergeCell ref="AI2:AL2"/>
    <mergeCell ref="AM2:AP2"/>
    <mergeCell ref="AQ2:AT2"/>
  </mergeCells>
  <conditionalFormatting sqref="AI4:AZ4">
    <cfRule type="cellIs" dxfId="87" priority="92" operator="equal">
      <formula>0</formula>
    </cfRule>
  </conditionalFormatting>
  <conditionalFormatting sqref="C1:C1048576">
    <cfRule type="cellIs" dxfId="86" priority="2" operator="equal">
      <formula>"Estágio"</formula>
    </cfRule>
    <cfRule type="cellIs" dxfId="85" priority="91" operator="equal">
      <formula>"PJ"</formula>
    </cfRule>
  </conditionalFormatting>
  <conditionalFormatting sqref="AI5:AZ5">
    <cfRule type="cellIs" dxfId="84" priority="90" operator="equal">
      <formula>0</formula>
    </cfRule>
  </conditionalFormatting>
  <conditionalFormatting sqref="AI6:AZ6">
    <cfRule type="cellIs" dxfId="83" priority="89" operator="equal">
      <formula>0</formula>
    </cfRule>
  </conditionalFormatting>
  <conditionalFormatting sqref="AI7:AZ7">
    <cfRule type="cellIs" dxfId="82" priority="88" operator="equal">
      <formula>0</formula>
    </cfRule>
  </conditionalFormatting>
  <conditionalFormatting sqref="AI8:AZ8">
    <cfRule type="cellIs" dxfId="81" priority="87" operator="equal">
      <formula>0</formula>
    </cfRule>
  </conditionalFormatting>
  <conditionalFormatting sqref="AI9:AZ9">
    <cfRule type="cellIs" dxfId="80" priority="86" operator="equal">
      <formula>0</formula>
    </cfRule>
  </conditionalFormatting>
  <conditionalFormatting sqref="AI10:AZ10">
    <cfRule type="cellIs" dxfId="79" priority="85" operator="equal">
      <formula>0</formula>
    </cfRule>
  </conditionalFormatting>
  <conditionalFormatting sqref="AI11:AZ11">
    <cfRule type="cellIs" dxfId="78" priority="84" operator="equal">
      <formula>0</formula>
    </cfRule>
  </conditionalFormatting>
  <conditionalFormatting sqref="AI12:AZ12">
    <cfRule type="cellIs" dxfId="77" priority="83" operator="equal">
      <formula>0</formula>
    </cfRule>
  </conditionalFormatting>
  <conditionalFormatting sqref="AI13:AZ13">
    <cfRule type="cellIs" dxfId="76" priority="82" operator="equal">
      <formula>0</formula>
    </cfRule>
  </conditionalFormatting>
  <conditionalFormatting sqref="AI14:AZ14">
    <cfRule type="cellIs" dxfId="75" priority="81" operator="equal">
      <formula>0</formula>
    </cfRule>
  </conditionalFormatting>
  <conditionalFormatting sqref="AI15:AZ15">
    <cfRule type="cellIs" dxfId="74" priority="80" operator="equal">
      <formula>0</formula>
    </cfRule>
  </conditionalFormatting>
  <conditionalFormatting sqref="AI16:AZ16">
    <cfRule type="cellIs" dxfId="73" priority="79" operator="equal">
      <formula>0</formula>
    </cfRule>
  </conditionalFormatting>
  <conditionalFormatting sqref="AI17:AZ17">
    <cfRule type="cellIs" dxfId="72" priority="78" operator="equal">
      <formula>0</formula>
    </cfRule>
  </conditionalFormatting>
  <conditionalFormatting sqref="AI18:AZ18">
    <cfRule type="cellIs" dxfId="71" priority="77" operator="equal">
      <formula>0</formula>
    </cfRule>
  </conditionalFormatting>
  <conditionalFormatting sqref="AI19:AZ19">
    <cfRule type="cellIs" dxfId="70" priority="76" operator="equal">
      <formula>0</formula>
    </cfRule>
  </conditionalFormatting>
  <conditionalFormatting sqref="AI20:AZ20">
    <cfRule type="cellIs" dxfId="69" priority="75" operator="equal">
      <formula>0</formula>
    </cfRule>
  </conditionalFormatting>
  <conditionalFormatting sqref="AI21:AZ21">
    <cfRule type="cellIs" dxfId="68" priority="74" operator="equal">
      <formula>0</formula>
    </cfRule>
  </conditionalFormatting>
  <conditionalFormatting sqref="AI22:AZ22">
    <cfRule type="cellIs" dxfId="67" priority="73" operator="equal">
      <formula>0</formula>
    </cfRule>
  </conditionalFormatting>
  <conditionalFormatting sqref="AI23:AZ23">
    <cfRule type="cellIs" dxfId="66" priority="72" operator="equal">
      <formula>0</formula>
    </cfRule>
  </conditionalFormatting>
  <conditionalFormatting sqref="AI24:AZ24">
    <cfRule type="cellIs" dxfId="65" priority="70" operator="equal">
      <formula>0</formula>
    </cfRule>
  </conditionalFormatting>
  <conditionalFormatting sqref="AI25:AZ25">
    <cfRule type="cellIs" dxfId="64" priority="69" operator="equal">
      <formula>0</formula>
    </cfRule>
  </conditionalFormatting>
  <conditionalFormatting sqref="AI26:AZ26">
    <cfRule type="cellIs" dxfId="63" priority="68" operator="equal">
      <formula>0</formula>
    </cfRule>
  </conditionalFormatting>
  <conditionalFormatting sqref="AI27:AZ27">
    <cfRule type="cellIs" dxfId="62" priority="67" operator="equal">
      <formula>0</formula>
    </cfRule>
  </conditionalFormatting>
  <conditionalFormatting sqref="AI28:AZ28">
    <cfRule type="cellIs" dxfId="61" priority="66" operator="equal">
      <formula>0</formula>
    </cfRule>
  </conditionalFormatting>
  <conditionalFormatting sqref="AI29:AZ29">
    <cfRule type="cellIs" dxfId="60" priority="65" operator="equal">
      <formula>0</formula>
    </cfRule>
  </conditionalFormatting>
  <conditionalFormatting sqref="AI30:AZ30">
    <cfRule type="cellIs" dxfId="59" priority="64" operator="equal">
      <formula>0</formula>
    </cfRule>
  </conditionalFormatting>
  <conditionalFormatting sqref="AI31:AZ31">
    <cfRule type="cellIs" dxfId="58" priority="63" operator="equal">
      <formula>0</formula>
    </cfRule>
  </conditionalFormatting>
  <conditionalFormatting sqref="AI32:AZ32">
    <cfRule type="cellIs" dxfId="57" priority="62" operator="equal">
      <formula>0</formula>
    </cfRule>
  </conditionalFormatting>
  <conditionalFormatting sqref="AI33:AZ33">
    <cfRule type="cellIs" dxfId="56" priority="61" operator="equal">
      <formula>0</formula>
    </cfRule>
  </conditionalFormatting>
  <conditionalFormatting sqref="AI34:AZ34">
    <cfRule type="cellIs" dxfId="55" priority="60" operator="equal">
      <formula>0</formula>
    </cfRule>
  </conditionalFormatting>
  <conditionalFormatting sqref="AI35:AZ35">
    <cfRule type="cellIs" dxfId="54" priority="59" operator="equal">
      <formula>0</formula>
    </cfRule>
  </conditionalFormatting>
  <conditionalFormatting sqref="AI36:AZ36">
    <cfRule type="cellIs" dxfId="53" priority="58" operator="equal">
      <formula>0</formula>
    </cfRule>
  </conditionalFormatting>
  <conditionalFormatting sqref="AI37:AZ37">
    <cfRule type="cellIs" dxfId="52" priority="57" operator="equal">
      <formula>0</formula>
    </cfRule>
  </conditionalFormatting>
  <conditionalFormatting sqref="AI38:AZ38">
    <cfRule type="cellIs" dxfId="51" priority="56" operator="equal">
      <formula>0</formula>
    </cfRule>
  </conditionalFormatting>
  <conditionalFormatting sqref="AI39:AZ39">
    <cfRule type="cellIs" dxfId="50" priority="55" operator="equal">
      <formula>0</formula>
    </cfRule>
  </conditionalFormatting>
  <conditionalFormatting sqref="AI40:AZ40">
    <cfRule type="cellIs" dxfId="49" priority="54" operator="equal">
      <formula>0</formula>
    </cfRule>
  </conditionalFormatting>
  <conditionalFormatting sqref="AI41:AZ41">
    <cfRule type="cellIs" dxfId="48" priority="53" operator="equal">
      <formula>0</formula>
    </cfRule>
  </conditionalFormatting>
  <conditionalFormatting sqref="AI42:AZ42">
    <cfRule type="cellIs" dxfId="47" priority="52" operator="equal">
      <formula>0</formula>
    </cfRule>
  </conditionalFormatting>
  <conditionalFormatting sqref="AI43:AZ43">
    <cfRule type="cellIs" dxfId="46" priority="51" operator="equal">
      <formula>0</formula>
    </cfRule>
  </conditionalFormatting>
  <conditionalFormatting sqref="AI44:AZ44">
    <cfRule type="cellIs" dxfId="45" priority="50" operator="equal">
      <formula>0</formula>
    </cfRule>
  </conditionalFormatting>
  <conditionalFormatting sqref="AI45:AZ45">
    <cfRule type="cellIs" dxfId="44" priority="49" operator="equal">
      <formula>0</formula>
    </cfRule>
  </conditionalFormatting>
  <conditionalFormatting sqref="AI46:AZ46">
    <cfRule type="cellIs" dxfId="43" priority="48" operator="equal">
      <formula>0</formula>
    </cfRule>
  </conditionalFormatting>
  <conditionalFormatting sqref="AI47:AZ47">
    <cfRule type="cellIs" dxfId="42" priority="47" operator="equal">
      <formula>0</formula>
    </cfRule>
  </conditionalFormatting>
  <conditionalFormatting sqref="AI48:AZ48">
    <cfRule type="cellIs" dxfId="41" priority="46" operator="equal">
      <formula>0</formula>
    </cfRule>
  </conditionalFormatting>
  <conditionalFormatting sqref="AI49:AZ49">
    <cfRule type="cellIs" dxfId="40" priority="45" operator="equal">
      <formula>0</formula>
    </cfRule>
  </conditionalFormatting>
  <conditionalFormatting sqref="AI50:AZ50">
    <cfRule type="cellIs" dxfId="39" priority="44" operator="equal">
      <formula>0</formula>
    </cfRule>
  </conditionalFormatting>
  <conditionalFormatting sqref="AI52:AZ52">
    <cfRule type="cellIs" dxfId="38" priority="43" operator="equal">
      <formula>0</formula>
    </cfRule>
  </conditionalFormatting>
  <conditionalFormatting sqref="AI53:AZ53">
    <cfRule type="cellIs" dxfId="37" priority="42" operator="equal">
      <formula>0</formula>
    </cfRule>
  </conditionalFormatting>
  <conditionalFormatting sqref="AI54:AZ54">
    <cfRule type="cellIs" dxfId="36" priority="41" operator="equal">
      <formula>0</formula>
    </cfRule>
  </conditionalFormatting>
  <conditionalFormatting sqref="AI55:AZ55">
    <cfRule type="cellIs" dxfId="35" priority="40" operator="equal">
      <formula>0</formula>
    </cfRule>
  </conditionalFormatting>
  <conditionalFormatting sqref="AI56:AZ56">
    <cfRule type="cellIs" dxfId="34" priority="39" operator="equal">
      <formula>0</formula>
    </cfRule>
  </conditionalFormatting>
  <conditionalFormatting sqref="AI57:AZ57">
    <cfRule type="cellIs" dxfId="33" priority="38" operator="equal">
      <formula>0</formula>
    </cfRule>
  </conditionalFormatting>
  <conditionalFormatting sqref="AI58:AZ58">
    <cfRule type="cellIs" dxfId="32" priority="37" operator="equal">
      <formula>0</formula>
    </cfRule>
  </conditionalFormatting>
  <conditionalFormatting sqref="AI59:AZ59">
    <cfRule type="cellIs" dxfId="31" priority="36" operator="equal">
      <formula>0</formula>
    </cfRule>
  </conditionalFormatting>
  <conditionalFormatting sqref="AI66:AZ66">
    <cfRule type="cellIs" dxfId="30" priority="28" operator="equal">
      <formula>0</formula>
    </cfRule>
  </conditionalFormatting>
  <conditionalFormatting sqref="AI60:AZ60">
    <cfRule type="cellIs" dxfId="29" priority="27" operator="equal">
      <formula>0</formula>
    </cfRule>
  </conditionalFormatting>
  <conditionalFormatting sqref="AI61:AZ61">
    <cfRule type="cellIs" dxfId="28" priority="25" operator="equal">
      <formula>0</formula>
    </cfRule>
  </conditionalFormatting>
  <conditionalFormatting sqref="AI62:AZ62">
    <cfRule type="cellIs" dxfId="27" priority="23" operator="equal">
      <formula>0</formula>
    </cfRule>
  </conditionalFormatting>
  <conditionalFormatting sqref="AI63:AZ63">
    <cfRule type="cellIs" dxfId="26" priority="22" operator="equal">
      <formula>0</formula>
    </cfRule>
  </conditionalFormatting>
  <conditionalFormatting sqref="AI64:AZ64">
    <cfRule type="cellIs" dxfId="25" priority="21" operator="equal">
      <formula>0</formula>
    </cfRule>
  </conditionalFormatting>
  <conditionalFormatting sqref="AI65:AZ65">
    <cfRule type="cellIs" dxfId="24" priority="20" operator="equal">
      <formula>0</formula>
    </cfRule>
  </conditionalFormatting>
  <conditionalFormatting sqref="AI67:AZ67">
    <cfRule type="cellIs" dxfId="23" priority="19" operator="equal">
      <formula>0</formula>
    </cfRule>
  </conditionalFormatting>
  <conditionalFormatting sqref="AI68:AZ68">
    <cfRule type="cellIs" dxfId="22" priority="18" operator="equal">
      <formula>0</formula>
    </cfRule>
  </conditionalFormatting>
  <conditionalFormatting sqref="AI69:AZ69">
    <cfRule type="cellIs" dxfId="21" priority="17" operator="equal">
      <formula>0</formula>
    </cfRule>
  </conditionalFormatting>
  <conditionalFormatting sqref="AI70:AZ70">
    <cfRule type="cellIs" dxfId="20" priority="16" operator="equal">
      <formula>0</formula>
    </cfRule>
  </conditionalFormatting>
  <conditionalFormatting sqref="AI71:AZ71">
    <cfRule type="cellIs" dxfId="19" priority="15" operator="equal">
      <formula>0</formula>
    </cfRule>
  </conditionalFormatting>
  <conditionalFormatting sqref="AI72:AZ72">
    <cfRule type="cellIs" dxfId="18" priority="14" operator="equal">
      <formula>0</formula>
    </cfRule>
  </conditionalFormatting>
  <conditionalFormatting sqref="AI73:AZ73">
    <cfRule type="cellIs" dxfId="17" priority="13" operator="equal">
      <formula>0</formula>
    </cfRule>
  </conditionalFormatting>
  <conditionalFormatting sqref="AI74:AZ74">
    <cfRule type="cellIs" dxfId="16" priority="12" operator="equal">
      <formula>0</formula>
    </cfRule>
  </conditionalFormatting>
  <conditionalFormatting sqref="AI75:AZ75">
    <cfRule type="cellIs" dxfId="15" priority="11" operator="equal">
      <formula>0</formula>
    </cfRule>
  </conditionalFormatting>
  <conditionalFormatting sqref="AI76:AZ76">
    <cfRule type="cellIs" dxfId="14" priority="10" operator="equal">
      <formula>0</formula>
    </cfRule>
  </conditionalFormatting>
  <conditionalFormatting sqref="AI77:AZ77">
    <cfRule type="cellIs" dxfId="13" priority="9" operator="equal">
      <formula>0</formula>
    </cfRule>
  </conditionalFormatting>
  <conditionalFormatting sqref="AI78:AZ78">
    <cfRule type="cellIs" dxfId="12" priority="8" operator="equal">
      <formula>0</formula>
    </cfRule>
  </conditionalFormatting>
  <conditionalFormatting sqref="AI79:AZ79">
    <cfRule type="cellIs" dxfId="11" priority="7" operator="equal">
      <formula>0</formula>
    </cfRule>
  </conditionalFormatting>
  <conditionalFormatting sqref="AI80:AZ80">
    <cfRule type="cellIs" dxfId="10" priority="6" operator="equal">
      <formula>0</formula>
    </cfRule>
  </conditionalFormatting>
  <conditionalFormatting sqref="AI81:AZ81">
    <cfRule type="cellIs" dxfId="9" priority="5" operator="equal">
      <formula>0</formula>
    </cfRule>
  </conditionalFormatting>
  <conditionalFormatting sqref="AI82:AZ82">
    <cfRule type="cellIs" dxfId="8" priority="4" operator="equal">
      <formula>0</formula>
    </cfRule>
  </conditionalFormatting>
  <conditionalFormatting sqref="AI3:BA3 BA4:BA82">
    <cfRule type="cellIs" dxfId="7" priority="3" operator="equal">
      <formula>0</formula>
    </cfRule>
  </conditionalFormatting>
  <conditionalFormatting sqref="AI51:AZ51">
    <cfRule type="cellIs" dxfId="6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A834-F8DB-4A5F-A16A-50A2CEBE88EA}">
  <sheetPr codeName="Planilha11"/>
  <dimension ref="A1:L53"/>
  <sheetViews>
    <sheetView zoomScale="115" zoomScaleNormal="115" workbookViewId="0">
      <selection activeCell="H48" sqref="H48"/>
    </sheetView>
  </sheetViews>
  <sheetFormatPr defaultRowHeight="15" x14ac:dyDescent="0.25"/>
  <cols>
    <col min="1" max="1" width="11.28515625" bestFit="1" customWidth="1"/>
    <col min="2" max="2" width="18.28515625" style="104" bestFit="1" customWidth="1"/>
    <col min="3" max="3" width="28.140625" bestFit="1" customWidth="1"/>
    <col min="4" max="4" width="11.42578125" bestFit="1" customWidth="1"/>
    <col min="5" max="5" width="10.42578125" bestFit="1" customWidth="1"/>
    <col min="6" max="6" width="17.28515625" bestFit="1" customWidth="1"/>
    <col min="8" max="8" width="18.28515625" style="86" bestFit="1" customWidth="1"/>
    <col min="9" max="9" width="24.7109375" style="105" bestFit="1" customWidth="1"/>
    <col min="10" max="10" width="14.42578125" bestFit="1" customWidth="1"/>
  </cols>
  <sheetData>
    <row r="1" spans="1:12" x14ac:dyDescent="0.25">
      <c r="A1" s="89"/>
      <c r="B1" s="90"/>
      <c r="C1" s="89"/>
      <c r="D1" s="89"/>
      <c r="E1" s="89"/>
      <c r="F1" s="91"/>
      <c r="G1" s="89"/>
      <c r="H1" s="92"/>
      <c r="I1" s="93"/>
      <c r="J1" s="89"/>
      <c r="K1" s="94"/>
      <c r="L1" s="89"/>
    </row>
    <row r="2" spans="1:12" x14ac:dyDescent="0.25">
      <c r="A2" s="89"/>
      <c r="B2" s="90"/>
      <c r="C2" s="89"/>
      <c r="D2" s="89"/>
      <c r="E2" s="89"/>
      <c r="F2" s="91"/>
      <c r="G2" s="89"/>
      <c r="H2" s="92"/>
      <c r="I2" s="93"/>
      <c r="J2" s="89"/>
      <c r="K2" s="94"/>
      <c r="L2" s="89"/>
    </row>
    <row r="3" spans="1:12" ht="15" customHeight="1" x14ac:dyDescent="0.25">
      <c r="A3" s="87"/>
      <c r="B3" s="95" t="s">
        <v>181</v>
      </c>
      <c r="C3" s="96" t="s">
        <v>182</v>
      </c>
      <c r="D3" s="96" t="s">
        <v>183</v>
      </c>
      <c r="E3" s="96" t="s">
        <v>184</v>
      </c>
      <c r="F3" s="96" t="s">
        <v>185</v>
      </c>
      <c r="G3" s="97"/>
      <c r="H3" s="98"/>
      <c r="I3" s="99"/>
      <c r="J3" s="14"/>
      <c r="K3" s="100"/>
      <c r="L3" s="97"/>
    </row>
    <row r="4" spans="1:12" ht="15" customHeight="1" x14ac:dyDescent="0.25">
      <c r="A4" s="87"/>
      <c r="B4" s="101" t="str">
        <f>IF(Helexia!C3="","",LEFT(Helexia!C3,FIND(" ",Helexia!C3&amp;" ")-1)
&amp;" "&amp;
LEFT(
    MID(
        Helexia!C3,
        FIND(" ",Helexia!C3)+1,
        FIND(" ",Helexia!C3&amp;" ",FIND(" ",Helexia!C3)+1)-FIND(" ",Helexia!C3)-1
    ),
1
)&amp;".")</f>
        <v>Leandro F.</v>
      </c>
      <c r="C4" s="97" t="str">
        <f>TRIM(IF(Helexia!E3="", "",
LEFT(
    Helexia!E3,
    MIN(
        IFERROR(FIND(" /",Helexia!E3),9999),
        IFERROR(FIND("'-",Helexia!E3),9999),
        IFERROR(FIND("/",Helexia!E3),9999),
        IFERROR(FIND(" '- ",Helexia!E3),9999)
    ) - 1
)))</f>
        <v>Mossoró</v>
      </c>
      <c r="D4" s="102" t="str">
        <f>TRIM(Helexia!F3)</f>
        <v>RN</v>
      </c>
      <c r="E4" s="97" t="s">
        <v>186</v>
      </c>
      <c r="F4" s="100" t="str">
        <f>CONCATENATE(Helexia!J3," ",Helexia!K3)</f>
        <v xml:space="preserve"> </v>
      </c>
      <c r="G4" s="97"/>
      <c r="H4" s="98"/>
      <c r="I4" s="99"/>
      <c r="J4" s="96"/>
      <c r="K4" s="100"/>
      <c r="L4" s="97"/>
    </row>
    <row r="5" spans="1:12" ht="15" customHeight="1" x14ac:dyDescent="0.25">
      <c r="A5" s="87"/>
      <c r="B5" s="101" t="str">
        <f>IF(Helexia!C4="","",LEFT(Helexia!C4,FIND(" ",Helexia!C4&amp;" ")-1)
&amp;" "&amp;
LEFT(
    MID(
        Helexia!C4,
        FIND(" ",Helexia!C4)+1,
        FIND(" ",Helexia!C4&amp;" ",FIND(" ",Helexia!C4)+1)-FIND(" ",Helexia!C4)-1
    ),
1
)&amp;".")</f>
        <v>Mônica T.</v>
      </c>
      <c r="C5" s="97" t="str">
        <f>TRIM(IF(Helexia!E4="", "",
LEFT(
    Helexia!E4,
    MIN(
        IFERROR(FIND(" /",Helexia!E4),9999),
        IFERROR(FIND("'-",Helexia!E4),9999),
        IFERROR(FIND("/",Helexia!E4),9999),
        IFERROR(FIND(" '- ",Helexia!E4),9999)
    ) - 1
)))</f>
        <v>Beberibe</v>
      </c>
      <c r="D5" s="102" t="str">
        <f>TRIM(Helexia!F4)</f>
        <v>CE</v>
      </c>
      <c r="E5" s="97" t="s">
        <v>186</v>
      </c>
      <c r="F5" s="100" t="str">
        <f>CONCATENATE(Helexia!J4," ",Helexia!K4)</f>
        <v>4x4# Frota Própria</v>
      </c>
      <c r="G5" s="97"/>
      <c r="H5" s="98"/>
      <c r="I5" s="99"/>
      <c r="J5" s="96"/>
      <c r="K5" s="100"/>
      <c r="L5" s="97"/>
    </row>
    <row r="6" spans="1:12" ht="15" customHeight="1" x14ac:dyDescent="0.25">
      <c r="A6" s="87"/>
      <c r="B6" s="101" t="str">
        <f>IF(Helexia!C5="","",LEFT(Helexia!C5,FIND(" ",Helexia!C5&amp;" ")-1)
&amp;" "&amp;
LEFT(
    MID(
        Helexia!C5,
        FIND(" ",Helexia!C5)+1,
        FIND(" ",Helexia!C5&amp;" ",FIND(" ",Helexia!C5)+1)-FIND(" ",Helexia!C5)-1
    ),
1
)&amp;".")</f>
        <v>Rogério B.</v>
      </c>
      <c r="C6" s="97" t="str">
        <f>TRIM(IF(Helexia!E5="", "",
LEFT(
    Helexia!E5,
    MIN(
        IFERROR(FIND(" /",Helexia!E5),9999),
        IFERROR(FIND("'-",Helexia!E5),9999),
        IFERROR(FIND("/",Helexia!E5),9999),
        IFERROR(FIND(" '- ",Helexia!E5),9999)
    ) - 1
)))</f>
        <v>Paranaiba</v>
      </c>
      <c r="D6" s="102" t="str">
        <f>TRIM(Helexia!F5)</f>
        <v>MS</v>
      </c>
      <c r="E6" s="97" t="s">
        <v>186</v>
      </c>
      <c r="F6" s="100" t="str">
        <f>CONCATENATE(Helexia!J5," ",Helexia!K5)</f>
        <v>4x4# Frota Própria</v>
      </c>
      <c r="G6" s="97"/>
      <c r="H6" s="98"/>
      <c r="I6" s="99"/>
      <c r="J6" s="96"/>
      <c r="K6" s="100"/>
      <c r="L6" s="97"/>
    </row>
    <row r="7" spans="1:12" ht="15" customHeight="1" x14ac:dyDescent="0.25">
      <c r="A7" s="87"/>
      <c r="B7" s="101" t="str">
        <f>IF(Helexia!C6="","",LEFT(Helexia!C6,FIND(" ",Helexia!C6&amp;" ")-1)
&amp;" "&amp;
LEFT(
    MID(
        Helexia!C6,
        FIND(" ",Helexia!C6)+1,
        FIND(" ",Helexia!C6&amp;" ",FIND(" ",Helexia!C6)+1)-FIND(" ",Helexia!C6)-1
    ),
1
)&amp;".")</f>
        <v>Elaine P.</v>
      </c>
      <c r="C7" s="97" t="str">
        <f>TRIM(IF(Helexia!E6="", "",
LEFT(
    Helexia!E6,
    MIN(
        IFERROR(FIND(" /",Helexia!E6),9999),
        IFERROR(FIND("'-",Helexia!E6),9999),
        IFERROR(FIND("/",Helexia!E6),9999),
        IFERROR(FIND(" '- ",Helexia!E6),9999)
    ) - 1
)))</f>
        <v>Lorena</v>
      </c>
      <c r="D7" s="102" t="str">
        <f>TRIM(Helexia!F6)</f>
        <v>SP</v>
      </c>
      <c r="E7" s="97" t="s">
        <v>186</v>
      </c>
      <c r="F7" s="100" t="str">
        <f>CONCATENATE(Helexia!J6," ",Helexia!K6)</f>
        <v>4x4# Frota Própria</v>
      </c>
      <c r="G7" s="97"/>
      <c r="H7" s="98"/>
      <c r="I7" s="99"/>
      <c r="J7" s="96"/>
      <c r="K7" s="100"/>
      <c r="L7" s="97"/>
    </row>
    <row r="8" spans="1:12" ht="15" customHeight="1" x14ac:dyDescent="0.25">
      <c r="A8" s="87"/>
      <c r="B8" s="101" t="str">
        <f>IF(Helexia!C7="","",LEFT(Helexia!C7,FIND(" ",Helexia!C7&amp;" ")-1)
&amp;" "&amp;
LEFT(
    MID(
        Helexia!C7,
        FIND(" ",Helexia!C7)+1,
        FIND(" ",Helexia!C7&amp;" ",FIND(" ",Helexia!C7)+1)-FIND(" ",Helexia!C7)-1
    ),
1
)&amp;".")</f>
        <v>Fábio C.</v>
      </c>
      <c r="C8" s="97" t="str">
        <f>TRIM(IF(Helexia!E7="", "",
LEFT(
    Helexia!E7,
    MIN(
        IFERROR(FIND(" /",Helexia!E7),9999),
        IFERROR(FIND("'-",Helexia!E7),9999),
        IFERROR(FIND("/",Helexia!E7),9999),
        IFERROR(FIND(" '- ",Helexia!E7),9999)
    ) - 1
)))</f>
        <v>Guararapes</v>
      </c>
      <c r="D8" s="102" t="str">
        <f>TRIM(Helexia!F7)</f>
        <v>SP</v>
      </c>
      <c r="E8" s="97" t="s">
        <v>186</v>
      </c>
      <c r="F8" s="100" t="str">
        <f>CONCATENATE(Helexia!J7," ",Helexia!K7)</f>
        <v>4x4# Frota Própria</v>
      </c>
      <c r="G8" s="97"/>
      <c r="H8" s="98"/>
      <c r="I8" s="99"/>
      <c r="J8" s="96"/>
      <c r="K8" s="100"/>
      <c r="L8" s="97"/>
    </row>
    <row r="9" spans="1:12" ht="15" customHeight="1" x14ac:dyDescent="0.25">
      <c r="A9" s="87"/>
      <c r="B9" s="101" t="str">
        <f>IF(Helexia!C8="","",LEFT(Helexia!C8,FIND(" ",Helexia!C8&amp;" ")-1)
&amp;" "&amp;
LEFT(
    MID(
        Helexia!C8,
        FIND(" ",Helexia!C8)+1,
        FIND(" ",Helexia!C8&amp;" ",FIND(" ",Helexia!C8)+1)-FIND(" ",Helexia!C8)-1
    ),
1
)&amp;".")</f>
        <v>Patrícia A.</v>
      </c>
      <c r="C9" s="97" t="str">
        <f>TRIM(IF(Helexia!E8="", "",
LEFT(
    Helexia!E8,
    MIN(
        IFERROR(FIND(" /",Helexia!E8),9999),
        IFERROR(FIND("'-",Helexia!E8),9999),
        IFERROR(FIND("/",Helexia!E8),9999),
        IFERROR(FIND(" '- ",Helexia!E8),9999)
    ) - 1
)))</f>
        <v>Cassilândia</v>
      </c>
      <c r="D9" s="102" t="str">
        <f>TRIM(Helexia!F8)</f>
        <v>MS</v>
      </c>
      <c r="E9" s="97" t="s">
        <v>186</v>
      </c>
      <c r="F9" s="100" t="str">
        <f>CONCATENATE(Helexia!J8," ",Helexia!K8)</f>
        <v xml:space="preserve"> </v>
      </c>
      <c r="G9" s="97"/>
      <c r="H9" s="98"/>
      <c r="I9" s="99"/>
      <c r="J9" s="96"/>
      <c r="K9" s="100"/>
      <c r="L9" s="97"/>
    </row>
    <row r="10" spans="1:12" ht="15" customHeight="1" x14ac:dyDescent="0.25">
      <c r="A10" s="87"/>
      <c r="B10" s="101" t="str">
        <f>IF(Helexia!C9="","",LEFT(Helexia!C9,FIND(" ",Helexia!C9&amp;" ")-1)
&amp;" "&amp;
LEFT(
    MID(
        Helexia!C9,
        FIND(" ",Helexia!C9)+1,
        FIND(" ",Helexia!C9&amp;" ",FIND(" ",Helexia!C9)+1)-FIND(" ",Helexia!C9)-1
    ),
1
)&amp;".")</f>
        <v>Vinícius M.</v>
      </c>
      <c r="C10" s="97" t="str">
        <f>TRIM(IF(Helexia!E9="", "",
LEFT(
    Helexia!E9,
    MIN(
        IFERROR(FIND(" /",Helexia!E9),9999),
        IFERROR(FIND("'-",Helexia!E9),9999),
        IFERROR(FIND("/",Helexia!E9),9999),
        IFERROR(FIND(" '- ",Helexia!E9),9999)
    ) - 1
)))</f>
        <v>Rolim de Moura</v>
      </c>
      <c r="D10" s="102" t="str">
        <f>TRIM(Helexia!F9)</f>
        <v>RO</v>
      </c>
      <c r="E10" s="97" t="s">
        <v>186</v>
      </c>
      <c r="F10" s="100" t="str">
        <f>CONCATENATE(Helexia!J9," ",Helexia!K9)</f>
        <v xml:space="preserve"> </v>
      </c>
      <c r="G10" s="97"/>
      <c r="H10" s="98"/>
      <c r="I10" s="99"/>
      <c r="J10" s="96"/>
      <c r="K10" s="100"/>
      <c r="L10" s="97"/>
    </row>
    <row r="11" spans="1:12" ht="15" customHeight="1" x14ac:dyDescent="0.25">
      <c r="A11" s="87"/>
      <c r="B11" s="101" t="str">
        <f>IF(Helexia!C10="","",LEFT(Helexia!C10,FIND(" ",Helexia!C10&amp;" ")-1)
&amp;" "&amp;
LEFT(
    MID(
        Helexia!C10,
        FIND(" ",Helexia!C10)+1,
        FIND(" ",Helexia!C10&amp;" ",FIND(" ",Helexia!C10)+1)-FIND(" ",Helexia!C10)-1
    ),
1
)&amp;".")</f>
        <v>Cláudia P.</v>
      </c>
      <c r="C11" s="97" t="str">
        <f>TRIM(IF(Helexia!E10="", "",
LEFT(
    Helexia!E10,
    MIN(
        IFERROR(FIND(" /",Helexia!E10),9999),
        IFERROR(FIND("'-",Helexia!E10),9999),
        IFERROR(FIND("/",Helexia!E10),9999),
        IFERROR(FIND(" '- ",Helexia!E10),9999)
    ) - 1
)))</f>
        <v>Rolim de Moura</v>
      </c>
      <c r="D11" s="102" t="str">
        <f>TRIM(Helexia!F10)</f>
        <v>RO</v>
      </c>
      <c r="E11" s="97" t="s">
        <v>186</v>
      </c>
      <c r="F11" s="100" t="str">
        <f>CONCATENATE(Helexia!J10," ",Helexia!K10)</f>
        <v>4x2 Localiza</v>
      </c>
      <c r="G11" s="97"/>
      <c r="H11" s="98"/>
      <c r="I11" s="99"/>
      <c r="J11" s="96"/>
      <c r="K11" s="100"/>
      <c r="L11" s="97"/>
    </row>
    <row r="12" spans="1:12" ht="15" customHeight="1" x14ac:dyDescent="0.25">
      <c r="A12" s="87"/>
      <c r="B12" s="101" t="str">
        <f>IF(Helexia!C11="","",LEFT(Helexia!C11,FIND(" ",Helexia!C11&amp;" ")-1)
&amp;" "&amp;
LEFT(
    MID(
        Helexia!C11,
        FIND(" ",Helexia!C11)+1,
        FIND(" ",Helexia!C11&amp;" ",FIND(" ",Helexia!C11)+1)-FIND(" ",Helexia!C11)-1
    ),
1
)&amp;".")</f>
        <v>Renato G.</v>
      </c>
      <c r="C12" s="97" t="str">
        <f>TRIM(IF(Helexia!E11="", "",
LEFT(
    Helexia!E11,
    MIN(
        IFERROR(FIND(" /",Helexia!E11),9999),
        IFERROR(FIND("'-",Helexia!E11),9999),
        IFERROR(FIND("/",Helexia!E11),9999),
        IFERROR(FIND(" '- ",Helexia!E11),9999)
    ) - 1
)))</f>
        <v>Beberibe</v>
      </c>
      <c r="D12" s="102" t="str">
        <f>TRIM(Helexia!F11)</f>
        <v>CE</v>
      </c>
      <c r="E12" s="97" t="s">
        <v>186</v>
      </c>
      <c r="F12" s="100" t="str">
        <f>CONCATENATE(Helexia!J11," ",Helexia!K11)</f>
        <v>4x2 Localiza</v>
      </c>
      <c r="G12" s="97"/>
      <c r="H12" s="98"/>
      <c r="I12" s="99"/>
      <c r="J12" s="96"/>
      <c r="K12" s="100"/>
      <c r="L12" s="97"/>
    </row>
    <row r="13" spans="1:12" ht="15" customHeight="1" x14ac:dyDescent="0.25">
      <c r="A13" s="87"/>
      <c r="B13" s="101" t="str">
        <f>IF(Helexia!C12="","",LEFT(Helexia!C12,FIND(" ",Helexia!C12&amp;" ")-1)
&amp;" "&amp;
LEFT(
    MID(
        Helexia!C12,
        FIND(" ",Helexia!C12)+1,
        FIND(" ",Helexia!C12&amp;" ",FIND(" ",Helexia!C12)+1)-FIND(" ",Helexia!C12)-1
    ),
1
)&amp;".")</f>
        <v>Silvia M.</v>
      </c>
      <c r="C13" s="97" t="str">
        <f>TRIM(IF(Helexia!E12="", "",
LEFT(
    Helexia!E12,
    MIN(
        IFERROR(FIND(" /",Helexia!E12),9999),
        IFERROR(FIND("'-",Helexia!E12),9999),
        IFERROR(FIND("/",Helexia!E12),9999),
        IFERROR(FIND(" '- ",Helexia!E12),9999)
    ) - 1
)))</f>
        <v>Rodando o BR</v>
      </c>
      <c r="D13" s="102" t="str">
        <f>TRIM(Helexia!F12)</f>
        <v>BR</v>
      </c>
      <c r="E13" s="97" t="s">
        <v>186</v>
      </c>
      <c r="F13" s="100" t="str">
        <f>CONCATENATE(Helexia!J12," ",Helexia!K12)</f>
        <v>4x2 Frota Própria</v>
      </c>
      <c r="G13" s="97"/>
      <c r="H13" s="98"/>
      <c r="I13" s="99"/>
      <c r="J13" s="96"/>
      <c r="K13" s="100"/>
      <c r="L13" s="97"/>
    </row>
    <row r="14" spans="1:12" ht="15" customHeight="1" x14ac:dyDescent="0.25">
      <c r="A14" s="87"/>
      <c r="B14" s="101" t="str">
        <f>IF(Helexia!C13="","",LEFT(Helexia!C13,FIND(" ",Helexia!C13&amp;" ")-1)
&amp;" "&amp;
LEFT(
    MID(
        Helexia!C13,
        FIND(" ",Helexia!C13)+1,
        FIND(" ",Helexia!C13&amp;" ",FIND(" ",Helexia!C13)+1)-FIND(" ",Helexia!C13)-1
    ),
1
)&amp;".")</f>
        <v>Daniel A.</v>
      </c>
      <c r="C14" s="97" t="str">
        <f>TRIM(IF(Helexia!E13="", "",
LEFT(
    Helexia!E13,
    MIN(
        IFERROR(FIND(" /",Helexia!E13),9999),
        IFERROR(FIND("'-",Helexia!E13),9999),
        IFERROR(FIND("/",Helexia!E13),9999),
        IFERROR(FIND(" '- ",Helexia!E13),9999)
    ) - 1
)))</f>
        <v>Cidade Gaúcha</v>
      </c>
      <c r="D14" s="102" t="str">
        <f>TRIM(Helexia!F13)</f>
        <v>PR</v>
      </c>
      <c r="E14" s="97" t="s">
        <v>186</v>
      </c>
      <c r="F14" s="100" t="str">
        <f>CONCATENATE(Helexia!J13," ",Helexia!K13)</f>
        <v>4x2 Localiza</v>
      </c>
      <c r="G14" s="97"/>
      <c r="H14" s="98"/>
      <c r="I14" s="99"/>
      <c r="J14" s="96"/>
      <c r="K14" s="100"/>
      <c r="L14" s="97"/>
    </row>
    <row r="15" spans="1:12" ht="15" customHeight="1" x14ac:dyDescent="0.25">
      <c r="A15" s="87"/>
      <c r="B15" s="101" t="str">
        <f>IF(Helexia!C14="","",LEFT(Helexia!C14,FIND(" ",Helexia!C14&amp;" ")-1)
&amp;" "&amp;
LEFT(
    MID(
        Helexia!C14,
        FIND(" ",Helexia!C14)+1,
        FIND(" ",Helexia!C14&amp;" ",FIND(" ",Helexia!C14)+1)-FIND(" ",Helexia!C14)-1
    ),
1
)&amp;".")</f>
        <v>Juliane C.</v>
      </c>
      <c r="C15" s="97" t="str">
        <f>TRIM(IF(Helexia!E14="", "",
LEFT(
    Helexia!E14,
    MIN(
        IFERROR(FIND(" /",Helexia!E14),9999),
        IFERROR(FIND("'-",Helexia!E14),9999),
        IFERROR(FIND("/",Helexia!E14),9999),
        IFERROR(FIND(" '- ",Helexia!E14),9999)
    ) - 1
)))</f>
        <v>Cezarina</v>
      </c>
      <c r="D15" s="102" t="str">
        <f>TRIM(Helexia!F14)</f>
        <v>GO</v>
      </c>
      <c r="E15" s="97" t="s">
        <v>186</v>
      </c>
      <c r="F15" s="100" t="str">
        <f>CONCATENATE(Helexia!J14," ",Helexia!K14)</f>
        <v>4x2 Frota Própria</v>
      </c>
      <c r="G15" s="97"/>
      <c r="H15" s="103"/>
      <c r="I15" s="97"/>
      <c r="J15" s="96"/>
      <c r="K15" s="100"/>
      <c r="L15" s="97"/>
    </row>
    <row r="16" spans="1:12" ht="15" customHeight="1" x14ac:dyDescent="0.25">
      <c r="A16" s="87"/>
      <c r="B16" s="101" t="str">
        <f>IF(Helexia!C15="","",LEFT(Helexia!C15,FIND(" ",Helexia!C15&amp;" ")-1)
&amp;" "&amp;
LEFT(
    MID(
        Helexia!C15,
        FIND(" ",Helexia!C15)+1,
        FIND(" ",Helexia!C15&amp;" ",FIND(" ",Helexia!C15)+1)-FIND(" ",Helexia!C15)-1
    ),
1
)&amp;".")</f>
        <v>Mauro S.</v>
      </c>
      <c r="C16" s="97" t="str">
        <f>TRIM(IF(Helexia!E15="", "",
LEFT(
    Helexia!E15,
    MIN(
        IFERROR(FIND(" /",Helexia!E15),9999),
        IFERROR(FIND("'-",Helexia!E15),9999),
        IFERROR(FIND("/",Helexia!E15),9999),
        IFERROR(FIND(" '- ",Helexia!E15),9999)
    ) - 1
)))</f>
        <v>Cidade Gaúcha</v>
      </c>
      <c r="D16" s="102" t="str">
        <f>TRIM(Helexia!F15)</f>
        <v>PR</v>
      </c>
      <c r="E16" s="97" t="s">
        <v>186</v>
      </c>
      <c r="F16" s="100" t="str">
        <f>CONCATENATE(Helexia!J15," ",Helexia!K15)</f>
        <v xml:space="preserve"> </v>
      </c>
      <c r="G16" s="97"/>
      <c r="H16" s="98"/>
      <c r="I16" s="99"/>
      <c r="J16" s="96"/>
      <c r="K16" s="100"/>
      <c r="L16" s="97"/>
    </row>
    <row r="17" spans="1:12" ht="15" customHeight="1" x14ac:dyDescent="0.25">
      <c r="A17" s="87"/>
      <c r="B17" s="101" t="str">
        <f>IF(Helexia!C16="","",LEFT(Helexia!C16,FIND(" ",Helexia!C16&amp;" ")-1)
&amp;" "&amp;
LEFT(
    MID(
        Helexia!C16,
        FIND(" ",Helexia!C16)+1,
        FIND(" ",Helexia!C16&amp;" ",FIND(" ",Helexia!C16)+1)-FIND(" ",Helexia!C16)-1
    ),
1
)&amp;".")</f>
        <v>Tatiana B.</v>
      </c>
      <c r="C17" s="97" t="str">
        <f>TRIM(IF(Helexia!E16="", "",
LEFT(
    Helexia!E16,
    MIN(
        IFERROR(FIND(" /",Helexia!E16),9999),
        IFERROR(FIND("'-",Helexia!E16),9999),
        IFERROR(FIND("/",Helexia!E16),9999),
        IFERROR(FIND(" '- ",Helexia!E16),9999)
    ) - 1
)))</f>
        <v>Cotia-SP</v>
      </c>
      <c r="D17" s="102" t="str">
        <f>TRIM(Helexia!F16)</f>
        <v>SP</v>
      </c>
      <c r="E17" s="97" t="s">
        <v>186</v>
      </c>
      <c r="F17" s="100" t="str">
        <f>CONCATENATE(Helexia!J16," ",Helexia!K16)</f>
        <v>4x2 Localiza</v>
      </c>
      <c r="G17" s="97"/>
      <c r="H17" s="98"/>
      <c r="I17" s="99"/>
      <c r="J17" s="96"/>
      <c r="K17" s="100"/>
      <c r="L17" s="97"/>
    </row>
    <row r="18" spans="1:12" ht="15" customHeight="1" x14ac:dyDescent="0.25">
      <c r="A18" s="87"/>
      <c r="B18" s="101" t="str">
        <f>IF(Helexia!C17="","",LEFT(Helexia!C17,FIND(" ",Helexia!C17&amp;" ")-1)
&amp;" "&amp;
LEFT(
    MID(
        Helexia!C17,
        FIND(" ",Helexia!C17)+1,
        FIND(" ",Helexia!C17&amp;" ",FIND(" ",Helexia!C17)+1)-FIND(" ",Helexia!C17)-1
    ),
1
)&amp;".")</f>
        <v>Alex R.</v>
      </c>
      <c r="C18" s="97" t="str">
        <f>TRIM(IF(Helexia!E17="", "",
LEFT(
    Helexia!E17,
    MIN(
        IFERROR(FIND(" /",Helexia!E17),9999),
        IFERROR(FIND("'-",Helexia!E17),9999),
        IFERROR(FIND("/",Helexia!E17),9999),
        IFERROR(FIND(" '- ",Helexia!E17),9999)
    ) - 1
)))</f>
        <v>Paranavaí</v>
      </c>
      <c r="D18" s="102" t="str">
        <f>TRIM(Helexia!F17)</f>
        <v>PR</v>
      </c>
      <c r="E18" s="97" t="s">
        <v>186</v>
      </c>
      <c r="F18" s="100" t="str">
        <f>CONCATENATE(Helexia!J17," ",Helexia!K17)</f>
        <v>4x2 Localiza</v>
      </c>
      <c r="G18" s="97"/>
      <c r="H18" s="98"/>
      <c r="I18" s="99"/>
      <c r="J18" s="96"/>
      <c r="K18" s="100"/>
      <c r="L18" s="97"/>
    </row>
    <row r="19" spans="1:12" ht="15" customHeight="1" x14ac:dyDescent="0.25">
      <c r="A19" s="87"/>
      <c r="B19" s="101" t="str">
        <f>IF(Helexia!C18="","",LEFT(Helexia!C18,FIND(" ",Helexia!C18&amp;" ")-1)
&amp;" "&amp;
LEFT(
    MID(
        Helexia!C18,
        FIND(" ",Helexia!C18)+1,
        FIND(" ",Helexia!C18&amp;" ",FIND(" ",Helexia!C18)+1)-FIND(" ",Helexia!C18)-1
    ),
1
)&amp;".")</f>
        <v>Eduardo T.</v>
      </c>
      <c r="C19" s="97" t="str">
        <f>TRIM(IF(Helexia!E18="", "",
LEFT(
    Helexia!E18,
    MIN(
        IFERROR(FIND(" /",Helexia!E18),9999),
        IFERROR(FIND("'-",Helexia!E18),9999),
        IFERROR(FIND("/",Helexia!E18),9999),
        IFERROR(FIND(" '- ",Helexia!E18),9999)
    ) - 1
)))</f>
        <v>Gauaratinguetá</v>
      </c>
      <c r="D19" s="102" t="str">
        <f>TRIM(Helexia!F18)</f>
        <v>SP</v>
      </c>
      <c r="E19" s="97" t="s">
        <v>186</v>
      </c>
      <c r="F19" s="100" t="str">
        <f>CONCATENATE(Helexia!J18," ",Helexia!K18)</f>
        <v xml:space="preserve"> </v>
      </c>
      <c r="G19" s="97"/>
      <c r="H19" s="98"/>
      <c r="I19" s="99"/>
      <c r="J19" s="96"/>
      <c r="K19" s="100"/>
      <c r="L19" s="97"/>
    </row>
    <row r="20" spans="1:12" ht="15" customHeight="1" x14ac:dyDescent="0.25">
      <c r="A20" s="87"/>
      <c r="B20" s="101" t="str">
        <f>IF(Helexia!C19="","",LEFT(Helexia!C19,FIND(" ",Helexia!C19&amp;" ")-1)
&amp;" "&amp;
LEFT(
    MID(
        Helexia!C19,
        FIND(" ",Helexia!C19)+1,
        FIND(" ",Helexia!C19&amp;" ",FIND(" ",Helexia!C19)+1)-FIND(" ",Helexia!C19)-1
    ),
1
)&amp;".")</f>
        <v>Bianca L.</v>
      </c>
      <c r="C20" s="97" t="str">
        <f>TRIM(IF(Helexia!E19="", "",
LEFT(
    Helexia!E19,
    MIN(
        IFERROR(FIND(" /",Helexia!E19),9999),
        IFERROR(FIND("'-",Helexia!E19),9999),
        IFERROR(FIND("/",Helexia!E19),9999),
        IFERROR(FIND(" '- ",Helexia!E19),9999)
    ) - 1
)))</f>
        <v>Beberibe</v>
      </c>
      <c r="D20" s="102" t="str">
        <f>TRIM(Helexia!F19)</f>
        <v>CE</v>
      </c>
      <c r="E20" s="97" t="s">
        <v>186</v>
      </c>
      <c r="F20" s="100" t="str">
        <f>CONCATENATE(Helexia!J19," ",Helexia!K19)</f>
        <v xml:space="preserve"> </v>
      </c>
      <c r="G20" s="97"/>
      <c r="H20" s="98"/>
      <c r="I20" s="99"/>
      <c r="J20" s="96"/>
      <c r="K20" s="100"/>
      <c r="L20" s="97"/>
    </row>
    <row r="21" spans="1:12" ht="15" customHeight="1" x14ac:dyDescent="0.25">
      <c r="A21" s="87"/>
      <c r="B21" s="101" t="str">
        <f>IF(Helexia!C20="","",LEFT(Helexia!C20,FIND(" ",Helexia!C20&amp;" ")-1)
&amp;" "&amp;
LEFT(
    MID(
        Helexia!C20,
        FIND(" ",Helexia!C20)+1,
        FIND(" ",Helexia!C20&amp;" ",FIND(" ",Helexia!C20)+1)-FIND(" ",Helexia!C20)-1
    ),
1
)&amp;".")</f>
        <v>Samuel T.</v>
      </c>
      <c r="C21" s="97" t="str">
        <f>TRIM(IF(Helexia!E20="", "",
LEFT(
    Helexia!E20,
    MIN(
        IFERROR(FIND(" /",Helexia!E20),9999),
        IFERROR(FIND("'-",Helexia!E20),9999),
        IFERROR(FIND("/",Helexia!E20),9999),
        IFERROR(FIND(" '- ",Helexia!E20),9999)
    ) - 1
)))</f>
        <v>Charqueadas</v>
      </c>
      <c r="D21" s="102" t="str">
        <f>TRIM(Helexia!F20)</f>
        <v>RS</v>
      </c>
      <c r="E21" s="97" t="s">
        <v>186</v>
      </c>
      <c r="F21" s="100" t="str">
        <f>CONCATENATE(Helexia!J20," ",Helexia!K20)</f>
        <v>4x2 Frota Própria</v>
      </c>
      <c r="G21" s="97"/>
      <c r="H21" s="98"/>
      <c r="I21" s="99"/>
      <c r="J21" s="96"/>
      <c r="K21" s="100"/>
      <c r="L21" s="97"/>
    </row>
    <row r="22" spans="1:12" ht="15" customHeight="1" x14ac:dyDescent="0.25">
      <c r="A22" s="87"/>
      <c r="B22" s="101" t="str">
        <f>IF(Helexia!C21="","",LEFT(Helexia!C21,FIND(" ",Helexia!C21&amp;" ")-1)
&amp;" "&amp;
LEFT(
    MID(
        Helexia!C21,
        FIND(" ",Helexia!C21)+1,
        FIND(" ",Helexia!C21&amp;" ",FIND(" ",Helexia!C21)+1)-FIND(" ",Helexia!C21)-1
    ),
1
)&amp;".")</f>
        <v>Priscila A.</v>
      </c>
      <c r="C22" s="97" t="str">
        <f>TRIM(IF(Helexia!E21="", "",
LEFT(
    Helexia!E21,
    MIN(
        IFERROR(FIND(" /",Helexia!E21),9999),
        IFERROR(FIND("'-",Helexia!E21),9999),
        IFERROR(FIND("/",Helexia!E21),9999),
        IFERROR(FIND(" '- ",Helexia!E21),9999)
    ) - 1
)))</f>
        <v>Munhoz de Melo</v>
      </c>
      <c r="D22" s="102" t="str">
        <f>TRIM(Helexia!F21)</f>
        <v>PR</v>
      </c>
      <c r="E22" s="97" t="s">
        <v>186</v>
      </c>
      <c r="F22" s="100" t="str">
        <f>CONCATENATE(Helexia!J21," ",Helexia!K21)</f>
        <v>4x2 Localiza</v>
      </c>
      <c r="G22" s="97"/>
      <c r="H22" s="98"/>
      <c r="I22" s="99"/>
      <c r="J22" s="96"/>
      <c r="K22" s="100"/>
      <c r="L22" s="97"/>
    </row>
    <row r="23" spans="1:12" ht="15" customHeight="1" x14ac:dyDescent="0.25">
      <c r="A23" s="87"/>
      <c r="B23" s="101" t="str">
        <f>IF(Helexia!C22="","",LEFT(Helexia!C22,FIND(" ",Helexia!C22&amp;" ")-1)
&amp;" "&amp;
LEFT(
    MID(
        Helexia!C22,
        FIND(" ",Helexia!C22)+1,
        FIND(" ",Helexia!C22&amp;" ",FIND(" ",Helexia!C22)+1)-FIND(" ",Helexia!C22)-1
    ),
1
)&amp;".")</f>
        <v>Henrique V.</v>
      </c>
      <c r="C23" s="97" t="str">
        <f>TRIM(IF(Helexia!E22="", "",
LEFT(
    Helexia!E22,
    MIN(
        IFERROR(FIND(" /",Helexia!E22),9999),
        IFERROR(FIND("'-",Helexia!E22),9999),
        IFERROR(FIND("/",Helexia!E22),9999),
        IFERROR(FIND(" '- ",Helexia!E22),9999)
    ) - 1
)))</f>
        <v>Rio Verde-GO</v>
      </c>
      <c r="D23" s="102" t="str">
        <f>TRIM(Helexia!F22)</f>
        <v>GO</v>
      </c>
      <c r="E23" s="97" t="s">
        <v>186</v>
      </c>
      <c r="F23" s="100" t="str">
        <f>CONCATENATE(Helexia!J22," ",Helexia!K22)</f>
        <v>4x2 Localiza</v>
      </c>
      <c r="G23" s="97"/>
      <c r="H23" s="98"/>
      <c r="I23" s="99"/>
      <c r="J23" s="96"/>
      <c r="K23" s="100"/>
      <c r="L23" s="97"/>
    </row>
    <row r="24" spans="1:12" ht="15" customHeight="1" x14ac:dyDescent="0.25">
      <c r="A24" s="87"/>
      <c r="B24" s="101" t="str">
        <f>IF(Helexia!C23="","",LEFT(Helexia!C23,FIND(" ",Helexia!C23&amp;" ")-1)
&amp;" "&amp;
LEFT(
    MID(
        Helexia!C23,
        FIND(" ",Helexia!C23)+1,
        FIND(" ",Helexia!C23&amp;" ",FIND(" ",Helexia!C23)+1)-FIND(" ",Helexia!C23)-1
    ),
1
)&amp;".")</f>
        <v>André L.</v>
      </c>
      <c r="C24" s="97" t="str">
        <f>TRIM(IF(Helexia!E23="", "",
LEFT(
    Helexia!E23,
    MIN(
        IFERROR(FIND(" /",Helexia!E23),9999),
        IFERROR(FIND("'-",Helexia!E23),9999),
        IFERROR(FIND("/",Helexia!E23),9999),
        IFERROR(FIND(" '- ",Helexia!E23),9999)
    ) - 1
)))</f>
        <v>Caçapava – SP</v>
      </c>
      <c r="D24" s="102" t="str">
        <f>TRIM(Helexia!F23)</f>
        <v>SP</v>
      </c>
      <c r="E24" s="97" t="s">
        <v>186</v>
      </c>
      <c r="F24" s="100" t="str">
        <f>CONCATENATE(Helexia!J23," ",Helexia!K23)</f>
        <v>4x2 Localiza</v>
      </c>
      <c r="G24" s="97"/>
      <c r="H24" s="98"/>
      <c r="I24" s="99"/>
      <c r="J24" s="96"/>
      <c r="K24" s="100"/>
      <c r="L24" s="97"/>
    </row>
    <row r="25" spans="1:12" ht="15" customHeight="1" x14ac:dyDescent="0.25">
      <c r="A25" s="87"/>
      <c r="B25" s="101" t="str">
        <f>IF(Helexia!C24="","",LEFT(Helexia!C24,FIND(" ",Helexia!C24&amp;" ")-1)
&amp;" "&amp;
LEFT(
    MID(
        Helexia!C24,
        FIND(" ",Helexia!C24)+1,
        FIND(" ",Helexia!C24&amp;" ",FIND(" ",Helexia!C24)+1)-FIND(" ",Helexia!C24)-1
    ),
1
)&amp;".")</f>
        <v>Camila N.</v>
      </c>
      <c r="C25" s="97" t="str">
        <f>TRIM(IF(Helexia!E24="", "",
LEFT(
    Helexia!E24,
    MIN(
        IFERROR(FIND(" /",Helexia!E24),9999),
        IFERROR(FIND("'-",Helexia!E24),9999),
        IFERROR(FIND("/",Helexia!E24),9999),
        IFERROR(FIND(" '- ",Helexia!E24),9999)
    ) - 1
)))</f>
        <v>Goiânia – GO</v>
      </c>
      <c r="D25" s="102" t="str">
        <f>TRIM(Helexia!F24)</f>
        <v>GO</v>
      </c>
      <c r="E25" s="97" t="s">
        <v>186</v>
      </c>
      <c r="F25" s="100" t="str">
        <f>CONCATENATE(Helexia!J24," ",Helexia!K24)</f>
        <v>4x2 Localiza</v>
      </c>
      <c r="G25" s="97"/>
      <c r="H25" s="98"/>
      <c r="I25" s="99"/>
      <c r="J25" s="96"/>
      <c r="K25" s="100"/>
      <c r="L25" s="97"/>
    </row>
    <row r="26" spans="1:12" ht="15" customHeight="1" x14ac:dyDescent="0.25">
      <c r="A26" s="87"/>
      <c r="B26" s="101" t="str">
        <f>IF(Helexia!C25="","",LEFT(Helexia!C25,FIND(" ",Helexia!C25&amp;" ")-1)
&amp;" "&amp;
LEFT(
    MID(
        Helexia!C25,
        FIND(" ",Helexia!C25)+1,
        FIND(" ",Helexia!C25&amp;" ",FIND(" ",Helexia!C25)+1)-FIND(" ",Helexia!C25)-1
    ),
1
)&amp;".")</f>
        <v>João V.</v>
      </c>
      <c r="C26" s="97" t="str">
        <f>TRIM(IF(Helexia!E25="", "",
LEFT(
    Helexia!E25,
    MIN(
        IFERROR(FIND(" /",Helexia!E25),9999),
        IFERROR(FIND("'-",Helexia!E25),9999),
        IFERROR(FIND("/",Helexia!E25),9999),
        IFERROR(FIND(" '- ",Helexia!E25),9999)
    ) - 1
)))</f>
        <v>Carnaubal</v>
      </c>
      <c r="D26" s="102" t="str">
        <f>TRIM(Helexia!F25)</f>
        <v>CE</v>
      </c>
      <c r="E26" s="97" t="s">
        <v>186</v>
      </c>
      <c r="F26" s="100" t="str">
        <f>CONCATENATE(Helexia!J25," ",Helexia!K25)</f>
        <v xml:space="preserve"> </v>
      </c>
      <c r="G26" s="97"/>
      <c r="H26" s="98"/>
      <c r="I26" s="99"/>
      <c r="J26" s="96"/>
      <c r="K26" s="100"/>
      <c r="L26" s="97"/>
    </row>
    <row r="27" spans="1:12" ht="15" customHeight="1" x14ac:dyDescent="0.25">
      <c r="A27" s="87"/>
      <c r="B27" s="101" t="str">
        <f>IF(Helexia!C26="","",LEFT(Helexia!C26,FIND(" ",Helexia!C26&amp;" ")-1)
&amp;" "&amp;
LEFT(
    MID(
        Helexia!C26,
        FIND(" ",Helexia!C26)+1,
        FIND(" ",Helexia!C26&amp;" ",FIND(" ",Helexia!C26)+1)-FIND(" ",Helexia!C26)-1
    ),
1
)&amp;".")</f>
        <v>Renata S.</v>
      </c>
      <c r="C27" s="97" t="str">
        <f>TRIM(IF(Helexia!E26="", "",
LEFT(
    Helexia!E26,
    MIN(
        IFERROR(FIND(" /",Helexia!E26),9999),
        IFERROR(FIND("'-",Helexia!E26),9999),
        IFERROR(FIND("/",Helexia!E26),9999),
        IFERROR(FIND(" '- ",Helexia!E26),9999)
    ) - 1
)))</f>
        <v>Carnaubal</v>
      </c>
      <c r="D27" s="102" t="str">
        <f>TRIM(Helexia!F26)</f>
        <v>CE</v>
      </c>
      <c r="E27" s="97" t="s">
        <v>186</v>
      </c>
      <c r="F27" s="100" t="str">
        <f>CONCATENATE(Helexia!J26," ",Helexia!K26)</f>
        <v>4x2 Frota Própria</v>
      </c>
      <c r="G27" s="97"/>
      <c r="H27" s="98"/>
      <c r="I27" s="99"/>
      <c r="J27" s="96"/>
      <c r="K27" s="100"/>
      <c r="L27" s="97"/>
    </row>
    <row r="28" spans="1:12" ht="15" customHeight="1" x14ac:dyDescent="0.25">
      <c r="A28" s="87"/>
      <c r="B28" s="101" t="str">
        <f>IF(Helexia!C27="","",LEFT(Helexia!C27,FIND(" ",Helexia!C27&amp;" ")-1)
&amp;" "&amp;
LEFT(
    MID(
        Helexia!C27,
        FIND(" ",Helexia!C27)+1,
        FIND(" ",Helexia!C27&amp;" ",FIND(" ",Helexia!C27)+1)-FIND(" ",Helexia!C27)-1
    ),
1
)&amp;".")</f>
        <v>Igor V.</v>
      </c>
      <c r="C28" s="97" t="str">
        <f>TRIM(IF(Helexia!E27="", "",
LEFT(
    Helexia!E27,
    MIN(
        IFERROR(FIND(" /",Helexia!E27),9999),
        IFERROR(FIND("'-",Helexia!E27),9999),
        IFERROR(FIND("/",Helexia!E27),9999),
        IFERROR(FIND(" '- ",Helexia!E27),9999)
    ) - 1
)))</f>
        <v>São Jerônimo - RS</v>
      </c>
      <c r="D28" s="102" t="str">
        <f>TRIM(Helexia!F27)</f>
        <v>RS</v>
      </c>
      <c r="E28" s="97" t="s">
        <v>186</v>
      </c>
      <c r="F28" s="100" t="str">
        <f>CONCATENATE(Helexia!J27," ",Helexia!K27)</f>
        <v xml:space="preserve"> </v>
      </c>
      <c r="G28" s="97"/>
      <c r="H28" s="98"/>
      <c r="I28" s="99"/>
      <c r="J28" s="96"/>
      <c r="K28" s="100"/>
      <c r="L28" s="97"/>
    </row>
    <row r="29" spans="1:12" ht="15" customHeight="1" x14ac:dyDescent="0.25">
      <c r="A29" s="87"/>
      <c r="B29" s="101" t="str">
        <f>IF(Helexia!C28="","",LEFT(Helexia!C28,FIND(" ",Helexia!C28&amp;" ")-1)
&amp;" "&amp;
LEFT(
    MID(
        Helexia!C28,
        FIND(" ",Helexia!C28)+1,
        FIND(" ",Helexia!C28&amp;" ",FIND(" ",Helexia!C28)+1)-FIND(" ",Helexia!C28)-1
    ),
1
)&amp;".")</f>
        <v>Lucas R.</v>
      </c>
      <c r="C29" s="97" t="str">
        <f>TRIM(IF(Helexia!E28="", "",
LEFT(
    Helexia!E28,
    MIN(
        IFERROR(FIND(" /",Helexia!E28),9999),
        IFERROR(FIND("'-",Helexia!E28),9999),
        IFERROR(FIND("/",Helexia!E28),9999),
        IFERROR(FIND(" '- ",Helexia!E28),9999)
    ) - 1
)))</f>
        <v>Rio Verde-GO</v>
      </c>
      <c r="D29" s="102" t="str">
        <f>TRIM(Helexia!F28)</f>
        <v>GO</v>
      </c>
      <c r="E29" s="97" t="s">
        <v>186</v>
      </c>
      <c r="F29" s="100" t="str">
        <f>CONCATENATE(Helexia!J28," ",Helexia!K28)</f>
        <v xml:space="preserve"> </v>
      </c>
      <c r="G29" s="97"/>
      <c r="H29" s="98"/>
      <c r="I29" s="99"/>
      <c r="J29" s="96"/>
      <c r="K29" s="100"/>
      <c r="L29" s="97"/>
    </row>
    <row r="30" spans="1:12" ht="15" customHeight="1" x14ac:dyDescent="0.25">
      <c r="A30" s="87"/>
      <c r="B30" s="101" t="str">
        <f>IF(Helexia!C29="","",LEFT(Helexia!C29,FIND(" ",Helexia!C29&amp;" ")-1)
&amp;" "&amp;
LEFT(
    MID(
        Helexia!C29,
        FIND(" ",Helexia!C29)+1,
        FIND(" ",Helexia!C29&amp;" ",FIND(" ",Helexia!C29)+1)-FIND(" ",Helexia!C29)-1
    ),
1
)&amp;".")</f>
        <v>Ana B.</v>
      </c>
      <c r="C30" s="97" t="str">
        <f>TRIM(IF(Helexia!E29="", "",
LEFT(
    Helexia!E29,
    MIN(
        IFERROR(FIND(" /",Helexia!E29),9999),
        IFERROR(FIND("'-",Helexia!E29),9999),
        IFERROR(FIND("/",Helexia!E29),9999),
        IFERROR(FIND(" '- ",Helexia!E29),9999)
    ) - 1
)))</f>
        <v>Cassilândia – MS</v>
      </c>
      <c r="D30" s="102" t="str">
        <f>TRIM(Helexia!F29)</f>
        <v>MS</v>
      </c>
      <c r="E30" s="97" t="s">
        <v>186</v>
      </c>
      <c r="F30" s="100" t="str">
        <f>CONCATENATE(Helexia!J29," ",Helexia!K29)</f>
        <v>4x2 Localiza</v>
      </c>
      <c r="G30" s="97"/>
      <c r="H30" s="98"/>
      <c r="I30" s="99"/>
      <c r="J30" s="96"/>
      <c r="K30" s="100"/>
      <c r="L30" s="97"/>
    </row>
    <row r="31" spans="1:12" ht="15" customHeight="1" x14ac:dyDescent="0.25">
      <c r="A31" s="87"/>
      <c r="B31" s="101" t="str">
        <f>IF(Helexia!C30="","",LEFT(Helexia!C30,FIND(" ",Helexia!C30&amp;" ")-1)
&amp;" "&amp;
LEFT(
    MID(
        Helexia!C30,
        FIND(" ",Helexia!C30)+1,
        FIND(" ",Helexia!C30&amp;" ",FIND(" ",Helexia!C30)+1)-FIND(" ",Helexia!C30)-1
    ),
1
)&amp;".")</f>
        <v>Marcelo A.</v>
      </c>
      <c r="C31" s="97" t="str">
        <f>TRIM(IF(Helexia!E30="", "",
LEFT(
    Helexia!E30,
    MIN(
        IFERROR(FIND(" /",Helexia!E30),9999),
        IFERROR(FIND("'-",Helexia!E30),9999),
        IFERROR(FIND("/",Helexia!E30),9999),
        IFERROR(FIND(" '- ",Helexia!E30),9999)
    ) - 1
)))</f>
        <v>Paranavaí – PR</v>
      </c>
      <c r="D31" s="102" t="str">
        <f>TRIM(Helexia!F30)</f>
        <v>PR</v>
      </c>
      <c r="E31" s="97" t="s">
        <v>186</v>
      </c>
      <c r="F31" s="100" t="str">
        <f>CONCATENATE(Helexia!J30," ",Helexia!K30)</f>
        <v xml:space="preserve"> </v>
      </c>
      <c r="G31" s="97"/>
      <c r="H31" s="98"/>
      <c r="I31" s="99"/>
      <c r="J31" s="96"/>
      <c r="K31" s="100"/>
      <c r="L31" s="97"/>
    </row>
    <row r="32" spans="1:12" ht="15" customHeight="1" x14ac:dyDescent="0.25">
      <c r="A32" s="87"/>
      <c r="B32" s="101" t="str">
        <f>IF(Helexia!C31="","",LEFT(Helexia!C31,FIND(" ",Helexia!C31&amp;" ")-1)
&amp;" "&amp;
LEFT(
    MID(
        Helexia!C31,
        FIND(" ",Helexia!C31)+1,
        FIND(" ",Helexia!C31&amp;" ",FIND(" ",Helexia!C31)+1)-FIND(" ",Helexia!C31)-1
    ),
1
)&amp;".")</f>
        <v>Carolina V.</v>
      </c>
      <c r="C32" s="97" t="str">
        <f>TRIM(IF(Helexia!E31="", "",
LEFT(
    Helexia!E31,
    MIN(
        IFERROR(FIND(" /",Helexia!E31),9999),
        IFERROR(FIND("'-",Helexia!E31),9999),
        IFERROR(FIND("/",Helexia!E31),9999),
        IFERROR(FIND(" '- ",Helexia!E31),9999)
    ) - 1
)))</f>
        <v>Caçapava – SP</v>
      </c>
      <c r="D32" s="102" t="str">
        <f>TRIM(Helexia!F31)</f>
        <v>SP</v>
      </c>
      <c r="E32" s="97" t="s">
        <v>186</v>
      </c>
      <c r="F32" s="100" t="str">
        <f>CONCATENATE(Helexia!J31," ",Helexia!K31)</f>
        <v xml:space="preserve"> </v>
      </c>
      <c r="G32" s="97"/>
      <c r="H32" s="98"/>
      <c r="I32" s="99"/>
      <c r="J32" s="96"/>
      <c r="K32" s="100"/>
      <c r="L32" s="97"/>
    </row>
    <row r="33" spans="1:12" ht="15" customHeight="1" x14ac:dyDescent="0.25">
      <c r="A33" s="87"/>
      <c r="B33" s="101" t="str">
        <f>IF(Helexia!C32="","",LEFT(Helexia!C32,FIND(" ",Helexia!C32&amp;" ")-1)
&amp;" "&amp;
LEFT(
    MID(
        Helexia!C32,
        FIND(" ",Helexia!C32)+1,
        FIND(" ",Helexia!C32&amp;" ",FIND(" ",Helexia!C32)+1)-FIND(" ",Helexia!C32)-1
    ),
1
)&amp;".")</f>
        <v>Felipe O.</v>
      </c>
      <c r="C33" s="97" t="str">
        <f>TRIM(IF(Helexia!E32="", "",
LEFT(
    Helexia!E32,
    MIN(
        IFERROR(FIND(" /",Helexia!E32),9999),
        IFERROR(FIND("'-",Helexia!E32),9999),
        IFERROR(FIND("/",Helexia!E32),9999),
        IFERROR(FIND(" '- ",Helexia!E32),9999)
    ) - 1
)))</f>
        <v>Iranduba – AM</v>
      </c>
      <c r="D33" s="102" t="str">
        <f>TRIM(Helexia!F32)</f>
        <v>AM</v>
      </c>
      <c r="E33" s="97" t="s">
        <v>186</v>
      </c>
      <c r="F33" s="100" t="str">
        <f>CONCATENATE(Helexia!J32," ",Helexia!K32)</f>
        <v>4x2 Localiza</v>
      </c>
      <c r="G33" s="97"/>
      <c r="H33" s="98"/>
      <c r="I33" s="99"/>
      <c r="J33" s="96"/>
      <c r="K33" s="100"/>
      <c r="L33" s="97"/>
    </row>
    <row r="34" spans="1:12" ht="15" customHeight="1" x14ac:dyDescent="0.25">
      <c r="A34" s="87"/>
      <c r="B34" s="101" t="str">
        <f>IF(Helexia!C33="","",LEFT(Helexia!C33,FIND(" ",Helexia!C33&amp;" ")-1)
&amp;" "&amp;
LEFT(
    MID(
        Helexia!C33,
        FIND(" ",Helexia!C33)+1,
        FIND(" ",Helexia!C33&amp;" ",FIND(" ",Helexia!C33)+1)-FIND(" ",Helexia!C33)-1
    ),
1
)&amp;".")</f>
        <v>Nathalia F.</v>
      </c>
      <c r="C34" s="97" t="str">
        <f>TRIM(IF(Helexia!E33="", "",
LEFT(
    Helexia!E33,
    MIN(
        IFERROR(FIND(" /",Helexia!E33),9999),
        IFERROR(FIND("'-",Helexia!E33),9999),
        IFERROR(FIND("/",Helexia!E33),9999),
        IFERROR(FIND(" '- ",Helexia!E33),9999)
    ) - 1
)))</f>
        <v>Iranduba – AM</v>
      </c>
      <c r="D34" s="102" t="str">
        <f>TRIM(Helexia!F33)</f>
        <v>AM</v>
      </c>
      <c r="E34" s="97" t="s">
        <v>186</v>
      </c>
      <c r="F34" s="100" t="str">
        <f>CONCATENATE(Helexia!J33," ",Helexia!K33)</f>
        <v xml:space="preserve"> </v>
      </c>
      <c r="G34" s="97"/>
      <c r="H34" s="98"/>
      <c r="I34" s="99"/>
      <c r="J34" s="96"/>
      <c r="K34" s="100"/>
      <c r="L34" s="97"/>
    </row>
    <row r="35" spans="1:12" ht="15" customHeight="1" x14ac:dyDescent="0.25">
      <c r="A35" s="87"/>
      <c r="B35" s="101" t="str">
        <f>IF(Helexia!C34="","",LEFT(Helexia!C34,FIND(" ",Helexia!C34&amp;" ")-1)
&amp;" "&amp;
LEFT(
    MID(
        Helexia!C34,
        FIND(" ",Helexia!C34)+1,
        FIND(" ",Helexia!C34&amp;" ",FIND(" ",Helexia!C34)+1)-FIND(" ",Helexia!C34)-1
    ),
1
)&amp;".")</f>
        <v>Roberto C.</v>
      </c>
      <c r="C35" s="97" t="str">
        <f>TRIM(IF(Helexia!E34="", "",
LEFT(
    Helexia!E34,
    MIN(
        IFERROR(FIND(" /",Helexia!E34),9999),
        IFERROR(FIND("'-",Helexia!E34),9999),
        IFERROR(FIND("/",Helexia!E34),9999),
        IFERROR(FIND(" '- ",Helexia!E34),9999)
    ) - 1
)))</f>
        <v>Paranaíba</v>
      </c>
      <c r="D35" s="102" t="str">
        <f>TRIM(Helexia!F34)</f>
        <v>MS</v>
      </c>
      <c r="E35" s="97" t="s">
        <v>186</v>
      </c>
      <c r="F35" s="100" t="str">
        <f>CONCATENATE(Helexia!J34," ",Helexia!K34)</f>
        <v xml:space="preserve"> </v>
      </c>
      <c r="G35" s="97"/>
      <c r="H35" s="98"/>
      <c r="I35" s="99"/>
      <c r="J35" s="96"/>
      <c r="K35" s="100"/>
      <c r="L35" s="97"/>
    </row>
    <row r="36" spans="1:12" ht="15" customHeight="1" x14ac:dyDescent="0.25">
      <c r="A36" s="87"/>
      <c r="B36" s="101" t="str">
        <f>IF(Helexia!C35="","",LEFT(Helexia!C35,FIND(" ",Helexia!C35&amp;" ")-1)
&amp;" "&amp;
LEFT(
    MID(
        Helexia!C35,
        FIND(" ",Helexia!C35)+1,
        FIND(" ",Helexia!C35&amp;" ",FIND(" ",Helexia!C35)+1)-FIND(" ",Helexia!C35)-1
    ),
1
)&amp;".")</f>
        <v>Luiza B.</v>
      </c>
      <c r="C36" s="97" t="str">
        <f>TRIM(IF(Helexia!E35="", "",
LEFT(
    Helexia!E35,
    MIN(
        IFERROR(FIND(" /",Helexia!E35),9999),
        IFERROR(FIND("'-",Helexia!E35),9999),
        IFERROR(FIND("/",Helexia!E35),9999),
        IFERROR(FIND(" '- ",Helexia!E35),9999)
    ) - 1
)))</f>
        <v>Andradina</v>
      </c>
      <c r="D36" s="102" t="str">
        <f>TRIM(Helexia!F35)</f>
        <v>SP</v>
      </c>
      <c r="E36" s="97" t="s">
        <v>186</v>
      </c>
      <c r="F36" s="100" t="str">
        <f>CONCATENATE(Helexia!J35," ",Helexia!K35)</f>
        <v>4x2 Localiza</v>
      </c>
      <c r="G36" s="97"/>
      <c r="H36" s="98"/>
      <c r="I36" s="99"/>
      <c r="J36" s="96"/>
      <c r="K36" s="100"/>
      <c r="L36" s="97"/>
    </row>
    <row r="37" spans="1:12" ht="15" customHeight="1" x14ac:dyDescent="0.25">
      <c r="A37" s="87"/>
      <c r="B37" s="101" t="str">
        <f>IF(Helexia!C36="","",LEFT(Helexia!C36,FIND(" ",Helexia!C36&amp;" ")-1)
&amp;" "&amp;
LEFT(
    MID(
        Helexia!C36,
        FIND(" ",Helexia!C36)+1,
        FIND(" ",Helexia!C36&amp;" ",FIND(" ",Helexia!C36)+1)-FIND(" ",Helexia!C36)-1
    ),
1
)&amp;".")</f>
        <v>Pedro H.</v>
      </c>
      <c r="C37" s="97" t="str">
        <f>TRIM(IF(Helexia!E36="", "",
LEFT(
    Helexia!E36,
    MIN(
        IFERROR(FIND(" /",Helexia!E36),9999),
        IFERROR(FIND("'-",Helexia!E36),9999),
        IFERROR(FIND("/",Helexia!E36),9999),
        IFERROR(FIND(" '- ",Helexia!E36),9999)
    ) - 1
)))</f>
        <v>Munhoz de Melo</v>
      </c>
      <c r="D37" s="102" t="str">
        <f>TRIM(Helexia!F36)</f>
        <v>PR</v>
      </c>
      <c r="E37" s="97" t="s">
        <v>186</v>
      </c>
      <c r="F37" s="100" t="str">
        <f>CONCATENATE(Helexia!J36," ",Helexia!K36)</f>
        <v xml:space="preserve"> </v>
      </c>
      <c r="G37" s="97"/>
      <c r="H37" s="98"/>
      <c r="I37" s="99"/>
      <c r="J37" s="96"/>
      <c r="K37" s="100"/>
      <c r="L37" s="97"/>
    </row>
    <row r="38" spans="1:12" ht="15" customHeight="1" x14ac:dyDescent="0.25">
      <c r="A38" s="87"/>
      <c r="B38" s="101" t="str">
        <f>IF(Helexia!C37="","",LEFT(Helexia!C37,FIND(" ",Helexia!C37&amp;" ")-1)
&amp;" "&amp;
LEFT(
    MID(
        Helexia!C37,
        FIND(" ",Helexia!C37)+1,
        FIND(" ",Helexia!C37&amp;" ",FIND(" ",Helexia!C37)+1)-FIND(" ",Helexia!C37)-1
    ),
1
)&amp;".")</f>
        <v>Sofia M.</v>
      </c>
      <c r="C38" s="97" t="str">
        <f>TRIM(IF(Helexia!E37="", "",
LEFT(
    Helexia!E37,
    MIN(
        IFERROR(FIND(" /",Helexia!E37),9999),
        IFERROR(FIND("'-",Helexia!E37),9999),
        IFERROR(FIND("/",Helexia!E37),9999),
        IFERROR(FIND(" '- ",Helexia!E37),9999)
    ) - 1
)))</f>
        <v>Euclides da Cunha Paulista</v>
      </c>
      <c r="D38" s="102" t="str">
        <f>TRIM(Helexia!F37)</f>
        <v>SP</v>
      </c>
      <c r="E38" s="97" t="s">
        <v>186</v>
      </c>
      <c r="F38" s="100" t="str">
        <f>CONCATENATE(Helexia!J37," ",Helexia!K37)</f>
        <v>4x2 Localiza</v>
      </c>
      <c r="G38" s="97"/>
      <c r="H38" s="98"/>
      <c r="I38" s="99"/>
      <c r="J38" s="96"/>
      <c r="K38" s="100"/>
      <c r="L38" s="97"/>
    </row>
    <row r="39" spans="1:12" ht="15" customHeight="1" x14ac:dyDescent="0.25">
      <c r="A39" s="87"/>
      <c r="B39" s="101" t="str">
        <f>IF(Helexia!C38="","",LEFT(Helexia!C38,FIND(" ",Helexia!C38&amp;" ")-1)
&amp;" "&amp;
LEFT(
    MID(
        Helexia!C38,
        FIND(" ",Helexia!C38)+1,
        FIND(" ",Helexia!C38&amp;" ",FIND(" ",Helexia!C38)+1)-FIND(" ",Helexia!C38)-1
    ),
1
)&amp;".")</f>
        <v/>
      </c>
      <c r="C39" s="97" t="str">
        <f>TRIM(IF(Helexia!E38="", "",
LEFT(
    Helexia!E38,
    MIN(
        IFERROR(FIND(" /",Helexia!E38),9999),
        IFERROR(FIND("'-",Helexia!E38),9999),
        IFERROR(FIND("/",Helexia!E38),9999),
        IFERROR(FIND(" '- ",Helexia!E38),9999)
    ) - 1
)))</f>
        <v/>
      </c>
      <c r="D39" s="102" t="str">
        <f>TRIM(Helexia!F38)</f>
        <v/>
      </c>
      <c r="E39" s="97" t="s">
        <v>186</v>
      </c>
      <c r="F39" s="100" t="str">
        <f>CONCATENATE(Helexia!J38," ",Helexia!K38)</f>
        <v xml:space="preserve"> </v>
      </c>
      <c r="G39" s="97"/>
      <c r="H39" s="98"/>
      <c r="I39" s="99"/>
      <c r="J39" s="96"/>
      <c r="K39" s="100"/>
      <c r="L39" s="97"/>
    </row>
    <row r="40" spans="1:12" ht="15" customHeight="1" x14ac:dyDescent="0.25">
      <c r="A40" s="87"/>
      <c r="B40" s="101" t="str">
        <f>IF(Helexia!C39="","",LEFT(Helexia!C39,FIND(" ",Helexia!C39&amp;" ")-1)
&amp;" "&amp;
LEFT(
    MID(
        Helexia!C39,
        FIND(" ",Helexia!C39)+1,
        FIND(" ",Helexia!C39&amp;" ",FIND(" ",Helexia!C39)+1)-FIND(" ",Helexia!C39)-1
    ),
1
)&amp;".")</f>
        <v/>
      </c>
      <c r="C40" s="97" t="str">
        <f>TRIM(IF(Helexia!E39="", "",
LEFT(
    Helexia!E39,
    MIN(
        IFERROR(FIND(" /",Helexia!E39),9999),
        IFERROR(FIND("'-",Helexia!E39),9999),
        IFERROR(FIND("/",Helexia!E39),9999),
        IFERROR(FIND(" '- ",Helexia!E39),9999)
    ) - 1
)))</f>
        <v/>
      </c>
      <c r="D40" s="102" t="str">
        <f>TRIM(Helexia!F39)</f>
        <v/>
      </c>
      <c r="E40" s="97" t="s">
        <v>186</v>
      </c>
      <c r="F40" s="100" t="str">
        <f>CONCATENATE(Helexia!J39," ",Helexia!K39)</f>
        <v xml:space="preserve"> </v>
      </c>
      <c r="G40" s="97"/>
      <c r="H40" s="98"/>
      <c r="I40" s="99"/>
      <c r="J40" s="96"/>
      <c r="K40" s="100"/>
      <c r="L40" s="97"/>
    </row>
    <row r="41" spans="1:12" ht="15" customHeight="1" x14ac:dyDescent="0.25">
      <c r="A41" s="87"/>
      <c r="B41" s="101" t="str">
        <f>IF(Helexia!C40="","",LEFT(Helexia!C40,FIND(" ",Helexia!C40&amp;" ")-1)
&amp;" "&amp;
LEFT(
    MID(
        Helexia!C40,
        FIND(" ",Helexia!C40)+1,
        FIND(" ",Helexia!C40&amp;" ",FIND(" ",Helexia!C40)+1)-FIND(" ",Helexia!C40)-1
    ),
1
)&amp;".")</f>
        <v/>
      </c>
      <c r="C41" s="97" t="str">
        <f>TRIM(IF(Helexia!E40="", "",
LEFT(
    Helexia!E40,
    MIN(
        IFERROR(FIND(" /",Helexia!E40),9999),
        IFERROR(FIND("'-",Helexia!E40),9999),
        IFERROR(FIND("/",Helexia!E40),9999),
        IFERROR(FIND(" '- ",Helexia!E40),9999)
    ) - 1
)))</f>
        <v/>
      </c>
      <c r="D41" s="102" t="str">
        <f>TRIM(Helexia!F40)</f>
        <v/>
      </c>
      <c r="E41" s="97" t="s">
        <v>186</v>
      </c>
      <c r="F41" s="100" t="str">
        <f>CONCATENATE(Helexia!J40," ",Helexia!K40)</f>
        <v xml:space="preserve"> </v>
      </c>
      <c r="G41" s="97"/>
      <c r="H41" s="98"/>
      <c r="I41" s="99"/>
      <c r="J41" s="96"/>
      <c r="K41" s="100"/>
      <c r="L41" s="97"/>
    </row>
    <row r="42" spans="1:12" ht="15" customHeight="1" x14ac:dyDescent="0.25">
      <c r="A42" s="87"/>
      <c r="B42" s="101" t="str">
        <f>IF(Helexia!C41="","",LEFT(Helexia!C41,FIND(" ",Helexia!C41&amp;" ")-1)
&amp;" "&amp;
LEFT(
    MID(
        Helexia!C41,
        FIND(" ",Helexia!C41)+1,
        FIND(" ",Helexia!C41&amp;" ",FIND(" ",Helexia!C41)+1)-FIND(" ",Helexia!C41)-1
    ),
1
)&amp;".")</f>
        <v/>
      </c>
      <c r="C42" s="97" t="str">
        <f>TRIM(IF(Helexia!E41="", "",
LEFT(
    Helexia!E41,
    MIN(
        IFERROR(FIND(" /",Helexia!E41),9999),
        IFERROR(FIND("'-",Helexia!E41),9999),
        IFERROR(FIND("/",Helexia!E41),9999),
        IFERROR(FIND(" '- ",Helexia!E41),9999)
    ) - 1
)))</f>
        <v/>
      </c>
      <c r="D42" s="102" t="str">
        <f>TRIM(Helexia!F41)</f>
        <v/>
      </c>
      <c r="E42" s="97" t="s">
        <v>186</v>
      </c>
      <c r="F42" s="100" t="str">
        <f>CONCATENATE(Helexia!J41," ",Helexia!K41)</f>
        <v xml:space="preserve"> </v>
      </c>
      <c r="G42" s="97"/>
      <c r="H42" s="98"/>
      <c r="I42" s="99"/>
      <c r="J42" s="96"/>
      <c r="K42" s="100"/>
      <c r="L42" s="97"/>
    </row>
    <row r="43" spans="1:12" ht="15" customHeight="1" x14ac:dyDescent="0.25">
      <c r="A43" s="87"/>
      <c r="B43" s="101" t="str">
        <f>IF(Helexia!C42="","",LEFT(Helexia!C42,FIND(" ",Helexia!C42&amp;" ")-1)
&amp;" "&amp;
LEFT(
    MID(
        Helexia!C42,
        FIND(" ",Helexia!C42)+1,
        FIND(" ",Helexia!C42&amp;" ",FIND(" ",Helexia!C42)+1)-FIND(" ",Helexia!C42)-1
    ),
1
)&amp;".")</f>
        <v/>
      </c>
      <c r="C43" s="97" t="str">
        <f>TRIM(IF(Helexia!E42="", "",
LEFT(
    Helexia!E42,
    MIN(
        IFERROR(FIND(" /",Helexia!E42),9999),
        IFERROR(FIND("'-",Helexia!E42),9999),
        IFERROR(FIND("/",Helexia!E42),9999),
        IFERROR(FIND(" '- ",Helexia!E42),9999)
    ) - 1
)))</f>
        <v/>
      </c>
      <c r="D43" s="102" t="str">
        <f>TRIM(Helexia!F42)</f>
        <v/>
      </c>
      <c r="E43" s="97" t="s">
        <v>186</v>
      </c>
      <c r="F43" s="100" t="str">
        <f>CONCATENATE(Helexia!J42," ",Helexia!K42)</f>
        <v xml:space="preserve"> </v>
      </c>
      <c r="G43" s="97"/>
      <c r="H43" s="98"/>
      <c r="I43" s="99"/>
      <c r="J43" s="96"/>
      <c r="K43" s="100"/>
      <c r="L43" s="97"/>
    </row>
    <row r="44" spans="1:12" ht="15" customHeight="1" x14ac:dyDescent="0.25">
      <c r="A44" s="87"/>
      <c r="B44" s="101" t="str">
        <f>IF(Helexia!C43="","",LEFT(Helexia!C43,FIND(" ",Helexia!C43&amp;" ")-1)
&amp;" "&amp;
LEFT(
    MID(
        Helexia!C43,
        FIND(" ",Helexia!C43)+1,
        FIND(" ",Helexia!C43&amp;" ",FIND(" ",Helexia!C43)+1)-FIND(" ",Helexia!C43)-1
    ),
1
)&amp;".")</f>
        <v/>
      </c>
      <c r="C44" s="97" t="str">
        <f>TRIM(IF(Helexia!E43="", "",
LEFT(
    Helexia!E43,
    MIN(
        IFERROR(FIND(" /",Helexia!E43),9999),
        IFERROR(FIND("'-",Helexia!E43),9999),
        IFERROR(FIND("/",Helexia!E43),9999),
        IFERROR(FIND(" '- ",Helexia!E43),9999)
    ) - 1
)))</f>
        <v/>
      </c>
      <c r="D44" s="102" t="str">
        <f>TRIM(Helexia!F43)</f>
        <v/>
      </c>
      <c r="E44" s="97" t="s">
        <v>186</v>
      </c>
      <c r="F44" s="100" t="str">
        <f>CONCATENATE(Helexia!J43," ",Helexia!K43)</f>
        <v xml:space="preserve"> </v>
      </c>
      <c r="G44" s="100"/>
      <c r="H44" s="98"/>
      <c r="I44" s="99"/>
      <c r="J44" s="96"/>
      <c r="K44" s="100"/>
      <c r="L44" s="100"/>
    </row>
    <row r="45" spans="1:12" x14ac:dyDescent="0.25">
      <c r="A45" s="87"/>
      <c r="B45" s="101" t="str">
        <f>IF(Helexia!C44="","",LEFT(Helexia!C44,FIND(" ",Helexia!C44&amp;" ")-1)
&amp;" "&amp;
LEFT(
    MID(
        Helexia!C44,
        FIND(" ",Helexia!C44)+1,
        FIND(" ",Helexia!C44&amp;" ",FIND(" ",Helexia!C44)+1)-FIND(" ",Helexia!C44)-1
    ),
1
)&amp;".")</f>
        <v/>
      </c>
      <c r="C45" s="97" t="str">
        <f>TRIM(IF(Helexia!E44="", "",
LEFT(
    Helexia!E44,
    MIN(
        IFERROR(FIND(" /",Helexia!E44),9999),
        IFERROR(FIND("'-",Helexia!E44),9999),
        IFERROR(FIND("/",Helexia!E44),9999),
        IFERROR(FIND(" '- ",Helexia!E44),9999)
    ) - 1
)))</f>
        <v/>
      </c>
      <c r="D45" s="102" t="str">
        <f>TRIM(Helexia!F44)</f>
        <v/>
      </c>
      <c r="E45" s="97" t="s">
        <v>186</v>
      </c>
      <c r="F45" s="100" t="str">
        <f>CONCATENATE(Helexia!J44," ",Helexia!K44)</f>
        <v xml:space="preserve"> </v>
      </c>
      <c r="G45" s="100"/>
      <c r="H45" s="98"/>
      <c r="I45" s="99"/>
      <c r="J45" s="87"/>
      <c r="K45" s="100"/>
      <c r="L45" s="100"/>
    </row>
    <row r="46" spans="1:12" x14ac:dyDescent="0.25">
      <c r="A46" s="87"/>
      <c r="B46" s="101" t="str">
        <f>IF(Helexia!C45="","",LEFT(Helexia!C45,FIND(" ",Helexia!C45&amp;" ")-1)
&amp;" "&amp;
LEFT(
    MID(
        Helexia!C45,
        FIND(" ",Helexia!C45)+1,
        FIND(" ",Helexia!C45&amp;" ",FIND(" ",Helexia!C45)+1)-FIND(" ",Helexia!C45)-1
    ),
1
)&amp;".")</f>
        <v/>
      </c>
      <c r="C46" s="97" t="str">
        <f>TRIM(IF(Helexia!E45="", "",
LEFT(
    Helexia!E45,
    MIN(
        IFERROR(FIND(" /",Helexia!E45),9999),
        IFERROR(FIND("'-",Helexia!E45),9999),
        IFERROR(FIND("/",Helexia!E45),9999),
        IFERROR(FIND(" '- ",Helexia!E45),9999)
    ) - 1
)))</f>
        <v/>
      </c>
      <c r="D46" s="102" t="str">
        <f>TRIM(Helexia!F45)</f>
        <v/>
      </c>
      <c r="E46" s="97" t="s">
        <v>186</v>
      </c>
      <c r="F46" s="100" t="str">
        <f>CONCATENATE(Helexia!J45," ",Helexia!K45)</f>
        <v xml:space="preserve"> </v>
      </c>
      <c r="G46" s="100"/>
      <c r="H46" s="98"/>
      <c r="I46" s="99"/>
      <c r="J46" s="87"/>
      <c r="K46" s="100"/>
      <c r="L46" s="100"/>
    </row>
    <row r="47" spans="1:12" x14ac:dyDescent="0.25">
      <c r="A47" s="87"/>
      <c r="B47" s="101" t="str">
        <f>IF(Helexia!C46="","",LEFT(Helexia!C46,FIND(" ",Helexia!C46&amp;" ")-1)
&amp;" "&amp;
LEFT(
    MID(
        Helexia!C46,
        FIND(" ",Helexia!C46)+1,
        FIND(" ",Helexia!C46&amp;" ",FIND(" ",Helexia!C46)+1)-FIND(" ",Helexia!C46)-1
    ),
1
)&amp;".")</f>
        <v/>
      </c>
      <c r="C47" s="97" t="str">
        <f>TRIM(IF(Helexia!E46="", "",
LEFT(
    Helexia!E46,
    MIN(
        IFERROR(FIND(" /",Helexia!E46),9999),
        IFERROR(FIND("'-",Helexia!E46),9999),
        IFERROR(FIND("/",Helexia!E46),9999),
        IFERROR(FIND(" '- ",Helexia!E46),9999)
    ) - 1
)))</f>
        <v/>
      </c>
      <c r="D47" s="102" t="str">
        <f>TRIM(Helexia!F46)</f>
        <v/>
      </c>
      <c r="E47" s="97" t="s">
        <v>186</v>
      </c>
      <c r="F47" s="100" t="str">
        <f>CONCATENATE(Helexia!J46," ",Helexia!K46)</f>
        <v xml:space="preserve"> </v>
      </c>
      <c r="G47" s="100"/>
      <c r="H47" s="98"/>
      <c r="I47" s="99"/>
      <c r="J47" s="87"/>
      <c r="K47" s="100"/>
      <c r="L47" s="100"/>
    </row>
    <row r="48" spans="1:12" x14ac:dyDescent="0.25">
      <c r="A48" s="87"/>
      <c r="B48" s="101" t="str">
        <f>IF(Helexia!C47="","",LEFT(Helexia!C47,FIND(" ",Helexia!C47&amp;" ")-1)
&amp;" "&amp;
LEFT(
    MID(
        Helexia!C47,
        FIND(" ",Helexia!C47)+1,
        FIND(" ",Helexia!C47&amp;" ",FIND(" ",Helexia!C47)+1)-FIND(" ",Helexia!C47)-1
    ),
1
)&amp;".")</f>
        <v/>
      </c>
      <c r="C48" s="97" t="str">
        <f>TRIM(IF(Helexia!E47="", "",
LEFT(
    Helexia!E47,
    MIN(
        IFERROR(FIND(" /",Helexia!E47),9999),
        IFERROR(FIND("'-",Helexia!E47),9999),
        IFERROR(FIND("/",Helexia!E47),9999),
        IFERROR(FIND(" '- ",Helexia!E47),9999)
    ) - 1
)))</f>
        <v/>
      </c>
      <c r="D48" s="102" t="str">
        <f>TRIM(Helexia!F47)</f>
        <v/>
      </c>
      <c r="E48" s="97" t="s">
        <v>186</v>
      </c>
      <c r="F48" s="100" t="str">
        <f>CONCATENATE(Helexia!J47," ",Helexia!K47)</f>
        <v xml:space="preserve"> </v>
      </c>
      <c r="G48" s="100"/>
      <c r="H48" s="98"/>
      <c r="I48" s="99"/>
      <c r="J48" s="87"/>
      <c r="K48" s="100"/>
      <c r="L48" s="100"/>
    </row>
    <row r="49" spans="1:12" ht="15" customHeight="1" x14ac:dyDescent="0.25">
      <c r="A49" s="87"/>
      <c r="B49" s="101" t="str">
        <f>IF(Helexia!C48="","",LEFT(Helexia!C48,FIND(" ",Helexia!C48&amp;" ")-1)
&amp;" "&amp;
LEFT(
    MID(
        Helexia!C48,
        FIND(" ",Helexia!C48)+1,
        FIND(" ",Helexia!C48&amp;" ",FIND(" ",Helexia!C48)+1)-FIND(" ",Helexia!C48)-1
    ),
1
)&amp;".")</f>
        <v/>
      </c>
      <c r="C49" s="97" t="str">
        <f>TRIM(IF(Helexia!E48="", "",
LEFT(
    Helexia!E48,
    MIN(
        IFERROR(FIND(" /",Helexia!E48),9999),
        IFERROR(FIND("'-",Helexia!E48),9999),
        IFERROR(FIND("/",Helexia!E48),9999),
        IFERROR(FIND(" '- ",Helexia!E48),9999)
    ) - 1
)))</f>
        <v/>
      </c>
      <c r="D49" s="102" t="str">
        <f>TRIM(Helexia!F48)</f>
        <v/>
      </c>
      <c r="E49" s="97" t="s">
        <v>186</v>
      </c>
      <c r="F49" s="100" t="str">
        <f>CONCATENATE(Helexia!J48," ",Helexia!K48)</f>
        <v xml:space="preserve"> </v>
      </c>
      <c r="G49" s="100"/>
      <c r="H49" s="98"/>
      <c r="I49" s="99"/>
      <c r="J49" s="87"/>
      <c r="K49" s="100"/>
      <c r="L49" s="100"/>
    </row>
    <row r="50" spans="1:12" ht="15" customHeight="1" x14ac:dyDescent="0.25">
      <c r="A50" s="87"/>
      <c r="B50" s="101" t="str">
        <f>IF(Helexia!C49="","",LEFT(Helexia!C49,FIND(" ",Helexia!C49&amp;" ")-1)
&amp;" "&amp;
LEFT(
    MID(
        Helexia!C49,
        FIND(" ",Helexia!C49)+1,
        FIND(" ",Helexia!C49&amp;" ",FIND(" ",Helexia!C49)+1)-FIND(" ",Helexia!C49)-1
    ),
1
)&amp;".")</f>
        <v/>
      </c>
      <c r="C50" s="97" t="str">
        <f>TRIM(IF(Helexia!E49="", "",
LEFT(
    Helexia!E49,
    MIN(
        IFERROR(FIND(" /",Helexia!E49),9999),
        IFERROR(FIND("'-",Helexia!E49),9999),
        IFERROR(FIND("/",Helexia!E49),9999),
        IFERROR(FIND(" '- ",Helexia!E49),9999)
    ) - 1
)))</f>
        <v/>
      </c>
      <c r="D50" s="102" t="str">
        <f>TRIM(Helexia!F49)</f>
        <v/>
      </c>
      <c r="E50" s="97" t="s">
        <v>186</v>
      </c>
      <c r="F50" s="100" t="str">
        <f>CONCATENATE(Helexia!J49," ",Helexia!K49)</f>
        <v xml:space="preserve"> </v>
      </c>
      <c r="G50" s="100"/>
      <c r="H50" s="98"/>
      <c r="I50" s="99"/>
      <c r="J50" s="87"/>
      <c r="K50" s="100"/>
      <c r="L50" s="100"/>
    </row>
    <row r="51" spans="1:12" ht="15" customHeight="1" x14ac:dyDescent="0.25">
      <c r="A51" s="87"/>
      <c r="B51" s="101" t="str">
        <f>IF(Helexia!C50="","",LEFT(Helexia!C50,FIND(" ",Helexia!C50&amp;" ")-1)
&amp;" "&amp;
LEFT(
    MID(
        Helexia!C50,
        FIND(" ",Helexia!C50)+1,
        FIND(" ",Helexia!C50&amp;" ",FIND(" ",Helexia!C50)+1)-FIND(" ",Helexia!C50)-1
    ),
1
)&amp;".")</f>
        <v/>
      </c>
      <c r="C51" s="97" t="str">
        <f>TRIM(IF(Helexia!E50="", "",
LEFT(
    Helexia!E50,
    MIN(
        IFERROR(FIND(" /",Helexia!E50),9999),
        IFERROR(FIND("'-",Helexia!E50),9999),
        IFERROR(FIND("/",Helexia!E50),9999),
        IFERROR(FIND(" '- ",Helexia!E50),9999)
    ) - 1
)))</f>
        <v/>
      </c>
      <c r="D51" s="102" t="str">
        <f>TRIM(Helexia!F50)</f>
        <v/>
      </c>
      <c r="E51" s="97" t="s">
        <v>186</v>
      </c>
      <c r="F51" s="100" t="str">
        <f>CONCATENATE(Helexia!J50," ",Helexia!K50)</f>
        <v xml:space="preserve"> </v>
      </c>
      <c r="G51" s="100"/>
      <c r="H51" s="98"/>
      <c r="I51" s="99"/>
      <c r="J51" s="87"/>
      <c r="K51" s="100"/>
      <c r="L51" s="100"/>
    </row>
    <row r="52" spans="1:12" ht="15" customHeight="1" x14ac:dyDescent="0.25">
      <c r="A52" s="87"/>
      <c r="B52" s="101" t="str">
        <f>IF(Helexia!C51="","",LEFT(Helexia!C51,FIND(" ",Helexia!C51&amp;" ")-1)
&amp;" "&amp;
LEFT(
    MID(
        Helexia!C51,
        FIND(" ",Helexia!C51)+1,
        FIND(" ",Helexia!C51&amp;" ",FIND(" ",Helexia!C51)+1)-FIND(" ",Helexia!C51)-1
    ),
1
)&amp;".")</f>
        <v/>
      </c>
      <c r="C52" s="97" t="str">
        <f>TRIM(IF(Helexia!E51="", "",
LEFT(
    Helexia!E51,
    MIN(
        IFERROR(FIND(" /",Helexia!E51),9999),
        IFERROR(FIND("'-",Helexia!E51),9999),
        IFERROR(FIND("/",Helexia!E51),9999),
        IFERROR(FIND(" '- ",Helexia!E51),9999)
    ) - 1
)))</f>
        <v/>
      </c>
      <c r="D52" s="102" t="str">
        <f>TRIM(Helexia!F51)</f>
        <v/>
      </c>
      <c r="E52" s="97" t="s">
        <v>186</v>
      </c>
      <c r="F52" s="100" t="str">
        <f>CONCATENATE(Helexia!J51," ",Helexia!K51)</f>
        <v xml:space="preserve"> </v>
      </c>
      <c r="G52" s="100"/>
      <c r="H52" s="98"/>
      <c r="I52" s="99"/>
      <c r="J52" s="87"/>
      <c r="K52" s="100"/>
      <c r="L52" s="100"/>
    </row>
    <row r="53" spans="1:12" x14ac:dyDescent="0.25">
      <c r="A53" s="87"/>
      <c r="B53" s="101"/>
      <c r="C53" s="97"/>
      <c r="D53" s="97"/>
      <c r="E53" s="97"/>
      <c r="F53" s="100"/>
      <c r="G53" s="87"/>
      <c r="H53" s="98"/>
      <c r="I53" s="99"/>
      <c r="J53" s="87"/>
      <c r="K53" s="103"/>
      <c r="L53" s="87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9</vt:i4>
      </vt:variant>
    </vt:vector>
  </HeadingPairs>
  <TitlesOfParts>
    <vt:vector size="21" baseType="lpstr">
      <vt:lpstr>Capa</vt:lpstr>
      <vt:lpstr>Mapa</vt:lpstr>
      <vt:lpstr>Helexia</vt:lpstr>
      <vt:lpstr>TI</vt:lpstr>
      <vt:lpstr>Equipamentos</vt:lpstr>
      <vt:lpstr>HSE-Jurídico</vt:lpstr>
      <vt:lpstr>Faturamento</vt:lpstr>
      <vt:lpstr>Gráficos</vt:lpstr>
      <vt:lpstr>Pontos de Atenção</vt:lpstr>
      <vt:lpstr>MWp</vt:lpstr>
      <vt:lpstr>Salários</vt:lpstr>
      <vt:lpstr>Source</vt:lpstr>
      <vt:lpstr>Capa!Area_de_impressao</vt:lpstr>
      <vt:lpstr>Equipamentos!Area_de_impressao</vt:lpstr>
      <vt:lpstr>Faturamento!Area_de_impressao</vt:lpstr>
      <vt:lpstr>Gráficos!Area_de_impressao</vt:lpstr>
      <vt:lpstr>Helexia!Area_de_impressao</vt:lpstr>
      <vt:lpstr>'HSE-Jurídico'!Area_de_impressao</vt:lpstr>
      <vt:lpstr>Mapa!Area_de_impressao</vt:lpstr>
      <vt:lpstr>'Pontos de Atenção'!Area_de_impressao</vt:lpstr>
      <vt:lpstr>TI!Area_de_impressao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Windcraft</dc:creator>
  <cp:lastModifiedBy>Windcraft</cp:lastModifiedBy>
  <cp:lastPrinted>2026-02-23T16:36:51Z</cp:lastPrinted>
  <dcterms:created xsi:type="dcterms:W3CDTF">2015-06-05T18:19:34Z</dcterms:created>
  <dcterms:modified xsi:type="dcterms:W3CDTF">2026-02-23T16:37:28Z</dcterms:modified>
</cp:coreProperties>
</file>