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Blad1" sheetId="1" r:id="rId3"/>
  </sheets>
  <definedNames/>
  <calcPr/>
</workbook>
</file>

<file path=xl/comments1.xml><?xml version="1.0" encoding="utf-8"?>
<comments xmlns:r="http://schemas.openxmlformats.org/officeDocument/2006/relationships" xmlns="http://schemas.openxmlformats.org/spreadsheetml/2006/main">
  <authors>
    <author/>
  </authors>
  <commentList>
    <comment authorId="0" ref="L4">
      <text>
        <t xml:space="preserve">Stocktic:
If all credit line is spent</t>
      </text>
    </comment>
    <comment authorId="0" ref="M4">
      <text>
        <t xml:space="preserve">Stocktic:
Interest if all credit line is used</t>
      </text>
    </comment>
    <comment authorId="0" ref="H5">
      <text>
        <t xml:space="preserve">Stocktic:
Used Credit Line</t>
      </text>
    </comment>
    <comment authorId="0" ref="I5">
      <text>
        <t xml:space="preserve">Stocktic:
Interest to be paid</t>
      </text>
    </comment>
    <comment authorId="0" ref="J5">
      <text>
        <t xml:space="preserve">Stocktic:
Total amount to be paid</t>
      </text>
    </comment>
    <comment authorId="0" ref="K5">
      <text>
        <t xml:space="preserve">Stocktic:
P(A) Default value</t>
      </text>
    </comment>
    <comment authorId="0" ref="L5">
      <text>
        <t xml:space="preserve">Stocktic:
Nominal Interest</t>
      </text>
    </comment>
    <comment authorId="0" ref="F20">
      <text>
        <t xml:space="preserve">Acer:
Interest cost coming from financial statement. To be used when firm is small.</t>
      </text>
    </comment>
    <comment authorId="0" ref="I20">
      <text>
        <t xml:space="preserve">Acer:
Här anges senaste resultatutveckling, dock anges inga positiva siffror utan enbart som en funtkion av försämrat resultat. DEFAULT ANGES I FORM AV TARGET RETURN ON EQUITY. VÄRDET SYNONYMNT MED 100% I VÄRDEUTVECKLING PÅ 5 ÅR. VÄRDE UTÖVER 15% DEFAULT ANGES SOM RISK I ANNAT FALL GÄLLER 15%.</t>
      </text>
    </comment>
    <comment authorId="0" ref="J20">
      <text>
        <t xml:space="preserve">Acer:
Volatility Default 50%</t>
      </text>
    </comment>
    <comment authorId="0" ref="K20">
      <text>
        <t xml:space="preserve">Acer:
BETA</t>
      </text>
    </comment>
    <comment authorId="0" ref="F21">
      <text>
        <t xml:space="preserve">Acer:
BackWard Induction covered interest rate.</t>
      </text>
    </comment>
    <comment authorId="0" ref="H21">
      <text>
        <t xml:space="preserve">Acer:
RörelseResultat som en funktion av medelvärdet för dem senaste 4-5 åren.</t>
      </text>
    </comment>
    <comment authorId="0" ref="J21">
      <text>
        <t xml:space="preserve">Acer:
Soliditet</t>
      </text>
    </comment>
    <comment authorId="0" ref="H22">
      <text>
        <t xml:space="preserve">Acer:
Summa Långfristiga Skulder som en funktion av medelvärdet för dem senaste 4-5 åren.</t>
      </text>
    </comment>
    <comment authorId="0" ref="I22">
      <text>
        <t xml:space="preserve">Acer:
Estimerad RänteNivå</t>
      </text>
    </comment>
    <comment authorId="0" ref="F23">
      <text>
        <t xml:space="preserve">Acer:
Multipliceringsfaktor
</t>
      </text>
    </comment>
    <comment authorId="0" ref="H23">
      <text>
        <t xml:space="preserve">Acer:
Summa Kortfristiga Skulder som en funktion av dem senaste 4-5 åren.</t>
      </text>
    </comment>
    <comment authorId="0" ref="I23">
      <text>
        <t xml:space="preserve">Acer:
Estimerad Räntenivå
Använd gällande marknadspris för aktien och räkna baklänges för att ta fram startvärde för räntenivå som ska användas. Obs! Värdet är även justerat för känslighet avseende volatilitet. OBS!!!! Om resultatet är större än förväntad maxränta som kostnad, justera då för antagen MAXRÄNTA...Ex (om volatilitetsjusterad ränta är 12% men förväntad MAXRÄNTA för upptagen skuldbörda är 6% då ska 6%användas i matrisen som input.</t>
      </text>
    </comment>
    <comment authorId="0" ref="J23">
      <text>
        <t xml:space="preserve">Acer:
Computer adjusted interest conducted thru data &amp; solver.</t>
      </text>
    </comment>
    <comment authorId="0" ref="I24">
      <text>
        <t xml:space="preserve">Acer:
Räntekostnader</t>
      </text>
    </comment>
    <comment authorId="0" ref="K24">
      <text>
        <t xml:space="preserve">Stocktic:
Utdelning</t>
      </text>
    </comment>
    <comment authorId="0" ref="L26">
      <text>
        <t xml:space="preserve">Stocktic:
Equity = Shareholder Capital / Assets</t>
      </text>
    </comment>
    <comment authorId="0" ref="I31">
      <text>
        <t xml:space="preserve">Acer:
Margin of safety relaterat till räntenivå som anges som en funktion av Interest coverage.</t>
      </text>
    </comment>
    <comment authorId="0" ref="E40">
      <text>
        <t xml:space="preserve">marke:
Short term goverement interest rate 3 month STIBOR.</t>
      </text>
    </comment>
  </commentList>
</comments>
</file>

<file path=xl/sharedStrings.xml><?xml version="1.0" encoding="utf-8"?>
<sst xmlns="http://schemas.openxmlformats.org/spreadsheetml/2006/main" count="90" uniqueCount="87">
  <si>
    <t>BET RADAR DATA</t>
  </si>
  <si>
    <t>H</t>
  </si>
  <si>
    <t>Draw</t>
  </si>
  <si>
    <t>A</t>
  </si>
  <si>
    <t>Sell</t>
  </si>
  <si>
    <t>Credit</t>
  </si>
  <si>
    <t>Risk</t>
  </si>
  <si>
    <t>P(A) Default</t>
  </si>
  <si>
    <t>Profit Target</t>
  </si>
  <si>
    <t>Interest</t>
  </si>
  <si>
    <t>Default Days</t>
  </si>
  <si>
    <t>Effective Rate</t>
  </si>
  <si>
    <t>Payment Loan</t>
  </si>
  <si>
    <t>Payment Rate</t>
  </si>
  <si>
    <t>Carried Risk</t>
  </si>
  <si>
    <t>Rate Dividend</t>
  </si>
  <si>
    <t>BetSize</t>
  </si>
  <si>
    <t>PayOut</t>
  </si>
  <si>
    <t>Act.PayOut</t>
  </si>
  <si>
    <t>Margin</t>
  </si>
  <si>
    <t>Sold P(A)</t>
  </si>
  <si>
    <t>Impl P(A)</t>
  </si>
  <si>
    <t>Played</t>
  </si>
  <si>
    <t>Opponent</t>
  </si>
  <si>
    <t>P(A)</t>
  </si>
  <si>
    <t>Margin%</t>
  </si>
  <si>
    <t>Cover</t>
  </si>
  <si>
    <t>Default</t>
  </si>
  <si>
    <t>Annual Rate</t>
  </si>
  <si>
    <t>Equalizer Factor</t>
  </si>
  <si>
    <t>Profit Margin</t>
  </si>
  <si>
    <t>Potential Customer Liability</t>
  </si>
  <si>
    <t>Bet Distri</t>
  </si>
  <si>
    <t>Total BetSize</t>
  </si>
  <si>
    <t>SHABACKER RATING MODEL</t>
  </si>
  <si>
    <t>Current Interest coverage ratio 1 &amp; 2</t>
  </si>
  <si>
    <t>S</t>
  </si>
  <si>
    <t>EBIT BASERAT</t>
  </si>
  <si>
    <t>Rating based upon coverage =</t>
  </si>
  <si>
    <t>Interest rate based upon coverage 1</t>
  </si>
  <si>
    <t>Risk / Result</t>
  </si>
  <si>
    <t>Interest rate based upon coverage 2</t>
  </si>
  <si>
    <t>B.W.I. Interest</t>
  </si>
  <si>
    <t>Current Default Payment Probability 1</t>
  </si>
  <si>
    <t>Current Default Payment Probability 2</t>
  </si>
  <si>
    <t>Interest cov</t>
  </si>
  <si>
    <t>RATING</t>
  </si>
  <si>
    <t>Interest rate</t>
  </si>
  <si>
    <t xml:space="preserve">Bankruptcy </t>
  </si>
  <si>
    <t>Low</t>
  </si>
  <si>
    <t>High</t>
  </si>
  <si>
    <t>Probability</t>
  </si>
  <si>
    <t>Cash / Bank</t>
  </si>
  <si>
    <t>D2/D</t>
  </si>
  <si>
    <t>Interest Coverage</t>
  </si>
  <si>
    <t>C2/C</t>
  </si>
  <si>
    <t>Adjusted Risk Rate</t>
  </si>
  <si>
    <t>Ca2/CC</t>
  </si>
  <si>
    <t>MaxPaid Interest</t>
  </si>
  <si>
    <t>Caa/CCC</t>
  </si>
  <si>
    <t>B3/B-</t>
  </si>
  <si>
    <t>B2/B</t>
  </si>
  <si>
    <t>Customer Info</t>
  </si>
  <si>
    <t>B1/B+</t>
  </si>
  <si>
    <t>Ba2/BB</t>
  </si>
  <si>
    <t>Analyzed Customer Value</t>
  </si>
  <si>
    <t>Net Salary / Year</t>
  </si>
  <si>
    <t>Ba1/BB+</t>
  </si>
  <si>
    <t>Analyzed M.D.Val</t>
  </si>
  <si>
    <t>Assets</t>
  </si>
  <si>
    <t>Baa2/BBB</t>
  </si>
  <si>
    <t>Inter Adjusted</t>
  </si>
  <si>
    <t>Total Debts</t>
  </si>
  <si>
    <t>A3/A-</t>
  </si>
  <si>
    <t>Value of Customer</t>
  </si>
  <si>
    <t>Own Capital</t>
  </si>
  <si>
    <t>A2/A</t>
  </si>
  <si>
    <t>Exp.Cash Flow</t>
  </si>
  <si>
    <t>Solvency</t>
  </si>
  <si>
    <t>A1/A+</t>
  </si>
  <si>
    <t>Long term Debt</t>
  </si>
  <si>
    <t>Aa2/AA</t>
  </si>
  <si>
    <t>Short term Debt</t>
  </si>
  <si>
    <t>Aaa/AAA</t>
  </si>
  <si>
    <t>Margin of Safety</t>
  </si>
  <si>
    <t>Cash in Bank</t>
  </si>
  <si>
    <t>Increase Salary</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</si>
</sst>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
    <numFmt numFmtId="165" formatCode="yyyy/mm/dd"/>
    <numFmt numFmtId="166" formatCode="#,##0;[Red]#,##0"/>
    <numFmt numFmtId="167" formatCode="0.0000%"/>
  </numFmts>
  <fonts count="22">
    <font>
      <sz val="12.0"/>
      <color rgb="FF000000"/>
      <name val="Calibri"/>
    </font>
    <font>
      <b/>
      <sz val="12.0"/>
      <color rgb="FFFF0000"/>
      <name val="Calibri"/>
    </font>
    <font>
      <b/>
      <sz val="12.0"/>
      <color rgb="FF00B0F0"/>
      <name val="Calibri"/>
    </font>
    <font>
      <b/>
      <sz val="12.0"/>
      <color rgb="FFFFFFFF"/>
      <name val="Calibri"/>
    </font>
    <font>
      <b/>
      <sz val="12.0"/>
      <color rgb="FF000000"/>
      <name val="Calibri"/>
    </font>
    <font/>
    <font>
      <b/>
      <sz val="12.0"/>
      <name val="Calibri"/>
    </font>
    <font>
      <b/>
      <sz val="10.0"/>
      <name val="Calibri"/>
    </font>
    <font>
      <sz val="10.0"/>
      <name val="Calibri"/>
    </font>
    <font>
      <b/>
      <sz val="12.0"/>
      <color rgb="FF66FF66"/>
      <name val="Calibri"/>
    </font>
    <font>
      <b/>
      <u/>
      <sz val="10.0"/>
      <name val="Calibri"/>
    </font>
    <font>
      <u/>
      <sz val="10.0"/>
      <name val="Calibri"/>
    </font>
    <font>
      <u/>
      <sz val="10.0"/>
      <name val="Calibri"/>
    </font>
    <font>
      <b/>
      <sz val="9.0"/>
      <name val="Calibri"/>
    </font>
    <font>
      <b/>
      <u/>
      <sz val="10.0"/>
      <name val="Calibri"/>
    </font>
    <font>
      <b/>
      <sz val="10.0"/>
      <color rgb="FF3333CC"/>
      <name val="Calibri"/>
    </font>
    <font>
      <b/>
      <sz val="10.0"/>
      <color rgb="FFFF0000"/>
      <name val="Calibri"/>
    </font>
    <font>
      <b/>
      <sz val="10.0"/>
      <color rgb="FFFFFFFF"/>
      <name val="Calibri"/>
    </font>
    <font>
      <b/>
      <sz val="10.0"/>
      <color rgb="FF000000"/>
      <name val="Calibri"/>
    </font>
    <font>
      <b/>
      <i/>
      <sz val="10.0"/>
      <color rgb="FFFFFFFF"/>
      <name val="Calibri"/>
    </font>
    <font>
      <b/>
      <i/>
      <sz val="10.0"/>
      <name val="Calibri"/>
    </font>
    <font>
      <b/>
      <i/>
      <sz val="10.0"/>
      <color rgb="FF000000"/>
      <name val="Calibri"/>
    </font>
  </fonts>
  <fills count="6">
    <fill>
      <patternFill patternType="none"/>
    </fill>
    <fill>
      <patternFill patternType="lightGray"/>
    </fill>
    <fill>
      <patternFill patternType="solid">
        <fgColor rgb="FF262626"/>
        <bgColor rgb="FF262626"/>
      </patternFill>
    </fill>
    <fill>
      <patternFill patternType="solid">
        <fgColor rgb="FFCCFFCC"/>
        <bgColor rgb="FFCCFFCC"/>
      </patternFill>
    </fill>
    <fill>
      <patternFill patternType="solid">
        <fgColor rgb="FF000000"/>
        <bgColor rgb="FF000000"/>
      </patternFill>
    </fill>
    <fill>
      <patternFill patternType="solid">
        <fgColor rgb="FF3F3F3F"/>
        <bgColor rgb="FF3F3F3F"/>
      </patternFill>
    </fill>
  </fills>
  <borders count="56">
    <border/>
    <border>
      <left style="thin">
        <color rgb="FF000000"/>
      </left>
      <top style="thin">
        <color rgb="FF000000"/>
      </top>
    </border>
    <border>
      <top style="thin">
        <color rgb="FF000000"/>
      </top>
    </border>
    <border>
      <right style="thin">
        <color rgb="FF000000"/>
      </right>
      <top style="thin">
        <color rgb="FF000000"/>
      </top>
    </border>
    <border>
      <left/>
      <right/>
      <top/>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top/>
      <bottom style="thin">
        <color rgb="FF000000"/>
      </bottom>
    </border>
    <border>
      <left style="thin">
        <color rgb="FF000000"/>
      </left>
      <right/>
      <top style="thin">
        <color rgb="FF000000"/>
      </top>
      <bottom style="thin">
        <color rgb="FF000000"/>
      </bottom>
    </border>
    <border>
      <left/>
      <top style="thin">
        <color rgb="FF000000"/>
      </top>
      <bottom style="thin">
        <color rgb="FF000000"/>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style="thin">
        <color rgb="FF000000"/>
      </left>
      <right style="thin">
        <color rgb="FF000000"/>
      </right>
      <top style="thin">
        <color rgb="FF000000"/>
      </top>
      <bottom style="thin">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right style="medium">
        <color rgb="FF000000"/>
      </right>
      <top style="medium">
        <color rgb="FF000000"/>
      </top>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style="medium">
        <color rgb="FF000000"/>
      </left>
      <right/>
      <top style="medium">
        <color rgb="FF000000"/>
      </top>
      <bottom style="medium">
        <color rgb="FF000000"/>
      </bottom>
    </border>
    <border>
      <left/>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border>
    <border>
      <right style="medium">
        <color rgb="FF000000"/>
      </right>
    </border>
    <border>
      <left style="medium">
        <color rgb="FF000000"/>
      </left>
      <right style="medium">
        <color rgb="FF000000"/>
      </right>
    </border>
    <border>
      <left style="thin">
        <color rgb="FF000000"/>
      </left>
    </border>
    <border>
      <right style="thin">
        <color rgb="FF000000"/>
      </right>
    </border>
    <border>
      <left style="medium">
        <color rgb="FF000000"/>
      </left>
      <right/>
      <top style="thin">
        <color rgb="FF000000"/>
      </top>
      <bottom style="medium">
        <color rgb="FF000000"/>
      </bottom>
    </border>
    <border>
      <left/>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medium">
        <color rgb="FF000000"/>
      </right>
      <bottom style="medium">
        <color rgb="FF000000"/>
      </bottom>
    </border>
    <border>
      <left style="medium">
        <color rgb="FF000000"/>
      </left>
      <right style="thin">
        <color rgb="FF000000"/>
      </right>
      <top style="medium">
        <color rgb="FF000000"/>
      </top>
    </border>
    <border>
      <left style="thin">
        <color rgb="FF000000"/>
      </left>
      <right style="thin">
        <color rgb="FF000000"/>
      </right>
      <top style="medium">
        <color rgb="FF000000"/>
      </top>
    </border>
    <border>
      <left style="thin">
        <color rgb="FF000000"/>
      </left>
      <right style="medium">
        <color rgb="FF000000"/>
      </right>
      <top style="medium">
        <color rgb="FF000000"/>
      </top>
    </border>
    <border>
      <left style="medium">
        <color rgb="FF000000"/>
      </left>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medium">
        <color rgb="FF000000"/>
      </right>
      <top style="medium">
        <color rgb="FF000000"/>
      </top>
      <bottom/>
    </border>
    <border>
      <left style="medium">
        <color rgb="FF000000"/>
      </left>
      <right style="medium">
        <color rgb="FF000000"/>
      </right>
      <top/>
      <bottom/>
    </border>
    <border>
      <left style="thin">
        <color rgb="FF000000"/>
      </left>
      <right style="thin">
        <color rgb="FF000000"/>
      </right>
    </border>
    <border>
      <left style="thin">
        <color rgb="FF000000"/>
      </left>
      <right style="thin">
        <color rgb="FF000000"/>
      </right>
      <top/>
      <bottom/>
    </border>
    <border>
      <left style="medium">
        <color rgb="FF000000"/>
      </left>
      <right style="medium">
        <color rgb="FF000000"/>
      </right>
      <top style="thin">
        <color rgb="FF000000"/>
      </top>
    </border>
    <border>
      <left style="medium">
        <color rgb="FF000000"/>
      </left>
      <right style="medium">
        <color rgb="FF000000"/>
      </right>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medium">
        <color rgb="FF000000"/>
      </left>
      <right style="medium">
        <color rgb="FF000000"/>
      </right>
      <top/>
      <bottom style="medium">
        <color rgb="FF000000"/>
      </bottom>
    </border>
  </borders>
  <cellStyleXfs count="1">
    <xf borderId="0" fillId="0" fontId="0" numFmtId="0" applyAlignment="1" applyFont="1"/>
  </cellStyleXfs>
  <cellXfs count="155">
    <xf borderId="0" fillId="0" fontId="0" numFmtId="0" xfId="0" applyAlignment="1" applyFont="1">
      <alignment readingOrder="0" shrinkToFit="0" vertical="bottom" wrapText="0"/>
    </xf>
    <xf borderId="0" fillId="0" fontId="0" numFmtId="3" xfId="0" applyAlignment="1" applyFont="1" applyNumberFormat="1">
      <alignment horizontal="center" vertical="center"/>
    </xf>
    <xf borderId="0" fillId="0" fontId="1" numFmtId="3" xfId="0" applyAlignment="1" applyFont="1" applyNumberFormat="1">
      <alignment horizontal="center" vertical="center"/>
    </xf>
    <xf borderId="1" fillId="0" fontId="0" numFmtId="3" xfId="0" applyAlignment="1" applyBorder="1" applyFont="1" applyNumberFormat="1">
      <alignment horizontal="center" vertical="center"/>
    </xf>
    <xf borderId="2" fillId="0" fontId="0" numFmtId="3" xfId="0" applyAlignment="1" applyBorder="1" applyFont="1" applyNumberFormat="1">
      <alignment horizontal="center" vertical="center"/>
    </xf>
    <xf borderId="3" fillId="0" fontId="0" numFmtId="3" xfId="0" applyAlignment="1" applyBorder="1" applyFont="1" applyNumberFormat="1">
      <alignment horizontal="center" vertical="center"/>
    </xf>
    <xf borderId="0" fillId="0" fontId="2" numFmtId="3" xfId="0" applyAlignment="1" applyFont="1" applyNumberFormat="1">
      <alignment horizontal="center" vertical="center"/>
    </xf>
    <xf borderId="4" fillId="2" fontId="2" numFmtId="3" xfId="0" applyAlignment="1" applyBorder="1" applyFill="1" applyFont="1" applyNumberFormat="1">
      <alignment horizontal="center" vertical="center"/>
    </xf>
    <xf borderId="4" fillId="2" fontId="3" numFmtId="3" xfId="0" applyAlignment="1" applyBorder="1" applyFont="1" applyNumberFormat="1">
      <alignment horizontal="center" vertical="center"/>
    </xf>
    <xf borderId="5" fillId="0" fontId="0" numFmtId="4" xfId="0" applyAlignment="1" applyBorder="1" applyFont="1" applyNumberFormat="1">
      <alignment horizontal="center" vertical="center"/>
    </xf>
    <xf borderId="6" fillId="0" fontId="0" numFmtId="4" xfId="0" applyAlignment="1" applyBorder="1" applyFont="1" applyNumberFormat="1">
      <alignment horizontal="center" vertical="center"/>
    </xf>
    <xf borderId="7" fillId="0" fontId="0" numFmtId="4" xfId="0" applyAlignment="1" applyBorder="1" applyFont="1" applyNumberFormat="1">
      <alignment horizontal="center" vertical="center"/>
    </xf>
    <xf borderId="0" fillId="0" fontId="4" numFmtId="4" xfId="0" applyAlignment="1" applyFont="1" applyNumberFormat="1">
      <alignment horizontal="center" vertical="center"/>
    </xf>
    <xf borderId="0" fillId="0" fontId="4" numFmtId="3" xfId="0" applyAlignment="1" applyFont="1" applyNumberFormat="1">
      <alignment horizontal="center" vertical="center"/>
    </xf>
    <xf borderId="0" fillId="0" fontId="4" numFmtId="9" xfId="0" applyAlignment="1" applyFont="1" applyNumberFormat="1">
      <alignment horizontal="center" vertical="center"/>
    </xf>
    <xf borderId="0" fillId="0" fontId="1" numFmtId="164" xfId="0" applyAlignment="1" applyFont="1" applyNumberFormat="1">
      <alignment horizontal="center" vertical="center"/>
    </xf>
    <xf borderId="0" fillId="0" fontId="1" numFmtId="9" xfId="0" applyAlignment="1" applyFont="1" applyNumberFormat="1">
      <alignment horizontal="center" vertical="center"/>
    </xf>
    <xf borderId="8" fillId="0" fontId="1" numFmtId="3" xfId="0" applyAlignment="1" applyBorder="1" applyFont="1" applyNumberFormat="1">
      <alignment horizontal="center" vertical="center"/>
    </xf>
    <xf borderId="9" fillId="0" fontId="0" numFmtId="3" xfId="0" applyAlignment="1" applyBorder="1" applyFont="1" applyNumberFormat="1">
      <alignment horizontal="center" vertical="center"/>
    </xf>
    <xf borderId="10" fillId="0" fontId="0" numFmtId="9" xfId="0" applyAlignment="1" applyBorder="1" applyFont="1" applyNumberFormat="1">
      <alignment horizontal="center" vertical="center"/>
    </xf>
    <xf borderId="0" fillId="0" fontId="0" numFmtId="10" xfId="0" applyAlignment="1" applyFont="1" applyNumberFormat="1">
      <alignment horizontal="center" vertical="center"/>
    </xf>
    <xf borderId="0" fillId="0" fontId="0" numFmtId="9" xfId="0" applyAlignment="1" applyFont="1" applyNumberFormat="1">
      <alignment horizontal="center" vertical="center"/>
    </xf>
    <xf borderId="0" fillId="0" fontId="4" numFmtId="2" xfId="0" applyAlignment="1" applyFont="1" applyNumberFormat="1">
      <alignment horizontal="center" vertical="center"/>
    </xf>
    <xf borderId="0" fillId="0" fontId="0" numFmtId="164" xfId="0" applyAlignment="1" applyFont="1" applyNumberFormat="1">
      <alignment horizontal="center" vertical="center"/>
    </xf>
    <xf borderId="0" fillId="0" fontId="0" numFmtId="2" xfId="0" applyAlignment="1" applyFont="1" applyNumberFormat="1">
      <alignment horizontal="center" vertical="center"/>
    </xf>
    <xf borderId="0" fillId="0" fontId="0" numFmtId="4" xfId="0" applyAlignment="1" applyFont="1" applyNumberFormat="1">
      <alignment horizontal="center" vertical="center"/>
    </xf>
    <xf borderId="8" fillId="0" fontId="0" numFmtId="3" xfId="0" applyAlignment="1" applyBorder="1" applyFont="1" applyNumberFormat="1">
      <alignment horizontal="center" vertical="center"/>
    </xf>
    <xf borderId="10" fillId="0" fontId="0" numFmtId="3" xfId="0" applyAlignment="1" applyBorder="1" applyFont="1" applyNumberFormat="1">
      <alignment horizontal="center" vertical="center"/>
    </xf>
    <xf borderId="11" fillId="0" fontId="4" numFmtId="3" xfId="0" applyAlignment="1" applyBorder="1" applyFont="1" applyNumberFormat="1">
      <alignment horizontal="center" vertical="center"/>
    </xf>
    <xf borderId="9" fillId="0" fontId="0" numFmtId="9" xfId="0" applyAlignment="1" applyBorder="1" applyFont="1" applyNumberFormat="1">
      <alignment horizontal="center" vertical="center"/>
    </xf>
    <xf borderId="9" fillId="0" fontId="5" numFmtId="0" xfId="0" applyBorder="1" applyFont="1"/>
    <xf borderId="8" fillId="0" fontId="6" numFmtId="3" xfId="0" applyAlignment="1" applyBorder="1" applyFont="1" applyNumberFormat="1">
      <alignment horizontal="center" vertical="center"/>
    </xf>
    <xf borderId="10" fillId="0" fontId="6" numFmtId="3" xfId="0" applyAlignment="1" applyBorder="1" applyFont="1" applyNumberFormat="1">
      <alignment horizontal="center" vertical="center"/>
    </xf>
    <xf borderId="12" fillId="2" fontId="3" numFmtId="3" xfId="0" applyAlignment="1" applyBorder="1" applyFont="1" applyNumberFormat="1">
      <alignment horizontal="center" vertical="center"/>
    </xf>
    <xf borderId="13" fillId="2" fontId="3" numFmtId="3" xfId="0" applyAlignment="1" applyBorder="1" applyFont="1" applyNumberFormat="1">
      <alignment horizontal="center" vertical="center"/>
    </xf>
    <xf borderId="14" fillId="2" fontId="1" numFmtId="3" xfId="0" applyAlignment="1" applyBorder="1" applyFont="1" applyNumberFormat="1">
      <alignment horizontal="center" vertical="center"/>
    </xf>
    <xf borderId="10" fillId="0" fontId="5" numFmtId="0" xfId="0" applyBorder="1" applyFont="1"/>
    <xf borderId="15" fillId="2" fontId="3" numFmtId="3" xfId="0" applyAlignment="1" applyBorder="1" applyFont="1" applyNumberFormat="1">
      <alignment horizontal="center" vertical="center"/>
    </xf>
    <xf borderId="16" fillId="2" fontId="3" numFmtId="3" xfId="0" applyAlignment="1" applyBorder="1" applyFont="1" applyNumberFormat="1">
      <alignment horizontal="center" vertical="center"/>
    </xf>
    <xf borderId="17" fillId="2" fontId="3" numFmtId="3" xfId="0" applyAlignment="1" applyBorder="1" applyFont="1" applyNumberFormat="1">
      <alignment horizontal="center" vertical="center"/>
    </xf>
    <xf borderId="18" fillId="2" fontId="3" numFmtId="3" xfId="0" applyAlignment="1" applyBorder="1" applyFont="1" applyNumberFormat="1">
      <alignment horizontal="center" vertical="center"/>
    </xf>
    <xf borderId="0" fillId="0" fontId="7" numFmtId="9" xfId="0" applyAlignment="1" applyFont="1" applyNumberFormat="1">
      <alignment horizontal="center" vertical="center"/>
    </xf>
    <xf borderId="0" fillId="0" fontId="8" numFmtId="0" xfId="0" applyAlignment="1" applyFont="1">
      <alignment vertical="center"/>
    </xf>
    <xf borderId="0" fillId="0" fontId="7" numFmtId="0" xfId="0" applyAlignment="1" applyFont="1">
      <alignment vertical="center"/>
    </xf>
    <xf borderId="0" fillId="0" fontId="7" numFmtId="0" xfId="0" applyAlignment="1" applyFont="1">
      <alignment horizontal="center" vertical="center"/>
    </xf>
    <xf borderId="0" fillId="0" fontId="8" numFmtId="0" xfId="0" applyAlignment="1" applyFont="1">
      <alignment shrinkToFit="0" vertical="center" wrapText="1"/>
    </xf>
    <xf borderId="19" fillId="0" fontId="8" numFmtId="0" xfId="0" applyAlignment="1" applyBorder="1" applyFont="1">
      <alignment vertical="center"/>
    </xf>
    <xf borderId="20" fillId="0" fontId="8" numFmtId="0" xfId="0" applyAlignment="1" applyBorder="1" applyFont="1">
      <alignment vertical="center"/>
    </xf>
    <xf borderId="21" fillId="0" fontId="8" numFmtId="2" xfId="0" applyAlignment="1" applyBorder="1" applyFont="1" applyNumberFormat="1">
      <alignment horizontal="center" vertical="center"/>
    </xf>
    <xf borderId="22" fillId="0" fontId="8" numFmtId="0" xfId="0" applyAlignment="1" applyBorder="1" applyFont="1">
      <alignment horizontal="center" vertical="center"/>
    </xf>
    <xf borderId="23" fillId="0" fontId="7" numFmtId="0" xfId="0" applyAlignment="1" applyBorder="1" applyFont="1">
      <alignment horizontal="center" vertical="center"/>
    </xf>
    <xf borderId="24" fillId="0" fontId="5" numFmtId="0" xfId="0" applyBorder="1" applyFont="1"/>
    <xf borderId="25" fillId="0" fontId="5" numFmtId="0" xfId="0" applyBorder="1" applyFont="1"/>
    <xf borderId="26" fillId="0" fontId="8" numFmtId="165" xfId="0" applyAlignment="1" applyBorder="1" applyFont="1" applyNumberFormat="1">
      <alignment vertical="center"/>
    </xf>
    <xf borderId="27" fillId="3" fontId="7" numFmtId="0" xfId="0" applyAlignment="1" applyBorder="1" applyFill="1" applyFont="1">
      <alignment vertical="center"/>
    </xf>
    <xf borderId="28" fillId="3" fontId="7" numFmtId="0" xfId="0" applyAlignment="1" applyBorder="1" applyFont="1">
      <alignment vertical="center"/>
    </xf>
    <xf borderId="29" fillId="3" fontId="7" numFmtId="0" xfId="0" applyAlignment="1" applyBorder="1" applyFont="1">
      <alignment vertical="center"/>
    </xf>
    <xf borderId="26" fillId="4" fontId="9" numFmtId="0" xfId="0" applyAlignment="1" applyBorder="1" applyFill="1" applyFont="1">
      <alignment horizontal="center" vertical="center"/>
    </xf>
    <xf borderId="26" fillId="0" fontId="8" numFmtId="0" xfId="0" applyAlignment="1" applyBorder="1" applyFont="1">
      <alignment horizontal="center" vertical="center"/>
    </xf>
    <xf borderId="0" fillId="0" fontId="8" numFmtId="0" xfId="0" applyAlignment="1" applyFont="1">
      <alignment horizontal="right" vertical="center"/>
    </xf>
    <xf borderId="30" fillId="0" fontId="8" numFmtId="0" xfId="0" applyAlignment="1" applyBorder="1" applyFont="1">
      <alignment vertical="center"/>
    </xf>
    <xf borderId="31" fillId="0" fontId="8" numFmtId="10" xfId="0" applyAlignment="1" applyBorder="1" applyFont="1" applyNumberFormat="1">
      <alignment horizontal="right" vertical="center"/>
    </xf>
    <xf borderId="32" fillId="0" fontId="8" numFmtId="3" xfId="0" applyAlignment="1" applyBorder="1" applyFont="1" applyNumberFormat="1">
      <alignment horizontal="right" vertical="center"/>
    </xf>
    <xf borderId="23" fillId="0" fontId="8" numFmtId="0" xfId="0" applyAlignment="1" applyBorder="1" applyFont="1">
      <alignment horizontal="right" vertical="center"/>
    </xf>
    <xf borderId="25" fillId="0" fontId="8" numFmtId="10" xfId="0" applyAlignment="1" applyBorder="1" applyFont="1" applyNumberFormat="1">
      <alignment vertical="center"/>
    </xf>
    <xf borderId="26" fillId="0" fontId="8" numFmtId="10" xfId="0" applyAlignment="1" applyBorder="1" applyFont="1" applyNumberFormat="1">
      <alignment horizontal="right" vertical="center"/>
    </xf>
    <xf borderId="23" fillId="0" fontId="8" numFmtId="0" xfId="0" applyAlignment="1" applyBorder="1" applyFont="1">
      <alignment vertical="center"/>
    </xf>
    <xf borderId="24" fillId="0" fontId="8" numFmtId="0" xfId="0" applyAlignment="1" applyBorder="1" applyFont="1">
      <alignment vertical="center"/>
    </xf>
    <xf borderId="25" fillId="0" fontId="8" numFmtId="0" xfId="0" applyAlignment="1" applyBorder="1" applyFont="1">
      <alignment vertical="center"/>
    </xf>
    <xf borderId="32" fillId="0" fontId="8" numFmtId="0" xfId="0" applyAlignment="1" applyBorder="1" applyFont="1">
      <alignment vertical="center"/>
    </xf>
    <xf borderId="0" fillId="0" fontId="10" numFmtId="3" xfId="0" applyAlignment="1" applyFont="1" applyNumberFormat="1">
      <alignment horizontal="right" vertical="center"/>
    </xf>
    <xf borderId="0" fillId="0" fontId="8" numFmtId="10" xfId="0" applyAlignment="1" applyFont="1" applyNumberFormat="1">
      <alignment vertical="center"/>
    </xf>
    <xf borderId="33" fillId="0" fontId="8" numFmtId="3" xfId="0" applyAlignment="1" applyBorder="1" applyFont="1" applyNumberFormat="1">
      <alignment vertical="center"/>
    </xf>
    <xf borderId="0" fillId="0" fontId="8" numFmtId="3" xfId="0" applyAlignment="1" applyFont="1" applyNumberFormat="1">
      <alignment vertical="center"/>
    </xf>
    <xf borderId="34" fillId="0" fontId="8" numFmtId="3" xfId="0" applyAlignment="1" applyBorder="1" applyFont="1" applyNumberFormat="1">
      <alignment vertical="center"/>
    </xf>
    <xf borderId="35" fillId="3" fontId="7" numFmtId="0" xfId="0" applyAlignment="1" applyBorder="1" applyFont="1">
      <alignment vertical="center"/>
    </xf>
    <xf borderId="36" fillId="3" fontId="7" numFmtId="0" xfId="0" applyAlignment="1" applyBorder="1" applyFont="1">
      <alignment vertical="center"/>
    </xf>
    <xf borderId="37" fillId="3" fontId="7" numFmtId="10" xfId="0" applyAlignment="1" applyBorder="1" applyFont="1" applyNumberFormat="1">
      <alignment horizontal="right" vertical="center"/>
    </xf>
    <xf borderId="22" fillId="0" fontId="8" numFmtId="10" xfId="0" applyAlignment="1" applyBorder="1" applyFont="1" applyNumberFormat="1">
      <alignment horizontal="right" vertical="center"/>
    </xf>
    <xf borderId="0" fillId="0" fontId="11" numFmtId="10" xfId="0" applyAlignment="1" applyFont="1" applyNumberFormat="1">
      <alignment vertical="center"/>
    </xf>
    <xf borderId="38" fillId="0" fontId="8" numFmtId="3" xfId="0" applyAlignment="1" applyBorder="1" applyFont="1" applyNumberFormat="1">
      <alignment horizontal="right" vertical="center"/>
    </xf>
    <xf borderId="0" fillId="0" fontId="12" numFmtId="10" xfId="0" applyFont="1" applyNumberFormat="1"/>
    <xf borderId="39" fillId="0" fontId="8" numFmtId="0" xfId="0" applyAlignment="1" applyBorder="1" applyFont="1">
      <alignment horizontal="center" vertical="center"/>
    </xf>
    <xf borderId="40" fillId="0" fontId="8" numFmtId="0" xfId="0" applyAlignment="1" applyBorder="1" applyFont="1">
      <alignment horizontal="center" vertical="center"/>
    </xf>
    <xf borderId="41" fillId="0" fontId="8" numFmtId="0" xfId="0" applyAlignment="1" applyBorder="1" applyFont="1">
      <alignment vertical="center"/>
    </xf>
    <xf borderId="0" fillId="0" fontId="7" numFmtId="2" xfId="0" applyFont="1" applyNumberFormat="1"/>
    <xf borderId="8" fillId="0" fontId="13" numFmtId="10" xfId="0" applyAlignment="1" applyBorder="1" applyFont="1" applyNumberFormat="1">
      <alignment vertical="center"/>
    </xf>
    <xf borderId="9" fillId="0" fontId="13" numFmtId="10" xfId="0" applyAlignment="1" applyBorder="1" applyFont="1" applyNumberFormat="1">
      <alignment vertical="center"/>
    </xf>
    <xf borderId="10" fillId="0" fontId="13" numFmtId="10" xfId="0" applyAlignment="1" applyBorder="1" applyFont="1" applyNumberFormat="1">
      <alignment vertical="center"/>
    </xf>
    <xf borderId="42" fillId="0" fontId="8" numFmtId="0" xfId="0" applyAlignment="1" applyBorder="1" applyFont="1">
      <alignment horizontal="center" vertical="center"/>
    </xf>
    <xf borderId="43" fillId="0" fontId="8" numFmtId="0" xfId="0" applyAlignment="1" applyBorder="1" applyFont="1">
      <alignment horizontal="center" vertical="center"/>
    </xf>
    <xf borderId="44" fillId="0" fontId="8" numFmtId="0" xfId="0" applyAlignment="1" applyBorder="1" applyFont="1">
      <alignment vertical="center"/>
    </xf>
    <xf borderId="0" fillId="0" fontId="7" numFmtId="3" xfId="0" applyAlignment="1" applyFont="1" applyNumberFormat="1">
      <alignment vertical="center"/>
    </xf>
    <xf borderId="5" fillId="0" fontId="8" numFmtId="3" xfId="0" applyAlignment="1" applyBorder="1" applyFont="1" applyNumberFormat="1">
      <alignment vertical="center"/>
    </xf>
    <xf borderId="6" fillId="0" fontId="8" numFmtId="3" xfId="0" applyAlignment="1" applyBorder="1" applyFont="1" applyNumberFormat="1">
      <alignment vertical="center"/>
    </xf>
    <xf borderId="7" fillId="0" fontId="8" numFmtId="3" xfId="0" applyAlignment="1" applyBorder="1" applyFont="1" applyNumberFormat="1">
      <alignment vertical="center"/>
    </xf>
    <xf borderId="45" fillId="0" fontId="8" numFmtId="0" xfId="0" applyAlignment="1" applyBorder="1" applyFont="1">
      <alignment horizontal="right" vertical="center"/>
    </xf>
    <xf borderId="18" fillId="0" fontId="8" numFmtId="0" xfId="0" applyAlignment="1" applyBorder="1" applyFont="1">
      <alignment horizontal="right" vertical="center"/>
    </xf>
    <xf borderId="18" fillId="0" fontId="8" numFmtId="10" xfId="0" applyAlignment="1" applyBorder="1" applyFont="1" applyNumberFormat="1">
      <alignment horizontal="right" vertical="center"/>
    </xf>
    <xf borderId="46" fillId="0" fontId="8" numFmtId="10" xfId="0" applyAlignment="1" applyBorder="1" applyFont="1" applyNumberFormat="1">
      <alignment horizontal="right" vertical="center"/>
    </xf>
    <xf borderId="0" fillId="0" fontId="8" numFmtId="3" xfId="0" applyAlignment="1" applyFont="1" applyNumberFormat="1">
      <alignment horizontal="right" vertical="center"/>
    </xf>
    <xf borderId="23" fillId="0" fontId="7" numFmtId="2" xfId="0" applyAlignment="1" applyBorder="1" applyFont="1" applyNumberFormat="1">
      <alignment vertical="center"/>
    </xf>
    <xf borderId="26" fillId="0" fontId="7" numFmtId="2" xfId="0" applyAlignment="1" applyBorder="1" applyFont="1" applyNumberFormat="1">
      <alignment vertical="center"/>
    </xf>
    <xf borderId="0" fillId="0" fontId="14" numFmtId="10" xfId="0" applyAlignment="1" applyFont="1" applyNumberFormat="1">
      <alignment vertical="center"/>
    </xf>
    <xf borderId="5" fillId="0" fontId="13" numFmtId="3" xfId="0" applyAlignment="1" applyBorder="1" applyFont="1" applyNumberFormat="1">
      <alignment vertical="center"/>
    </xf>
    <xf borderId="6" fillId="0" fontId="13" numFmtId="3" xfId="0" applyAlignment="1" applyBorder="1" applyFont="1" applyNumberFormat="1">
      <alignment vertical="center"/>
    </xf>
    <xf borderId="7" fillId="0" fontId="13" numFmtId="3" xfId="0" applyAlignment="1" applyBorder="1" applyFont="1" applyNumberFormat="1">
      <alignment vertical="center"/>
    </xf>
    <xf borderId="4" fillId="2" fontId="2" numFmtId="3" xfId="0" applyAlignment="1" applyBorder="1" applyFont="1" applyNumberFormat="1">
      <alignment horizontal="right" vertical="center"/>
    </xf>
    <xf borderId="8" fillId="2" fontId="3" numFmtId="3" xfId="0" applyAlignment="1" applyBorder="1" applyFont="1" applyNumberFormat="1">
      <alignment horizontal="center" vertical="center"/>
    </xf>
    <xf borderId="11" fillId="0" fontId="8" numFmtId="165" xfId="0" applyAlignment="1" applyBorder="1" applyFont="1" applyNumberFormat="1">
      <alignment vertical="center"/>
    </xf>
    <xf borderId="18" fillId="0" fontId="8" numFmtId="165" xfId="0" applyAlignment="1" applyBorder="1" applyFont="1" applyNumberFormat="1">
      <alignment vertical="center"/>
    </xf>
    <xf borderId="18" fillId="0" fontId="8" numFmtId="0" xfId="0" applyAlignment="1" applyBorder="1" applyFont="1">
      <alignment vertical="center"/>
    </xf>
    <xf borderId="11" fillId="0" fontId="15" numFmtId="3" xfId="0" applyAlignment="1" applyBorder="1" applyFont="1" applyNumberFormat="1">
      <alignment vertical="center"/>
    </xf>
    <xf borderId="2" fillId="0" fontId="16" numFmtId="0" xfId="0" applyAlignment="1" applyBorder="1" applyFont="1">
      <alignment horizontal="right" vertical="center"/>
    </xf>
    <xf borderId="47" fillId="5" fontId="17" numFmtId="3" xfId="0" applyAlignment="1" applyBorder="1" applyFill="1" applyFont="1" applyNumberFormat="1">
      <alignment vertical="center"/>
    </xf>
    <xf borderId="0" fillId="0" fontId="18" numFmtId="3" xfId="0" applyAlignment="1" applyFont="1" applyNumberFormat="1">
      <alignment vertical="center"/>
    </xf>
    <xf borderId="11" fillId="0" fontId="13" numFmtId="3" xfId="0" applyAlignment="1" applyBorder="1" applyFont="1" applyNumberFormat="1">
      <alignment vertical="center"/>
    </xf>
    <xf borderId="43" fillId="0" fontId="15" numFmtId="3" xfId="0" applyAlignment="1" applyBorder="1" applyFont="1" applyNumberFormat="1">
      <alignment vertical="center"/>
    </xf>
    <xf borderId="0" fillId="0" fontId="16" numFmtId="0" xfId="0" applyAlignment="1" applyFont="1">
      <alignment horizontal="right" vertical="center"/>
    </xf>
    <xf borderId="48" fillId="5" fontId="17" numFmtId="3" xfId="0" applyAlignment="1" applyBorder="1" applyFont="1" applyNumberFormat="1">
      <alignment vertical="center"/>
    </xf>
    <xf borderId="49" fillId="0" fontId="13" numFmtId="3" xfId="0" applyAlignment="1" applyBorder="1" applyFont="1" applyNumberFormat="1">
      <alignment vertical="center"/>
    </xf>
    <xf borderId="49" fillId="0" fontId="7" numFmtId="3" xfId="0" applyAlignment="1" applyBorder="1" applyFont="1" applyNumberFormat="1">
      <alignment vertical="center"/>
    </xf>
    <xf borderId="4" fillId="2" fontId="19" numFmtId="0" xfId="0" applyAlignment="1" applyBorder="1" applyFont="1">
      <alignment horizontal="right" vertical="center"/>
    </xf>
    <xf borderId="32" fillId="0" fontId="20" numFmtId="3" xfId="0" applyAlignment="1" applyBorder="1" applyFont="1" applyNumberFormat="1">
      <alignment vertical="center"/>
    </xf>
    <xf borderId="0" fillId="0" fontId="21" numFmtId="3" xfId="0" applyAlignment="1" applyFont="1" applyNumberFormat="1">
      <alignment vertical="center"/>
    </xf>
    <xf borderId="43" fillId="0" fontId="13" numFmtId="3" xfId="0" applyAlignment="1" applyBorder="1" applyFont="1" applyNumberFormat="1">
      <alignment vertical="center"/>
    </xf>
    <xf borderId="4" fillId="2" fontId="17" numFmtId="0" xfId="0" applyAlignment="1" applyBorder="1" applyFont="1">
      <alignment horizontal="right" vertical="center"/>
    </xf>
    <xf borderId="50" fillId="2" fontId="17" numFmtId="3" xfId="0" applyAlignment="1" applyBorder="1" applyFont="1" applyNumberFormat="1">
      <alignment vertical="center"/>
    </xf>
    <xf borderId="51" fillId="0" fontId="20" numFmtId="3" xfId="0" applyAlignment="1" applyBorder="1" applyFont="1" applyNumberFormat="1">
      <alignment vertical="center"/>
    </xf>
    <xf borderId="2" fillId="0" fontId="21" numFmtId="3" xfId="0" applyAlignment="1" applyBorder="1" applyFont="1" applyNumberFormat="1">
      <alignment vertical="center"/>
    </xf>
    <xf borderId="3" fillId="0" fontId="21" numFmtId="3" xfId="0" applyAlignment="1" applyBorder="1" applyFont="1" applyNumberFormat="1">
      <alignment vertical="center"/>
    </xf>
    <xf borderId="52" fillId="0" fontId="20" numFmtId="164" xfId="0" applyAlignment="1" applyBorder="1" applyFont="1" applyNumberFormat="1">
      <alignment vertical="center"/>
    </xf>
    <xf borderId="6" fillId="0" fontId="21" numFmtId="164" xfId="0" applyAlignment="1" applyBorder="1" applyFont="1" applyNumberFormat="1">
      <alignment vertical="center"/>
    </xf>
    <xf borderId="7" fillId="0" fontId="21" numFmtId="164" xfId="0" applyAlignment="1" applyBorder="1" applyFont="1" applyNumberFormat="1">
      <alignment vertical="center"/>
    </xf>
    <xf borderId="49" fillId="0" fontId="13" numFmtId="9" xfId="0" applyAlignment="1" applyBorder="1" applyFont="1" applyNumberFormat="1">
      <alignment vertical="center"/>
    </xf>
    <xf borderId="49" fillId="0" fontId="7" numFmtId="2" xfId="0" applyAlignment="1" applyBorder="1" applyFont="1" applyNumberFormat="1">
      <alignment vertical="center"/>
    </xf>
    <xf borderId="49" fillId="0" fontId="17" numFmtId="2" xfId="0" applyAlignment="1" applyBorder="1" applyFont="1" applyNumberFormat="1">
      <alignment vertical="center"/>
    </xf>
    <xf borderId="53" fillId="0" fontId="8" numFmtId="0" xfId="0" applyAlignment="1" applyBorder="1" applyFont="1">
      <alignment horizontal="right" vertical="center"/>
    </xf>
    <xf borderId="54" fillId="0" fontId="8" numFmtId="0" xfId="0" applyAlignment="1" applyBorder="1" applyFont="1">
      <alignment horizontal="right" vertical="center"/>
    </xf>
    <xf borderId="54" fillId="2" fontId="17" numFmtId="10" xfId="0" applyAlignment="1" applyBorder="1" applyFont="1" applyNumberFormat="1">
      <alignment horizontal="right" vertical="center"/>
    </xf>
    <xf borderId="37" fillId="0" fontId="8" numFmtId="10" xfId="0" applyAlignment="1" applyBorder="1" applyFont="1" applyNumberFormat="1">
      <alignment horizontal="right" vertical="center"/>
    </xf>
    <xf borderId="50" fillId="2" fontId="17" numFmtId="10" xfId="0" applyAlignment="1" applyBorder="1" applyFont="1" applyNumberFormat="1">
      <alignment vertical="center"/>
    </xf>
    <xf borderId="49" fillId="0" fontId="7" numFmtId="166" xfId="0" applyAlignment="1" applyBorder="1" applyFont="1" applyNumberFormat="1">
      <alignment vertical="center"/>
    </xf>
    <xf borderId="55" fillId="5" fontId="17" numFmtId="3" xfId="0" applyAlignment="1" applyBorder="1" applyFont="1" applyNumberFormat="1">
      <alignment vertical="center"/>
    </xf>
    <xf borderId="6" fillId="0" fontId="18" numFmtId="3" xfId="0" applyAlignment="1" applyBorder="1" applyFont="1" applyNumberFormat="1">
      <alignment vertical="center"/>
    </xf>
    <xf borderId="43" fillId="0" fontId="0" numFmtId="3" xfId="0" applyAlignment="1" applyBorder="1" applyFont="1" applyNumberFormat="1">
      <alignment horizontal="center" vertical="center"/>
    </xf>
    <xf borderId="6" fillId="0" fontId="16" numFmtId="0" xfId="0" applyAlignment="1" applyBorder="1" applyFont="1">
      <alignment horizontal="right" vertical="center"/>
    </xf>
    <xf borderId="26" fillId="5" fontId="17" numFmtId="9" xfId="0" applyAlignment="1" applyBorder="1" applyFont="1" applyNumberFormat="1">
      <alignment vertical="center"/>
    </xf>
    <xf borderId="9" fillId="0" fontId="8" numFmtId="3" xfId="0" applyAlignment="1" applyBorder="1" applyFont="1" applyNumberFormat="1">
      <alignment vertical="center"/>
    </xf>
    <xf borderId="10" fillId="0" fontId="8" numFmtId="10" xfId="0" applyAlignment="1" applyBorder="1" applyFont="1" applyNumberFormat="1">
      <alignment vertical="center"/>
    </xf>
    <xf borderId="0" fillId="0" fontId="8" numFmtId="4" xfId="0" applyAlignment="1" applyFont="1" applyNumberFormat="1">
      <alignment vertical="center"/>
    </xf>
    <xf borderId="0" fillId="0" fontId="8" numFmtId="167" xfId="0" applyAlignment="1" applyFont="1" applyNumberFormat="1">
      <alignment vertical="center"/>
    </xf>
    <xf borderId="0" fillId="0" fontId="8" numFmtId="14" xfId="0" applyAlignment="1" applyFont="1" applyNumberFormat="1">
      <alignment vertical="center"/>
    </xf>
    <xf borderId="0" fillId="0" fontId="8" numFmtId="164" xfId="0" applyAlignment="1" applyFont="1" applyNumberFormat="1">
      <alignment vertical="center"/>
    </xf>
    <xf borderId="0" fillId="0" fontId="8" numFmtId="2" xfId="0" applyAlignment="1" applyFont="1" applyNumberFormat="1">
      <alignment horizontal="right" vertical="center"/>
    </xf>
  </cellXfs>
  <cellStyles count="1">
    <cellStyle xfId="0" name="Normal" builtinId="0"/>
  </cellStyles>
  <dxfs count="1">
    <dxf>
      <font>
        <b/>
        <color rgb="FFFF0000"/>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6" width="13.56"/>
  </cols>
  <sheetData>
    <row r="1">
      <c r="A1" s="1"/>
      <c r="B1" s="1"/>
      <c r="C1" s="1"/>
      <c r="D1" s="1"/>
      <c r="E1" s="1"/>
      <c r="F1" s="1"/>
      <c r="G1" s="1"/>
      <c r="H1" s="1"/>
      <c r="I1" s="1"/>
      <c r="J1" s="1"/>
      <c r="K1" s="1"/>
      <c r="L1" s="1"/>
      <c r="M1" s="1"/>
      <c r="N1" s="1"/>
      <c r="O1" s="1"/>
      <c r="P1" s="1"/>
      <c r="Q1" s="1"/>
      <c r="R1" s="1"/>
      <c r="S1" s="1"/>
      <c r="T1" s="1"/>
      <c r="U1" s="1"/>
      <c r="V1" s="1"/>
      <c r="W1" s="1"/>
      <c r="X1" s="1"/>
      <c r="Y1" s="1"/>
      <c r="Z1" s="1"/>
    </row>
    <row r="2">
      <c r="A2" s="2" t="s">
        <v>0</v>
      </c>
      <c r="D2" s="1"/>
      <c r="E2" s="1"/>
      <c r="F2" s="1"/>
      <c r="G2" s="1"/>
      <c r="H2" s="1"/>
      <c r="I2" s="1"/>
      <c r="J2" s="1"/>
      <c r="K2" s="1"/>
      <c r="L2" s="1"/>
      <c r="M2" s="1"/>
      <c r="N2" s="1"/>
      <c r="O2" s="1"/>
      <c r="P2" s="1"/>
      <c r="Q2" s="1"/>
      <c r="R2" s="1"/>
      <c r="S2" s="1"/>
      <c r="T2" s="1"/>
      <c r="U2" s="1"/>
      <c r="V2" s="1"/>
      <c r="W2" s="1"/>
      <c r="X2" s="1"/>
      <c r="Y2" s="1"/>
      <c r="Z2" s="1"/>
    </row>
    <row r="3">
      <c r="A3" s="3" t="s">
        <v>1</v>
      </c>
      <c r="B3" s="4" t="s">
        <v>2</v>
      </c>
      <c r="C3" s="5" t="s">
        <v>3</v>
      </c>
      <c r="D3" s="6" t="s">
        <v>4</v>
      </c>
      <c r="E3" s="7" t="s">
        <v>5</v>
      </c>
      <c r="F3" s="8" t="s">
        <v>6</v>
      </c>
      <c r="G3" s="1" t="s">
        <v>7</v>
      </c>
      <c r="H3" s="1" t="s">
        <v>8</v>
      </c>
      <c r="I3" s="2" t="s">
        <v>9</v>
      </c>
      <c r="J3" s="2" t="s">
        <v>10</v>
      </c>
      <c r="K3" s="2" t="s">
        <v>11</v>
      </c>
      <c r="L3" s="2" t="s">
        <v>12</v>
      </c>
      <c r="M3" s="2" t="s">
        <v>13</v>
      </c>
      <c r="N3" s="1" t="s">
        <v>14</v>
      </c>
      <c r="O3" s="1" t="s">
        <v>15</v>
      </c>
      <c r="P3" s="1"/>
      <c r="Q3" s="1"/>
      <c r="R3" s="1"/>
      <c r="S3" s="1"/>
      <c r="T3" s="1"/>
      <c r="U3" s="1"/>
      <c r="V3" s="1"/>
      <c r="W3" s="1"/>
      <c r="X3" s="1"/>
      <c r="Y3" s="1"/>
      <c r="Z3" s="1"/>
    </row>
    <row r="4">
      <c r="A4" s="9">
        <v>2.26</v>
      </c>
      <c r="B4" s="10">
        <f>1/(1-((1/C4)+(1/A4)))</f>
        <v>2.797029703</v>
      </c>
      <c r="C4" s="11">
        <v>5.0</v>
      </c>
      <c r="D4" s="12">
        <f>IF(1+(((A4-1)*(1-SUM(G4:H4))))&lt;1.01,1.01,1+(((A4-1)*(1-SUM(G4:H4)))))</f>
        <v>1.7875</v>
      </c>
      <c r="E4" s="13">
        <f>I32</f>
        <v>99981.13125</v>
      </c>
      <c r="F4" s="13" t="str">
        <f>E19</f>
        <v>Ba1/BB+</v>
      </c>
      <c r="G4" s="14">
        <f>AVERAGE(E22:E23)</f>
        <v>0.175</v>
      </c>
      <c r="H4" s="14">
        <v>0.2</v>
      </c>
      <c r="I4" s="15">
        <f>IF(AVERAGE(E20:E21)&lt;0.1,0.1,AVERAGE(E20:E21))</f>
        <v>0.111</v>
      </c>
      <c r="J4" s="2">
        <v>14.0</v>
      </c>
      <c r="K4" s="16">
        <f>EFFECT(I4*(360/J4),(360/J4))</f>
        <v>13.92108602</v>
      </c>
      <c r="L4" s="2">
        <f>(1+I4)*E4</f>
        <v>111079.0368</v>
      </c>
      <c r="M4" s="2">
        <f>L4-E4</f>
        <v>11097.90557</v>
      </c>
      <c r="N4" s="1">
        <f>E4*G4</f>
        <v>17496.69797</v>
      </c>
      <c r="O4" s="1">
        <f>N9*E4</f>
        <v>8098.471631</v>
      </c>
      <c r="P4" s="1"/>
      <c r="Q4" s="1"/>
      <c r="R4" s="1"/>
      <c r="S4" s="1"/>
      <c r="T4" s="1"/>
      <c r="U4" s="1"/>
      <c r="V4" s="1"/>
      <c r="W4" s="1"/>
      <c r="X4" s="1"/>
      <c r="Y4" s="1"/>
      <c r="Z4" s="1"/>
    </row>
    <row r="5">
      <c r="A5" s="1"/>
      <c r="B5" s="1"/>
      <c r="C5" s="1"/>
      <c r="D5" s="1"/>
      <c r="E5" s="1"/>
      <c r="F5" s="1"/>
      <c r="G5" s="1"/>
      <c r="H5" s="17">
        <v>25000.0</v>
      </c>
      <c r="I5" s="18">
        <f>H5*I4</f>
        <v>2775</v>
      </c>
      <c r="J5" s="18">
        <f>H5+I5</f>
        <v>27775</v>
      </c>
      <c r="K5" s="18">
        <f>G4*H5</f>
        <v>4375</v>
      </c>
      <c r="L5" s="19">
        <f>I4*(360/J4)</f>
        <v>2.854285714</v>
      </c>
      <c r="M5" s="1"/>
      <c r="N5" s="1"/>
      <c r="O5" s="1"/>
      <c r="P5" s="1"/>
      <c r="Q5" s="1"/>
      <c r="R5" s="1"/>
      <c r="S5" s="1"/>
      <c r="T5" s="1"/>
      <c r="U5" s="1"/>
      <c r="V5" s="1"/>
      <c r="W5" s="1"/>
      <c r="X5" s="1"/>
      <c r="Y5" s="1"/>
      <c r="Z5" s="1"/>
    </row>
    <row r="6">
      <c r="A6" s="1"/>
      <c r="B6" s="1"/>
      <c r="C6" s="20"/>
      <c r="D6" s="1"/>
      <c r="E6" s="1"/>
      <c r="F6" s="1"/>
      <c r="G6" s="1"/>
      <c r="H6" s="1"/>
      <c r="I6" s="1"/>
      <c r="J6" s="1"/>
      <c r="K6" s="1"/>
      <c r="L6" s="1"/>
      <c r="M6" s="1"/>
      <c r="N6" s="1"/>
      <c r="O6" s="1"/>
      <c r="P6" s="1"/>
      <c r="Q6" s="1"/>
      <c r="R6" s="1"/>
      <c r="S6" s="1"/>
      <c r="T6" s="1"/>
      <c r="U6" s="1"/>
      <c r="V6" s="1"/>
      <c r="W6" s="1"/>
      <c r="X6" s="1"/>
      <c r="Y6" s="1"/>
      <c r="Z6" s="1"/>
    </row>
    <row r="7">
      <c r="A7" s="1"/>
      <c r="B7" s="1"/>
      <c r="C7" s="1"/>
      <c r="D7" s="1"/>
      <c r="E7" s="1"/>
      <c r="F7" s="1"/>
      <c r="G7" s="1"/>
      <c r="H7" s="1"/>
      <c r="I7" s="1"/>
      <c r="J7" s="1"/>
      <c r="K7" s="1"/>
      <c r="L7" s="1"/>
      <c r="M7" s="1"/>
      <c r="N7" s="1"/>
      <c r="O7" s="1"/>
      <c r="P7" s="1"/>
      <c r="Q7" s="1"/>
      <c r="R7" s="1"/>
      <c r="S7" s="1"/>
      <c r="T7" s="1"/>
      <c r="U7" s="1"/>
      <c r="V7" s="1"/>
      <c r="W7" s="1"/>
      <c r="X7" s="1"/>
      <c r="Y7" s="1"/>
      <c r="Z7" s="1"/>
    </row>
    <row r="8">
      <c r="A8" s="1" t="s">
        <v>16</v>
      </c>
      <c r="B8" s="1" t="s">
        <v>17</v>
      </c>
      <c r="C8" s="1" t="s">
        <v>18</v>
      </c>
      <c r="D8" s="1" t="s">
        <v>19</v>
      </c>
      <c r="E8" s="1" t="s">
        <v>20</v>
      </c>
      <c r="F8" s="1" t="s">
        <v>21</v>
      </c>
      <c r="G8" s="1" t="s">
        <v>22</v>
      </c>
      <c r="H8" s="1" t="s">
        <v>2</v>
      </c>
      <c r="I8" s="1" t="s">
        <v>23</v>
      </c>
      <c r="J8" s="1" t="s">
        <v>24</v>
      </c>
      <c r="K8" s="1" t="s">
        <v>25</v>
      </c>
      <c r="L8" s="1" t="s">
        <v>26</v>
      </c>
      <c r="M8" s="1" t="s">
        <v>27</v>
      </c>
      <c r="N8" s="1" t="s">
        <v>28</v>
      </c>
      <c r="O8" s="1" t="s">
        <v>29</v>
      </c>
      <c r="P8" s="1"/>
      <c r="Q8" s="1"/>
      <c r="R8" s="1"/>
      <c r="S8" s="1"/>
      <c r="T8" s="1"/>
      <c r="U8" s="1"/>
      <c r="V8" s="1"/>
      <c r="W8" s="1"/>
      <c r="X8" s="1"/>
      <c r="Y8" s="1"/>
      <c r="Z8" s="1"/>
    </row>
    <row r="9">
      <c r="A9" s="8">
        <f>E4</f>
        <v>99981.13125</v>
      </c>
      <c r="B9" s="2">
        <f>A9*(A4-1)</f>
        <v>125976.2254</v>
      </c>
      <c r="C9" s="6">
        <f>A9*(D4-1)</f>
        <v>78735.14086</v>
      </c>
      <c r="D9" s="6">
        <f>C12</f>
        <v>20903.13474</v>
      </c>
      <c r="E9" s="21">
        <f>1/D4</f>
        <v>0.5594405594</v>
      </c>
      <c r="F9" s="21">
        <f>1/A4</f>
        <v>0.4424778761</v>
      </c>
      <c r="G9" s="12">
        <f>IF(1+(((A4-1)*(1-SUM(G4:H4))))&lt;1.01,1.01,1+(((A4-1)*(1-SUM(G4:H4)))))</f>
        <v>1.7875</v>
      </c>
      <c r="H9" s="22">
        <f>IF(1+(((B4-1)*(1-SUM(G4:H4))))&lt;1.01,1.01,1+(((B4-1)*(1-SUM(G4:H4)))))</f>
        <v>2.123143564</v>
      </c>
      <c r="I9" s="12">
        <f>IF(1+(((C4-1)*(1-SUM(G4:H4))))&lt;1.01,1.01,1+(((C4-1)*(1-SUM(G4:H4)))))</f>
        <v>3.5</v>
      </c>
      <c r="J9" s="23">
        <f>(1/G9)+(1/H9)+(1/I9)</f>
        <v>1.316154554</v>
      </c>
      <c r="K9" s="20">
        <f>C12/C9</f>
        <v>0.2654867257</v>
      </c>
      <c r="L9" s="24">
        <f>1/(B12/B11)</f>
        <v>1.6</v>
      </c>
      <c r="M9" s="25">
        <f>1/G4</f>
        <v>5.714285714</v>
      </c>
      <c r="N9" s="21">
        <f>E20</f>
        <v>0.081</v>
      </c>
      <c r="O9" s="25">
        <f>E4/M4</f>
        <v>9.009009009</v>
      </c>
      <c r="P9" s="1"/>
      <c r="Q9" s="1"/>
      <c r="R9" s="1"/>
      <c r="S9" s="1"/>
      <c r="T9" s="1"/>
      <c r="U9" s="1"/>
      <c r="V9" s="1"/>
      <c r="W9" s="1"/>
      <c r="X9" s="1"/>
      <c r="Y9" s="1"/>
      <c r="Z9" s="1"/>
    </row>
    <row r="10">
      <c r="A10" s="1"/>
      <c r="B10" s="1"/>
      <c r="C10" s="1"/>
      <c r="D10" s="1"/>
      <c r="E10" s="21"/>
      <c r="F10" s="21"/>
      <c r="G10" s="1"/>
      <c r="H10" s="1"/>
      <c r="I10" s="1"/>
      <c r="J10" s="1"/>
      <c r="K10" s="1"/>
      <c r="L10" s="1"/>
      <c r="M10" s="1"/>
      <c r="N10" s="1"/>
      <c r="O10" s="1"/>
      <c r="P10" s="1"/>
      <c r="Q10" s="1"/>
      <c r="R10" s="1"/>
      <c r="S10" s="1"/>
      <c r="T10" s="1"/>
      <c r="U10" s="1"/>
      <c r="V10" s="1"/>
      <c r="W10" s="1"/>
      <c r="X10" s="1"/>
      <c r="Y10" s="1"/>
      <c r="Z10" s="1"/>
    </row>
    <row r="11">
      <c r="A11" s="26">
        <f>A9*(1-F9)</f>
        <v>55741.69264</v>
      </c>
      <c r="B11" s="27">
        <f>B9*F9</f>
        <v>55741.69264</v>
      </c>
      <c r="C11" s="28">
        <f t="shared" ref="C11:C12" si="2">A11-B11</f>
        <v>0</v>
      </c>
      <c r="D11" s="26" t="s">
        <v>30</v>
      </c>
      <c r="E11" s="29" t="s">
        <v>31</v>
      </c>
      <c r="F11" s="30"/>
      <c r="G11" s="26">
        <f t="shared" ref="G11:I11" si="1">$J$12*G14</f>
        <v>42497.66856</v>
      </c>
      <c r="H11" s="18">
        <f t="shared" si="1"/>
        <v>35779.29624</v>
      </c>
      <c r="I11" s="27">
        <f t="shared" si="1"/>
        <v>21704.16644</v>
      </c>
      <c r="J11" s="31" t="s">
        <v>32</v>
      </c>
      <c r="K11" s="32" t="s">
        <v>33</v>
      </c>
      <c r="L11" s="1"/>
      <c r="M11" s="1"/>
      <c r="N11" s="1"/>
      <c r="O11" s="1"/>
      <c r="P11" s="1"/>
      <c r="Q11" s="1"/>
      <c r="R11" s="1"/>
      <c r="S11" s="1"/>
      <c r="T11" s="1"/>
      <c r="U11" s="1"/>
      <c r="V11" s="1"/>
      <c r="W11" s="1"/>
      <c r="X11" s="1"/>
      <c r="Y11" s="1"/>
      <c r="Z11" s="1"/>
    </row>
    <row r="12">
      <c r="A12" s="26">
        <f>A11</f>
        <v>55741.69264</v>
      </c>
      <c r="B12" s="27">
        <f>C9*F9</f>
        <v>34838.5579</v>
      </c>
      <c r="C12" s="33">
        <f t="shared" si="2"/>
        <v>20903.13474</v>
      </c>
      <c r="D12" s="34">
        <f>((A9*(1-G4))*(1-F9))-B12</f>
        <v>11148.33853</v>
      </c>
      <c r="E12" s="35">
        <f>C12-D12</f>
        <v>9754.796213</v>
      </c>
      <c r="F12" s="36"/>
      <c r="G12" s="37">
        <f t="shared" ref="G12:I12" si="3">SUM($G$11:$I$11)-(G9*G11)</f>
        <v>24016.54869</v>
      </c>
      <c r="H12" s="38">
        <f t="shared" si="3"/>
        <v>24016.54869</v>
      </c>
      <c r="I12" s="39">
        <f t="shared" si="3"/>
        <v>24016.54869</v>
      </c>
      <c r="J12" s="40">
        <f>E4</f>
        <v>99981.13125</v>
      </c>
      <c r="K12" s="40">
        <f>SUM(G11:I11)</f>
        <v>99981.13125</v>
      </c>
      <c r="L12" s="1"/>
      <c r="M12" s="1"/>
      <c r="N12" s="1"/>
      <c r="O12" s="1"/>
      <c r="P12" s="1"/>
      <c r="Q12" s="1"/>
      <c r="R12" s="1"/>
      <c r="S12" s="1"/>
      <c r="T12" s="1"/>
      <c r="U12" s="1"/>
      <c r="V12" s="1"/>
      <c r="W12" s="1"/>
      <c r="X12" s="1"/>
      <c r="Y12" s="1"/>
      <c r="Z12" s="1"/>
    </row>
    <row r="13">
      <c r="A13" s="1"/>
      <c r="B13" s="1"/>
      <c r="C13" s="1"/>
      <c r="D13" s="1"/>
      <c r="E13" s="1"/>
      <c r="F13" s="1"/>
      <c r="G13" s="21">
        <f t="shared" ref="G13:I13" si="4">1/G9</f>
        <v>0.5594405594</v>
      </c>
      <c r="H13" s="21">
        <f t="shared" si="4"/>
        <v>0.4709997085</v>
      </c>
      <c r="I13" s="21">
        <f t="shared" si="4"/>
        <v>0.2857142857</v>
      </c>
      <c r="J13" s="1"/>
      <c r="K13" s="1"/>
      <c r="L13" s="1"/>
      <c r="M13" s="1"/>
      <c r="N13" s="1"/>
      <c r="O13" s="1"/>
      <c r="P13" s="1"/>
      <c r="Q13" s="1"/>
      <c r="R13" s="1"/>
      <c r="S13" s="1"/>
      <c r="T13" s="1"/>
      <c r="U13" s="1"/>
      <c r="V13" s="1"/>
      <c r="W13" s="1"/>
      <c r="X13" s="1"/>
      <c r="Y13" s="1"/>
      <c r="Z13" s="1"/>
    </row>
    <row r="14">
      <c r="A14" s="1"/>
      <c r="B14" s="1"/>
      <c r="C14" s="1"/>
      <c r="D14" s="1"/>
      <c r="E14" s="1"/>
      <c r="F14" s="1"/>
      <c r="G14" s="41">
        <f t="shared" ref="G14:I14" si="5">G13/SUM($G$13:$I$13)</f>
        <v>0.4250568885</v>
      </c>
      <c r="H14" s="41">
        <f t="shared" si="5"/>
        <v>0.3578604862</v>
      </c>
      <c r="I14" s="41">
        <f t="shared" si="5"/>
        <v>0.2170826252</v>
      </c>
      <c r="J14" s="1"/>
      <c r="K14" s="1"/>
      <c r="L14" s="1"/>
      <c r="M14" s="1"/>
      <c r="N14" s="1"/>
      <c r="O14" s="1"/>
      <c r="P14" s="1"/>
      <c r="Q14" s="1"/>
      <c r="R14" s="1"/>
      <c r="S14" s="1"/>
      <c r="T14" s="1"/>
      <c r="U14" s="1"/>
      <c r="V14" s="1"/>
      <c r="W14" s="1"/>
      <c r="X14" s="1"/>
      <c r="Y14" s="1"/>
      <c r="Z14" s="1"/>
    </row>
    <row r="15">
      <c r="A15" s="42"/>
      <c r="B15" s="1"/>
      <c r="C15" s="42"/>
      <c r="D15" s="42"/>
      <c r="E15" s="42"/>
      <c r="F15" s="42"/>
      <c r="G15" s="1"/>
      <c r="H15" s="1"/>
      <c r="I15" s="1"/>
      <c r="J15" s="42"/>
      <c r="K15" s="42"/>
      <c r="L15" s="42"/>
      <c r="M15" s="42"/>
      <c r="N15" s="42"/>
      <c r="O15" s="42"/>
      <c r="P15" s="1"/>
      <c r="Q15" s="1"/>
      <c r="R15" s="1"/>
      <c r="S15" s="1"/>
      <c r="T15" s="1"/>
      <c r="U15" s="1"/>
      <c r="V15" s="1"/>
      <c r="W15" s="1"/>
      <c r="X15" s="1"/>
      <c r="Y15" s="1"/>
      <c r="Z15" s="1"/>
    </row>
    <row r="16">
      <c r="A16" s="42"/>
      <c r="B16" s="43"/>
      <c r="C16" s="44" t="s">
        <v>34</v>
      </c>
      <c r="F16" s="42"/>
      <c r="G16" s="42"/>
      <c r="H16" s="43"/>
      <c r="I16" s="43"/>
      <c r="J16" s="43"/>
      <c r="K16" s="43"/>
      <c r="L16" s="45"/>
      <c r="M16" s="45"/>
      <c r="N16" s="45"/>
      <c r="O16" s="45"/>
      <c r="P16" s="1"/>
      <c r="Q16" s="1"/>
      <c r="R16" s="1"/>
      <c r="S16" s="1"/>
      <c r="T16" s="1"/>
      <c r="U16" s="1"/>
      <c r="V16" s="1"/>
      <c r="W16" s="1"/>
      <c r="X16" s="1"/>
      <c r="Y16" s="1"/>
      <c r="Z16" s="1"/>
    </row>
    <row r="17">
      <c r="A17" s="42"/>
      <c r="B17" s="42"/>
      <c r="C17" s="42"/>
      <c r="D17" s="42"/>
      <c r="E17" s="42"/>
      <c r="F17" s="42"/>
      <c r="G17" s="42"/>
      <c r="H17" s="42"/>
      <c r="I17" s="42"/>
      <c r="J17" s="42"/>
      <c r="K17" s="42"/>
      <c r="L17" s="42"/>
      <c r="M17" s="42"/>
      <c r="N17" s="42"/>
      <c r="O17" s="42"/>
      <c r="P17" s="1"/>
      <c r="Q17" s="1"/>
      <c r="R17" s="1"/>
      <c r="S17" s="1"/>
      <c r="T17" s="1"/>
      <c r="U17" s="1"/>
      <c r="V17" s="1"/>
      <c r="W17" s="1"/>
      <c r="X17" s="1"/>
      <c r="Y17" s="1"/>
      <c r="Z17" s="1"/>
    </row>
    <row r="18">
      <c r="A18" s="42"/>
      <c r="B18" s="46" t="s">
        <v>35</v>
      </c>
      <c r="C18" s="47"/>
      <c r="D18" s="48">
        <f t="shared" ref="D18:E18" si="6">I26</f>
        <v>3.920828676</v>
      </c>
      <c r="E18" s="48">
        <f t="shared" si="6"/>
        <v>2.975764265</v>
      </c>
      <c r="F18" s="49" t="s">
        <v>36</v>
      </c>
      <c r="G18" s="42"/>
      <c r="H18" s="50" t="s">
        <v>37</v>
      </c>
      <c r="I18" s="51"/>
      <c r="J18" s="51"/>
      <c r="K18" s="52"/>
      <c r="L18" s="53">
        <v>43070.0</v>
      </c>
      <c r="M18" s="53">
        <f t="shared" ref="M18:O18" si="7">L18-365</f>
        <v>42705</v>
      </c>
      <c r="N18" s="53">
        <f t="shared" si="7"/>
        <v>42340</v>
      </c>
      <c r="O18" s="53">
        <f t="shared" si="7"/>
        <v>41975</v>
      </c>
      <c r="P18" s="1"/>
      <c r="Q18" s="1"/>
      <c r="R18" s="1"/>
      <c r="S18" s="1"/>
      <c r="T18" s="1"/>
      <c r="U18" s="1"/>
      <c r="V18" s="1"/>
      <c r="W18" s="1"/>
      <c r="X18" s="1"/>
      <c r="Y18" s="1"/>
      <c r="Z18" s="1"/>
    </row>
    <row r="19">
      <c r="A19" s="42"/>
      <c r="B19" s="54" t="s">
        <v>38</v>
      </c>
      <c r="C19" s="55"/>
      <c r="D19" s="56"/>
      <c r="E19" s="57" t="str">
        <f>VLOOKUP(D18,B26:E40,3)</f>
        <v>Ba1/BB+</v>
      </c>
      <c r="F19" s="58" t="str">
        <f>IF(F18="S","Interest Cost","")</f>
        <v>Interest Cost</v>
      </c>
      <c r="G19" s="42"/>
      <c r="H19" s="59"/>
      <c r="I19" s="42"/>
      <c r="J19" s="42"/>
      <c r="K19" s="42"/>
      <c r="L19" s="42"/>
      <c r="M19" s="42"/>
      <c r="N19" s="42"/>
      <c r="O19" s="42"/>
      <c r="P19" s="1"/>
      <c r="Q19" s="1"/>
      <c r="R19" s="1"/>
      <c r="S19" s="1"/>
      <c r="T19" s="1"/>
      <c r="U19" s="1"/>
      <c r="V19" s="1"/>
      <c r="W19" s="1"/>
      <c r="X19" s="1"/>
      <c r="Y19" s="1"/>
      <c r="Z19" s="1"/>
    </row>
    <row r="20">
      <c r="A20" s="42"/>
      <c r="B20" s="60" t="s">
        <v>39</v>
      </c>
      <c r="C20" s="42"/>
      <c r="D20" s="42"/>
      <c r="E20" s="61">
        <f>VLOOKUP(D18,B26:E40,4)</f>
        <v>0.081</v>
      </c>
      <c r="F20" s="62">
        <v>105000.0</v>
      </c>
      <c r="G20" s="42"/>
      <c r="H20" s="63" t="s">
        <v>40</v>
      </c>
      <c r="I20" s="64">
        <f>I21</f>
        <v>0.1</v>
      </c>
      <c r="J20" s="65">
        <f>(IF(O36&lt;=0,0.5,IF((K36/(O36/1000))-1&lt;0.1,0.1,IF((K36/(O36/1000))-1&gt;0.5,0.5,(K36/(O36/1000))-1))))*(1-SQRT(K42))</f>
        <v>0.3881966011</v>
      </c>
      <c r="K20" s="66">
        <v>0.85</v>
      </c>
      <c r="L20" s="66">
        <v>1.0</v>
      </c>
      <c r="M20" s="67">
        <v>2.0</v>
      </c>
      <c r="N20" s="67">
        <v>3.0</v>
      </c>
      <c r="O20" s="68">
        <v>4.0</v>
      </c>
      <c r="P20" s="1"/>
      <c r="Q20" s="1"/>
      <c r="R20" s="1"/>
      <c r="S20" s="1"/>
      <c r="T20" s="1"/>
      <c r="U20" s="1"/>
      <c r="V20" s="1"/>
      <c r="W20" s="1"/>
      <c r="X20" s="1"/>
      <c r="Y20" s="1"/>
      <c r="Z20" s="1"/>
    </row>
    <row r="21">
      <c r="A21" s="42"/>
      <c r="B21" s="60" t="s">
        <v>41</v>
      </c>
      <c r="C21" s="42"/>
      <c r="D21" s="42"/>
      <c r="E21" s="61">
        <f>VLOOKUP(E18,B26:E40,4)</f>
        <v>0.141</v>
      </c>
      <c r="F21" s="69" t="s">
        <v>42</v>
      </c>
      <c r="G21" s="42"/>
      <c r="H21" s="70">
        <f>(AVERAGE(L21:O21)*F23)*0.7*0.44</f>
        <v>99981.13125</v>
      </c>
      <c r="I21" s="71">
        <f>IF(MAX(L21:O21)/AVERAGE(L21:O21)-1&lt;0.1,0.1,IF(MAX(L21:O21)/AVERAGE(L21:O21)-1&gt;0.3,0.3,MAX(L21:O21)/AVERAGE(L21:O21)-1))</f>
        <v>0.1</v>
      </c>
      <c r="J21" s="71">
        <f>AVERAGE(L24:O24)</f>
        <v>-49</v>
      </c>
      <c r="K21" s="71"/>
      <c r="L21" s="72">
        <f t="shared" ref="L21:O21" si="8">K33</f>
        <v>350000</v>
      </c>
      <c r="M21" s="73">
        <f t="shared" si="8"/>
        <v>332500</v>
      </c>
      <c r="N21" s="73">
        <f t="shared" si="8"/>
        <v>315875</v>
      </c>
      <c r="O21" s="74">
        <f t="shared" si="8"/>
        <v>300081.25</v>
      </c>
      <c r="P21" s="1"/>
      <c r="Q21" s="1"/>
      <c r="R21" s="1"/>
      <c r="S21" s="1"/>
      <c r="T21" s="1"/>
      <c r="U21" s="1"/>
      <c r="V21" s="1"/>
      <c r="W21" s="1"/>
      <c r="X21" s="1"/>
      <c r="Y21" s="1"/>
      <c r="Z21" s="1"/>
    </row>
    <row r="22">
      <c r="A22" s="42"/>
      <c r="B22" s="75" t="s">
        <v>43</v>
      </c>
      <c r="C22" s="76"/>
      <c r="D22" s="76"/>
      <c r="E22" s="77">
        <f>VLOOKUP(D18,B26:F40,5)</f>
        <v>0.1</v>
      </c>
      <c r="F22" s="78">
        <f>F20/H23</f>
        <v>0.42</v>
      </c>
      <c r="G22" s="42"/>
      <c r="H22" s="70">
        <f>AVERAGE(L22:O22)*F23</f>
        <v>250000</v>
      </c>
      <c r="I22" s="79">
        <f t="shared" ref="I22:I23" si="10">J22</f>
        <v>0.06</v>
      </c>
      <c r="J22" s="79">
        <f>E40*5</f>
        <v>0.06</v>
      </c>
      <c r="K22" s="42"/>
      <c r="L22" s="72">
        <f t="shared" ref="L22:O22" si="9">K38</f>
        <v>250000</v>
      </c>
      <c r="M22" s="73">
        <f t="shared" si="9"/>
        <v>250000</v>
      </c>
      <c r="N22" s="73">
        <f t="shared" si="9"/>
        <v>250000</v>
      </c>
      <c r="O22" s="74">
        <f t="shared" si="9"/>
        <v>250000</v>
      </c>
      <c r="P22" s="1"/>
      <c r="Q22" s="1"/>
      <c r="R22" s="1"/>
      <c r="S22" s="1"/>
      <c r="T22" s="1"/>
      <c r="U22" s="1"/>
      <c r="V22" s="1"/>
      <c r="W22" s="1"/>
      <c r="X22" s="1"/>
      <c r="Y22" s="1"/>
      <c r="Z22" s="1"/>
    </row>
    <row r="23">
      <c r="A23" s="42"/>
      <c r="B23" s="75" t="s">
        <v>44</v>
      </c>
      <c r="C23" s="76"/>
      <c r="D23" s="76"/>
      <c r="E23" s="77">
        <f>VLOOKUP(E18,B26:F40,5)</f>
        <v>0.25</v>
      </c>
      <c r="F23" s="80">
        <v>1.0</v>
      </c>
      <c r="G23" s="42"/>
      <c r="H23" s="70">
        <f>AVERAGE(L23:O23)*F23</f>
        <v>250000</v>
      </c>
      <c r="I23" s="81">
        <f t="shared" si="10"/>
        <v>0.042</v>
      </c>
      <c r="J23" s="71">
        <f>E40*3.5</f>
        <v>0.042</v>
      </c>
      <c r="K23" s="42"/>
      <c r="L23" s="72">
        <f t="shared" ref="L23:O23" si="11">K39</f>
        <v>250000</v>
      </c>
      <c r="M23" s="73">
        <f t="shared" si="11"/>
        <v>250000</v>
      </c>
      <c r="N23" s="73">
        <f t="shared" si="11"/>
        <v>250000</v>
      </c>
      <c r="O23" s="74">
        <f t="shared" si="11"/>
        <v>250000</v>
      </c>
      <c r="P23" s="1"/>
      <c r="Q23" s="1"/>
      <c r="R23" s="1"/>
      <c r="S23" s="1"/>
      <c r="T23" s="1"/>
      <c r="U23" s="1"/>
      <c r="V23" s="1"/>
      <c r="W23" s="1"/>
      <c r="X23" s="1"/>
      <c r="Y23" s="1"/>
      <c r="Z23" s="1"/>
    </row>
    <row r="24">
      <c r="A24" s="42"/>
      <c r="B24" s="82" t="s">
        <v>45</v>
      </c>
      <c r="C24" s="83" t="s">
        <v>45</v>
      </c>
      <c r="D24" s="83" t="s">
        <v>46</v>
      </c>
      <c r="E24" s="83" t="s">
        <v>47</v>
      </c>
      <c r="F24" s="84" t="s">
        <v>48</v>
      </c>
      <c r="G24" s="42"/>
      <c r="H24" s="59"/>
      <c r="I24" s="73">
        <f>(H23*I23)+(H22*I22)</f>
        <v>25500</v>
      </c>
      <c r="J24" s="73">
        <f>I24+O4</f>
        <v>33598.47163</v>
      </c>
      <c r="K24" s="85"/>
      <c r="L24" s="86">
        <f t="shared" ref="L24:O24" si="12">K37</f>
        <v>-49</v>
      </c>
      <c r="M24" s="87">
        <f t="shared" si="12"/>
        <v>-49</v>
      </c>
      <c r="N24" s="87">
        <f t="shared" si="12"/>
        <v>-49</v>
      </c>
      <c r="O24" s="88">
        <f t="shared" si="12"/>
        <v>-49</v>
      </c>
      <c r="P24" s="1"/>
      <c r="Q24" s="1"/>
      <c r="R24" s="1"/>
      <c r="S24" s="1"/>
      <c r="T24" s="1"/>
      <c r="U24" s="1"/>
      <c r="V24" s="1"/>
      <c r="W24" s="1"/>
      <c r="X24" s="1"/>
      <c r="Y24" s="1"/>
      <c r="Z24" s="1"/>
    </row>
    <row r="25">
      <c r="A25" s="42"/>
      <c r="B25" s="89" t="s">
        <v>49</v>
      </c>
      <c r="C25" s="90" t="s">
        <v>50</v>
      </c>
      <c r="D25" s="90"/>
      <c r="E25" s="90"/>
      <c r="F25" s="91" t="s">
        <v>51</v>
      </c>
      <c r="G25" s="42"/>
      <c r="H25" s="59" t="s">
        <v>52</v>
      </c>
      <c r="I25" s="92">
        <f>AVERAGE(L25:O25)*F23</f>
        <v>10000</v>
      </c>
      <c r="J25" s="42"/>
      <c r="K25" s="42"/>
      <c r="L25" s="93">
        <f t="shared" ref="L25:O25" si="13">K41</f>
        <v>10000</v>
      </c>
      <c r="M25" s="94">
        <f t="shared" si="13"/>
        <v>10000</v>
      </c>
      <c r="N25" s="94">
        <f t="shared" si="13"/>
        <v>10000</v>
      </c>
      <c r="O25" s="95">
        <f t="shared" si="13"/>
        <v>10000</v>
      </c>
      <c r="P25" s="1"/>
      <c r="Q25" s="1"/>
      <c r="R25" s="1"/>
      <c r="S25" s="1"/>
      <c r="T25" s="1"/>
      <c r="U25" s="1"/>
      <c r="V25" s="1"/>
      <c r="W25" s="1"/>
      <c r="X25" s="1"/>
      <c r="Y25" s="1"/>
      <c r="Z25" s="1"/>
    </row>
    <row r="26">
      <c r="A26" s="42"/>
      <c r="B26" s="96">
        <v>-100000.0</v>
      </c>
      <c r="C26" s="97">
        <v>0.499999</v>
      </c>
      <c r="D26" s="97" t="s">
        <v>53</v>
      </c>
      <c r="E26" s="98">
        <v>0.341</v>
      </c>
      <c r="F26" s="99">
        <v>1.0</v>
      </c>
      <c r="G26" s="42"/>
      <c r="H26" s="100" t="s">
        <v>54</v>
      </c>
      <c r="I26" s="101">
        <f>MAX(H21,I25)/I24</f>
        <v>3.920828676</v>
      </c>
      <c r="J26" s="102">
        <f>MAX(H21,I25)/J24</f>
        <v>2.975764265</v>
      </c>
      <c r="K26" s="103">
        <f>K27*(AVERAGE(L21:O21)/AVERAGE(L21:M21))</f>
        <v>0.01956857143</v>
      </c>
      <c r="L26" s="104">
        <f t="shared" ref="L26:O26" si="14">(SUM(L22:L23)/(1-L24))*L24</f>
        <v>-490000</v>
      </c>
      <c r="M26" s="105">
        <f t="shared" si="14"/>
        <v>-490000</v>
      </c>
      <c r="N26" s="105">
        <f t="shared" si="14"/>
        <v>-490000</v>
      </c>
      <c r="O26" s="106">
        <f t="shared" si="14"/>
        <v>-490000</v>
      </c>
      <c r="P26" s="1"/>
      <c r="Q26" s="1"/>
      <c r="R26" s="1"/>
      <c r="S26" s="1"/>
      <c r="T26" s="1"/>
      <c r="U26" s="1"/>
      <c r="V26" s="1"/>
      <c r="W26" s="1"/>
      <c r="X26" s="1"/>
      <c r="Y26" s="1"/>
      <c r="Z26" s="1"/>
    </row>
    <row r="27">
      <c r="A27" s="42"/>
      <c r="B27" s="96">
        <v>0.5</v>
      </c>
      <c r="C27" s="97">
        <v>0.799999</v>
      </c>
      <c r="D27" s="97" t="s">
        <v>55</v>
      </c>
      <c r="E27" s="98">
        <v>0.301</v>
      </c>
      <c r="F27" s="99">
        <v>0.85</v>
      </c>
      <c r="G27" s="42"/>
      <c r="H27" s="59" t="s">
        <v>56</v>
      </c>
      <c r="I27" s="103">
        <f>J23</f>
        <v>0.042</v>
      </c>
      <c r="J27" s="103">
        <f>I27</f>
        <v>0.042</v>
      </c>
      <c r="K27" s="103">
        <f>((I27/J21)+J23)/2</f>
        <v>0.02057142857</v>
      </c>
      <c r="L27" s="42"/>
      <c r="M27" s="42"/>
      <c r="N27" s="42"/>
      <c r="O27" s="42"/>
      <c r="P27" s="1"/>
      <c r="Q27" s="1"/>
      <c r="R27" s="1"/>
      <c r="S27" s="1"/>
      <c r="T27" s="1"/>
      <c r="U27" s="1"/>
      <c r="V27" s="1"/>
      <c r="W27" s="1"/>
      <c r="X27" s="1"/>
      <c r="Y27" s="1"/>
      <c r="Z27" s="1"/>
    </row>
    <row r="28">
      <c r="A28" s="42"/>
      <c r="B28" s="96">
        <v>0.8</v>
      </c>
      <c r="C28" s="97">
        <v>1.249999</v>
      </c>
      <c r="D28" s="97" t="s">
        <v>57</v>
      </c>
      <c r="E28" s="98">
        <v>0.261</v>
      </c>
      <c r="F28" s="99">
        <v>0.7</v>
      </c>
      <c r="G28" s="42"/>
      <c r="H28" s="59" t="s">
        <v>58</v>
      </c>
      <c r="I28" s="71">
        <f t="shared" ref="I28:J28" si="15">MAX(I22:I23)</f>
        <v>0.06</v>
      </c>
      <c r="J28" s="71">
        <f t="shared" si="15"/>
        <v>0.06</v>
      </c>
      <c r="K28" s="73"/>
      <c r="L28" s="42"/>
      <c r="M28" s="42"/>
      <c r="N28" s="42"/>
      <c r="O28" s="42"/>
      <c r="P28" s="1"/>
      <c r="Q28" s="1"/>
      <c r="R28" s="1"/>
      <c r="S28" s="1"/>
      <c r="T28" s="1"/>
      <c r="U28" s="1"/>
      <c r="V28" s="1"/>
      <c r="W28" s="1"/>
      <c r="X28" s="1"/>
      <c r="Y28" s="1"/>
      <c r="Z28" s="1"/>
    </row>
    <row r="29">
      <c r="A29" s="42"/>
      <c r="B29" s="96">
        <v>1.25</v>
      </c>
      <c r="C29" s="97">
        <v>1.499999</v>
      </c>
      <c r="D29" s="97" t="s">
        <v>59</v>
      </c>
      <c r="E29" s="98">
        <v>0.231</v>
      </c>
      <c r="F29" s="99">
        <v>0.5901</v>
      </c>
      <c r="G29" s="42"/>
      <c r="H29" s="59"/>
      <c r="I29" s="71">
        <f t="shared" ref="I29:J29" si="16">(I30+I30+I27)</f>
        <v>0.204</v>
      </c>
      <c r="J29" s="71">
        <f t="shared" si="16"/>
        <v>0.324</v>
      </c>
      <c r="K29" s="73"/>
      <c r="L29" s="73"/>
      <c r="M29" s="73"/>
      <c r="N29" s="73"/>
      <c r="O29" s="42"/>
      <c r="P29" s="1"/>
      <c r="Q29" s="1"/>
      <c r="R29" s="1"/>
      <c r="S29" s="1"/>
      <c r="T29" s="1"/>
      <c r="U29" s="1"/>
      <c r="V29" s="1"/>
      <c r="W29" s="1"/>
      <c r="X29" s="1"/>
      <c r="Y29" s="1"/>
      <c r="Z29" s="1"/>
    </row>
    <row r="30">
      <c r="A30" s="42"/>
      <c r="B30" s="96">
        <v>1.5</v>
      </c>
      <c r="C30" s="97">
        <v>1.999999</v>
      </c>
      <c r="D30" s="97" t="s">
        <v>60</v>
      </c>
      <c r="E30" s="98">
        <v>0.201</v>
      </c>
      <c r="F30" s="99">
        <v>0.45</v>
      </c>
      <c r="G30" s="42"/>
      <c r="H30" s="59"/>
      <c r="I30" s="71">
        <f>E20</f>
        <v>0.081</v>
      </c>
      <c r="J30" s="71">
        <f>E21</f>
        <v>0.141</v>
      </c>
      <c r="K30" s="73"/>
      <c r="L30" s="73"/>
      <c r="M30" s="42"/>
      <c r="N30" s="42"/>
      <c r="O30" s="42"/>
      <c r="P30" s="42"/>
      <c r="Q30" s="1"/>
      <c r="R30" s="1"/>
      <c r="S30" s="1"/>
      <c r="T30" s="1"/>
      <c r="U30" s="1"/>
      <c r="V30" s="1"/>
      <c r="W30" s="1"/>
      <c r="X30" s="1"/>
      <c r="Y30" s="1"/>
      <c r="Z30" s="1"/>
    </row>
    <row r="31">
      <c r="A31" s="42"/>
      <c r="B31" s="96">
        <v>2.0</v>
      </c>
      <c r="C31" s="97">
        <v>2.499999</v>
      </c>
      <c r="D31" s="97" t="s">
        <v>61</v>
      </c>
      <c r="E31" s="98">
        <v>0.171</v>
      </c>
      <c r="F31" s="99">
        <v>0.368</v>
      </c>
      <c r="G31" s="42"/>
      <c r="H31" s="59"/>
      <c r="I31" s="71">
        <f t="shared" ref="I31:J31" si="17">I30/MAX(I22:I23)</f>
        <v>1.35</v>
      </c>
      <c r="J31" s="71">
        <f t="shared" si="17"/>
        <v>2.35</v>
      </c>
      <c r="K31" s="44" t="s">
        <v>62</v>
      </c>
      <c r="L31" s="42"/>
      <c r="M31" s="42"/>
      <c r="N31" s="42"/>
      <c r="O31" s="42"/>
      <c r="P31" s="1"/>
      <c r="Q31" s="1"/>
      <c r="R31" s="1"/>
      <c r="S31" s="1"/>
      <c r="T31" s="1"/>
      <c r="U31" s="1"/>
      <c r="V31" s="1"/>
      <c r="W31" s="1"/>
      <c r="X31" s="1"/>
      <c r="Y31" s="1"/>
      <c r="Z31" s="1"/>
    </row>
    <row r="32">
      <c r="A32" s="42"/>
      <c r="B32" s="96">
        <v>2.5</v>
      </c>
      <c r="C32" s="97">
        <v>2.999999</v>
      </c>
      <c r="D32" s="97" t="s">
        <v>63</v>
      </c>
      <c r="E32" s="98">
        <v>0.14100000000000001</v>
      </c>
      <c r="F32" s="99">
        <v>0.25</v>
      </c>
      <c r="G32" s="1"/>
      <c r="H32" s="107" t="str">
        <f>IF(I32=1,"NO CREDIT","CREDIT")</f>
        <v>CREDIT</v>
      </c>
      <c r="I32" s="108">
        <f>IF(MIN(I33,I34,I36,H21)&lt;=0,1,MIN(I33,I34,I36,H21))</f>
        <v>99981.13125</v>
      </c>
      <c r="J32" s="36"/>
      <c r="K32" s="109">
        <v>43070.0</v>
      </c>
      <c r="L32" s="110">
        <f t="shared" ref="L32:N32" si="18">K32-365</f>
        <v>42705</v>
      </c>
      <c r="M32" s="110">
        <f t="shared" si="18"/>
        <v>42340</v>
      </c>
      <c r="N32" s="110">
        <f t="shared" si="18"/>
        <v>41975</v>
      </c>
      <c r="O32" s="111">
        <v>12.0</v>
      </c>
      <c r="P32" s="1"/>
      <c r="Q32" s="1"/>
      <c r="R32" s="1"/>
      <c r="S32" s="1"/>
      <c r="T32" s="1"/>
      <c r="U32" s="1"/>
      <c r="V32" s="1"/>
      <c r="W32" s="1"/>
      <c r="X32" s="1"/>
      <c r="Y32" s="1"/>
      <c r="Z32" s="1"/>
    </row>
    <row r="33">
      <c r="A33" s="42"/>
      <c r="B33" s="96">
        <v>3.0</v>
      </c>
      <c r="C33" s="97">
        <v>3.499999</v>
      </c>
      <c r="D33" s="97" t="s">
        <v>64</v>
      </c>
      <c r="E33" s="98">
        <v>0.111</v>
      </c>
      <c r="F33" s="99">
        <v>0.1663</v>
      </c>
      <c r="G33" s="42"/>
      <c r="H33" s="59" t="s">
        <v>65</v>
      </c>
      <c r="I33" s="112">
        <f>(((H21-I24)/(I29)*(1-I20)))+I25</f>
        <v>338593.2261</v>
      </c>
      <c r="J33" s="113" t="s">
        <v>66</v>
      </c>
      <c r="K33" s="114">
        <v>350000.0</v>
      </c>
      <c r="L33" s="115">
        <f>K33*(1-K42)^1</f>
        <v>332500</v>
      </c>
      <c r="M33" s="115">
        <f>K33*(1-K42)^2</f>
        <v>315875</v>
      </c>
      <c r="N33" s="115">
        <f>K33*(1-K42)^3</f>
        <v>300081.25</v>
      </c>
      <c r="O33" s="116">
        <f t="shared" ref="O33:O35" si="20">AVERAGE(K33:N33)*$F$23</f>
        <v>324614.0625</v>
      </c>
      <c r="P33" s="1"/>
      <c r="Q33" s="1"/>
      <c r="R33" s="1"/>
      <c r="S33" s="1"/>
      <c r="T33" s="1"/>
      <c r="U33" s="1"/>
      <c r="V33" s="1"/>
      <c r="W33" s="1"/>
      <c r="X33" s="1"/>
      <c r="Y33" s="1"/>
      <c r="Z33" s="1"/>
    </row>
    <row r="34">
      <c r="A34" s="42"/>
      <c r="B34" s="96">
        <v>3.5</v>
      </c>
      <c r="C34" s="97">
        <v>3.9999999</v>
      </c>
      <c r="D34" s="97" t="s">
        <v>67</v>
      </c>
      <c r="E34" s="98">
        <v>0.081</v>
      </c>
      <c r="F34" s="99">
        <v>0.1</v>
      </c>
      <c r="G34" s="42"/>
      <c r="H34" s="59" t="s">
        <v>68</v>
      </c>
      <c r="I34" s="117">
        <f>(I33*(1-J20))</f>
        <v>207152.4866</v>
      </c>
      <c r="J34" s="118" t="s">
        <v>69</v>
      </c>
      <c r="K34" s="119">
        <v>10000.0</v>
      </c>
      <c r="L34" s="115">
        <f t="shared" ref="L34:N34" si="19">K34</f>
        <v>10000</v>
      </c>
      <c r="M34" s="115">
        <f t="shared" si="19"/>
        <v>10000</v>
      </c>
      <c r="N34" s="115">
        <f t="shared" si="19"/>
        <v>10000</v>
      </c>
      <c r="O34" s="120">
        <f t="shared" si="20"/>
        <v>10000</v>
      </c>
      <c r="P34" s="1"/>
      <c r="Q34" s="1"/>
      <c r="R34" s="1"/>
      <c r="S34" s="1"/>
      <c r="T34" s="1"/>
      <c r="U34" s="1"/>
      <c r="V34" s="1"/>
      <c r="W34" s="1"/>
      <c r="X34" s="1"/>
      <c r="Y34" s="1"/>
      <c r="Z34" s="1"/>
    </row>
    <row r="35">
      <c r="A35" s="42"/>
      <c r="B35" s="96">
        <v>4.0</v>
      </c>
      <c r="C35" s="97">
        <v>4.499999</v>
      </c>
      <c r="D35" s="97" t="s">
        <v>70</v>
      </c>
      <c r="E35" s="98">
        <v>0.066</v>
      </c>
      <c r="F35" s="99">
        <v>0.0754</v>
      </c>
      <c r="G35" s="42"/>
      <c r="H35" s="59" t="s">
        <v>71</v>
      </c>
      <c r="I35" s="121">
        <f>(((H21-J24)/((J28+J28+J27))*(1-I20)))+I25</f>
        <v>378792.5534</v>
      </c>
      <c r="J35" s="122" t="s">
        <v>72</v>
      </c>
      <c r="K35" s="123">
        <f>K40</f>
        <v>500000</v>
      </c>
      <c r="L35" s="124">
        <f t="shared" ref="L35:M35" si="21">K35</f>
        <v>500000</v>
      </c>
      <c r="M35" s="124">
        <f t="shared" si="21"/>
        <v>500000</v>
      </c>
      <c r="N35" s="124">
        <f>N40</f>
        <v>500000</v>
      </c>
      <c r="O35" s="125">
        <f t="shared" si="20"/>
        <v>500000</v>
      </c>
      <c r="P35" s="1"/>
      <c r="Q35" s="1"/>
      <c r="R35" s="1"/>
      <c r="S35" s="1"/>
      <c r="T35" s="1"/>
      <c r="U35" s="1"/>
      <c r="V35" s="1"/>
      <c r="W35" s="1"/>
      <c r="X35" s="1"/>
      <c r="Y35" s="1"/>
      <c r="Z35" s="1"/>
    </row>
    <row r="36">
      <c r="A36" s="42"/>
      <c r="B36" s="96">
        <v>4.5</v>
      </c>
      <c r="C36" s="97">
        <v>5.999999</v>
      </c>
      <c r="D36" s="97" t="s">
        <v>73</v>
      </c>
      <c r="E36" s="98">
        <v>0.041</v>
      </c>
      <c r="F36" s="99">
        <v>0.035</v>
      </c>
      <c r="G36" s="42"/>
      <c r="H36" s="126" t="s">
        <v>74</v>
      </c>
      <c r="I36" s="127">
        <f>MAX(IF(O36&lt;=0,1,O36),(H21-I24)*(1+E20)^-1+((H21-I24)*(1+$K$42))*(1+E20)^-2+((H21-I24)*(1+$K$42))*(1+$K$42)*(1+E20)^-3+((H21-I24)*(1+$K$42))*(1+$K$42)*(1+$K$42)*(1+E20)^-4)</f>
        <v>263970.7082</v>
      </c>
      <c r="J36" s="122" t="s">
        <v>75</v>
      </c>
      <c r="K36" s="128">
        <f t="shared" ref="K36:N36" si="22">K34-K35</f>
        <v>-490000</v>
      </c>
      <c r="L36" s="129">
        <f t="shared" si="22"/>
        <v>-490000</v>
      </c>
      <c r="M36" s="129">
        <f t="shared" si="22"/>
        <v>-490000</v>
      </c>
      <c r="N36" s="130">
        <f t="shared" si="22"/>
        <v>-490000</v>
      </c>
      <c r="O36" s="120">
        <f>AVERAGE(K36:M36)*$F$23</f>
        <v>-490000</v>
      </c>
      <c r="P36" s="1"/>
      <c r="Q36" s="1"/>
      <c r="R36" s="1"/>
      <c r="S36" s="1"/>
      <c r="T36" s="1"/>
      <c r="U36" s="1"/>
      <c r="V36" s="1"/>
      <c r="W36" s="1"/>
      <c r="X36" s="1"/>
      <c r="Y36" s="1"/>
      <c r="Z36" s="1"/>
    </row>
    <row r="37">
      <c r="A37" s="42"/>
      <c r="B37" s="96">
        <v>6.0</v>
      </c>
      <c r="C37" s="97">
        <v>7.499999</v>
      </c>
      <c r="D37" s="97" t="s">
        <v>76</v>
      </c>
      <c r="E37" s="98">
        <v>0.031</v>
      </c>
      <c r="F37" s="99">
        <v>0.0175</v>
      </c>
      <c r="G37" s="42"/>
      <c r="H37" s="126" t="s">
        <v>77</v>
      </c>
      <c r="I37" s="127">
        <f>(H21-I24)*(1+E20)^-1+((H21-I24)*(1+$K$42))*(1+E20)^-2+((H21-I24)*(1+$K$42))*(1+$K$42)*(1+E20)^-3+((H21-I24)*(1+$K$42))*(1+$K$42)*(1+$K$42)*(1+E20)^-4</f>
        <v>263970.7082</v>
      </c>
      <c r="J37" s="122" t="s">
        <v>78</v>
      </c>
      <c r="K37" s="131">
        <f t="shared" ref="K37:N37" si="23">K36/K34</f>
        <v>-49</v>
      </c>
      <c r="L37" s="132">
        <f t="shared" si="23"/>
        <v>-49</v>
      </c>
      <c r="M37" s="132">
        <f t="shared" si="23"/>
        <v>-49</v>
      </c>
      <c r="N37" s="133">
        <f t="shared" si="23"/>
        <v>-49</v>
      </c>
      <c r="O37" s="134">
        <f>AVERAGE(K37:N37)</f>
        <v>-49</v>
      </c>
      <c r="P37" s="1"/>
      <c r="Q37" s="1"/>
      <c r="R37" s="1"/>
      <c r="S37" s="1"/>
      <c r="T37" s="1"/>
      <c r="U37" s="1"/>
      <c r="V37" s="1"/>
      <c r="W37" s="1"/>
      <c r="X37" s="1"/>
      <c r="Y37" s="1"/>
      <c r="Z37" s="1"/>
    </row>
    <row r="38">
      <c r="A38" s="42"/>
      <c r="B38" s="96">
        <v>7.5</v>
      </c>
      <c r="C38" s="97">
        <v>9.499999</v>
      </c>
      <c r="D38" s="97" t="s">
        <v>79</v>
      </c>
      <c r="E38" s="98">
        <v>0.021</v>
      </c>
      <c r="F38" s="99">
        <v>0.01</v>
      </c>
      <c r="G38" s="42"/>
      <c r="H38" s="59"/>
      <c r="I38" s="135"/>
      <c r="J38" s="118" t="s">
        <v>80</v>
      </c>
      <c r="K38" s="119">
        <v>250000.0</v>
      </c>
      <c r="L38" s="115">
        <f t="shared" ref="L38:N38" si="24">K38</f>
        <v>250000</v>
      </c>
      <c r="M38" s="115">
        <f t="shared" si="24"/>
        <v>250000</v>
      </c>
      <c r="N38" s="115">
        <f t="shared" si="24"/>
        <v>250000</v>
      </c>
      <c r="O38" s="116">
        <f t="shared" ref="O38:O41" si="26">AVERAGE(K38:N38)*$F$23</f>
        <v>250000</v>
      </c>
      <c r="P38" s="1"/>
      <c r="Q38" s="1"/>
      <c r="R38" s="1"/>
      <c r="S38" s="1"/>
      <c r="T38" s="1"/>
      <c r="U38" s="1"/>
      <c r="V38" s="1"/>
      <c r="W38" s="1"/>
      <c r="X38" s="1"/>
      <c r="Y38" s="1"/>
      <c r="Z38" s="1"/>
    </row>
    <row r="39">
      <c r="A39" s="42"/>
      <c r="B39" s="96">
        <v>9.5</v>
      </c>
      <c r="C39" s="97">
        <v>12.499999</v>
      </c>
      <c r="D39" s="97" t="s">
        <v>81</v>
      </c>
      <c r="E39" s="98">
        <v>0.018000000000000002</v>
      </c>
      <c r="F39" s="99">
        <v>0.0051</v>
      </c>
      <c r="G39" s="42"/>
      <c r="H39" s="59"/>
      <c r="I39" s="136">
        <f>I33/I37</f>
        <v>1.282692419</v>
      </c>
      <c r="J39" s="118" t="s">
        <v>82</v>
      </c>
      <c r="K39" s="119">
        <v>250000.0</v>
      </c>
      <c r="L39" s="115">
        <f t="shared" ref="L39:N39" si="25">K39</f>
        <v>250000</v>
      </c>
      <c r="M39" s="115">
        <f t="shared" si="25"/>
        <v>250000</v>
      </c>
      <c r="N39" s="115">
        <f t="shared" si="25"/>
        <v>250000</v>
      </c>
      <c r="O39" s="120">
        <f t="shared" si="26"/>
        <v>250000</v>
      </c>
      <c r="P39" s="1"/>
      <c r="Q39" s="1"/>
      <c r="R39" s="1"/>
      <c r="S39" s="1"/>
      <c r="T39" s="1"/>
      <c r="U39" s="1"/>
      <c r="V39" s="1"/>
      <c r="W39" s="1"/>
      <c r="X39" s="1"/>
      <c r="Y39" s="1"/>
      <c r="Z39" s="1"/>
    </row>
    <row r="40">
      <c r="A40" s="42"/>
      <c r="B40" s="137">
        <v>12.5</v>
      </c>
      <c r="C40" s="138">
        <v>100000.0</v>
      </c>
      <c r="D40" s="138" t="s">
        <v>83</v>
      </c>
      <c r="E40" s="139">
        <v>0.012</v>
      </c>
      <c r="F40" s="140">
        <v>7.0E-4</v>
      </c>
      <c r="G40" s="42"/>
      <c r="H40" s="126" t="s">
        <v>84</v>
      </c>
      <c r="I40" s="141">
        <f>I36/I32-1</f>
        <v>1.640205256</v>
      </c>
      <c r="J40" s="122" t="s">
        <v>72</v>
      </c>
      <c r="K40" s="123">
        <f t="shared" ref="K40:N40" si="27">K38+K39</f>
        <v>500000</v>
      </c>
      <c r="L40" s="124">
        <f t="shared" si="27"/>
        <v>500000</v>
      </c>
      <c r="M40" s="124">
        <f t="shared" si="27"/>
        <v>500000</v>
      </c>
      <c r="N40" s="124">
        <f t="shared" si="27"/>
        <v>500000</v>
      </c>
      <c r="O40" s="120">
        <f t="shared" si="26"/>
        <v>500000</v>
      </c>
      <c r="P40" s="1"/>
      <c r="Q40" s="1"/>
      <c r="R40" s="1"/>
      <c r="S40" s="1"/>
      <c r="T40" s="1"/>
      <c r="U40" s="1"/>
      <c r="V40" s="1"/>
      <c r="W40" s="1"/>
      <c r="X40" s="1"/>
      <c r="Y40" s="1"/>
      <c r="Z40" s="1"/>
    </row>
    <row r="41">
      <c r="A41" s="42"/>
      <c r="B41" s="42"/>
      <c r="C41" s="42"/>
      <c r="D41" s="42"/>
      <c r="E41" s="42"/>
      <c r="F41" s="42"/>
      <c r="G41" s="42"/>
      <c r="H41" s="59"/>
      <c r="I41" s="142"/>
      <c r="J41" s="118" t="s">
        <v>85</v>
      </c>
      <c r="K41" s="143">
        <v>10000.0</v>
      </c>
      <c r="L41" s="144">
        <f t="shared" ref="L41:N41" si="28">K41</f>
        <v>10000</v>
      </c>
      <c r="M41" s="144">
        <f t="shared" si="28"/>
        <v>10000</v>
      </c>
      <c r="N41" s="144">
        <f t="shared" si="28"/>
        <v>10000</v>
      </c>
      <c r="O41" s="125">
        <f t="shared" si="26"/>
        <v>10000</v>
      </c>
      <c r="P41" s="1"/>
      <c r="Q41" s="1"/>
      <c r="R41" s="1"/>
      <c r="S41" s="1"/>
      <c r="T41" s="1"/>
      <c r="U41" s="1"/>
      <c r="V41" s="1"/>
      <c r="W41" s="1"/>
      <c r="X41" s="1"/>
      <c r="Y41" s="1"/>
      <c r="Z41" s="1"/>
    </row>
    <row r="42">
      <c r="A42" s="42"/>
      <c r="B42" s="42"/>
      <c r="C42" s="42"/>
      <c r="D42" s="42"/>
      <c r="E42" s="42"/>
      <c r="F42" s="42"/>
      <c r="G42" s="42"/>
      <c r="H42" s="42"/>
      <c r="I42" s="145"/>
      <c r="J42" s="146" t="s">
        <v>86</v>
      </c>
      <c r="K42" s="147">
        <v>0.05</v>
      </c>
      <c r="L42" s="148">
        <v>1.0</v>
      </c>
      <c r="M42" s="149">
        <f>L42/I37</f>
        <v>0.000003788299114</v>
      </c>
      <c r="N42" s="42"/>
      <c r="O42" s="42"/>
      <c r="P42" s="1"/>
      <c r="Q42" s="1"/>
      <c r="R42" s="1"/>
      <c r="S42" s="1"/>
      <c r="T42" s="1"/>
      <c r="U42" s="1"/>
      <c r="V42" s="1"/>
      <c r="W42" s="1"/>
      <c r="X42" s="1"/>
      <c r="Y42" s="1"/>
      <c r="Z42" s="1"/>
    </row>
    <row r="43">
      <c r="A43" s="42"/>
      <c r="B43" s="42"/>
      <c r="C43" s="42"/>
      <c r="D43" s="42"/>
      <c r="E43" s="42"/>
      <c r="F43" s="42"/>
      <c r="G43" s="42"/>
      <c r="H43" s="42"/>
      <c r="I43" s="1"/>
      <c r="J43" s="1"/>
      <c r="K43" s="1"/>
      <c r="L43" s="1"/>
      <c r="M43" s="1"/>
      <c r="N43" s="1"/>
      <c r="O43" s="42"/>
      <c r="P43" s="1"/>
      <c r="Q43" s="1"/>
      <c r="R43" s="1"/>
      <c r="S43" s="1"/>
      <c r="T43" s="1"/>
      <c r="U43" s="1"/>
      <c r="V43" s="1"/>
      <c r="W43" s="1"/>
      <c r="X43" s="1"/>
      <c r="Y43" s="1"/>
      <c r="Z43" s="1"/>
    </row>
    <row r="44">
      <c r="A44" s="42"/>
      <c r="B44" s="42"/>
      <c r="C44" s="150"/>
      <c r="D44" s="73"/>
      <c r="E44" s="42"/>
      <c r="F44" s="42"/>
      <c r="G44" s="42"/>
      <c r="H44" s="42"/>
      <c r="I44" s="1"/>
      <c r="J44" s="1"/>
      <c r="K44" s="1"/>
      <c r="L44" s="1"/>
      <c r="M44" s="1"/>
      <c r="N44" s="1"/>
      <c r="O44" s="42"/>
      <c r="P44" s="1"/>
      <c r="Q44" s="1"/>
      <c r="R44" s="1"/>
      <c r="S44" s="1"/>
      <c r="T44" s="1"/>
      <c r="U44" s="1"/>
      <c r="V44" s="1"/>
      <c r="W44" s="1"/>
      <c r="X44" s="1"/>
      <c r="Y44" s="1"/>
      <c r="Z44" s="1"/>
    </row>
    <row r="45">
      <c r="A45" s="42"/>
      <c r="B45" s="71"/>
      <c r="C45" s="73"/>
      <c r="D45" s="73"/>
      <c r="E45" s="73"/>
      <c r="F45" s="42"/>
      <c r="G45" s="42"/>
      <c r="H45" s="42"/>
      <c r="I45" s="1"/>
      <c r="J45" s="1"/>
      <c r="K45" s="1"/>
      <c r="L45" s="1"/>
      <c r="M45" s="1"/>
      <c r="N45" s="1"/>
      <c r="O45" s="42"/>
      <c r="P45" s="1"/>
      <c r="Q45" s="1"/>
      <c r="R45" s="1"/>
      <c r="S45" s="1"/>
      <c r="T45" s="1"/>
      <c r="U45" s="1"/>
      <c r="V45" s="1"/>
      <c r="W45" s="1"/>
      <c r="X45" s="1"/>
      <c r="Y45" s="1"/>
      <c r="Z45" s="1"/>
    </row>
    <row r="46">
      <c r="A46" s="42"/>
      <c r="B46" s="71"/>
      <c r="C46" s="73"/>
      <c r="D46" s="73"/>
      <c r="E46" s="42"/>
      <c r="F46" s="151"/>
      <c r="G46" s="42"/>
      <c r="H46" s="42"/>
      <c r="I46" s="1"/>
      <c r="J46" s="1"/>
      <c r="K46" s="1"/>
      <c r="L46" s="1"/>
      <c r="M46" s="1"/>
      <c r="N46" s="1"/>
      <c r="O46" s="42"/>
      <c r="P46" s="1"/>
      <c r="Q46" s="1"/>
      <c r="R46" s="1"/>
      <c r="S46" s="1"/>
      <c r="T46" s="1"/>
      <c r="U46" s="1"/>
      <c r="V46" s="1"/>
      <c r="W46" s="1"/>
      <c r="X46" s="1"/>
      <c r="Y46" s="1"/>
      <c r="Z46" s="1"/>
    </row>
    <row r="47">
      <c r="A47" s="42"/>
      <c r="B47" s="71"/>
      <c r="C47" s="73"/>
      <c r="D47" s="73"/>
      <c r="E47" s="42"/>
      <c r="F47" s="42"/>
      <c r="G47" s="42"/>
      <c r="H47" s="42"/>
      <c r="I47" s="1"/>
      <c r="J47" s="1"/>
      <c r="K47" s="1"/>
      <c r="L47" s="1"/>
      <c r="M47" s="1"/>
      <c r="N47" s="1"/>
      <c r="O47" s="42"/>
      <c r="P47" s="1"/>
      <c r="Q47" s="1"/>
      <c r="R47" s="1"/>
      <c r="S47" s="1"/>
      <c r="T47" s="1"/>
      <c r="U47" s="1"/>
      <c r="V47" s="1"/>
      <c r="W47" s="1"/>
      <c r="X47" s="1"/>
      <c r="Y47" s="1"/>
      <c r="Z47" s="1"/>
    </row>
    <row r="48">
      <c r="A48" s="42"/>
      <c r="B48" s="71"/>
      <c r="C48" s="73"/>
      <c r="D48" s="152"/>
      <c r="E48" s="153"/>
      <c r="F48" s="42"/>
      <c r="G48" s="42"/>
      <c r="H48" s="42"/>
      <c r="I48" s="1"/>
      <c r="J48" s="1"/>
      <c r="K48" s="1"/>
      <c r="L48" s="1"/>
      <c r="M48" s="1"/>
      <c r="N48" s="1"/>
      <c r="O48" s="42"/>
      <c r="P48" s="1"/>
      <c r="Q48" s="1"/>
      <c r="R48" s="1"/>
      <c r="S48" s="1"/>
      <c r="T48" s="1"/>
      <c r="U48" s="1"/>
      <c r="V48" s="1"/>
      <c r="W48" s="1"/>
      <c r="X48" s="1"/>
      <c r="Y48" s="1"/>
      <c r="Z48" s="1"/>
    </row>
    <row r="49">
      <c r="A49" s="42"/>
      <c r="B49" s="71"/>
      <c r="C49" s="73"/>
      <c r="D49" s="152"/>
      <c r="E49" s="152"/>
      <c r="F49" s="42"/>
      <c r="G49" s="42"/>
      <c r="H49" s="42"/>
      <c r="I49" s="1"/>
      <c r="J49" s="1"/>
      <c r="K49" s="1"/>
      <c r="L49" s="1"/>
      <c r="M49" s="1"/>
      <c r="N49" s="1"/>
      <c r="O49" s="42"/>
      <c r="P49" s="1"/>
      <c r="Q49" s="1"/>
      <c r="R49" s="1"/>
      <c r="S49" s="1"/>
      <c r="T49" s="1"/>
      <c r="U49" s="1"/>
      <c r="V49" s="1"/>
      <c r="W49" s="1"/>
      <c r="X49" s="1"/>
      <c r="Y49" s="1"/>
      <c r="Z49" s="1"/>
    </row>
    <row r="50">
      <c r="A50" s="42"/>
      <c r="B50" s="71"/>
      <c r="C50" s="73"/>
      <c r="D50" s="71"/>
      <c r="E50" s="42"/>
      <c r="F50" s="42"/>
      <c r="G50" s="42"/>
      <c r="H50" s="42"/>
      <c r="I50" s="1"/>
      <c r="J50" s="1"/>
      <c r="K50" s="1"/>
      <c r="L50" s="1"/>
      <c r="M50" s="1"/>
      <c r="N50" s="1"/>
      <c r="O50" s="42"/>
      <c r="P50" s="1"/>
      <c r="Q50" s="1"/>
      <c r="R50" s="1"/>
      <c r="S50" s="1"/>
      <c r="T50" s="1"/>
      <c r="U50" s="1"/>
      <c r="V50" s="1"/>
      <c r="W50" s="1"/>
      <c r="X50" s="1"/>
      <c r="Y50" s="1"/>
      <c r="Z50" s="1"/>
    </row>
    <row r="51">
      <c r="A51" s="42"/>
      <c r="B51" s="71"/>
      <c r="C51" s="73"/>
      <c r="D51" s="42"/>
      <c r="E51" s="154"/>
      <c r="F51" s="42"/>
      <c r="G51" s="42"/>
      <c r="H51" s="42"/>
      <c r="I51" s="1"/>
      <c r="J51" s="1"/>
      <c r="K51" s="1"/>
      <c r="L51" s="1"/>
      <c r="M51" s="1"/>
      <c r="N51" s="1"/>
      <c r="O51" s="42"/>
      <c r="P51" s="1"/>
      <c r="Q51" s="1"/>
      <c r="R51" s="1"/>
      <c r="S51" s="1"/>
      <c r="T51" s="1"/>
      <c r="U51" s="1"/>
      <c r="V51" s="1"/>
      <c r="W51" s="1"/>
      <c r="X51" s="1"/>
      <c r="Y51" s="1"/>
      <c r="Z51" s="1"/>
    </row>
    <row r="52">
      <c r="A52" s="42"/>
      <c r="B52" s="71"/>
      <c r="C52" s="73"/>
      <c r="D52" s="42"/>
      <c r="E52" s="42"/>
      <c r="F52" s="42"/>
      <c r="G52" s="42"/>
      <c r="H52" s="42"/>
      <c r="I52" s="1"/>
      <c r="J52" s="1"/>
      <c r="K52" s="1"/>
      <c r="L52" s="1"/>
      <c r="M52" s="1"/>
      <c r="N52" s="1"/>
      <c r="O52" s="42"/>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6">
    <mergeCell ref="A2:C2"/>
    <mergeCell ref="H18:K18"/>
    <mergeCell ref="I32:J32"/>
    <mergeCell ref="E12:F12"/>
    <mergeCell ref="E11:F11"/>
    <mergeCell ref="C16:E16"/>
  </mergeCells>
  <conditionalFormatting sqref="H32">
    <cfRule type="containsText" dxfId="0" priority="1" operator="containsText" text="NO CREDIT">
      <formula>NOT(ISERROR(SEARCH(("NO CREDIT"),(H32))))</formula>
    </cfRule>
  </conditionalFormatting>
  <printOptions/>
  <pageMargins bottom="0.75" footer="0.0" header="0.0" left="0.7" right="0.7" top="0.75"/>
  <pageSetup paperSize="9" orientation="portrait"/>
  <drawing r:id="rId2"/>
  <legacyDrawing r:id="rId3"/>
</worksheet>
</file>