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ampp\htdocs\soccer-bet\assets\data\template\"/>
    </mc:Choice>
  </mc:AlternateContent>
  <xr:revisionPtr revIDLastSave="0" documentId="13_ncr:1_{C7553A31-E29B-4498-9549-841EEC22341F}" xr6:coauthVersionLast="45" xr6:coauthVersionMax="45" xr10:uidLastSave="{00000000-0000-0000-0000-000000000000}"/>
  <bookViews>
    <workbookView xWindow="780" yWindow="780" windowWidth="25215" windowHeight="15120" xr2:uid="{00000000-000D-0000-FFFF-FFFF00000000}"/>
  </bookViews>
  <sheets>
    <sheet name="Match" sheetId="1" r:id="rId1"/>
    <sheet name="IN" sheetId="2" r:id="rId2"/>
  </sheets>
  <definedNames>
    <definedName name="P2_" localSheetId="0">Match!#REF!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01" i="1" l="1"/>
  <c r="AM101" i="1"/>
  <c r="AC101" i="1"/>
  <c r="AB101" i="1"/>
  <c r="AA101" i="1"/>
  <c r="Z101" i="1"/>
  <c r="Y101" i="1"/>
  <c r="X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E101" i="1"/>
  <c r="D101" i="1"/>
  <c r="J93" i="1"/>
  <c r="I93" i="1"/>
  <c r="H93" i="1"/>
  <c r="G93" i="1"/>
  <c r="F93" i="1"/>
  <c r="E93" i="1"/>
  <c r="BG39" i="1"/>
  <c r="BF39" i="1"/>
  <c r="BG38" i="1"/>
  <c r="BF38" i="1"/>
  <c r="BG37" i="1"/>
  <c r="BF37" i="1"/>
  <c r="BO36" i="1"/>
  <c r="BN36" i="1"/>
  <c r="BG36" i="1"/>
  <c r="BF36" i="1"/>
  <c r="O2" i="1"/>
  <c r="N2" i="1"/>
  <c r="M2" i="1"/>
  <c r="L2" i="1"/>
  <c r="G101" i="1"/>
  <c r="BM101" i="1" l="1"/>
  <c r="U101" i="1"/>
  <c r="BL36" i="1"/>
  <c r="AC104" i="1"/>
  <c r="AB104" i="1"/>
  <c r="AA104" i="1"/>
  <c r="Z104" i="1"/>
  <c r="Y104" i="1"/>
  <c r="X104" i="1"/>
  <c r="A93" i="1"/>
  <c r="BF70" i="1"/>
  <c r="BF69" i="1"/>
  <c r="BF68" i="1"/>
  <c r="BF67" i="1"/>
  <c r="BF66" i="1"/>
  <c r="AA66" i="1"/>
  <c r="Z66" i="1"/>
  <c r="Y66" i="1"/>
  <c r="BF65" i="1"/>
  <c r="AA65" i="1"/>
  <c r="Z65" i="1"/>
  <c r="Y65" i="1"/>
  <c r="BF64" i="1"/>
  <c r="AA64" i="1"/>
  <c r="Z64" i="1"/>
  <c r="Y64" i="1"/>
  <c r="BF63" i="1"/>
  <c r="AA63" i="1"/>
  <c r="Z63" i="1"/>
  <c r="Y63" i="1"/>
  <c r="BF62" i="1"/>
  <c r="AA62" i="1"/>
  <c r="Z62" i="1"/>
  <c r="Y62" i="1"/>
  <c r="BF61" i="1"/>
  <c r="AA61" i="1"/>
  <c r="Z61" i="1"/>
  <c r="Y61" i="1"/>
  <c r="BF60" i="1"/>
  <c r="AA60" i="1"/>
  <c r="Z60" i="1"/>
  <c r="Y60" i="1"/>
  <c r="BF59" i="1"/>
  <c r="AA59" i="1"/>
  <c r="Z59" i="1"/>
  <c r="Y59" i="1"/>
  <c r="BF58" i="1"/>
  <c r="BE58" i="1"/>
  <c r="AA58" i="1"/>
  <c r="Z58" i="1"/>
  <c r="Y58" i="1"/>
  <c r="BF57" i="1"/>
  <c r="AA57" i="1"/>
  <c r="Z57" i="1"/>
  <c r="Y57" i="1"/>
  <c r="BF56" i="1"/>
  <c r="AA56" i="1"/>
  <c r="Z56" i="1"/>
  <c r="Y56" i="1"/>
  <c r="BF55" i="1"/>
  <c r="AA55" i="1"/>
  <c r="Z55" i="1"/>
  <c r="Y55" i="1"/>
  <c r="AA54" i="1"/>
  <c r="Z54" i="1"/>
  <c r="Y54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AA53" i="1"/>
  <c r="Z53" i="1"/>
  <c r="Y53" i="1"/>
  <c r="AA52" i="1"/>
  <c r="Z52" i="1"/>
  <c r="Y52" i="1"/>
  <c r="BR51" i="1"/>
  <c r="BE70" i="1" s="1"/>
  <c r="BQ51" i="1"/>
  <c r="BE69" i="1" s="1"/>
  <c r="BP51" i="1"/>
  <c r="BE68" i="1" s="1"/>
  <c r="BO51" i="1"/>
  <c r="BE67" i="1" s="1"/>
  <c r="BN51" i="1"/>
  <c r="BE66" i="1" s="1"/>
  <c r="BM51" i="1"/>
  <c r="BE65" i="1" s="1"/>
  <c r="BL51" i="1"/>
  <c r="BE64" i="1" s="1"/>
  <c r="BK51" i="1"/>
  <c r="BE63" i="1" s="1"/>
  <c r="BJ51" i="1"/>
  <c r="BE62" i="1" s="1"/>
  <c r="BI51" i="1"/>
  <c r="BE61" i="1" s="1"/>
  <c r="BH51" i="1"/>
  <c r="BE60" i="1" s="1"/>
  <c r="BG51" i="1"/>
  <c r="BE59" i="1" s="1"/>
  <c r="BF51" i="1"/>
  <c r="BE51" i="1"/>
  <c r="BE57" i="1" s="1"/>
  <c r="AA51" i="1"/>
  <c r="Z51" i="1"/>
  <c r="Y51" i="1"/>
  <c r="AA50" i="1"/>
  <c r="Z50" i="1"/>
  <c r="Y50" i="1"/>
  <c r="BA49" i="1"/>
  <c r="AA49" i="1"/>
  <c r="Z49" i="1"/>
  <c r="Y49" i="1"/>
  <c r="AA48" i="1"/>
  <c r="Z48" i="1"/>
  <c r="Y48" i="1"/>
  <c r="BA47" i="1"/>
  <c r="AA47" i="1"/>
  <c r="Z47" i="1"/>
  <c r="Y47" i="1"/>
  <c r="Z46" i="1"/>
  <c r="Y46" i="1"/>
  <c r="BR45" i="1"/>
  <c r="BD45" i="1"/>
  <c r="BC45" i="1"/>
  <c r="BA45" i="1"/>
  <c r="BE45" i="1" s="1"/>
  <c r="BC42" i="1"/>
  <c r="BA42" i="1"/>
  <c r="BE42" i="1" s="1"/>
  <c r="Y42" i="1"/>
  <c r="Y40" i="1"/>
  <c r="BA39" i="1"/>
  <c r="Y39" i="1"/>
  <c r="W39" i="1"/>
  <c r="W40" i="1" s="1"/>
  <c r="BV38" i="1"/>
  <c r="BA38" i="1"/>
  <c r="BV37" i="1"/>
  <c r="BA37" i="1"/>
  <c r="BW36" i="1"/>
  <c r="BM36" i="1"/>
  <c r="BK36" i="1"/>
  <c r="BA36" i="1"/>
  <c r="BW35" i="1"/>
  <c r="BW33" i="1"/>
  <c r="AU33" i="1"/>
  <c r="AT33" i="1"/>
  <c r="AU32" i="1"/>
  <c r="AT32" i="1"/>
  <c r="AU31" i="1"/>
  <c r="AT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J36" i="1" s="1"/>
  <c r="AB31" i="1"/>
  <c r="AK36" i="1" s="1"/>
  <c r="AA31" i="1"/>
  <c r="AL36" i="1" s="1"/>
  <c r="Z31" i="1"/>
  <c r="AM36" i="1" s="1"/>
  <c r="Y31" i="1"/>
  <c r="AN36" i="1" s="1"/>
  <c r="X31" i="1"/>
  <c r="AU30" i="1"/>
  <c r="AT30" i="1"/>
  <c r="AH30" i="1"/>
  <c r="AG30" i="1"/>
  <c r="AF30" i="1"/>
  <c r="AE30" i="1"/>
  <c r="AD30" i="1"/>
  <c r="AC30" i="1"/>
  <c r="AB30" i="1"/>
  <c r="AA30" i="1"/>
  <c r="Z30" i="1"/>
  <c r="Y30" i="1"/>
  <c r="A30" i="1"/>
  <c r="AU29" i="1"/>
  <c r="AT29" i="1"/>
  <c r="BE28" i="1"/>
  <c r="BD28" i="1"/>
  <c r="BC28" i="1"/>
  <c r="BB28" i="1"/>
  <c r="AU28" i="1"/>
  <c r="AT28" i="1"/>
  <c r="AU27" i="1"/>
  <c r="AT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J35" i="1" s="1"/>
  <c r="AB27" i="1"/>
  <c r="AK35" i="1" s="1"/>
  <c r="AA27" i="1"/>
  <c r="AL35" i="1" s="1"/>
  <c r="Z27" i="1"/>
  <c r="AM35" i="1" s="1"/>
  <c r="Y27" i="1"/>
  <c r="AN35" i="1" s="1"/>
  <c r="X27" i="1"/>
  <c r="AU26" i="1"/>
  <c r="AT26" i="1"/>
  <c r="AH26" i="1"/>
  <c r="AG26" i="1"/>
  <c r="AF26" i="1"/>
  <c r="AE26" i="1"/>
  <c r="AD26" i="1"/>
  <c r="AC26" i="1"/>
  <c r="AB26" i="1"/>
  <c r="AA26" i="1"/>
  <c r="Z26" i="1"/>
  <c r="Y26" i="1"/>
  <c r="C26" i="1"/>
  <c r="A26" i="1"/>
  <c r="AU25" i="1"/>
  <c r="AT25" i="1"/>
  <c r="V25" i="1"/>
  <c r="C25" i="1"/>
  <c r="AU24" i="1"/>
  <c r="AT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V24" i="1"/>
  <c r="CA2" i="1" s="1"/>
  <c r="CS23" i="1"/>
  <c r="CZ23" i="1" s="1"/>
  <c r="DB4" i="1" s="1"/>
  <c r="BX23" i="1"/>
  <c r="CB23" i="1" s="1"/>
  <c r="BW23" i="1"/>
  <c r="CA23" i="1" s="1"/>
  <c r="AP23" i="1"/>
  <c r="AO23" i="1"/>
  <c r="AN23" i="1"/>
  <c r="AN25" i="1" s="1"/>
  <c r="AM23" i="1"/>
  <c r="AM25" i="1" s="1"/>
  <c r="AL23" i="1"/>
  <c r="AK23" i="1"/>
  <c r="AJ23" i="1"/>
  <c r="AJ25" i="1" s="1"/>
  <c r="AI23" i="1"/>
  <c r="AH23" i="1"/>
  <c r="AG23" i="1"/>
  <c r="AF23" i="1"/>
  <c r="AF25" i="1" s="1"/>
  <c r="AE23" i="1"/>
  <c r="AE25" i="1" s="1"/>
  <c r="AD23" i="1"/>
  <c r="AC23" i="1"/>
  <c r="AB23" i="1"/>
  <c r="AB25" i="1" s="1"/>
  <c r="AA23" i="1"/>
  <c r="V23" i="1"/>
  <c r="BU30" i="1" s="1"/>
  <c r="BX22" i="1"/>
  <c r="CB22" i="1" s="1"/>
  <c r="BW22" i="1"/>
  <c r="CA22" i="1" s="1"/>
  <c r="A22" i="1"/>
  <c r="BX21" i="1"/>
  <c r="CE21" i="1" s="1"/>
  <c r="BW21" i="1"/>
  <c r="CA21" i="1" s="1"/>
  <c r="AF21" i="1"/>
  <c r="AE21" i="1"/>
  <c r="AD21" i="1"/>
  <c r="AC21" i="1"/>
  <c r="CR23" i="1" s="1"/>
  <c r="CS20" i="1"/>
  <c r="CZ20" i="1" s="1"/>
  <c r="DB7" i="1" s="1"/>
  <c r="BX20" i="1"/>
  <c r="CB20" i="1" s="1"/>
  <c r="BW20" i="1"/>
  <c r="CA20" i="1" s="1"/>
  <c r="AH20" i="1"/>
  <c r="AF20" i="1"/>
  <c r="AE20" i="1"/>
  <c r="BC20" i="1" s="1"/>
  <c r="AD20" i="1"/>
  <c r="CS22" i="1" s="1"/>
  <c r="CZ22" i="1" s="1"/>
  <c r="DB5" i="1" s="1"/>
  <c r="AC20" i="1"/>
  <c r="CR22" i="1" s="1"/>
  <c r="BX19" i="1"/>
  <c r="CB19" i="1" s="1"/>
  <c r="BW19" i="1"/>
  <c r="AF19" i="1"/>
  <c r="AE19" i="1"/>
  <c r="AD19" i="1"/>
  <c r="CS21" i="1" s="1"/>
  <c r="CZ21" i="1" s="1"/>
  <c r="AC19" i="1"/>
  <c r="CR21" i="1" s="1"/>
  <c r="CT6" i="1" s="1"/>
  <c r="CB18" i="1"/>
  <c r="BX18" i="1"/>
  <c r="CE18" i="1" s="1"/>
  <c r="BW18" i="1"/>
  <c r="AF18" i="1"/>
  <c r="AE18" i="1"/>
  <c r="AD18" i="1"/>
  <c r="AC18" i="1"/>
  <c r="CR20" i="1" s="1"/>
  <c r="CY20" i="1" s="1"/>
  <c r="DA7" i="1" s="1"/>
  <c r="C18" i="1"/>
  <c r="A18" i="1"/>
  <c r="BX17" i="1"/>
  <c r="CB17" i="1" s="1"/>
  <c r="BW17" i="1"/>
  <c r="CA17" i="1" s="1"/>
  <c r="AF17" i="1"/>
  <c r="AH17" i="1" s="1"/>
  <c r="AE17" i="1"/>
  <c r="BC17" i="1" s="1"/>
  <c r="AD17" i="1"/>
  <c r="CS19" i="1" s="1"/>
  <c r="AC17" i="1"/>
  <c r="CR19" i="1" s="1"/>
  <c r="BX16" i="1"/>
  <c r="CB16" i="1" s="1"/>
  <c r="BW16" i="1"/>
  <c r="CA16" i="1" s="1"/>
  <c r="AF16" i="1"/>
  <c r="AJ16" i="1" s="1"/>
  <c r="AE16" i="1"/>
  <c r="AD16" i="1"/>
  <c r="CS18" i="1" s="1"/>
  <c r="CZ18" i="1" s="1"/>
  <c r="DB9" i="1" s="1"/>
  <c r="AC16" i="1"/>
  <c r="CR18" i="1" s="1"/>
  <c r="CY18" i="1" s="1"/>
  <c r="DA9" i="1" s="1"/>
  <c r="BX15" i="1"/>
  <c r="CB15" i="1" s="1"/>
  <c r="BW15" i="1"/>
  <c r="CA15" i="1" s="1"/>
  <c r="AF15" i="1"/>
  <c r="AE15" i="1"/>
  <c r="AJ15" i="1" s="1"/>
  <c r="AD15" i="1"/>
  <c r="CS17" i="1" s="1"/>
  <c r="AC15" i="1"/>
  <c r="CR17" i="1" s="1"/>
  <c r="CT10" i="1" s="1"/>
  <c r="BX14" i="1"/>
  <c r="CB14" i="1" s="1"/>
  <c r="BW14" i="1"/>
  <c r="CA14" i="1" s="1"/>
  <c r="AF14" i="1"/>
  <c r="AE14" i="1"/>
  <c r="AH14" i="1" s="1"/>
  <c r="AD14" i="1"/>
  <c r="CS16" i="1" s="1"/>
  <c r="CZ16" i="1" s="1"/>
  <c r="DB11" i="1" s="1"/>
  <c r="AC14" i="1"/>
  <c r="CR16" i="1" s="1"/>
  <c r="O14" i="1"/>
  <c r="N14" i="1"/>
  <c r="M14" i="1"/>
  <c r="BY13" i="1"/>
  <c r="BX13" i="1"/>
  <c r="CB13" i="1" s="1"/>
  <c r="BW13" i="1"/>
  <c r="CA13" i="1" s="1"/>
  <c r="AF13" i="1"/>
  <c r="AE13" i="1"/>
  <c r="AD13" i="1"/>
  <c r="CS15" i="1" s="1"/>
  <c r="AC13" i="1"/>
  <c r="CR15" i="1" s="1"/>
  <c r="CY15" i="1" s="1"/>
  <c r="DA12" i="1"/>
  <c r="CT12" i="1"/>
  <c r="CE12" i="1"/>
  <c r="CG15" i="1" s="1"/>
  <c r="BX12" i="1"/>
  <c r="BZ15" i="1" s="1"/>
  <c r="BW12" i="1"/>
  <c r="CA12" i="1" s="1"/>
  <c r="AF12" i="1"/>
  <c r="BD12" i="1" s="1"/>
  <c r="AE12" i="1"/>
  <c r="AD12" i="1"/>
  <c r="CS14" i="1" s="1"/>
  <c r="CU13" i="1" s="1"/>
  <c r="AC12" i="1"/>
  <c r="CR14" i="1" s="1"/>
  <c r="CY14" i="1" s="1"/>
  <c r="DA13" i="1" s="1"/>
  <c r="DQ11" i="1"/>
  <c r="DR11" i="1" s="1"/>
  <c r="DM11" i="1" s="1"/>
  <c r="DP11" i="1"/>
  <c r="DO11" i="1" s="1"/>
  <c r="DK11" i="1"/>
  <c r="DH11" i="1"/>
  <c r="DF11" i="1"/>
  <c r="DE11" i="1"/>
  <c r="BZ11" i="1"/>
  <c r="BX11" i="1"/>
  <c r="CB11" i="1" s="1"/>
  <c r="BW11" i="1"/>
  <c r="CD11" i="1" s="1"/>
  <c r="CF16" i="1" s="1"/>
  <c r="AF11" i="1"/>
  <c r="AE11" i="1"/>
  <c r="AD11" i="1"/>
  <c r="CS13" i="1" s="1"/>
  <c r="AC11" i="1"/>
  <c r="CR13" i="1" s="1"/>
  <c r="CY13" i="1" s="1"/>
  <c r="DA14" i="1" s="1"/>
  <c r="DQ10" i="1"/>
  <c r="DR10" i="1" s="1"/>
  <c r="DM10" i="1" s="1"/>
  <c r="DP10" i="1"/>
  <c r="DO10" i="1"/>
  <c r="DK10" i="1"/>
  <c r="DJ10" i="1"/>
  <c r="DF10" i="1" s="1"/>
  <c r="DI10" i="1"/>
  <c r="DH10" i="1"/>
  <c r="DG10" i="1" s="1"/>
  <c r="BX10" i="1"/>
  <c r="CE10" i="1" s="1"/>
  <c r="CG17" i="1" s="1"/>
  <c r="BW10" i="1"/>
  <c r="BY17" i="1" s="1"/>
  <c r="BB10" i="1"/>
  <c r="AF10" i="1"/>
  <c r="AE10" i="1"/>
  <c r="AD10" i="1"/>
  <c r="CS12" i="1" s="1"/>
  <c r="AC10" i="1"/>
  <c r="CR12" i="1" s="1"/>
  <c r="CY12" i="1" s="1"/>
  <c r="DA15" i="1" s="1"/>
  <c r="DQ9" i="1"/>
  <c r="DR9" i="1" s="1"/>
  <c r="DN9" i="1" s="1"/>
  <c r="DP9" i="1"/>
  <c r="DO9" i="1" s="1"/>
  <c r="DK9" i="1"/>
  <c r="DH9" i="1"/>
  <c r="DI9" i="1" s="1"/>
  <c r="DJ9" i="1" s="1"/>
  <c r="CU9" i="1"/>
  <c r="CG9" i="1"/>
  <c r="BZ9" i="1"/>
  <c r="BX9" i="1"/>
  <c r="BW9" i="1"/>
  <c r="CA9" i="1" s="1"/>
  <c r="AF9" i="1"/>
  <c r="BC9" i="1" s="1"/>
  <c r="AE9" i="1"/>
  <c r="AD9" i="1"/>
  <c r="CS11" i="1" s="1"/>
  <c r="AC9" i="1"/>
  <c r="CR11" i="1" s="1"/>
  <c r="DQ8" i="1"/>
  <c r="DR8" i="1" s="1"/>
  <c r="DP8" i="1"/>
  <c r="DO8" i="1"/>
  <c r="DK8" i="1"/>
  <c r="DI8" i="1"/>
  <c r="DJ8" i="1" s="1"/>
  <c r="DH8" i="1"/>
  <c r="DG8" i="1" s="1"/>
  <c r="CD8" i="1"/>
  <c r="CF19" i="1" s="1"/>
  <c r="BZ8" i="1"/>
  <c r="BX8" i="1"/>
  <c r="BZ19" i="1" s="1"/>
  <c r="BW8" i="1"/>
  <c r="BY19" i="1" s="1"/>
  <c r="AF8" i="1"/>
  <c r="BB8" i="1" s="1"/>
  <c r="AE8" i="1"/>
  <c r="AD8" i="1"/>
  <c r="CS10" i="1" s="1"/>
  <c r="CU17" i="1" s="1"/>
  <c r="AC8" i="1"/>
  <c r="CR10" i="1" s="1"/>
  <c r="DQ7" i="1"/>
  <c r="DR7" i="1" s="1"/>
  <c r="DN7" i="1" s="1"/>
  <c r="DP7" i="1"/>
  <c r="DO7" i="1" s="1"/>
  <c r="DK7" i="1"/>
  <c r="DH7" i="1"/>
  <c r="DI7" i="1" s="1"/>
  <c r="DJ7" i="1" s="1"/>
  <c r="BX7" i="1"/>
  <c r="BW7" i="1"/>
  <c r="BY20" i="1" s="1"/>
  <c r="AF7" i="1"/>
  <c r="AE7" i="1"/>
  <c r="AD7" i="1"/>
  <c r="CS9" i="1" s="1"/>
  <c r="AC7" i="1"/>
  <c r="CR9" i="1" s="1"/>
  <c r="A7" i="1"/>
  <c r="DP6" i="1"/>
  <c r="DQ6" i="1" s="1"/>
  <c r="DR6" i="1" s="1"/>
  <c r="DM6" i="1" s="1"/>
  <c r="DJ6" i="1"/>
  <c r="DG6" i="1" s="1"/>
  <c r="DI6" i="1"/>
  <c r="DH6" i="1"/>
  <c r="DB6" i="1"/>
  <c r="CU6" i="1"/>
  <c r="CG6" i="1"/>
  <c r="BZ6" i="1"/>
  <c r="BX6" i="1"/>
  <c r="CB6" i="1" s="1"/>
  <c r="BW6" i="1"/>
  <c r="BY21" i="1" s="1"/>
  <c r="AF6" i="1"/>
  <c r="AE6" i="1"/>
  <c r="BC6" i="1" s="1"/>
  <c r="AD6" i="1"/>
  <c r="CS8" i="1" s="1"/>
  <c r="AC6" i="1"/>
  <c r="CR8" i="1" s="1"/>
  <c r="R6" i="1"/>
  <c r="L6" i="1"/>
  <c r="K6" i="1"/>
  <c r="J6" i="1"/>
  <c r="I6" i="1"/>
  <c r="H6" i="1"/>
  <c r="G6" i="1"/>
  <c r="F6" i="1"/>
  <c r="DQ5" i="1"/>
  <c r="DR5" i="1" s="1"/>
  <c r="DP5" i="1"/>
  <c r="DH5" i="1"/>
  <c r="BZ5" i="1"/>
  <c r="BY5" i="1"/>
  <c r="BX5" i="1"/>
  <c r="CE5" i="1" s="1"/>
  <c r="CG22" i="1" s="1"/>
  <c r="BW5" i="1"/>
  <c r="BY22" i="1" s="1"/>
  <c r="AF5" i="1"/>
  <c r="BB5" i="1" s="1"/>
  <c r="AE5" i="1"/>
  <c r="AD5" i="1"/>
  <c r="CS7" i="1" s="1"/>
  <c r="AC5" i="1"/>
  <c r="CR7" i="1" s="1"/>
  <c r="DP4" i="1"/>
  <c r="DH4" i="1"/>
  <c r="BZ4" i="1"/>
  <c r="BY4" i="1"/>
  <c r="BX4" i="1"/>
  <c r="BZ23" i="1" s="1"/>
  <c r="BW4" i="1"/>
  <c r="CD4" i="1" s="1"/>
  <c r="AF4" i="1"/>
  <c r="AE4" i="1"/>
  <c r="BB4" i="1" s="1"/>
  <c r="AD4" i="1"/>
  <c r="CS6" i="1" s="1"/>
  <c r="AC4" i="1"/>
  <c r="CR6" i="1" s="1"/>
  <c r="DP3" i="1"/>
  <c r="DH3" i="1"/>
  <c r="CU3" i="1"/>
  <c r="CT3" i="1"/>
  <c r="CS3" i="1"/>
  <c r="CR3" i="1"/>
  <c r="BZ3" i="1"/>
  <c r="BY3" i="1"/>
  <c r="BX3" i="1"/>
  <c r="BW3" i="1"/>
  <c r="BE3" i="1"/>
  <c r="BE4" i="1" s="1"/>
  <c r="BA3" i="1"/>
  <c r="BA4" i="1" s="1"/>
  <c r="BA5" i="1" s="1"/>
  <c r="BA6" i="1" s="1"/>
  <c r="BA7" i="1" s="1"/>
  <c r="BA8" i="1" s="1"/>
  <c r="BA9" i="1" s="1"/>
  <c r="BA10" i="1" s="1"/>
  <c r="BA11" i="1" s="1"/>
  <c r="AK3" i="1"/>
  <c r="AK4" i="1" s="1"/>
  <c r="AG3" i="1"/>
  <c r="AG4" i="1" s="1"/>
  <c r="AG5" i="1" s="1"/>
  <c r="AG6" i="1" s="1"/>
  <c r="AG7" i="1" s="1"/>
  <c r="AG8" i="1" s="1"/>
  <c r="AG9" i="1" s="1"/>
  <c r="AG10" i="1" s="1"/>
  <c r="AG11" i="1" s="1"/>
  <c r="AF3" i="1"/>
  <c r="AE3" i="1"/>
  <c r="AD3" i="1"/>
  <c r="CS5" i="1" s="1"/>
  <c r="AC3" i="1"/>
  <c r="CR5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CT2" i="1"/>
  <c r="AF2" i="1"/>
  <c r="AE2" i="1"/>
  <c r="AD2" i="1"/>
  <c r="CS4" i="1" s="1"/>
  <c r="AC2" i="1"/>
  <c r="CR4" i="1" s="1"/>
  <c r="I2" i="1"/>
  <c r="H2" i="1" s="1"/>
  <c r="G2" i="1"/>
  <c r="BR1" i="1"/>
  <c r="BQ1" i="1"/>
  <c r="BP1" i="1"/>
  <c r="CJ36" i="1" s="1"/>
  <c r="BO1" i="1"/>
  <c r="B1" i="1"/>
  <c r="B7" i="1" s="1"/>
  <c r="AN104" i="1" s="1"/>
  <c r="BQ36" i="1" l="1"/>
  <c r="BF28" i="1"/>
  <c r="BG28" i="1" s="1"/>
  <c r="B2" i="1"/>
  <c r="BM6" i="1"/>
  <c r="AH8" i="1"/>
  <c r="AI9" i="1"/>
  <c r="DE10" i="1"/>
  <c r="BD11" i="1"/>
  <c r="CU11" i="1"/>
  <c r="BZ14" i="1"/>
  <c r="BB6" i="1"/>
  <c r="BY6" i="1"/>
  <c r="AJ13" i="1"/>
  <c r="CD17" i="1"/>
  <c r="CF10" i="1" s="1"/>
  <c r="AA25" i="1"/>
  <c r="AI25" i="1"/>
  <c r="AJ3" i="1"/>
  <c r="CU4" i="1"/>
  <c r="AH6" i="1"/>
  <c r="BY7" i="1"/>
  <c r="BC8" i="1"/>
  <c r="BB9" i="1"/>
  <c r="AJ10" i="1"/>
  <c r="BY10" i="1"/>
  <c r="AI12" i="1"/>
  <c r="BB13" i="1"/>
  <c r="BD19" i="1"/>
  <c r="BH4" i="1" s="1"/>
  <c r="BL4" i="1" s="1"/>
  <c r="CE19" i="1"/>
  <c r="CG8" i="1" s="1"/>
  <c r="BB20" i="1"/>
  <c r="CD20" i="1"/>
  <c r="CF7" i="1" s="1"/>
  <c r="CB21" i="1"/>
  <c r="CD22" i="1"/>
  <c r="CF5" i="1" s="1"/>
  <c r="CD23" i="1"/>
  <c r="CF4" i="1" s="1"/>
  <c r="BY101" i="1"/>
  <c r="BM37" i="1"/>
  <c r="BY104" i="1" s="1"/>
  <c r="BX101" i="1"/>
  <c r="BW101" i="1"/>
  <c r="C30" i="1"/>
  <c r="CY23" i="1"/>
  <c r="DA4" i="1" s="1"/>
  <c r="CT4" i="1"/>
  <c r="DM5" i="1"/>
  <c r="DN5" i="1"/>
  <c r="DO5" i="1"/>
  <c r="CU14" i="1"/>
  <c r="CZ13" i="1"/>
  <c r="DB14" i="1" s="1"/>
  <c r="DF8" i="1"/>
  <c r="DE8" i="1"/>
  <c r="DM8" i="1"/>
  <c r="DN8" i="1"/>
  <c r="CY22" i="1"/>
  <c r="DA5" i="1" s="1"/>
  <c r="CT5" i="1"/>
  <c r="DN10" i="1"/>
  <c r="BC14" i="1"/>
  <c r="AJ4" i="1"/>
  <c r="CD5" i="1"/>
  <c r="CF22" i="1" s="1"/>
  <c r="CU7" i="1"/>
  <c r="AJ9" i="1"/>
  <c r="BC10" i="1"/>
  <c r="BZ10" i="1"/>
  <c r="AI11" i="1"/>
  <c r="BY11" i="1"/>
  <c r="BC13" i="1"/>
  <c r="BZ13" i="1"/>
  <c r="AJ14" i="1"/>
  <c r="CD14" i="1"/>
  <c r="CF13" i="1" s="1"/>
  <c r="CZ14" i="1"/>
  <c r="DB13" i="1" s="1"/>
  <c r="BB17" i="1"/>
  <c r="BZ17" i="1"/>
  <c r="CY17" i="1"/>
  <c r="DA10" i="1" s="1"/>
  <c r="BD18" i="1"/>
  <c r="AJ19" i="1"/>
  <c r="AN4" i="1" s="1"/>
  <c r="AR4" i="1" s="1"/>
  <c r="CD21" i="1"/>
  <c r="CF6" i="1" s="1"/>
  <c r="BZ22" i="1"/>
  <c r="AC25" i="1"/>
  <c r="AG25" i="1"/>
  <c r="AK25" i="1"/>
  <c r="AO25" i="1"/>
  <c r="Z40" i="1"/>
  <c r="AA68" i="1"/>
  <c r="AH4" i="1"/>
  <c r="CE4" i="1"/>
  <c r="BZ7" i="1"/>
  <c r="CD10" i="1"/>
  <c r="CF17" i="1" s="1"/>
  <c r="AJ11" i="1"/>
  <c r="CD13" i="1"/>
  <c r="CF14" i="1" s="1"/>
  <c r="CE14" i="1"/>
  <c r="CG13" i="1" s="1"/>
  <c r="BY16" i="1"/>
  <c r="AH19" i="1"/>
  <c r="CE20" i="1"/>
  <c r="CG7" i="1" s="1"/>
  <c r="CE23" i="1"/>
  <c r="CG4" i="1" s="1"/>
  <c r="AC40" i="1"/>
  <c r="BC4" i="1"/>
  <c r="CE6" i="1"/>
  <c r="CG21" i="1" s="1"/>
  <c r="BB3" i="1"/>
  <c r="AS5" i="1"/>
  <c r="AJ5" i="1"/>
  <c r="BD6" i="1"/>
  <c r="CD6" i="1"/>
  <c r="CF21" i="1" s="1"/>
  <c r="AJ8" i="1"/>
  <c r="CE8" i="1"/>
  <c r="CG19" i="1" s="1"/>
  <c r="AH10" i="1"/>
  <c r="AJ12" i="1"/>
  <c r="AH13" i="1"/>
  <c r="CE13" i="1"/>
  <c r="CG14" i="1" s="1"/>
  <c r="BB14" i="1"/>
  <c r="BY14" i="1"/>
  <c r="BB16" i="1"/>
  <c r="CD16" i="1"/>
  <c r="CF11" i="1" s="1"/>
  <c r="AJ17" i="1"/>
  <c r="CE17" i="1"/>
  <c r="CG10" i="1" s="1"/>
  <c r="BB19" i="1"/>
  <c r="BF4" i="1" s="1"/>
  <c r="AJ20" i="1"/>
  <c r="CE22" i="1"/>
  <c r="CG5" i="1" s="1"/>
  <c r="Y41" i="1"/>
  <c r="BY2" i="1"/>
  <c r="BA12" i="1"/>
  <c r="BA13" i="1" s="1"/>
  <c r="BA14" i="1" s="1"/>
  <c r="BA15" i="1" s="1"/>
  <c r="BA16" i="1" s="1"/>
  <c r="BA17" i="1" s="1"/>
  <c r="BA18" i="1" s="1"/>
  <c r="BA19" i="1" s="1"/>
  <c r="BA20" i="1" s="1"/>
  <c r="BA21" i="1" s="1"/>
  <c r="CU19" i="1"/>
  <c r="CZ8" i="1"/>
  <c r="DB19" i="1" s="1"/>
  <c r="CT21" i="1"/>
  <c r="CY6" i="1"/>
  <c r="DA21" i="1" s="1"/>
  <c r="CT22" i="1"/>
  <c r="CY5" i="1"/>
  <c r="DA22" i="1" s="1"/>
  <c r="AG12" i="1"/>
  <c r="AG13" i="1" s="1"/>
  <c r="AG14" i="1" s="1"/>
  <c r="AG15" i="1" s="1"/>
  <c r="AG16" i="1" s="1"/>
  <c r="AG17" i="1" s="1"/>
  <c r="AG18" i="1" s="1"/>
  <c r="AG19" i="1" s="1"/>
  <c r="AG20" i="1" s="1"/>
  <c r="AG21" i="1" s="1"/>
  <c r="BE5" i="1"/>
  <c r="CU21" i="1"/>
  <c r="CZ6" i="1"/>
  <c r="DB21" i="1" s="1"/>
  <c r="CU22" i="1"/>
  <c r="CZ5" i="1"/>
  <c r="DB22" i="1" s="1"/>
  <c r="AK5" i="1"/>
  <c r="AL4" i="1"/>
  <c r="AP4" i="1" s="1"/>
  <c r="CT19" i="1"/>
  <c r="CY8" i="1"/>
  <c r="DA19" i="1" s="1"/>
  <c r="CT17" i="1"/>
  <c r="CY10" i="1"/>
  <c r="DA17" i="1" s="1"/>
  <c r="CS26" i="1"/>
  <c r="CU26" i="1" s="1"/>
  <c r="CX28" i="1" s="1"/>
  <c r="CZ11" i="1"/>
  <c r="DB16" i="1" s="1"/>
  <c r="BZ18" i="1"/>
  <c r="CE9" i="1"/>
  <c r="CG18" i="1" s="1"/>
  <c r="CT11" i="1"/>
  <c r="CY16" i="1"/>
  <c r="DA11" i="1" s="1"/>
  <c r="CU10" i="1"/>
  <c r="CZ17" i="1"/>
  <c r="DB10" i="1" s="1"/>
  <c r="CS27" i="1"/>
  <c r="CU27" i="1" s="1"/>
  <c r="CY28" i="1" s="1"/>
  <c r="CU8" i="1"/>
  <c r="BW27" i="1"/>
  <c r="BY27" i="1" s="1"/>
  <c r="CD19" i="1"/>
  <c r="CF8" i="1" s="1"/>
  <c r="C2" i="1"/>
  <c r="AH2" i="1"/>
  <c r="AH3" i="1"/>
  <c r="AL3" i="1"/>
  <c r="BC3" i="1"/>
  <c r="BG3" i="1"/>
  <c r="AI4" i="1"/>
  <c r="BD4" i="1"/>
  <c r="BM4" i="1"/>
  <c r="BW24" i="1"/>
  <c r="BY24" i="1" s="1"/>
  <c r="BY23" i="1"/>
  <c r="CI15" i="1"/>
  <c r="CA4" i="1"/>
  <c r="CS25" i="1"/>
  <c r="CU25" i="1" s="1"/>
  <c r="CW28" i="1" s="1"/>
  <c r="CU20" i="1"/>
  <c r="CZ7" i="1"/>
  <c r="DB20" i="1" s="1"/>
  <c r="AH5" i="1"/>
  <c r="BC5" i="1"/>
  <c r="AI6" i="1"/>
  <c r="DF6" i="1"/>
  <c r="DN6" i="1"/>
  <c r="CT18" i="1"/>
  <c r="CY9" i="1"/>
  <c r="DA18" i="1" s="1"/>
  <c r="DM7" i="1"/>
  <c r="DM9" i="1"/>
  <c r="CZ12" i="1"/>
  <c r="DB15" i="1" s="1"/>
  <c r="CU15" i="1"/>
  <c r="DN11" i="1"/>
  <c r="BZ12" i="1"/>
  <c r="CE15" i="1"/>
  <c r="CG12" i="1" s="1"/>
  <c r="CZ19" i="1"/>
  <c r="DB8" i="1" s="1"/>
  <c r="BD2" i="1"/>
  <c r="CS24" i="1"/>
  <c r="CU24" i="1" s="1"/>
  <c r="CV28" i="1" s="1"/>
  <c r="CU23" i="1"/>
  <c r="DE6" i="1"/>
  <c r="BC7" i="1"/>
  <c r="AI7" i="1"/>
  <c r="BD7" i="1"/>
  <c r="CT15" i="1"/>
  <c r="CR27" i="1"/>
  <c r="CT27" i="1" s="1"/>
  <c r="CU28" i="1" s="1"/>
  <c r="CY19" i="1"/>
  <c r="DA8" i="1" s="1"/>
  <c r="CT8" i="1"/>
  <c r="AO101" i="1"/>
  <c r="AO104" i="1"/>
  <c r="AI2" i="1"/>
  <c r="BB2" i="1"/>
  <c r="AI3" i="1"/>
  <c r="BD3" i="1"/>
  <c r="AS4" i="1"/>
  <c r="BX24" i="1"/>
  <c r="BZ24" i="1" s="1"/>
  <c r="CB24" i="1" s="1"/>
  <c r="CB4" i="1"/>
  <c r="AI5" i="1"/>
  <c r="BD5" i="1"/>
  <c r="BM5" i="1"/>
  <c r="CA5" i="1"/>
  <c r="AJ6" i="1"/>
  <c r="AS6" i="1"/>
  <c r="DO6" i="1"/>
  <c r="CU18" i="1"/>
  <c r="CZ9" i="1"/>
  <c r="DB18" i="1" s="1"/>
  <c r="AH7" i="1"/>
  <c r="BW25" i="1"/>
  <c r="BY25" i="1" s="1"/>
  <c r="CD7" i="1"/>
  <c r="CF20" i="1" s="1"/>
  <c r="CA7" i="1"/>
  <c r="CT7" i="1"/>
  <c r="DG7" i="1"/>
  <c r="BY8" i="1"/>
  <c r="AH9" i="1"/>
  <c r="BD9" i="1"/>
  <c r="CT9" i="1"/>
  <c r="DG9" i="1"/>
  <c r="CZ10" i="1"/>
  <c r="DB17" i="1" s="1"/>
  <c r="BC11" i="1"/>
  <c r="AH11" i="1"/>
  <c r="BB11" i="1"/>
  <c r="CE11" i="1"/>
  <c r="CG16" i="1" s="1"/>
  <c r="BZ16" i="1"/>
  <c r="CD12" i="1"/>
  <c r="CF15" i="1" s="1"/>
  <c r="BY15" i="1"/>
  <c r="CZ15" i="1"/>
  <c r="DB12" i="1" s="1"/>
  <c r="CU12" i="1"/>
  <c r="BD15" i="1"/>
  <c r="AI15" i="1"/>
  <c r="BC15" i="1"/>
  <c r="AH15" i="1"/>
  <c r="BB15" i="1"/>
  <c r="CI16" i="1"/>
  <c r="CI18" i="1"/>
  <c r="CA19" i="1"/>
  <c r="CY21" i="1"/>
  <c r="DA6" i="1" s="1"/>
  <c r="AD25" i="1"/>
  <c r="AH25" i="1"/>
  <c r="AL25" i="1"/>
  <c r="AP25" i="1"/>
  <c r="CG23" i="1"/>
  <c r="CZ4" i="1"/>
  <c r="CR25" i="1"/>
  <c r="CT25" i="1" s="1"/>
  <c r="CS28" i="1" s="1"/>
  <c r="CT20" i="1"/>
  <c r="CY7" i="1"/>
  <c r="DA20" i="1" s="1"/>
  <c r="F101" i="1"/>
  <c r="B93" i="1"/>
  <c r="B26" i="1"/>
  <c r="B30" i="1"/>
  <c r="B22" i="1"/>
  <c r="B18" i="1"/>
  <c r="AP101" i="1"/>
  <c r="AP104" i="1"/>
  <c r="AJ2" i="1"/>
  <c r="BC2" i="1"/>
  <c r="AN3" i="1"/>
  <c r="AR3" i="1" s="1"/>
  <c r="CF23" i="1"/>
  <c r="CR24" i="1"/>
  <c r="CT24" i="1" s="1"/>
  <c r="CR28" i="1" s="1"/>
  <c r="CT23" i="1"/>
  <c r="CY4" i="1"/>
  <c r="CB5" i="1"/>
  <c r="CU5" i="1"/>
  <c r="BZ21" i="1"/>
  <c r="AJ7" i="1"/>
  <c r="BB7" i="1"/>
  <c r="CE7" i="1"/>
  <c r="CG20" i="1" s="1"/>
  <c r="BZ20" i="1"/>
  <c r="CB7" i="1"/>
  <c r="DF7" i="1"/>
  <c r="DE7" i="1"/>
  <c r="CR26" i="1"/>
  <c r="CT26" i="1" s="1"/>
  <c r="CT28" i="1" s="1"/>
  <c r="CT16" i="1"/>
  <c r="CY11" i="1"/>
  <c r="DA16" i="1" s="1"/>
  <c r="BY18" i="1"/>
  <c r="CD9" i="1"/>
  <c r="CF18" i="1" s="1"/>
  <c r="CB9" i="1"/>
  <c r="DF9" i="1"/>
  <c r="DE9" i="1"/>
  <c r="DG11" i="1"/>
  <c r="DI11" i="1"/>
  <c r="BC12" i="1"/>
  <c r="AH12" i="1"/>
  <c r="BB12" i="1"/>
  <c r="CU16" i="1"/>
  <c r="CA18" i="1"/>
  <c r="CD18" i="1"/>
  <c r="CF9" i="1" s="1"/>
  <c r="BY9" i="1"/>
  <c r="BD21" i="1"/>
  <c r="BH2" i="1" s="1"/>
  <c r="BL2" i="1" s="1"/>
  <c r="AI21" i="1"/>
  <c r="BC21" i="1"/>
  <c r="AH21" i="1"/>
  <c r="AL2" i="1" s="1"/>
  <c r="AP2" i="1" s="1"/>
  <c r="BB21" i="1"/>
  <c r="BF2" i="1" s="1"/>
  <c r="BJ2" i="1" s="1"/>
  <c r="AJ21" i="1"/>
  <c r="AN2" i="1" s="1"/>
  <c r="AR2" i="1" s="1"/>
  <c r="CA6" i="1"/>
  <c r="AI8" i="1"/>
  <c r="BD8" i="1"/>
  <c r="CA8" i="1"/>
  <c r="AI10" i="1"/>
  <c r="BD10" i="1"/>
  <c r="CA10" i="1"/>
  <c r="CB12" i="1"/>
  <c r="AI13" i="1"/>
  <c r="BD13" i="1"/>
  <c r="CT13" i="1"/>
  <c r="AI14" i="1"/>
  <c r="BD14" i="1"/>
  <c r="CT14" i="1"/>
  <c r="CD15" i="1"/>
  <c r="CF12" i="1" s="1"/>
  <c r="AH16" i="1"/>
  <c r="BC16" i="1"/>
  <c r="CE16" i="1"/>
  <c r="CG11" i="1" s="1"/>
  <c r="AI17" i="1"/>
  <c r="BD17" i="1"/>
  <c r="AI18" i="1"/>
  <c r="BB18" i="1"/>
  <c r="AI19" i="1"/>
  <c r="BC19" i="1"/>
  <c r="CB8" i="1"/>
  <c r="CB10" i="1"/>
  <c r="BY12" i="1"/>
  <c r="AI16" i="1"/>
  <c r="BD16" i="1"/>
  <c r="AJ18" i="1"/>
  <c r="BW26" i="1"/>
  <c r="BY26" i="1" s="1"/>
  <c r="CA11" i="1"/>
  <c r="CI17" i="1"/>
  <c r="BC18" i="1"/>
  <c r="AH18" i="1"/>
  <c r="BB42" i="1"/>
  <c r="BW38" i="1"/>
  <c r="BB45" i="1"/>
  <c r="BB38" i="1"/>
  <c r="BB49" i="1"/>
  <c r="BB47" i="1"/>
  <c r="BB39" i="1"/>
  <c r="BV29" i="1"/>
  <c r="BB37" i="1"/>
  <c r="BB36" i="1"/>
  <c r="BW37" i="1"/>
  <c r="CD33" i="1"/>
  <c r="BV31" i="1"/>
  <c r="BV28" i="1"/>
  <c r="AX24" i="1"/>
  <c r="AI20" i="1"/>
  <c r="AM3" i="1" s="1"/>
  <c r="BD20" i="1"/>
  <c r="AE39" i="1"/>
  <c r="AD39" i="1"/>
  <c r="AD40" i="1"/>
  <c r="AE40" i="1"/>
  <c r="BK37" i="1"/>
  <c r="AC39" i="1"/>
  <c r="AA39" i="1"/>
  <c r="BN101" i="1"/>
  <c r="W41" i="1"/>
  <c r="V101" i="1"/>
  <c r="Y68" i="1"/>
  <c r="AB68" i="1" s="1"/>
  <c r="Z39" i="1"/>
  <c r="AB40" i="1"/>
  <c r="C93" i="1"/>
  <c r="AA40" i="1"/>
  <c r="Z68" i="1"/>
  <c r="AC68" i="1" s="1"/>
  <c r="AE68" i="1" s="1"/>
  <c r="BM104" i="1"/>
  <c r="BL37" i="1"/>
  <c r="BX104" i="1" s="1"/>
  <c r="BP36" i="1"/>
  <c r="AB39" i="1"/>
  <c r="BD42" i="1"/>
  <c r="BX25" i="1" l="1"/>
  <c r="BZ25" i="1" s="1"/>
  <c r="CB25" i="1" s="1"/>
  <c r="CD26" i="1"/>
  <c r="CF26" i="1" s="1"/>
  <c r="BE101" i="1"/>
  <c r="C7" i="1"/>
  <c r="E18" i="1"/>
  <c r="W101" i="1"/>
  <c r="U104" i="1"/>
  <c r="AG39" i="1"/>
  <c r="H18" i="1" s="1"/>
  <c r="V104" i="1"/>
  <c r="D18" i="1"/>
  <c r="BD101" i="1"/>
  <c r="AE41" i="1"/>
  <c r="K7" i="1" s="1"/>
  <c r="BD104" i="1" s="1"/>
  <c r="AF39" i="1"/>
  <c r="L7" i="1" s="1"/>
  <c r="BE104" i="1" s="1"/>
  <c r="CY27" i="1"/>
  <c r="DA27" i="1" s="1"/>
  <c r="DC28" i="1" s="1"/>
  <c r="CY25" i="1"/>
  <c r="DA25" i="1" s="1"/>
  <c r="DA28" i="1" s="1"/>
  <c r="CY26" i="1"/>
  <c r="DA26" i="1" s="1"/>
  <c r="DB28" i="1" s="1"/>
  <c r="CY24" i="1"/>
  <c r="DA24" i="1" s="1"/>
  <c r="CZ28" i="1" s="1"/>
  <c r="DA23" i="1"/>
  <c r="CD25" i="1"/>
  <c r="CF25" i="1" s="1"/>
  <c r="BY34" i="1"/>
  <c r="BY38" i="1" s="1"/>
  <c r="CS31" i="1" s="1"/>
  <c r="CA25" i="1"/>
  <c r="CF101" i="1"/>
  <c r="BM7" i="1"/>
  <c r="CG101" i="1" s="1"/>
  <c r="BB101" i="1"/>
  <c r="AC41" i="1"/>
  <c r="I7" i="1" s="1"/>
  <c r="BB104" i="1" s="1"/>
  <c r="BW104" i="1"/>
  <c r="BQ37" i="1"/>
  <c r="BP37" i="1"/>
  <c r="CH26" i="1"/>
  <c r="CE26" i="1"/>
  <c r="CG26" i="1" s="1"/>
  <c r="CI26" i="1" s="1"/>
  <c r="BA101" i="1"/>
  <c r="AB41" i="1"/>
  <c r="H7" i="1" s="1"/>
  <c r="BA104" i="1" s="1"/>
  <c r="D93" i="1"/>
  <c r="W104" i="1"/>
  <c r="CA26" i="1"/>
  <c r="AY101" i="1"/>
  <c r="Z41" i="1"/>
  <c r="F7" i="1" s="1"/>
  <c r="AY104" i="1" s="1"/>
  <c r="AZ101" i="1"/>
  <c r="AA41" i="1"/>
  <c r="G7" i="1" s="1"/>
  <c r="AZ104" i="1" s="1"/>
  <c r="CD24" i="1"/>
  <c r="CF24" i="1" s="1"/>
  <c r="CE25" i="1"/>
  <c r="CG25" i="1" s="1"/>
  <c r="CI25" i="1" s="1"/>
  <c r="AS7" i="1"/>
  <c r="AT9" i="1" s="1"/>
  <c r="AP3" i="1"/>
  <c r="AK6" i="1"/>
  <c r="AN5" i="1"/>
  <c r="AR5" i="1" s="1"/>
  <c r="AM5" i="1"/>
  <c r="AL5" i="1"/>
  <c r="AP5" i="1" s="1"/>
  <c r="BH5" i="1"/>
  <c r="BL5" i="1" s="1"/>
  <c r="BF5" i="1"/>
  <c r="BJ5" i="1" s="1"/>
  <c r="BE6" i="1"/>
  <c r="BG5" i="1"/>
  <c r="BF3" i="1"/>
  <c r="BJ3" i="1" s="1"/>
  <c r="BJ4" i="1" s="1"/>
  <c r="CE24" i="1"/>
  <c r="CG24" i="1" s="1"/>
  <c r="CI24" i="1" s="1"/>
  <c r="BX34" i="1"/>
  <c r="BX38" i="1" s="1"/>
  <c r="CR31" i="1" s="1"/>
  <c r="BW29" i="1"/>
  <c r="CA24" i="1"/>
  <c r="AD68" i="1"/>
  <c r="AF68" i="1"/>
  <c r="D30" i="1"/>
  <c r="F18" i="1"/>
  <c r="BC101" i="1"/>
  <c r="AD41" i="1"/>
  <c r="J7" i="1" s="1"/>
  <c r="BC104" i="1" s="1"/>
  <c r="CD27" i="1"/>
  <c r="CF27" i="1" s="1"/>
  <c r="CZ25" i="1"/>
  <c r="DB25" i="1" s="1"/>
  <c r="DE28" i="1" s="1"/>
  <c r="CZ26" i="1"/>
  <c r="DB26" i="1" s="1"/>
  <c r="DF28" i="1" s="1"/>
  <c r="CZ27" i="1"/>
  <c r="DB27" i="1" s="1"/>
  <c r="DG28" i="1" s="1"/>
  <c r="CZ24" i="1"/>
  <c r="DB24" i="1" s="1"/>
  <c r="DD28" i="1" s="1"/>
  <c r="DB23" i="1"/>
  <c r="CE27" i="1"/>
  <c r="CG27" i="1" s="1"/>
  <c r="CI27" i="1" s="1"/>
  <c r="BH3" i="1"/>
  <c r="BL3" i="1" s="1"/>
  <c r="CA27" i="1"/>
  <c r="AM4" i="1"/>
  <c r="BG4" i="1"/>
  <c r="AM2" i="1"/>
  <c r="BG2" i="1"/>
  <c r="BK2" i="1" s="1"/>
  <c r="AB12" i="2"/>
  <c r="F12" i="2"/>
  <c r="BX26" i="1" l="1"/>
  <c r="CG34" i="1"/>
  <c r="CD38" i="1" s="1"/>
  <c r="CX31" i="1" s="1"/>
  <c r="BK4" i="1"/>
  <c r="BK5" i="1" s="1"/>
  <c r="DI4" i="1"/>
  <c r="DJ4" i="1" s="1"/>
  <c r="DI3" i="1"/>
  <c r="DJ3" i="1" s="1"/>
  <c r="BN9" i="1"/>
  <c r="DI5" i="1"/>
  <c r="DJ5" i="1" s="1"/>
  <c r="CE34" i="1"/>
  <c r="CB38" i="1" s="1"/>
  <c r="CV31" i="1" s="1"/>
  <c r="CD29" i="1"/>
  <c r="CH24" i="1"/>
  <c r="CG104" i="1"/>
  <c r="BD38" i="1"/>
  <c r="N17" i="1" s="1"/>
  <c r="CV2" i="1"/>
  <c r="AQ2" i="1"/>
  <c r="AQ3" i="1" s="1"/>
  <c r="AQ4" i="1" s="1"/>
  <c r="AQ5" i="1" s="1"/>
  <c r="AS9" i="1"/>
  <c r="CF28" i="1"/>
  <c r="CG33" i="1"/>
  <c r="BM9" i="1"/>
  <c r="AH68" i="1"/>
  <c r="G18" i="1" s="1"/>
  <c r="AG68" i="1"/>
  <c r="BH6" i="1"/>
  <c r="BL6" i="1" s="1"/>
  <c r="BG6" i="1"/>
  <c r="BF6" i="1"/>
  <c r="BJ6" i="1" s="1"/>
  <c r="BE7" i="1"/>
  <c r="BD37" i="1"/>
  <c r="N16" i="1" s="1"/>
  <c r="CD101" i="1" s="1"/>
  <c r="CD104" i="1"/>
  <c r="CF34" i="1"/>
  <c r="CC38" i="1" s="1"/>
  <c r="CW31" i="1" s="1"/>
  <c r="CE29" i="1"/>
  <c r="CH25" i="1"/>
  <c r="CG29" i="1"/>
  <c r="CH34" i="1"/>
  <c r="CE38" i="1" s="1"/>
  <c r="CY31" i="1" s="1"/>
  <c r="CH27" i="1"/>
  <c r="BX33" i="1"/>
  <c r="BW28" i="1"/>
  <c r="AL6" i="1"/>
  <c r="AP6" i="1" s="1"/>
  <c r="AN6" i="1"/>
  <c r="AR6" i="1" s="1"/>
  <c r="AM6" i="1"/>
  <c r="AK7" i="1"/>
  <c r="AU9" i="1"/>
  <c r="BK3" i="1"/>
  <c r="CF29" i="1"/>
  <c r="CH101" i="1"/>
  <c r="BO9" i="1"/>
  <c r="BY33" i="1"/>
  <c r="BX28" i="1"/>
  <c r="BX29" i="1"/>
  <c r="AG104" i="1"/>
  <c r="AG101" i="1"/>
  <c r="K18" i="1"/>
  <c r="F8" i="2"/>
  <c r="BZ26" i="1" l="1"/>
  <c r="BX27" i="1"/>
  <c r="BZ27" i="1" s="1"/>
  <c r="AQ6" i="1"/>
  <c r="BK6" i="1"/>
  <c r="BE8" i="1"/>
  <c r="BG7" i="1"/>
  <c r="BK7" i="1" s="1"/>
  <c r="BH7" i="1"/>
  <c r="BL7" i="1" s="1"/>
  <c r="BF7" i="1"/>
  <c r="BJ7" i="1" s="1"/>
  <c r="CF104" i="1"/>
  <c r="BC38" i="1"/>
  <c r="BR9" i="1"/>
  <c r="BQ9" i="1"/>
  <c r="BP9" i="1"/>
  <c r="DG5" i="1"/>
  <c r="DE5" i="1"/>
  <c r="DF5" i="1"/>
  <c r="CE104" i="1"/>
  <c r="BA24" i="1"/>
  <c r="BE37" i="1"/>
  <c r="O16" i="1" s="1"/>
  <c r="CE101" i="1" s="1"/>
  <c r="CE33" i="1"/>
  <c r="CD28" i="1"/>
  <c r="DF4" i="1"/>
  <c r="AM7" i="1"/>
  <c r="AQ7" i="1" s="1"/>
  <c r="AK8" i="1"/>
  <c r="AN7" i="1"/>
  <c r="AR7" i="1" s="1"/>
  <c r="AL7" i="1"/>
  <c r="AP7" i="1" s="1"/>
  <c r="BC47" i="1"/>
  <c r="BW30" i="1"/>
  <c r="BX35" i="1"/>
  <c r="AZ24" i="1"/>
  <c r="CD37" i="1"/>
  <c r="CD36" i="1"/>
  <c r="CC104" i="1"/>
  <c r="BC37" i="1"/>
  <c r="AX9" i="1"/>
  <c r="AY24" i="1"/>
  <c r="AW9" i="1"/>
  <c r="AV9" i="1"/>
  <c r="DG3" i="1"/>
  <c r="DG4" i="1"/>
  <c r="BY37" i="1"/>
  <c r="BY36" i="1"/>
  <c r="CH33" i="1"/>
  <c r="CG28" i="1"/>
  <c r="DF3" i="1"/>
  <c r="BE38" i="1"/>
  <c r="O17" i="1" s="1"/>
  <c r="CH104" i="1"/>
  <c r="BD47" i="1"/>
  <c r="BY35" i="1"/>
  <c r="BX37" i="1"/>
  <c r="BX36" i="1"/>
  <c r="CF33" i="1"/>
  <c r="CE28" i="1"/>
  <c r="AH104" i="1"/>
  <c r="AH101" i="1"/>
  <c r="L18" i="1"/>
  <c r="CC30" i="1"/>
  <c r="CD35" i="1"/>
  <c r="BI47" i="1"/>
  <c r="DE3" i="1"/>
  <c r="DE4" i="1"/>
  <c r="X12" i="2"/>
  <c r="W12" i="2"/>
  <c r="T12" i="2"/>
  <c r="S12" i="2"/>
  <c r="P12" i="2"/>
  <c r="O12" i="2"/>
  <c r="N12" i="2"/>
  <c r="M12" i="2"/>
  <c r="I12" i="2"/>
  <c r="H12" i="2"/>
  <c r="G12" i="2"/>
  <c r="AI12" i="2"/>
  <c r="E12" i="2"/>
  <c r="D12" i="2"/>
  <c r="C12" i="2"/>
  <c r="B12" i="2"/>
  <c r="AH8" i="2"/>
  <c r="AL8" i="2" s="1"/>
  <c r="T8" i="2"/>
  <c r="I8" i="2"/>
  <c r="E8" i="2"/>
  <c r="D8" i="2"/>
  <c r="C8" i="2"/>
  <c r="B8" i="2"/>
  <c r="E7" i="2"/>
  <c r="D7" i="2"/>
  <c r="C7" i="2"/>
  <c r="B7" i="2"/>
  <c r="U4" i="2" l="1"/>
  <c r="CB27" i="1"/>
  <c r="BZ29" i="1"/>
  <c r="CA34" i="1"/>
  <c r="CA38" i="1" s="1"/>
  <c r="CU31" i="1" s="1"/>
  <c r="CB26" i="1"/>
  <c r="BY29" i="1"/>
  <c r="BZ34" i="1"/>
  <c r="BZ38" i="1" s="1"/>
  <c r="CT31" i="1" s="1"/>
  <c r="BX30" i="1"/>
  <c r="DJ16" i="1"/>
  <c r="BH46" i="1" s="1"/>
  <c r="DI15" i="1"/>
  <c r="BG45" i="1" s="1"/>
  <c r="DI16" i="1"/>
  <c r="BG46" i="1" s="1"/>
  <c r="DH15" i="1"/>
  <c r="BF45" i="1" s="1"/>
  <c r="DH16" i="1"/>
  <c r="BF46" i="1" s="1"/>
  <c r="DJ15" i="1"/>
  <c r="BH45" i="1" s="1"/>
  <c r="BJ47" i="1"/>
  <c r="CE35" i="1"/>
  <c r="CD30" i="1"/>
  <c r="BC24" i="1"/>
  <c r="BB24" i="1"/>
  <c r="AN8" i="1"/>
  <c r="AR8" i="1" s="1"/>
  <c r="AK9" i="1"/>
  <c r="AM8" i="1"/>
  <c r="AQ8" i="1" s="1"/>
  <c r="AL8" i="1"/>
  <c r="AP8" i="1" s="1"/>
  <c r="CD31" i="1"/>
  <c r="CB37" i="1"/>
  <c r="CB36" i="1"/>
  <c r="BS101" i="1"/>
  <c r="BI38" i="1"/>
  <c r="BT101" i="1"/>
  <c r="BH38" i="1"/>
  <c r="M17" i="1"/>
  <c r="BH47" i="1"/>
  <c r="CB30" i="1"/>
  <c r="CC35" i="1"/>
  <c r="CE36" i="1"/>
  <c r="CE37" i="1"/>
  <c r="DH14" i="1"/>
  <c r="DI14" i="1" s="1"/>
  <c r="DJ14" i="1" s="1"/>
  <c r="BE9" i="1"/>
  <c r="BH8" i="1"/>
  <c r="BL8" i="1" s="1"/>
  <c r="BG8" i="1"/>
  <c r="BK8" i="1" s="1"/>
  <c r="BF8" i="1"/>
  <c r="BJ8" i="1" s="1"/>
  <c r="CC37" i="1"/>
  <c r="CC36" i="1"/>
  <c r="BR101" i="1"/>
  <c r="BQ101" i="1"/>
  <c r="BI37" i="1"/>
  <c r="BH37" i="1"/>
  <c r="M16" i="1"/>
  <c r="CC101" i="1" s="1"/>
  <c r="BG47" i="1"/>
  <c r="CA30" i="1"/>
  <c r="CB35" i="1"/>
  <c r="AM12" i="2"/>
  <c r="AQ12" i="2" s="1"/>
  <c r="L12" i="2"/>
  <c r="X8" i="2"/>
  <c r="AB8" i="2" s="1"/>
  <c r="K12" i="2"/>
  <c r="M8" i="2"/>
  <c r="W8" i="2"/>
  <c r="AK8" i="2"/>
  <c r="AR8" i="2" s="1"/>
  <c r="AP8" i="2"/>
  <c r="J8" i="2"/>
  <c r="L8" i="2" s="1"/>
  <c r="AL12" i="2"/>
  <c r="AK12" i="2" s="1"/>
  <c r="AC12" i="2"/>
  <c r="J12" i="2"/>
  <c r="BZ33" i="1" l="1"/>
  <c r="BY28" i="1"/>
  <c r="DQ4" i="1"/>
  <c r="DR4" i="1" s="1"/>
  <c r="DQ3" i="1"/>
  <c r="DR3" i="1" s="1"/>
  <c r="CA33" i="1"/>
  <c r="BZ28" i="1"/>
  <c r="BR104" i="1"/>
  <c r="H30" i="1"/>
  <c r="BE10" i="1"/>
  <c r="BH9" i="1"/>
  <c r="BL9" i="1" s="1"/>
  <c r="BG9" i="1"/>
  <c r="BK9" i="1" s="1"/>
  <c r="BF9" i="1"/>
  <c r="BJ9" i="1" s="1"/>
  <c r="BS104" i="1"/>
  <c r="I30" i="1"/>
  <c r="AJ38" i="1"/>
  <c r="I26" i="1"/>
  <c r="AI38" i="1"/>
  <c r="N6" i="1" s="1"/>
  <c r="G26" i="1"/>
  <c r="BQ104" i="1"/>
  <c r="G30" i="1"/>
  <c r="BG101" i="1"/>
  <c r="AI39" i="1"/>
  <c r="N7" i="1" s="1"/>
  <c r="BG104" i="1"/>
  <c r="H26" i="1"/>
  <c r="AL9" i="1"/>
  <c r="AP9" i="1" s="1"/>
  <c r="AK10" i="1"/>
  <c r="AN9" i="1"/>
  <c r="AR9" i="1" s="1"/>
  <c r="AM9" i="1"/>
  <c r="AQ9" i="1" s="1"/>
  <c r="BF101" i="1"/>
  <c r="AH39" i="1"/>
  <c r="M7" i="1" s="1"/>
  <c r="BF104" i="1"/>
  <c r="F26" i="1"/>
  <c r="J26" i="1"/>
  <c r="AJ39" i="1"/>
  <c r="BT104" i="1"/>
  <c r="J30" i="1"/>
  <c r="E26" i="1"/>
  <c r="S7" i="1" s="1"/>
  <c r="AH38" i="1"/>
  <c r="M6" i="1" s="1"/>
  <c r="AD8" i="2"/>
  <c r="AO12" i="2"/>
  <c r="AJ8" i="2"/>
  <c r="N8" i="2"/>
  <c r="P8" i="2"/>
  <c r="AM8" i="2"/>
  <c r="Z12" i="2" s="1"/>
  <c r="Y8" i="2"/>
  <c r="V12" i="2" s="1"/>
  <c r="Q8" i="2"/>
  <c r="R8" i="2"/>
  <c r="AF12" i="2"/>
  <c r="AS12" i="2"/>
  <c r="AP12" i="2"/>
  <c r="AR12" i="2" s="1"/>
  <c r="AJ12" i="2" s="1"/>
  <c r="V4" i="2" s="1"/>
  <c r="AO8" i="2"/>
  <c r="AQ8" i="2" s="1"/>
  <c r="AI8" i="2" s="1"/>
  <c r="Y12" i="2" s="1"/>
  <c r="AN8" i="2"/>
  <c r="H8" i="2"/>
  <c r="V8" i="2"/>
  <c r="Z8" i="2"/>
  <c r="K8" i="2"/>
  <c r="R12" i="2" s="1"/>
  <c r="O8" i="2"/>
  <c r="G8" i="2" s="1"/>
  <c r="Q12" i="2" s="1"/>
  <c r="AN12" i="2"/>
  <c r="W4" i="2" s="1"/>
  <c r="AA8" i="2"/>
  <c r="AC8" i="2" s="1"/>
  <c r="U8" i="2" s="1"/>
  <c r="U12" i="2" s="1"/>
  <c r="AT12" i="2" l="1"/>
  <c r="AG12" i="2" s="1"/>
  <c r="X4" i="2"/>
  <c r="BF47" i="1"/>
  <c r="CA35" i="1"/>
  <c r="BZ30" i="1"/>
  <c r="DO4" i="1"/>
  <c r="DM4" i="1"/>
  <c r="DN4" i="1"/>
  <c r="CA36" i="1"/>
  <c r="CA37" i="1"/>
  <c r="BE47" i="1"/>
  <c r="BY30" i="1"/>
  <c r="BZ35" i="1"/>
  <c r="DN3" i="1"/>
  <c r="DM3" i="1"/>
  <c r="DO3" i="1"/>
  <c r="BW31" i="1"/>
  <c r="BZ36" i="1"/>
  <c r="BZ37" i="1"/>
  <c r="BL104" i="1"/>
  <c r="BL101" i="1"/>
  <c r="AN10" i="1"/>
  <c r="AR10" i="1" s="1"/>
  <c r="AK11" i="1"/>
  <c r="AM10" i="1"/>
  <c r="AQ10" i="1" s="1"/>
  <c r="AL10" i="1"/>
  <c r="AP10" i="1" s="1"/>
  <c r="BH10" i="1"/>
  <c r="BL10" i="1" s="1"/>
  <c r="BE11" i="1"/>
  <c r="BG10" i="1"/>
  <c r="BK10" i="1" s="1"/>
  <c r="BF10" i="1"/>
  <c r="BJ10" i="1" s="1"/>
  <c r="AD12" i="2"/>
  <c r="AU12" i="2"/>
  <c r="AH12" i="2" s="1"/>
  <c r="AE12" i="2"/>
  <c r="AT8" i="2"/>
  <c r="AS8" i="2"/>
  <c r="AF8" i="2"/>
  <c r="AE8" i="2"/>
  <c r="DP14" i="1" l="1"/>
  <c r="CB101" i="1"/>
  <c r="CK101" i="1" s="1"/>
  <c r="CA101" i="1"/>
  <c r="CJ101" i="1" s="1"/>
  <c r="CH37" i="1"/>
  <c r="BZ101" i="1"/>
  <c r="CI101" i="1" s="1"/>
  <c r="CI37" i="1"/>
  <c r="CG37" i="1"/>
  <c r="DQ15" i="1"/>
  <c r="BK45" i="1" s="1"/>
  <c r="AM38" i="1" s="1"/>
  <c r="DP16" i="1"/>
  <c r="BJ46" i="1" s="1"/>
  <c r="DQ16" i="1"/>
  <c r="BK46" i="1" s="1"/>
  <c r="AM39" i="1" s="1"/>
  <c r="DP15" i="1"/>
  <c r="BJ45" i="1" s="1"/>
  <c r="AL38" i="1" s="1"/>
  <c r="BD53" i="1"/>
  <c r="BC53" i="1"/>
  <c r="BG11" i="1"/>
  <c r="BK11" i="1" s="1"/>
  <c r="BE12" i="1"/>
  <c r="BF11" i="1"/>
  <c r="BJ11" i="1" s="1"/>
  <c r="BH11" i="1"/>
  <c r="BL11" i="1" s="1"/>
  <c r="AK12" i="1"/>
  <c r="AL11" i="1"/>
  <c r="AP11" i="1" s="1"/>
  <c r="AN11" i="1"/>
  <c r="AR11" i="1" s="1"/>
  <c r="AM11" i="1"/>
  <c r="AQ11" i="1" s="1"/>
  <c r="BD36" i="1" l="1"/>
  <c r="CA104" i="1"/>
  <c r="BZ104" i="1"/>
  <c r="BC36" i="1"/>
  <c r="CB104" i="1"/>
  <c r="BE36" i="1"/>
  <c r="BS53" i="1"/>
  <c r="BD51" i="1" s="1"/>
  <c r="BE56" i="1" s="1"/>
  <c r="BC51" i="1"/>
  <c r="BE55" i="1" s="1"/>
  <c r="AL39" i="1"/>
  <c r="BR46" i="1"/>
  <c r="BK101" i="1"/>
  <c r="DQ14" i="1"/>
  <c r="DR14" i="1" s="1"/>
  <c r="DR16" i="1"/>
  <c r="BL46" i="1" s="1"/>
  <c r="AN39" i="1" s="1"/>
  <c r="DR15" i="1"/>
  <c r="BL45" i="1" s="1"/>
  <c r="AN38" i="1" s="1"/>
  <c r="AK13" i="1"/>
  <c r="AL12" i="1"/>
  <c r="AP12" i="1" s="1"/>
  <c r="AN12" i="1"/>
  <c r="AR12" i="1" s="1"/>
  <c r="AM12" i="1"/>
  <c r="AQ12" i="1" s="1"/>
  <c r="BG12" i="1"/>
  <c r="BK12" i="1" s="1"/>
  <c r="BE13" i="1"/>
  <c r="BF12" i="1"/>
  <c r="BJ12" i="1" s="1"/>
  <c r="BH12" i="1"/>
  <c r="BL12" i="1" s="1"/>
  <c r="BD55" i="1" l="1"/>
  <c r="BC67" i="1"/>
  <c r="BD68" i="1"/>
  <c r="BC68" i="1"/>
  <c r="BC66" i="1"/>
  <c r="BD69" i="1"/>
  <c r="BD64" i="1"/>
  <c r="BC58" i="1"/>
  <c r="BC55" i="1"/>
  <c r="BC64" i="1"/>
  <c r="BC61" i="1"/>
  <c r="BC63" i="1"/>
  <c r="BC62" i="1"/>
  <c r="BC69" i="1"/>
  <c r="BD61" i="1"/>
  <c r="BC57" i="1"/>
  <c r="BD70" i="1"/>
  <c r="BC70" i="1"/>
  <c r="BD62" i="1"/>
  <c r="BC65" i="1"/>
  <c r="BD67" i="1"/>
  <c r="BD57" i="1"/>
  <c r="BD65" i="1"/>
  <c r="BD66" i="1"/>
  <c r="BC60" i="1"/>
  <c r="BD59" i="1"/>
  <c r="BD60" i="1"/>
  <c r="BD63" i="1"/>
  <c r="BD58" i="1"/>
  <c r="BC59" i="1"/>
  <c r="BC56" i="1"/>
  <c r="BD56" i="1"/>
  <c r="BO101" i="1"/>
  <c r="BI36" i="1"/>
  <c r="AD101" i="1"/>
  <c r="M22" i="1"/>
  <c r="BC39" i="1"/>
  <c r="M15" i="1"/>
  <c r="BP101" i="1"/>
  <c r="BH36" i="1"/>
  <c r="BK104" i="1"/>
  <c r="D26" i="1"/>
  <c r="R7" i="1" s="1"/>
  <c r="BE39" i="1"/>
  <c r="O15" i="1"/>
  <c r="O22" i="1"/>
  <c r="N22" i="1"/>
  <c r="N15" i="1"/>
  <c r="BD39" i="1"/>
  <c r="BF13" i="1"/>
  <c r="BJ13" i="1" s="1"/>
  <c r="BE14" i="1"/>
  <c r="BH13" i="1"/>
  <c r="BL13" i="1" s="1"/>
  <c r="BG13" i="1"/>
  <c r="BK13" i="1" s="1"/>
  <c r="AK14" i="1"/>
  <c r="AN13" i="1"/>
  <c r="AR13" i="1" s="1"/>
  <c r="AM13" i="1"/>
  <c r="AQ13" i="1" s="1"/>
  <c r="AL13" i="1"/>
  <c r="AP13" i="1" s="1"/>
  <c r="N18" i="1" l="1"/>
  <c r="AJ101" i="1"/>
  <c r="CJ104" i="1"/>
  <c r="AJ104" i="1"/>
  <c r="CK104" i="1"/>
  <c r="AK104" i="1"/>
  <c r="O18" i="1"/>
  <c r="AK101" i="1"/>
  <c r="D7" i="1"/>
  <c r="I18" i="1"/>
  <c r="BO104" i="1"/>
  <c r="E30" i="1"/>
  <c r="E7" i="1"/>
  <c r="AD104" i="1"/>
  <c r="F30" i="1"/>
  <c r="BP104" i="1"/>
  <c r="K93" i="1"/>
  <c r="J18" i="1"/>
  <c r="BH39" i="1"/>
  <c r="AI104" i="1"/>
  <c r="CI104" i="1"/>
  <c r="AI101" i="1"/>
  <c r="M18" i="1"/>
  <c r="BV101" i="1"/>
  <c r="BI39" i="1"/>
  <c r="BU101" i="1"/>
  <c r="AQ101" i="1"/>
  <c r="BK42" i="1"/>
  <c r="BH43" i="1"/>
  <c r="BJ101" i="1"/>
  <c r="BG43" i="1"/>
  <c r="AW101" i="1"/>
  <c r="BF43" i="1"/>
  <c r="AR101" i="1"/>
  <c r="BM45" i="1"/>
  <c r="BG42" i="1"/>
  <c r="BJ42" i="1"/>
  <c r="AF101" i="1"/>
  <c r="BO42" i="1"/>
  <c r="BF42" i="1"/>
  <c r="BO45" i="1"/>
  <c r="BN45" i="1"/>
  <c r="BI43" i="1"/>
  <c r="BN42" i="1"/>
  <c r="AX101" i="1"/>
  <c r="BM42" i="1"/>
  <c r="AS101" i="1"/>
  <c r="BL42" i="1"/>
  <c r="AE101" i="1"/>
  <c r="AU101" i="1"/>
  <c r="AT101" i="1"/>
  <c r="BI42" i="1"/>
  <c r="BH42" i="1"/>
  <c r="AV101" i="1"/>
  <c r="BI101" i="1"/>
  <c r="BH101" i="1"/>
  <c r="BF14" i="1"/>
  <c r="BJ14" i="1" s="1"/>
  <c r="BH14" i="1"/>
  <c r="BL14" i="1" s="1"/>
  <c r="BE15" i="1"/>
  <c r="BG14" i="1"/>
  <c r="BK14" i="1" s="1"/>
  <c r="AN14" i="1"/>
  <c r="AR14" i="1" s="1"/>
  <c r="AK15" i="1"/>
  <c r="AM14" i="1"/>
  <c r="AQ14" i="1" s="1"/>
  <c r="AL14" i="1"/>
  <c r="AP14" i="1" s="1"/>
  <c r="G22" i="1" l="1"/>
  <c r="Q7" i="1" s="1"/>
  <c r="AU104" i="1"/>
  <c r="BJ104" i="1"/>
  <c r="D22" i="1"/>
  <c r="M93" i="1" s="1"/>
  <c r="AF104" i="1" s="1"/>
  <c r="AR104" i="1"/>
  <c r="H22" i="1"/>
  <c r="AV104" i="1"/>
  <c r="BV104" i="1"/>
  <c r="L30" i="1"/>
  <c r="AW104" i="1"/>
  <c r="I22" i="1"/>
  <c r="C22" i="1"/>
  <c r="BH104" i="1"/>
  <c r="AQ104" i="1"/>
  <c r="BI104" i="1"/>
  <c r="E22" i="1"/>
  <c r="P7" i="1" s="1"/>
  <c r="AS104" i="1"/>
  <c r="J22" i="1"/>
  <c r="AX104" i="1"/>
  <c r="AT104" i="1"/>
  <c r="F22" i="1"/>
  <c r="BU104" i="1"/>
  <c r="K30" i="1"/>
  <c r="AM15" i="1"/>
  <c r="AQ15" i="1" s="1"/>
  <c r="AL15" i="1"/>
  <c r="AP15" i="1" s="1"/>
  <c r="AK16" i="1"/>
  <c r="AN15" i="1"/>
  <c r="AR15" i="1" s="1"/>
  <c r="BE16" i="1"/>
  <c r="BH15" i="1"/>
  <c r="BL15" i="1" s="1"/>
  <c r="BG15" i="1"/>
  <c r="BK15" i="1" s="1"/>
  <c r="BF15" i="1"/>
  <c r="BJ15" i="1" s="1"/>
  <c r="O7" i="1" l="1"/>
  <c r="L93" i="1"/>
  <c r="AE104" i="1" s="1"/>
  <c r="AK17" i="1"/>
  <c r="AN16" i="1"/>
  <c r="AR16" i="1" s="1"/>
  <c r="AM16" i="1"/>
  <c r="AQ16" i="1" s="1"/>
  <c r="AL16" i="1"/>
  <c r="AP16" i="1" s="1"/>
  <c r="BE17" i="1"/>
  <c r="BH16" i="1"/>
  <c r="BL16" i="1" s="1"/>
  <c r="BG16" i="1"/>
  <c r="BK16" i="1" s="1"/>
  <c r="BF16" i="1"/>
  <c r="BJ16" i="1" s="1"/>
  <c r="BE18" i="1" l="1"/>
  <c r="BF17" i="1"/>
  <c r="BJ17" i="1" s="1"/>
  <c r="BH17" i="1"/>
  <c r="BL17" i="1" s="1"/>
  <c r="BG17" i="1"/>
  <c r="BK17" i="1" s="1"/>
  <c r="AK18" i="1"/>
  <c r="AN17" i="1"/>
  <c r="AR17" i="1" s="1"/>
  <c r="AM17" i="1"/>
  <c r="AQ17" i="1" s="1"/>
  <c r="AL17" i="1"/>
  <c r="AP17" i="1" s="1"/>
  <c r="AL18" i="1" l="1"/>
  <c r="AP18" i="1" s="1"/>
  <c r="AK19" i="1"/>
  <c r="AN18" i="1"/>
  <c r="AR18" i="1" s="1"/>
  <c r="AM18" i="1"/>
  <c r="AQ18" i="1" s="1"/>
  <c r="BE19" i="1"/>
  <c r="BG18" i="1"/>
  <c r="BK18" i="1" s="1"/>
  <c r="BH18" i="1"/>
  <c r="BL18" i="1" s="1"/>
  <c r="BF18" i="1"/>
  <c r="BJ18" i="1" s="1"/>
  <c r="AN19" i="1" l="1"/>
  <c r="AR19" i="1" s="1"/>
  <c r="AL19" i="1"/>
  <c r="AP19" i="1" s="1"/>
  <c r="AK20" i="1"/>
  <c r="AM19" i="1"/>
  <c r="AQ19" i="1" s="1"/>
  <c r="BE20" i="1"/>
  <c r="BF19" i="1"/>
  <c r="BJ19" i="1" s="1"/>
  <c r="BH19" i="1"/>
  <c r="BL19" i="1" s="1"/>
  <c r="BG19" i="1"/>
  <c r="BK19" i="1" s="1"/>
  <c r="AN20" i="1" l="1"/>
  <c r="AR20" i="1" s="1"/>
  <c r="AM20" i="1"/>
  <c r="AQ20" i="1" s="1"/>
  <c r="AK21" i="1"/>
  <c r="AL20" i="1"/>
  <c r="AP20" i="1" s="1"/>
  <c r="BH20" i="1"/>
  <c r="BL20" i="1" s="1"/>
  <c r="BG20" i="1"/>
  <c r="BK20" i="1" s="1"/>
  <c r="BF20" i="1"/>
  <c r="BJ20" i="1" s="1"/>
  <c r="BE21" i="1"/>
  <c r="BH21" i="1" l="1"/>
  <c r="BL21" i="1" s="1"/>
  <c r="BG21" i="1"/>
  <c r="BK21" i="1" s="1"/>
  <c r="BF21" i="1"/>
  <c r="BJ21" i="1" s="1"/>
  <c r="AM21" i="1"/>
  <c r="AQ21" i="1" s="1"/>
  <c r="AL21" i="1"/>
  <c r="AP21" i="1" s="1"/>
  <c r="AN21" i="1"/>
  <c r="AR21" i="1" s="1"/>
  <c r="BR4" i="1" l="1"/>
  <c r="BF33" i="1" s="1"/>
  <c r="BO4" i="1"/>
  <c r="BQ4" i="1" s="1"/>
  <c r="BR5" i="1"/>
  <c r="BG33" i="1" s="1"/>
  <c r="BO5" i="1"/>
  <c r="BQ5" i="1" s="1"/>
  <c r="BD33" i="1" s="1"/>
  <c r="AX5" i="1"/>
  <c r="BG32" i="1" s="1"/>
  <c r="AU5" i="1"/>
  <c r="AW5" i="1" s="1"/>
  <c r="BD32" i="1" s="1"/>
  <c r="AX6" i="1"/>
  <c r="BH32" i="1" s="1"/>
  <c r="AU6" i="1"/>
  <c r="AW6" i="1" s="1"/>
  <c r="BE32" i="1" s="1"/>
  <c r="AX4" i="1"/>
  <c r="BF32" i="1" s="1"/>
  <c r="AU4" i="1"/>
  <c r="AW4" i="1" s="1"/>
  <c r="BR6" i="1"/>
  <c r="BH33" i="1" s="1"/>
  <c r="BO6" i="1"/>
  <c r="BQ6" i="1" s="1"/>
  <c r="BE33" i="1" s="1"/>
  <c r="X28" i="1" l="1"/>
  <c r="X24" i="1" s="1"/>
  <c r="BC32" i="1"/>
  <c r="X32" i="1"/>
  <c r="BC33" i="1"/>
  <c r="X23" i="1" l="1"/>
</calcChain>
</file>

<file path=xl/sharedStrings.xml><?xml version="1.0" encoding="utf-8"?>
<sst xmlns="http://schemas.openxmlformats.org/spreadsheetml/2006/main" count="564" uniqueCount="263">
  <si>
    <t>POSITION</t>
  </si>
  <si>
    <t>HM</t>
  </si>
  <si>
    <t>AW</t>
  </si>
  <si>
    <t>rFz</t>
  </si>
  <si>
    <t>1x2</t>
  </si>
  <si>
    <t>RESULTS</t>
  </si>
  <si>
    <t>Main→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</si>
  <si>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</si>
  <si>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</si>
  <si>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</si>
  <si>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</si>
  <si>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</si>
  <si>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</si>
  <si>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</si>
  <si>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</si>
  <si>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</si>
  <si>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</si>
  <si>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</si>
  <si>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SG</t>
  </si>
  <si>
    <t>"%"</t>
  </si>
  <si>
    <t>RACHA</t>
  </si>
  <si>
    <t>ULT</t>
  </si>
  <si>
    <t>CD</t>
  </si>
  <si>
    <t>"C"</t>
  </si>
  <si>
    <t>"D"</t>
  </si>
  <si>
    <t>P1</t>
  </si>
  <si>
    <t>TIPS_ROY_PICKS</t>
  </si>
  <si>
    <t>picks</t>
  </si>
  <si>
    <t>roySYS</t>
  </si>
  <si>
    <t>rFZ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</si>
  <si>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</si>
  <si>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</si>
  <si>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</si>
  <si>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</si>
  <si>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</si>
  <si>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</si>
  <si>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</si>
  <si>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</si>
  <si>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</si>
  <si>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max</t>
  </si>
  <si>
    <t>Tipsters Opinions</t>
  </si>
  <si>
    <t>SV</t>
  </si>
  <si>
    <t>WDW</t>
  </si>
  <si>
    <t>PRDZ</t>
  </si>
  <si>
    <t>Roy</t>
  </si>
  <si>
    <t>avg_1x2</t>
  </si>
  <si>
    <t>csP1</t>
  </si>
  <si>
    <t>csP2</t>
  </si>
  <si>
    <t>csP3</t>
  </si>
  <si>
    <t>csP4</t>
  </si>
  <si>
    <t>%</t>
  </si>
  <si>
    <t>DOUBLE Chance PICKS</t>
  </si>
  <si>
    <t>pForce</t>
  </si>
  <si>
    <t>Ps_Diff</t>
  </si>
  <si>
    <t>Fz-101</t>
  </si>
  <si>
    <t>Avg_Gol</t>
  </si>
  <si>
    <t>CS</t>
  </si>
  <si>
    <t>CORRECT SCORES PICKS</t>
  </si>
  <si>
    <t>1st</t>
  </si>
  <si>
    <t>2nd</t>
  </si>
  <si>
    <t>3rd</t>
  </si>
  <si>
    <t>4th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</si>
  <si>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</si>
  <si>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</si>
  <si>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</si>
  <si>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</si>
  <si>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</si>
  <si>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</si>
  <si>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</si>
  <si>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</si>
  <si>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</si>
  <si>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</si>
  <si>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</si>
  <si>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</si>
  <si>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pAVG</t>
  </si>
  <si>
    <t>Gen</t>
  </si>
  <si>
    <t>Ult</t>
  </si>
  <si>
    <t>#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</si>
  <si>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</si>
  <si>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</si>
  <si>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</si>
  <si>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</si>
  <si>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</si>
  <si>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</si>
  <si>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</si>
  <si>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</si>
  <si>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</si>
  <si>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</si>
  <si>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CLASIFICATION</t>
  </si>
  <si>
    <t>ATO Z trend</t>
  </si>
  <si>
    <t>pronox Home Capacities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</si>
  <si>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</si>
  <si>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</si>
  <si>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</si>
  <si>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</si>
  <si>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</si>
  <si>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</si>
  <si>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</si>
  <si>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</si>
  <si>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</si>
  <si>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MATCH</t>
  </si>
  <si>
    <t>s/n</t>
  </si>
  <si>
    <t>p1</t>
  </si>
  <si>
    <t>JRQ-P1</t>
  </si>
  <si>
    <t>POR</t>
  </si>
  <si>
    <t>RES</t>
  </si>
  <si>
    <t>SG_3</t>
  </si>
  <si>
    <t>+2,5</t>
  </si>
  <si>
    <t>Previous Rank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</si>
  <si>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</si>
  <si>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</si>
  <si>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</si>
  <si>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</si>
  <si>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</si>
  <si>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</si>
  <si>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</si>
  <si>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</si>
  <si>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</si>
  <si>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</si>
  <si>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</si>
  <si>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</si>
  <si>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</si>
  <si>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</si>
  <si>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</si>
  <si>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</si>
  <si>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</si>
  <si>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</si>
  <si>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res1</t>
  </si>
  <si>
    <t>resCS</t>
  </si>
  <si>
    <t>res1X2</t>
  </si>
  <si>
    <t>resTG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</si>
  <si>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</si>
  <si>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</si>
  <si>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</si>
  <si>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</si>
  <si>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</si>
  <si>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</si>
  <si>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</si>
  <si>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</si>
  <si>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</si>
  <si>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</si>
  <si>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</si>
  <si>
    <t>RoyPick Games</t>
  </si>
  <si>
    <t>Date</t>
  </si>
  <si>
    <t>Competition  (Group of event)</t>
  </si>
  <si>
    <t>Time</t>
  </si>
  <si>
    <t>Match</t>
  </si>
  <si>
    <t>Result</t>
  </si>
  <si>
    <t>"Odds_X"</t>
  </si>
  <si>
    <t>"Odds_2"</t>
  </si>
  <si>
    <t>RP2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</si>
  <si>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</si>
  <si>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</si>
  <si>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</si>
  <si>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</si>
  <si>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</si>
  <si>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</si>
  <si>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</si>
  <si>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</si>
  <si>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</si>
  <si>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</si>
  <si>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</si>
  <si>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</si>
  <si>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</si>
  <si>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</si>
  <si>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</si>
  <si>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</si>
  <si>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</si>
  <si>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</si>
  <si>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Germany &gt;&gt; 2. Bundesliga</t>
  </si>
  <si>
    <t>"Odds_1"</t>
  </si>
  <si>
    <t>Soccervista</t>
  </si>
  <si>
    <t>Windrawwin</t>
  </si>
  <si>
    <t>SOCCERWAY _INFO</t>
  </si>
  <si>
    <t>º</t>
  </si>
  <si>
    <t>HERE ARE THE DIRECTY LINKS POINTING TO THE FORMULAS… IF YOU HAVE ANY DOUBT PLEASE DON'T HESITATE TO LET ME KNOW. THANKS</t>
  </si>
  <si>
    <t>RP#25, 2020-06-20</t>
  </si>
  <si>
    <t>2020-06-20 11:30:00</t>
  </si>
  <si>
    <t>2020-06-20</t>
  </si>
  <si>
    <t>Leicester City</t>
  </si>
  <si>
    <t>Watford</t>
  </si>
  <si>
    <t>2020-03-01</t>
  </si>
  <si>
    <t>Liverpool</t>
  </si>
  <si>
    <t>Norwich City</t>
  </si>
  <si>
    <t>2020-02-01</t>
  </si>
  <si>
    <t>Everton</t>
  </si>
  <si>
    <t>Wolverhampton Wanderers</t>
  </si>
  <si>
    <t>2020-01-18</t>
  </si>
  <si>
    <t>Tottenham Hotspur</t>
  </si>
  <si>
    <t>Aston Villa</t>
  </si>
  <si>
    <t>2020-01-04</t>
  </si>
  <si>
    <t>Tranmere Rovers</t>
  </si>
  <si>
    <t>Brentford</t>
  </si>
  <si>
    <t>2020-01-01</t>
  </si>
  <si>
    <t>Burnley</t>
  </si>
  <si>
    <t>2019-12-28</t>
  </si>
  <si>
    <t>Newcastle United</t>
  </si>
  <si>
    <t>2019-12-22</t>
  </si>
  <si>
    <t>Manchester United</t>
  </si>
  <si>
    <t>West Ham United</t>
  </si>
  <si>
    <t>2019-12-07</t>
  </si>
  <si>
    <t>Crystal Palace</t>
  </si>
  <si>
    <t>Manchester City</t>
  </si>
  <si>
    <t>2019-11-23</t>
  </si>
  <si>
    <t>2019-11-03</t>
  </si>
  <si>
    <t>Chelsea</t>
  </si>
  <si>
    <t>2019-10-26</t>
  </si>
  <si>
    <t>AFC Bournemouth</t>
  </si>
  <si>
    <t>Brighton &amp; Hove Albion</t>
  </si>
  <si>
    <t>2019-10-05</t>
  </si>
  <si>
    <t>Sheffield United</t>
  </si>
  <si>
    <t>2019-09-25</t>
  </si>
  <si>
    <t>Swansea City</t>
  </si>
  <si>
    <t>Burton Albion</t>
  </si>
  <si>
    <t>2019-09-15</t>
  </si>
  <si>
    <t>Arsenal</t>
  </si>
  <si>
    <t>Southampton</t>
  </si>
  <si>
    <t>2019-08-28</t>
  </si>
  <si>
    <t>Coventry City</t>
  </si>
  <si>
    <t>2019-08-24</t>
  </si>
  <si>
    <t>Luton Town</t>
  </si>
  <si>
    <t>2019-08-10</t>
  </si>
  <si>
    <t>2019-08-03</t>
  </si>
  <si>
    <t>Real Sociedad</t>
  </si>
  <si>
    <t>2019-05-12</t>
  </si>
  <si>
    <t>Leicester</t>
  </si>
  <si>
    <t>WLWWW</t>
  </si>
  <si>
    <t>WLWWL</t>
  </si>
  <si>
    <t>WLLDD</t>
  </si>
  <si>
    <t>WDWLD</t>
  </si>
  <si>
    <t>Manchester Utd</t>
  </si>
  <si>
    <t>WDWWD</t>
  </si>
  <si>
    <t>Sheffield Utd</t>
  </si>
  <si>
    <t>DWDWW</t>
  </si>
  <si>
    <t>Wolves</t>
  </si>
  <si>
    <t>DWWDD</t>
  </si>
  <si>
    <t>Tottenham</t>
  </si>
  <si>
    <t>DLLWW</t>
  </si>
  <si>
    <t>LWWWD</t>
  </si>
  <si>
    <t>DDWWD</t>
  </si>
  <si>
    <t>WWWLL</t>
  </si>
  <si>
    <t>LDLWW</t>
  </si>
  <si>
    <t>WLLWL</t>
  </si>
  <si>
    <t>Newcastle</t>
  </si>
  <si>
    <t>WDLLD</t>
  </si>
  <si>
    <t>Brighton</t>
  </si>
  <si>
    <t>DLDDD</t>
  </si>
  <si>
    <t>West Ham</t>
  </si>
  <si>
    <t>LWLLD</t>
  </si>
  <si>
    <t>LWLDL</t>
  </si>
  <si>
    <t>Bournemouth</t>
  </si>
  <si>
    <t>LDLLW</t>
  </si>
  <si>
    <t>DLLLL</t>
  </si>
  <si>
    <t>Norwich</t>
  </si>
  <si>
    <t>LLWLL</t>
  </si>
  <si>
    <t>England &gt;&gt; Premier League</t>
  </si>
  <si>
    <t>11:30</t>
  </si>
  <si>
    <t>Watford - Leicester</t>
  </si>
  <si>
    <t>O</t>
  </si>
  <si>
    <t>0:3</t>
  </si>
  <si>
    <t>1:2</t>
  </si>
  <si>
    <t>0:1</t>
  </si>
  <si>
    <t>https://int.soccerway.com/matches/2020/06/20/england/premier-league/watford-football-club/leicester-city-fc/3029371/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</si>
</sst>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;@"/>
    <numFmt numFmtId="165" formatCode="dd/mm/yy\ 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sz val="8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FFFFFF"/>
      <name val="Calibri"/>
      <family val="2"/>
    </font>
    <font>
      <sz val="9"/>
      <color rgb="FF000000"/>
      <name val="Calibri"/>
      <family val="2"/>
    </font>
    <font>
      <sz val="8"/>
      <color rgb="FFFF0000"/>
      <name val="Calibri"/>
      <family val="2"/>
    </font>
    <font>
      <u/>
      <sz val="11"/>
      <color rgb="FF0000FF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D965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737373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D9DCE1"/>
        <bgColor rgb="FFFFFFFF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6" fillId="0" borderId="0"/>
  </cellStyleXfs>
  <cellXfs count="32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5" borderId="0" xfId="0" applyFont="1" applyFill="1" applyAlignment="1">
      <alignment horizontal="center"/>
    </xf>
    <xf numFmtId="0" fontId="0" fillId="0" borderId="4" xfId="0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5" xfId="0" applyBorder="1"/>
    <xf numFmtId="14" fontId="0" fillId="0" borderId="0" xfId="0" applyNumberFormat="1"/>
    <xf numFmtId="0" fontId="2" fillId="7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3" borderId="0" xfId="0" applyFont="1" applyFill="1"/>
    <xf numFmtId="0" fontId="9" fillId="0" borderId="0" xfId="0" applyFon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1" fillId="0" borderId="0" xfId="3" applyFont="1"/>
    <xf numFmtId="0" fontId="1" fillId="0" borderId="0" xfId="3"/>
    <xf numFmtId="0" fontId="0" fillId="0" borderId="0" xfId="0" applyAlignment="1">
      <alignment horizontal="left"/>
    </xf>
    <xf numFmtId="164" fontId="0" fillId="0" borderId="0" xfId="0" applyNumberFormat="1"/>
    <xf numFmtId="0" fontId="3" fillId="3" borderId="0" xfId="0" applyFont="1" applyFill="1" applyAlignment="1">
      <alignment horizontal="left"/>
    </xf>
    <xf numFmtId="164" fontId="8" fillId="3" borderId="0" xfId="4" applyNumberFormat="1" applyFont="1" applyFill="1" applyAlignment="1">
      <alignment horizontal="center"/>
    </xf>
    <xf numFmtId="0" fontId="8" fillId="3" borderId="0" xfId="4" applyFont="1" applyFill="1" applyAlignment="1">
      <alignment horizontal="center"/>
    </xf>
    <xf numFmtId="164" fontId="14" fillId="3" borderId="0" xfId="4" applyNumberFormat="1" applyFont="1" applyFill="1" applyAlignment="1">
      <alignment horizontal="center"/>
    </xf>
    <xf numFmtId="2" fontId="14" fillId="3" borderId="0" xfId="4" applyNumberFormat="1" applyFont="1" applyFill="1" applyAlignment="1">
      <alignment horizontal="center"/>
    </xf>
    <xf numFmtId="2" fontId="8" fillId="3" borderId="0" xfId="4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4"/>
    <xf numFmtId="164" fontId="2" fillId="8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0" xfId="7" applyAlignment="1"/>
    <xf numFmtId="164" fontId="4" fillId="0" borderId="0" xfId="0" applyNumberFormat="1" applyFont="1" applyAlignment="1">
      <alignment horizontal="center"/>
    </xf>
    <xf numFmtId="0" fontId="10" fillId="0" borderId="0" xfId="4" applyFont="1" applyAlignment="1">
      <alignment horizontal="center"/>
    </xf>
    <xf numFmtId="0" fontId="2" fillId="9" borderId="0" xfId="0" applyFont="1" applyFill="1"/>
    <xf numFmtId="0" fontId="15" fillId="3" borderId="9" xfId="3" applyFont="1" applyFill="1" applyBorder="1" applyAlignment="1">
      <alignment horizontal="center" vertical="top"/>
    </xf>
    <xf numFmtId="0" fontId="11" fillId="10" borderId="0" xfId="3" applyFont="1" applyFill="1"/>
    <xf numFmtId="164" fontId="5" fillId="0" borderId="10" xfId="0" applyNumberFormat="1" applyFont="1" applyBorder="1" applyAlignment="1">
      <alignment horizontal="center"/>
    </xf>
    <xf numFmtId="0" fontId="16" fillId="0" borderId="0" xfId="3" applyFont="1" applyAlignment="1">
      <alignment horizontal="center" vertical="top"/>
    </xf>
    <xf numFmtId="0" fontId="1" fillId="10" borderId="0" xfId="3" applyFill="1" applyAlignment="1">
      <alignment horizontal="center"/>
    </xf>
    <xf numFmtId="0" fontId="1" fillId="10" borderId="0" xfId="3" applyFill="1" applyAlignment="1">
      <alignment horizontal="right"/>
    </xf>
    <xf numFmtId="0" fontId="1" fillId="9" borderId="0" xfId="3" applyFill="1" applyAlignment="1">
      <alignment horizontal="center"/>
    </xf>
    <xf numFmtId="0" fontId="1" fillId="10" borderId="0" xfId="3" applyFill="1"/>
    <xf numFmtId="0" fontId="1" fillId="3" borderId="0" xfId="3" applyFill="1" applyAlignment="1">
      <alignment horizontal="center"/>
    </xf>
    <xf numFmtId="0" fontId="0" fillId="2" borderId="0" xfId="0" applyFill="1"/>
    <xf numFmtId="164" fontId="14" fillId="3" borderId="9" xfId="4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0" fillId="0" borderId="10" xfId="0" applyNumberFormat="1" applyBorder="1" applyAlignment="1">
      <alignment horizontal="center"/>
    </xf>
    <xf numFmtId="2" fontId="1" fillId="11" borderId="11" xfId="9" applyNumberFormat="1" applyFill="1" applyBorder="1" applyAlignment="1">
      <alignment horizontal="center"/>
    </xf>
    <xf numFmtId="0" fontId="13" fillId="0" borderId="0" xfId="7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13" borderId="0" xfId="0" applyFont="1" applyFill="1" applyAlignment="1">
      <alignment horizontal="center"/>
    </xf>
    <xf numFmtId="0" fontId="21" fillId="13" borderId="12" xfId="0" applyFont="1" applyFill="1" applyBorder="1" applyAlignment="1">
      <alignment horizontal="center"/>
    </xf>
    <xf numFmtId="0" fontId="22" fillId="14" borderId="0" xfId="0" applyFont="1" applyFill="1" applyAlignment="1">
      <alignment horizontal="center"/>
    </xf>
    <xf numFmtId="0" fontId="22" fillId="14" borderId="0" xfId="0" applyFont="1" applyFill="1"/>
    <xf numFmtId="0" fontId="0" fillId="0" borderId="16" xfId="0" applyBorder="1"/>
    <xf numFmtId="0" fontId="0" fillId="0" borderId="17" xfId="0" applyBorder="1"/>
    <xf numFmtId="0" fontId="9" fillId="0" borderId="17" xfId="0" applyFont="1" applyBorder="1"/>
    <xf numFmtId="0" fontId="0" fillId="0" borderId="18" xfId="0" applyBorder="1"/>
    <xf numFmtId="0" fontId="0" fillId="15" borderId="2" xfId="0" applyFill="1" applyBorder="1"/>
    <xf numFmtId="0" fontId="9" fillId="0" borderId="0" xfId="0" applyFont="1"/>
    <xf numFmtId="0" fontId="0" fillId="0" borderId="19" xfId="0" applyBorder="1"/>
    <xf numFmtId="0" fontId="9" fillId="16" borderId="20" xfId="0" applyFont="1" applyFill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2" fillId="17" borderId="0" xfId="0" applyFont="1" applyFill="1"/>
    <xf numFmtId="0" fontId="22" fillId="18" borderId="0" xfId="0" applyFont="1" applyFill="1" applyAlignment="1">
      <alignment horizontal="center"/>
    </xf>
    <xf numFmtId="164" fontId="22" fillId="19" borderId="13" xfId="0" applyNumberFormat="1" applyFont="1" applyFill="1" applyBorder="1" applyAlignment="1">
      <alignment horizontal="center"/>
    </xf>
    <xf numFmtId="0" fontId="22" fillId="19" borderId="14" xfId="0" applyFont="1" applyFill="1" applyBorder="1" applyAlignment="1">
      <alignment horizontal="center"/>
    </xf>
    <xf numFmtId="0" fontId="22" fillId="19" borderId="15" xfId="0" applyFont="1" applyFill="1" applyBorder="1" applyAlignment="1">
      <alignment horizontal="center"/>
    </xf>
    <xf numFmtId="0" fontId="0" fillId="0" borderId="22" xfId="0" applyBorder="1"/>
    <xf numFmtId="0" fontId="0" fillId="20" borderId="0" xfId="0" applyFill="1"/>
    <xf numFmtId="0" fontId="17" fillId="0" borderId="0" xfId="0" applyFont="1"/>
    <xf numFmtId="0" fontId="17" fillId="0" borderId="5" xfId="0" applyFont="1" applyBorder="1"/>
    <xf numFmtId="0" fontId="21" fillId="16" borderId="16" xfId="0" applyFont="1" applyFill="1" applyBorder="1" applyAlignment="1">
      <alignment horizontal="center"/>
    </xf>
    <xf numFmtId="0" fontId="21" fillId="16" borderId="17" xfId="0" applyFont="1" applyFill="1" applyBorder="1"/>
    <xf numFmtId="0" fontId="21" fillId="16" borderId="18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/>
    <xf numFmtId="0" fontId="0" fillId="21" borderId="5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3" fillId="0" borderId="0" xfId="0" applyFont="1"/>
    <xf numFmtId="2" fontId="0" fillId="0" borderId="23" xfId="0" applyNumberFormat="1" applyBorder="1"/>
    <xf numFmtId="1" fontId="0" fillId="0" borderId="22" xfId="0" applyNumberFormat="1" applyBorder="1"/>
    <xf numFmtId="0" fontId="9" fillId="16" borderId="0" xfId="0" applyFont="1" applyFill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24" fillId="18" borderId="16" xfId="0" applyFont="1" applyFill="1" applyBorder="1"/>
    <xf numFmtId="0" fontId="22" fillId="18" borderId="17" xfId="0" applyFont="1" applyFill="1" applyBorder="1" applyAlignment="1">
      <alignment horizontal="center"/>
    </xf>
    <xf numFmtId="164" fontId="22" fillId="18" borderId="17" xfId="0" applyNumberFormat="1" applyFont="1" applyFill="1" applyBorder="1" applyAlignment="1">
      <alignment horizontal="center"/>
    </xf>
    <xf numFmtId="0" fontId="24" fillId="22" borderId="22" xfId="0" applyFont="1" applyFill="1" applyBorder="1"/>
    <xf numFmtId="0" fontId="22" fillId="22" borderId="0" xfId="0" applyFont="1" applyFill="1" applyAlignment="1">
      <alignment horizontal="center"/>
    </xf>
    <xf numFmtId="164" fontId="22" fillId="18" borderId="0" xfId="0" applyNumberFormat="1" applyFont="1" applyFill="1" applyAlignment="1">
      <alignment horizontal="center"/>
    </xf>
    <xf numFmtId="0" fontId="19" fillId="14" borderId="0" xfId="0" applyFont="1" applyFill="1" applyAlignment="1">
      <alignment horizontal="center"/>
    </xf>
    <xf numFmtId="2" fontId="22" fillId="18" borderId="0" xfId="0" applyNumberFormat="1" applyFont="1" applyFill="1" applyAlignment="1">
      <alignment horizontal="right"/>
    </xf>
    <xf numFmtId="2" fontId="22" fillId="18" borderId="0" xfId="0" applyNumberFormat="1" applyFont="1" applyFill="1" applyAlignment="1">
      <alignment horizontal="center"/>
    </xf>
    <xf numFmtId="0" fontId="22" fillId="18" borderId="0" xfId="0" applyFont="1" applyFill="1"/>
    <xf numFmtId="0" fontId="19" fillId="0" borderId="0" xfId="0" applyFont="1"/>
    <xf numFmtId="0" fontId="22" fillId="18" borderId="23" xfId="0" applyFont="1" applyFill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5" xfId="0" applyFont="1" applyBorder="1"/>
    <xf numFmtId="20" fontId="19" fillId="0" borderId="25" xfId="0" applyNumberFormat="1" applyFont="1" applyBorder="1"/>
    <xf numFmtId="0" fontId="19" fillId="0" borderId="2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8" fillId="16" borderId="0" xfId="0" applyFont="1" applyFill="1" applyAlignment="1">
      <alignment horizontal="center"/>
    </xf>
    <xf numFmtId="0" fontId="8" fillId="16" borderId="5" xfId="0" applyFont="1" applyFill="1" applyBorder="1"/>
    <xf numFmtId="1" fontId="0" fillId="0" borderId="24" xfId="0" applyNumberFormat="1" applyBorder="1"/>
    <xf numFmtId="1" fontId="0" fillId="0" borderId="25" xfId="0" applyNumberFormat="1" applyBorder="1"/>
    <xf numFmtId="2" fontId="0" fillId="0" borderId="26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5" fillId="18" borderId="0" xfId="0" applyFont="1" applyFill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3" xfId="0" applyFont="1" applyBorder="1" applyAlignment="1">
      <alignment horizontal="center"/>
    </xf>
    <xf numFmtId="0" fontId="24" fillId="18" borderId="22" xfId="0" applyFont="1" applyFill="1" applyBorder="1"/>
    <xf numFmtId="2" fontId="22" fillId="23" borderId="0" xfId="0" applyNumberFormat="1" applyFont="1" applyFill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164" fontId="26" fillId="16" borderId="0" xfId="0" applyNumberFormat="1" applyFont="1" applyFill="1" applyAlignment="1">
      <alignment horizontal="center"/>
    </xf>
    <xf numFmtId="0" fontId="26" fillId="16" borderId="0" xfId="0" applyFont="1" applyFill="1"/>
    <xf numFmtId="2" fontId="0" fillId="16" borderId="0" xfId="0" applyNumberFormat="1" applyFill="1" applyAlignment="1">
      <alignment horizontal="right"/>
    </xf>
    <xf numFmtId="0" fontId="0" fillId="14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24" borderId="0" xfId="0" applyNumberFormat="1" applyFill="1"/>
    <xf numFmtId="0" fontId="0" fillId="0" borderId="23" xfId="0" applyBorder="1" applyAlignment="1">
      <alignment horizontal="center"/>
    </xf>
    <xf numFmtId="164" fontId="0" fillId="16" borderId="0" xfId="0" applyNumberFormat="1" applyFill="1" applyAlignment="1">
      <alignment horizontal="center"/>
    </xf>
    <xf numFmtId="2" fontId="0" fillId="16" borderId="0" xfId="0" applyNumberFormat="1" applyFill="1" applyAlignment="1">
      <alignment horizontal="center"/>
    </xf>
    <xf numFmtId="2" fontId="22" fillId="15" borderId="0" xfId="0" applyNumberFormat="1" applyFont="1" applyFill="1" applyAlignment="1">
      <alignment horizontal="center"/>
    </xf>
    <xf numFmtId="2" fontId="22" fillId="21" borderId="0" xfId="0" applyNumberFormat="1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9" fillId="0" borderId="7" xfId="0" applyFont="1" applyBorder="1"/>
    <xf numFmtId="0" fontId="17" fillId="0" borderId="7" xfId="0" applyFont="1" applyBorder="1"/>
    <xf numFmtId="0" fontId="17" fillId="0" borderId="8" xfId="0" applyFont="1" applyBorder="1"/>
    <xf numFmtId="20" fontId="1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14" borderId="16" xfId="0" applyFill="1" applyBorder="1"/>
    <xf numFmtId="0" fontId="21" fillId="0" borderId="17" xfId="0" applyFont="1" applyBorder="1" applyAlignment="1">
      <alignment horizontal="right"/>
    </xf>
    <xf numFmtId="0" fontId="9" fillId="0" borderId="18" xfId="0" applyFont="1" applyBorder="1"/>
    <xf numFmtId="0" fontId="21" fillId="0" borderId="0" xfId="0" applyFont="1" applyAlignment="1">
      <alignment horizontal="right"/>
    </xf>
    <xf numFmtId="0" fontId="9" fillId="0" borderId="23" xfId="0" applyFont="1" applyBorder="1"/>
    <xf numFmtId="0" fontId="9" fillId="16" borderId="0" xfId="0" applyFont="1" applyFill="1" applyAlignment="1">
      <alignment horizontal="right"/>
    </xf>
    <xf numFmtId="0" fontId="9" fillId="16" borderId="0" xfId="0" applyFont="1" applyFill="1"/>
    <xf numFmtId="0" fontId="8" fillId="16" borderId="0" xfId="0" applyFont="1" applyFill="1"/>
    <xf numFmtId="2" fontId="19" fillId="16" borderId="0" xfId="0" applyNumberFormat="1" applyFont="1" applyFill="1"/>
    <xf numFmtId="0" fontId="22" fillId="14" borderId="22" xfId="0" applyFont="1" applyFill="1" applyBorder="1"/>
    <xf numFmtId="0" fontId="0" fillId="0" borderId="23" xfId="0" applyBorder="1"/>
    <xf numFmtId="0" fontId="17" fillId="0" borderId="0" xfId="0" applyFont="1" applyAlignment="1">
      <alignment horizontal="center"/>
    </xf>
    <xf numFmtId="0" fontId="17" fillId="0" borderId="23" xfId="0" applyFont="1" applyBorder="1" applyAlignment="1">
      <alignment horizontal="center"/>
    </xf>
    <xf numFmtId="0" fontId="25" fillId="14" borderId="0" xfId="0" applyFont="1" applyFill="1"/>
    <xf numFmtId="0" fontId="8" fillId="13" borderId="0" xfId="0" applyFont="1" applyFill="1"/>
    <xf numFmtId="2" fontId="22" fillId="18" borderId="23" xfId="0" applyNumberFormat="1" applyFont="1" applyFill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4" fillId="26" borderId="0" xfId="0" applyFont="1" applyFill="1"/>
    <xf numFmtId="0" fontId="24" fillId="14" borderId="0" xfId="0" applyFont="1" applyFill="1"/>
    <xf numFmtId="49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14" borderId="23" xfId="0" applyFill="1" applyBorder="1" applyAlignment="1">
      <alignment horizontal="center"/>
    </xf>
    <xf numFmtId="0" fontId="9" fillId="0" borderId="22" xfId="0" applyFont="1" applyBorder="1"/>
    <xf numFmtId="0" fontId="21" fillId="16" borderId="13" xfId="0" applyFont="1" applyFill="1" applyBorder="1"/>
    <xf numFmtId="0" fontId="21" fillId="16" borderId="14" xfId="0" applyFont="1" applyFill="1" applyBorder="1" applyAlignment="1">
      <alignment horizontal="center"/>
    </xf>
    <xf numFmtId="0" fontId="21" fillId="16" borderId="15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0" fontId="21" fillId="18" borderId="0" xfId="0" applyFont="1" applyFill="1" applyAlignment="1">
      <alignment horizontal="center"/>
    </xf>
    <xf numFmtId="0" fontId="0" fillId="25" borderId="0" xfId="0" applyFill="1"/>
    <xf numFmtId="0" fontId="0" fillId="25" borderId="0" xfId="0" applyFill="1" applyAlignment="1">
      <alignment horizontal="left"/>
    </xf>
    <xf numFmtId="0" fontId="0" fillId="0" borderId="15" xfId="0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9" fillId="0" borderId="23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/>
    </xf>
    <xf numFmtId="0" fontId="21" fillId="16" borderId="0" xfId="0" applyFont="1" applyFill="1"/>
    <xf numFmtId="0" fontId="22" fillId="14" borderId="0" xfId="0" applyFont="1" applyFill="1" applyAlignment="1">
      <alignment horizontal="left"/>
    </xf>
    <xf numFmtId="0" fontId="0" fillId="27" borderId="0" xfId="0" applyFill="1" applyAlignment="1">
      <alignment horizontal="center"/>
    </xf>
    <xf numFmtId="0" fontId="0" fillId="0" borderId="27" xfId="0" applyBorder="1" applyAlignment="1">
      <alignment horizontal="center"/>
    </xf>
    <xf numFmtId="0" fontId="21" fillId="20" borderId="12" xfId="0" applyFont="1" applyFill="1" applyBorder="1" applyAlignment="1">
      <alignment horizontal="center"/>
    </xf>
    <xf numFmtId="0" fontId="19" fillId="20" borderId="28" xfId="0" applyFont="1" applyFill="1" applyBorder="1" applyAlignment="1">
      <alignment horizontal="center"/>
    </xf>
    <xf numFmtId="0" fontId="0" fillId="20" borderId="25" xfId="0" applyFill="1" applyBorder="1"/>
    <xf numFmtId="0" fontId="17" fillId="0" borderId="25" xfId="0" applyFont="1" applyBorder="1" applyAlignment="1">
      <alignment horizontal="center"/>
    </xf>
    <xf numFmtId="0" fontId="22" fillId="28" borderId="16" xfId="0" applyFont="1" applyFill="1" applyBorder="1"/>
    <xf numFmtId="0" fontId="22" fillId="28" borderId="17" xfId="0" applyFont="1" applyFill="1" applyBorder="1"/>
    <xf numFmtId="0" fontId="18" fillId="12" borderId="1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22" fillId="14" borderId="12" xfId="0" applyFont="1" applyFill="1" applyBorder="1"/>
    <xf numFmtId="0" fontId="19" fillId="0" borderId="17" xfId="0" applyFont="1" applyBorder="1"/>
    <xf numFmtId="0" fontId="18" fillId="12" borderId="4" xfId="0" applyFont="1" applyFill="1" applyBorder="1" applyAlignment="1">
      <alignment horizontal="center"/>
    </xf>
    <xf numFmtId="0" fontId="18" fillId="12" borderId="5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2" fillId="18" borderId="12" xfId="0" applyFont="1" applyFill="1" applyBorder="1" applyAlignment="1">
      <alignment horizontal="center"/>
    </xf>
    <xf numFmtId="0" fontId="20" fillId="29" borderId="25" xfId="0" applyFont="1" applyFill="1" applyBorder="1" applyAlignment="1">
      <alignment horizontal="center"/>
    </xf>
    <xf numFmtId="0" fontId="18" fillId="12" borderId="6" xfId="0" applyFont="1" applyFill="1" applyBorder="1" applyAlignment="1">
      <alignment horizontal="center"/>
    </xf>
    <xf numFmtId="0" fontId="18" fillId="12" borderId="8" xfId="0" applyFont="1" applyFill="1" applyBorder="1" applyAlignment="1">
      <alignment horizontal="center"/>
    </xf>
    <xf numFmtId="0" fontId="22" fillId="18" borderId="28" xfId="0" applyFont="1" applyFill="1" applyBorder="1" applyAlignment="1">
      <alignment horizontal="center"/>
    </xf>
    <xf numFmtId="0" fontId="21" fillId="29" borderId="0" xfId="0" applyFont="1" applyFill="1"/>
    <xf numFmtId="0" fontId="21" fillId="0" borderId="0" xfId="0" applyFont="1"/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5" fillId="28" borderId="0" xfId="0" applyFont="1" applyFill="1" applyAlignment="1">
      <alignment horizontal="center"/>
    </xf>
    <xf numFmtId="0" fontId="21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5" fillId="28" borderId="0" xfId="0" applyFont="1" applyFill="1" applyAlignment="1">
      <alignment horizontal="right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left"/>
    </xf>
    <xf numFmtId="0" fontId="27" fillId="0" borderId="0" xfId="0" applyFont="1"/>
    <xf numFmtId="0" fontId="24" fillId="0" borderId="0" xfId="0" applyFont="1"/>
    <xf numFmtId="164" fontId="22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20" fontId="19" fillId="0" borderId="0" xfId="0" applyNumberFormat="1" applyFont="1"/>
    <xf numFmtId="0" fontId="22" fillId="19" borderId="13" xfId="0" applyFont="1" applyFill="1" applyBorder="1"/>
    <xf numFmtId="0" fontId="22" fillId="19" borderId="14" xfId="0" applyFont="1" applyFill="1" applyBorder="1"/>
    <xf numFmtId="0" fontId="21" fillId="16" borderId="15" xfId="0" applyFont="1" applyFill="1" applyBorder="1"/>
    <xf numFmtId="0" fontId="25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21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4" borderId="25" xfId="0" applyFill="1" applyBorder="1"/>
    <xf numFmtId="0" fontId="17" fillId="0" borderId="34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164" fontId="22" fillId="14" borderId="0" xfId="0" applyNumberFormat="1" applyFont="1" applyFill="1" applyAlignment="1">
      <alignment horizontal="center"/>
    </xf>
    <xf numFmtId="164" fontId="22" fillId="26" borderId="0" xfId="0" applyNumberFormat="1" applyFont="1" applyFill="1" applyAlignment="1">
      <alignment horizontal="center"/>
    </xf>
    <xf numFmtId="2" fontId="22" fillId="26" borderId="0" xfId="0" applyNumberFormat="1" applyFont="1" applyFill="1" applyAlignment="1">
      <alignment horizontal="center"/>
    </xf>
    <xf numFmtId="0" fontId="9" fillId="16" borderId="0" xfId="0" applyFont="1" applyFill="1" applyAlignment="1">
      <alignment horizontal="left"/>
    </xf>
    <xf numFmtId="164" fontId="8" fillId="16" borderId="0" xfId="0" applyNumberFormat="1" applyFont="1" applyFill="1" applyAlignment="1">
      <alignment horizontal="center"/>
    </xf>
    <xf numFmtId="164" fontId="14" fillId="16" borderId="0" xfId="0" applyNumberFormat="1" applyFont="1" applyFill="1" applyAlignment="1">
      <alignment horizontal="center"/>
    </xf>
    <xf numFmtId="2" fontId="14" fillId="16" borderId="0" xfId="0" applyNumberFormat="1" applyFont="1" applyFill="1" applyAlignment="1">
      <alignment horizontal="center"/>
    </xf>
    <xf numFmtId="2" fontId="8" fillId="16" borderId="0" xfId="0" applyNumberFormat="1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20" fillId="16" borderId="32" xfId="0" applyNumberFormat="1" applyFont="1" applyFill="1" applyBorder="1" applyAlignment="1">
      <alignment horizontal="center" wrapText="1"/>
    </xf>
    <xf numFmtId="2" fontId="20" fillId="16" borderId="29" xfId="0" applyNumberFormat="1" applyFont="1" applyFill="1" applyBorder="1" applyAlignment="1">
      <alignment horizontal="center" wrapText="1"/>
    </xf>
    <xf numFmtId="2" fontId="17" fillId="0" borderId="32" xfId="0" applyNumberFormat="1" applyFont="1" applyBorder="1" applyAlignment="1">
      <alignment horizontal="center" wrapText="1"/>
    </xf>
    <xf numFmtId="2" fontId="17" fillId="0" borderId="29" xfId="0" applyNumberFormat="1" applyFont="1" applyBorder="1" applyAlignment="1">
      <alignment horizontal="center" wrapText="1"/>
    </xf>
    <xf numFmtId="0" fontId="17" fillId="0" borderId="29" xfId="0" applyFont="1" applyBorder="1" applyAlignment="1">
      <alignment horizontal="center" wrapText="1"/>
    </xf>
    <xf numFmtId="165" fontId="17" fillId="0" borderId="0" xfId="0" applyNumberFormat="1" applyFont="1"/>
    <xf numFmtId="2" fontId="17" fillId="0" borderId="0" xfId="0" applyNumberFormat="1" applyFont="1"/>
    <xf numFmtId="0" fontId="17" fillId="0" borderId="0" xfId="0" applyFont="1" applyAlignment="1">
      <alignment horizontal="left"/>
    </xf>
    <xf numFmtId="0" fontId="0" fillId="31" borderId="39" xfId="0" applyFill="1" applyBorder="1" applyAlignment="1">
      <alignment horizontal="center"/>
    </xf>
    <xf numFmtId="2" fontId="0" fillId="32" borderId="39" xfId="0" applyNumberFormat="1" applyFill="1" applyBorder="1" applyAlignment="1">
      <alignment horizontal="center"/>
    </xf>
    <xf numFmtId="2" fontId="0" fillId="31" borderId="39" xfId="0" applyNumberFormat="1" applyFill="1" applyBorder="1" applyAlignment="1">
      <alignment horizontal="center"/>
    </xf>
    <xf numFmtId="0" fontId="21" fillId="0" borderId="14" xfId="0" applyFont="1" applyBorder="1" applyAlignment="1">
      <alignment horizontal="center"/>
    </xf>
    <xf numFmtId="2" fontId="21" fillId="0" borderId="14" xfId="0" applyNumberFormat="1" applyFont="1" applyBorder="1" applyAlignment="1">
      <alignment horizontal="center"/>
    </xf>
    <xf numFmtId="20" fontId="21" fillId="0" borderId="14" xfId="0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17" fillId="0" borderId="29" xfId="0" applyFont="1" applyBorder="1" applyAlignment="1">
      <alignment horizontal="center" wrapText="1"/>
    </xf>
    <xf numFmtId="0" fontId="17" fillId="0" borderId="39" xfId="0" applyFont="1" applyBorder="1" applyAlignment="1">
      <alignment horizontal="center" wrapText="1"/>
    </xf>
    <xf numFmtId="0" fontId="17" fillId="0" borderId="32" xfId="0" applyFont="1" applyBorder="1" applyAlignment="1">
      <alignment horizontal="center" wrapText="1"/>
    </xf>
    <xf numFmtId="0" fontId="17" fillId="0" borderId="40" xfId="0" applyFont="1" applyBorder="1" applyAlignment="1">
      <alignment horizontal="center" wrapText="1"/>
    </xf>
    <xf numFmtId="0" fontId="17" fillId="0" borderId="37" xfId="0" applyFont="1" applyBorder="1" applyAlignment="1">
      <alignment horizontal="center"/>
    </xf>
    <xf numFmtId="2" fontId="22" fillId="30" borderId="0" xfId="0" applyNumberFormat="1" applyFont="1" applyFill="1" applyAlignment="1">
      <alignment horizontal="center"/>
    </xf>
    <xf numFmtId="49" fontId="17" fillId="0" borderId="37" xfId="0" applyNumberFormat="1" applyFont="1" applyBorder="1" applyAlignment="1">
      <alignment horizontal="center" wrapText="1"/>
    </xf>
    <xf numFmtId="0" fontId="17" fillId="0" borderId="37" xfId="0" applyFont="1" applyBorder="1" applyAlignment="1">
      <alignment horizontal="center" wrapText="1"/>
    </xf>
    <xf numFmtId="49" fontId="17" fillId="0" borderId="37" xfId="0" applyNumberFormat="1" applyFont="1" applyBorder="1" applyAlignment="1">
      <alignment horizontal="center"/>
    </xf>
    <xf numFmtId="0" fontId="22" fillId="14" borderId="0" xfId="0" applyFont="1" applyFill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 wrapText="1"/>
    </xf>
    <xf numFmtId="0" fontId="17" fillId="0" borderId="38" xfId="0" applyFont="1" applyBorder="1" applyAlignment="1">
      <alignment horizontal="center" wrapText="1"/>
    </xf>
    <xf numFmtId="165" fontId="17" fillId="0" borderId="29" xfId="0" applyNumberFormat="1" applyFont="1" applyBorder="1" applyAlignment="1">
      <alignment horizontal="center" wrapText="1"/>
    </xf>
    <xf numFmtId="165" fontId="17" fillId="0" borderId="38" xfId="0" applyNumberFormat="1" applyFont="1" applyBorder="1" applyAlignment="1">
      <alignment horizontal="center" wrapText="1"/>
    </xf>
    <xf numFmtId="165" fontId="17" fillId="0" borderId="39" xfId="0" applyNumberFormat="1" applyFont="1" applyBorder="1" applyAlignment="1">
      <alignment horizontal="center" wrapText="1"/>
    </xf>
    <xf numFmtId="2" fontId="17" fillId="0" borderId="29" xfId="0" applyNumberFormat="1" applyFont="1" applyBorder="1" applyAlignment="1">
      <alignment horizontal="center" wrapText="1"/>
    </xf>
    <xf numFmtId="2" fontId="17" fillId="0" borderId="38" xfId="0" applyNumberFormat="1" applyFont="1" applyBorder="1" applyAlignment="1">
      <alignment horizontal="center" wrapText="1"/>
    </xf>
    <xf numFmtId="0" fontId="17" fillId="0" borderId="30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0" fontId="20" fillId="0" borderId="33" xfId="0" applyFont="1" applyBorder="1" applyAlignment="1">
      <alignment horizontal="center"/>
    </xf>
    <xf numFmtId="0" fontId="20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22" fillId="18" borderId="17" xfId="0" applyNumberFormat="1" applyFont="1" applyFill="1" applyBorder="1" applyAlignment="1">
      <alignment horizontal="center"/>
    </xf>
    <xf numFmtId="0" fontId="22" fillId="14" borderId="17" xfId="0" applyFont="1" applyFill="1" applyBorder="1" applyAlignment="1">
      <alignment horizontal="center"/>
    </xf>
    <xf numFmtId="0" fontId="22" fillId="14" borderId="18" xfId="0" applyFont="1" applyFill="1" applyBorder="1" applyAlignment="1">
      <alignment horizontal="center"/>
    </xf>
    <xf numFmtId="2" fontId="22" fillId="18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164" fontId="17" fillId="0" borderId="29" xfId="0" applyNumberFormat="1" applyFont="1" applyBorder="1" applyAlignment="1">
      <alignment horizontal="center" wrapText="1"/>
    </xf>
    <xf numFmtId="164" fontId="17" fillId="0" borderId="38" xfId="0" applyNumberFormat="1" applyFont="1" applyBorder="1" applyAlignment="1">
      <alignment horizontal="center" wrapText="1"/>
    </xf>
    <xf numFmtId="0" fontId="17" fillId="0" borderId="29" xfId="0" applyFont="1" applyBorder="1" applyAlignment="1">
      <alignment horizontal="center" vertical="top" wrapText="1"/>
    </xf>
    <xf numFmtId="0" fontId="17" fillId="0" borderId="38" xfId="0" applyFont="1" applyBorder="1" applyAlignment="1">
      <alignment horizontal="center" vertical="top" wrapText="1"/>
    </xf>
    <xf numFmtId="0" fontId="20" fillId="0" borderId="3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7" fillId="7" borderId="0" xfId="4" applyFont="1" applyFill="1" applyAlignment="1">
      <alignment horizontal="center"/>
    </xf>
    <xf numFmtId="0" fontId="0" fillId="0" borderId="0" xfId="0" applyAlignment="1">
      <alignment horizontal="center"/>
    </xf>
    <xf numFmtId="1" fontId="17" fillId="0" borderId="0" xfId="0" applyNumberFormat="1" applyFont="1" applyAlignment="1">
      <alignment horizontal="center"/>
    </xf>
  </cellXfs>
  <cellStyles count="11">
    <cellStyle name="Hipervínculo 2" xfId="8" xr:uid="{00000000-0005-0000-0000-000001000000}"/>
    <cellStyle name="Hyperlink" xfId="7" builtinId="8"/>
    <cellStyle name="Normal" xfId="0" builtinId="0"/>
    <cellStyle name="Normal 10" xfId="2" xr:uid="{00000000-0005-0000-0000-000003000000}"/>
    <cellStyle name="Normal 10 2" xfId="4" xr:uid="{00000000-0005-0000-0000-000004000000}"/>
    <cellStyle name="Normal 2 2 8" xfId="9" xr:uid="{00000000-0005-0000-0000-000005000000}"/>
    <cellStyle name="Normal 20" xfId="3" xr:uid="{00000000-0005-0000-0000-000006000000}"/>
    <cellStyle name="Normal 23 2" xfId="6" xr:uid="{00000000-0005-0000-0000-000007000000}"/>
    <cellStyle name="Normal 3" xfId="5" xr:uid="{00000000-0005-0000-0000-000008000000}"/>
    <cellStyle name="Normal 33 2" xfId="1" xr:uid="{00000000-0005-0000-0000-000009000000}"/>
    <cellStyle name="Normal 36 2" xfId="10" xr:uid="{00000000-0005-0000-0000-00000A000000}"/>
  </cellStyles>
  <dxfs count="4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</dxf>
    <dxf>
      <fill>
        <patternFill patternType="solid">
          <fgColor rgb="FF000000"/>
          <bgColor rgb="FF66FF33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ont>
        <b/>
        <i val="0"/>
        <sz val="10"/>
        <color rgb="FFFF0000"/>
        <name val="Calibri"/>
      </font>
    </dxf>
    <dxf>
      <fill>
        <patternFill patternType="solid">
          <fgColor rgb="FF000000"/>
          <bgColor rgb="FFBDD6EE"/>
        </patternFill>
      </fill>
    </dxf>
    <dxf>
      <fill>
        <patternFill patternType="solid">
          <fgColor rgb="FF000000"/>
          <bgColor rgb="FF66FF33"/>
        </patternFill>
      </fill>
    </dxf>
    <dxf>
      <fill>
        <patternFill patternType="solid">
          <fgColor rgb="FF000000"/>
          <bgColor rgb="FF548135"/>
        </patternFill>
      </fill>
    </dxf>
    <dxf>
      <fill>
        <patternFill patternType="solid">
          <fgColor rgb="FF000000"/>
          <bgColor rgb="FFBDD6EE"/>
        </patternFill>
      </fill>
    </dxf>
    <dxf>
      <fill>
        <patternFill patternType="solid">
          <fgColor rgb="FF000000"/>
          <bgColor rgb="FF66FF33"/>
        </patternFill>
      </fill>
    </dxf>
    <dxf>
      <fill>
        <patternFill patternType="solid">
          <fgColor rgb="FF000000"/>
          <bgColor rgb="FF548135"/>
        </patternFill>
      </fill>
    </dxf>
    <dxf>
      <fill>
        <patternFill patternType="solid">
          <fgColor rgb="FF000000"/>
          <bgColor rgb="FFBDD6EE"/>
        </patternFill>
      </fill>
    </dxf>
    <dxf>
      <fill>
        <patternFill patternType="solid">
          <fgColor rgb="FF000000"/>
          <bgColor rgb="FF66FF33"/>
        </patternFill>
      </fill>
    </dxf>
    <dxf>
      <fill>
        <patternFill patternType="solid">
          <fgColor rgb="FF000000"/>
          <bgColor rgb="FF548135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BDD6EE"/>
        </patternFill>
      </fill>
    </dxf>
    <dxf>
      <fill>
        <patternFill patternType="solid">
          <fgColor rgb="FF000000"/>
          <bgColor rgb="FF66FF33"/>
        </patternFill>
      </fill>
    </dxf>
    <dxf>
      <fill>
        <patternFill patternType="solid">
          <fgColor rgb="FF000000"/>
          <bgColor rgb="FF54813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11"/>
  <sheetViews>
    <sheetView tabSelected="1" topLeftCell="AD70" zoomScale="85" zoomScaleNormal="85" workbookViewId="0">
      <selection activeCell="AW101" activeCellId="3" sqref="AQ101 AS101 AU101 AW101"/>
    </sheetView>
  </sheetViews>
  <sheetFormatPr defaultColWidth="16" defaultRowHeight="15" x14ac:dyDescent="0.25"/>
  <cols>
    <col min="1" max="1" width="9.5703125" customWidth="1"/>
    <col min="2" max="2" width="35.7109375" customWidth="1"/>
    <col min="3" max="3" width="17" customWidth="1"/>
    <col min="4" max="4" width="10.7109375" customWidth="1"/>
    <col min="5" max="5" width="8.140625" customWidth="1"/>
    <col min="6" max="10" width="8" customWidth="1"/>
    <col min="11" max="11" width="6.85546875" customWidth="1"/>
    <col min="12" max="12" width="12.7109375" customWidth="1"/>
    <col min="13" max="17" width="6.85546875" customWidth="1"/>
    <col min="18" max="18" width="8.28515625" style="61" customWidth="1"/>
    <col min="19" max="19" width="9.5703125" customWidth="1"/>
    <col min="20" max="20" width="13" customWidth="1"/>
    <col min="21" max="21" width="11.140625" customWidth="1"/>
    <col min="22" max="22" width="19.5703125" customWidth="1"/>
    <col min="23" max="23" width="23.7109375" customWidth="1"/>
    <col min="24" max="24" width="21.28515625" customWidth="1"/>
    <col min="25" max="29" width="7.140625" customWidth="1"/>
    <col min="30" max="31" width="8.7109375" customWidth="1"/>
    <col min="32" max="34" width="8.5703125" customWidth="1"/>
    <col min="35" max="35" width="6.85546875" customWidth="1"/>
    <col min="36" max="36" width="11.140625" customWidth="1"/>
    <col min="37" max="50" width="6.85546875" customWidth="1"/>
    <col min="51" max="52" width="9.7109375" customWidth="1"/>
    <col min="53" max="60" width="8" customWidth="1"/>
    <col min="61" max="61" width="11.42578125" customWidth="1"/>
    <col min="62" max="71" width="8" customWidth="1"/>
    <col min="72" max="72" width="13" customWidth="1"/>
    <col min="74" max="76" width="7.28515625" customWidth="1"/>
    <col min="77" max="78" width="10" customWidth="1"/>
    <col min="79" max="83" width="9.5703125" customWidth="1"/>
    <col min="84" max="85" width="8.5703125" customWidth="1"/>
    <col min="95" max="102" width="7.28515625" customWidth="1"/>
    <col min="103" max="104" width="10" customWidth="1"/>
    <col min="105" max="106" width="7.28515625" customWidth="1"/>
  </cols>
  <sheetData>
    <row r="1" spans="1:122" ht="15.75" customHeight="1" thickBot="1" x14ac:dyDescent="0.3">
      <c r="A1" s="67">
        <v>1</v>
      </c>
      <c r="B1" s="61" t="str">
        <f>W1&amp;" - "&amp;X1</f>
        <v>Watford - Leicester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180</v>
      </c>
      <c r="X1" s="71" t="s">
        <v>225</v>
      </c>
      <c r="Y1" s="70" t="s">
        <v>7</v>
      </c>
      <c r="Z1" s="70" t="s">
        <v>8</v>
      </c>
      <c r="AA1" s="70" t="s">
        <v>9</v>
      </c>
      <c r="AB1" s="72" t="s">
        <v>10</v>
      </c>
      <c r="AC1" t="s">
        <v>11</v>
      </c>
      <c r="AD1" t="s">
        <v>11</v>
      </c>
      <c r="AE1" t="s">
        <v>12</v>
      </c>
      <c r="AF1" t="s">
        <v>13</v>
      </c>
      <c r="AG1" s="4" t="s">
        <v>14</v>
      </c>
      <c r="AH1" s="73">
        <v>1</v>
      </c>
      <c r="AI1" s="73">
        <v>0</v>
      </c>
      <c r="AJ1" s="73">
        <v>2</v>
      </c>
      <c r="AK1" s="5" t="s">
        <v>14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15</v>
      </c>
      <c r="BB1" s="73">
        <v>1</v>
      </c>
      <c r="BC1" s="73">
        <v>0</v>
      </c>
      <c r="BD1" s="73">
        <v>2</v>
      </c>
      <c r="BE1" s="5" t="s">
        <v>15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16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17</v>
      </c>
      <c r="CP1" s="79" t="s">
        <v>17</v>
      </c>
    </row>
    <row r="2" spans="1:122" ht="15.75" customHeight="1" thickBot="1" x14ac:dyDescent="0.3">
      <c r="B2" s="67" t="str">
        <f>B1</f>
        <v>Watford - Leicester</v>
      </c>
      <c r="C2" t="str">
        <f>IF(B1=B2,"OK","ERROR")</f>
        <v>OK</v>
      </c>
      <c r="E2">
        <v>17</v>
      </c>
      <c r="F2">
        <v>13</v>
      </c>
      <c r="G2" s="80">
        <f>E2-F2</f>
        <v>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>
        <f>IFERROR(VLOOKUP(A1,IN!$B$12:$AU$12,34),"")</f>
        <v>4.2361111111111106E-2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178</v>
      </c>
      <c r="W2" t="s">
        <v>179</v>
      </c>
      <c r="X2" t="s">
        <v>180</v>
      </c>
      <c r="Y2" s="9">
        <v>1</v>
      </c>
      <c r="Z2" s="9">
        <v>1</v>
      </c>
      <c r="AA2" s="10">
        <v>1</v>
      </c>
      <c r="AB2" s="10">
        <v>1</v>
      </c>
      <c r="AC2" s="85">
        <f t="shared" ref="AC2:AC21" si="0">Y2+Z2</f>
        <v>2</v>
      </c>
      <c r="AD2" s="85">
        <f t="shared" ref="AD2:AD21" si="1">AA2+AB2</f>
        <v>2</v>
      </c>
      <c r="AE2" s="61">
        <f t="shared" ref="AE2:AE21" si="2">IF(AND(Y2="M",Z2="M"),0,(IF(AND(Y2="M",Z2&lt;&gt;"M"),1,(IF(AND(Y2&lt;&gt;"M",Z2="M"),2,(IF(Y2=Z2,0,(IF(Y2&gt;Z2,1,2)))))))))</f>
        <v>0</v>
      </c>
      <c r="AF2" s="61">
        <f t="shared" ref="AF2:AF21" si="3"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1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1</v>
      </c>
      <c r="AP2" s="86">
        <f>IF(AL2=1,1,0)</f>
        <v>0</v>
      </c>
      <c r="AQ2" s="86">
        <f>IF(AM2=1,1,0)</f>
        <v>0</v>
      </c>
      <c r="AR2" s="87">
        <f>IF(AN2=1,1,0)</f>
        <v>1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1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1</v>
      </c>
      <c r="BJ2" s="86">
        <f>IF(BF2=1,1,0)</f>
        <v>0</v>
      </c>
      <c r="BK2" s="86">
        <f>IF(BG2=1,1,0)</f>
        <v>0</v>
      </c>
      <c r="BL2" s="86">
        <f>IF(BH2=1,1,0)</f>
        <v>1</v>
      </c>
      <c r="BR2" s="11"/>
      <c r="BV2">
        <v>1</v>
      </c>
      <c r="BW2">
        <v>5</v>
      </c>
      <c r="BX2">
        <v>81</v>
      </c>
      <c r="BY2" t="str">
        <f>V23</f>
        <v>Watford-Leicester</v>
      </c>
      <c r="CA2" t="str">
        <f>V24</f>
        <v>Watford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18</v>
      </c>
      <c r="DI2" s="89"/>
      <c r="DJ2" s="90" t="s">
        <v>19</v>
      </c>
      <c r="DP2" s="88" t="s">
        <v>18</v>
      </c>
      <c r="DQ2" s="89"/>
      <c r="DR2" s="90" t="s">
        <v>19</v>
      </c>
    </row>
    <row r="3" spans="1:122" x14ac:dyDescent="0.25">
      <c r="E3" s="61"/>
      <c r="F3" s="61"/>
      <c r="G3" s="61"/>
      <c r="H3" s="61"/>
      <c r="I3" s="91"/>
      <c r="J3" s="61"/>
      <c r="K3" s="61"/>
      <c r="L3" s="61"/>
      <c r="M3" s="61"/>
      <c r="U3" s="84">
        <f t="shared" ref="U3:U21" si="4">U2+1</f>
        <v>2</v>
      </c>
      <c r="V3" t="s">
        <v>181</v>
      </c>
      <c r="W3" t="s">
        <v>182</v>
      </c>
      <c r="X3" t="s">
        <v>183</v>
      </c>
      <c r="Y3" s="10">
        <v>3</v>
      </c>
      <c r="Z3" s="10">
        <v>0</v>
      </c>
      <c r="AA3" s="10">
        <v>1</v>
      </c>
      <c r="AB3" s="10">
        <v>0</v>
      </c>
      <c r="AC3" s="85">
        <f t="shared" si="0"/>
        <v>3</v>
      </c>
      <c r="AD3" s="85">
        <f t="shared" si="1"/>
        <v>1</v>
      </c>
      <c r="AE3" s="61">
        <f t="shared" si="2"/>
        <v>1</v>
      </c>
      <c r="AF3" s="61">
        <f t="shared" si="3"/>
        <v>1</v>
      </c>
      <c r="AG3" s="8">
        <f t="shared" ref="AG3:AG21" si="5">AG2+1</f>
        <v>2</v>
      </c>
      <c r="AH3">
        <f>IF(OR(AF3="",AE3=""),-1,IF(IFERROR(FIND(AH1,AE3,1),0)&gt;0,1,0))</f>
        <v>1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 t="shared" ref="AK3:AK21" si="6">AK2-1</f>
        <v>19</v>
      </c>
      <c r="AL3">
        <f>IFERROR(VLOOKUP(AK3,AG2:AJ21,2),"")</f>
        <v>1</v>
      </c>
      <c r="AM3">
        <f>IFERROR(VLOOKUP(AK3,AG2:AJ21,3),"")</f>
        <v>0</v>
      </c>
      <c r="AN3">
        <f>IFERROR(VLOOKUP(AK3,AG2:AJ21,4),"")</f>
        <v>0</v>
      </c>
      <c r="AP3" s="86">
        <f t="shared" ref="AP3:AR18" si="7">IF(AL3=-1,AP2,IF(AL3=0,0,IF(AL3=1,AP2+1)))</f>
        <v>1</v>
      </c>
      <c r="AQ3" s="86">
        <f t="shared" si="7"/>
        <v>0</v>
      </c>
      <c r="AR3" s="87">
        <f t="shared" si="7"/>
        <v>0</v>
      </c>
      <c r="AV3" s="92" t="s">
        <v>20</v>
      </c>
      <c r="AW3" s="93"/>
      <c r="AX3" s="94" t="s">
        <v>21</v>
      </c>
      <c r="BA3" s="8">
        <f t="shared" ref="BA3:BA21" si="8">BA2+1</f>
        <v>2</v>
      </c>
      <c r="BB3">
        <f>IF(OR(AF3="",AE3=""),-1,IF(IFERROR(FIND(BB1,AF3,1),0)&gt;0,1,0))</f>
        <v>1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 t="shared" ref="BE3:BE21" si="9">BE2-1</f>
        <v>19</v>
      </c>
      <c r="BF3">
        <f>IFERROR(VLOOKUP(BE3,BA2:BD21,2),"")</f>
        <v>0</v>
      </c>
      <c r="BG3">
        <f>IFERROR(VLOOKUP(BE3,BA2:BD21,3),"")</f>
        <v>1</v>
      </c>
      <c r="BH3">
        <f>IFERROR(VLOOKUP(BE3,BA2:BD21,4),"")</f>
        <v>0</v>
      </c>
      <c r="BJ3" s="86">
        <f t="shared" ref="BJ3:BL18" si="10">IF(BF3=-1,BJ2,IF(BF3=0,0,IF(BF3=1,BJ2+1)))</f>
        <v>0</v>
      </c>
      <c r="BK3" s="86">
        <f t="shared" si="10"/>
        <v>1</v>
      </c>
      <c r="BL3" s="86">
        <f t="shared" si="10"/>
        <v>0</v>
      </c>
      <c r="BP3" s="95" t="s">
        <v>20</v>
      </c>
      <c r="BQ3" s="93"/>
      <c r="BR3" s="94" t="s">
        <v>21</v>
      </c>
      <c r="BU3" t="s">
        <v>22</v>
      </c>
      <c r="BW3" t="str">
        <f t="shared" ref="BW3:BW23" si="11">AA1</f>
        <v>Vt1</v>
      </c>
      <c r="BX3" t="str">
        <f t="shared" ref="BX3:BX23" si="12">Z1</f>
        <v>Hm2</v>
      </c>
      <c r="BY3" s="85" t="str">
        <f>W1</f>
        <v>Watford</v>
      </c>
      <c r="BZ3" s="85" t="str">
        <f>X1</f>
        <v>Leicester</v>
      </c>
      <c r="CA3" t="s">
        <v>23</v>
      </c>
      <c r="CB3" t="s">
        <v>24</v>
      </c>
      <c r="CC3" t="s">
        <v>25</v>
      </c>
      <c r="CF3" s="85"/>
      <c r="CG3" s="85"/>
      <c r="CP3" t="s">
        <v>22</v>
      </c>
      <c r="CR3">
        <f>AV1</f>
        <v>0</v>
      </c>
      <c r="CS3">
        <f>AU1</f>
        <v>0</v>
      </c>
      <c r="CT3" s="85">
        <f>AR1</f>
        <v>0</v>
      </c>
      <c r="CU3" s="85">
        <f>AS1</f>
        <v>0</v>
      </c>
      <c r="CX3" t="s">
        <v>25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10</v>
      </c>
      <c r="DJ3" s="97">
        <f t="shared" ref="DJ3:DJ10" si="13"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 t="shared" ref="DR3:DR11" si="14">IF(DQ3="","",(DQ3/8)*100)</f>
        <v>62.5</v>
      </c>
    </row>
    <row r="4" spans="1:122" ht="15.75" customHeight="1" thickBot="1" x14ac:dyDescent="0.3">
      <c r="E4" s="61"/>
      <c r="F4" s="61"/>
      <c r="G4" s="61"/>
      <c r="H4" s="61"/>
      <c r="I4" s="61"/>
      <c r="J4" s="61"/>
      <c r="K4" s="61"/>
      <c r="L4" s="61"/>
      <c r="M4" s="61"/>
      <c r="U4" s="84">
        <f t="shared" si="4"/>
        <v>3</v>
      </c>
      <c r="V4" t="s">
        <v>184</v>
      </c>
      <c r="W4" t="s">
        <v>185</v>
      </c>
      <c r="X4" t="s">
        <v>186</v>
      </c>
      <c r="Y4" s="9">
        <v>2</v>
      </c>
      <c r="Z4" s="9">
        <v>3</v>
      </c>
      <c r="AA4" s="9">
        <v>0</v>
      </c>
      <c r="AB4" s="9">
        <v>0</v>
      </c>
      <c r="AC4" s="85">
        <f t="shared" si="0"/>
        <v>5</v>
      </c>
      <c r="AD4" s="85">
        <f t="shared" si="1"/>
        <v>0</v>
      </c>
      <c r="AE4" s="61">
        <f t="shared" si="2"/>
        <v>2</v>
      </c>
      <c r="AF4" s="61">
        <f t="shared" si="3"/>
        <v>0</v>
      </c>
      <c r="AG4" s="8">
        <f t="shared" si="5"/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1</v>
      </c>
      <c r="AK4" s="74">
        <f t="shared" si="6"/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1</v>
      </c>
      <c r="AP4" s="86">
        <f t="shared" si="7"/>
        <v>0</v>
      </c>
      <c r="AQ4" s="86">
        <f t="shared" si="7"/>
        <v>0</v>
      </c>
      <c r="AR4" s="87">
        <f t="shared" si="7"/>
        <v>1</v>
      </c>
      <c r="AS4" s="61">
        <f>COUNTIF(AE2:AE21,AT4)</f>
        <v>7</v>
      </c>
      <c r="AT4" s="61">
        <v>1</v>
      </c>
      <c r="AU4" s="61">
        <f>MAX(AP2:AP21)</f>
        <v>3</v>
      </c>
      <c r="AV4" s="61">
        <v>1</v>
      </c>
      <c r="AW4" s="99">
        <f>AU4</f>
        <v>3</v>
      </c>
      <c r="AX4" s="100">
        <f>AP21</f>
        <v>0</v>
      </c>
      <c r="BA4" s="8">
        <f t="shared" si="8"/>
        <v>3</v>
      </c>
      <c r="BB4">
        <f>IF(OR(AF4="",AE4=""),-1,IF(IFERROR(FIND(BB1,AF4,1),0)&gt;0,1,0))</f>
        <v>0</v>
      </c>
      <c r="BC4">
        <f>IF(OR(AF4="",AE4=""),-1,IF(IFERROR(FIND(BC1,AF4,1),0)&gt;0,1,0))</f>
        <v>1</v>
      </c>
      <c r="BD4">
        <f>IF(OR(AF4="",AE4=""),-1,IF(IFERROR(FIND(BD1,AF4,1),0)&gt;0,1,0))</f>
        <v>0</v>
      </c>
      <c r="BE4" s="74">
        <f t="shared" si="9"/>
        <v>18</v>
      </c>
      <c r="BF4">
        <f>IFERROR(VLOOKUP(BE4,BA2:BD21,2),"")</f>
        <v>1</v>
      </c>
      <c r="BG4">
        <f>IFERROR(VLOOKUP(BE4,BA2:BD21,3),"")</f>
        <v>0</v>
      </c>
      <c r="BH4">
        <f>IFERROR(VLOOKUP(BE4,BA2:BD21,4),"")</f>
        <v>0</v>
      </c>
      <c r="BJ4" s="86">
        <f t="shared" si="10"/>
        <v>1</v>
      </c>
      <c r="BK4" s="86">
        <f t="shared" si="10"/>
        <v>0</v>
      </c>
      <c r="BL4" s="86">
        <f t="shared" si="10"/>
        <v>0</v>
      </c>
      <c r="BM4" s="61">
        <f>COUNTIF(AF2:AF21,BN4)</f>
        <v>6</v>
      </c>
      <c r="BN4" s="61">
        <v>1</v>
      </c>
      <c r="BO4" s="61">
        <f>MAX(BJ1:BJ21)</f>
        <v>1</v>
      </c>
      <c r="BP4" s="61">
        <v>1</v>
      </c>
      <c r="BQ4" s="99">
        <f>BO4</f>
        <v>1</v>
      </c>
      <c r="BR4" s="100">
        <f>BJ21</f>
        <v>0</v>
      </c>
      <c r="BV4">
        <v>20</v>
      </c>
      <c r="BW4">
        <f t="shared" si="11"/>
        <v>1</v>
      </c>
      <c r="BX4">
        <f t="shared" si="12"/>
        <v>1</v>
      </c>
      <c r="BY4" s="85">
        <f>BW23</f>
        <v>1</v>
      </c>
      <c r="BZ4" s="85">
        <f>BX23</f>
        <v>4</v>
      </c>
      <c r="CA4" s="61">
        <f t="shared" ref="CA4:CB23" si="15">IF((BW4&gt;=3),"M",BW4)</f>
        <v>1</v>
      </c>
      <c r="CB4" s="61">
        <f t="shared" si="15"/>
        <v>1</v>
      </c>
      <c r="CC4">
        <v>20</v>
      </c>
      <c r="CD4">
        <f t="shared" ref="CD4:CE23" si="16">BW4</f>
        <v>1</v>
      </c>
      <c r="CE4">
        <f t="shared" si="16"/>
        <v>1</v>
      </c>
      <c r="CF4" s="85">
        <f>CD23</f>
        <v>1</v>
      </c>
      <c r="CG4" s="85">
        <f>CE23</f>
        <v>4</v>
      </c>
      <c r="CQ4">
        <v>20</v>
      </c>
      <c r="CR4">
        <f t="shared" ref="CR4:CS23" si="17">AC2</f>
        <v>2</v>
      </c>
      <c r="CS4">
        <f t="shared" si="17"/>
        <v>2</v>
      </c>
      <c r="CT4" s="85">
        <f>CR23</f>
        <v>5</v>
      </c>
      <c r="CU4" s="85">
        <f>CS23</f>
        <v>3</v>
      </c>
      <c r="CV4" s="61"/>
      <c r="CW4" s="61"/>
      <c r="CX4">
        <v>20</v>
      </c>
      <c r="CY4">
        <f t="shared" ref="CY4:CZ23" si="18">CR4</f>
        <v>2</v>
      </c>
      <c r="CZ4">
        <f t="shared" si="18"/>
        <v>2</v>
      </c>
      <c r="DA4" s="85">
        <f>CY23</f>
        <v>5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2</v>
      </c>
      <c r="DJ4" s="97">
        <f t="shared" si="13"/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 t="shared" si="14"/>
        <v>37.5</v>
      </c>
    </row>
    <row r="5" spans="1:122" x14ac:dyDescent="0.25">
      <c r="A5" s="101"/>
      <c r="B5" s="102" t="s">
        <v>26</v>
      </c>
      <c r="C5" s="103" t="s">
        <v>27</v>
      </c>
      <c r="D5" s="307" t="s">
        <v>28</v>
      </c>
      <c r="E5" s="307"/>
      <c r="F5" s="308" t="s">
        <v>29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 t="shared" si="4"/>
        <v>4</v>
      </c>
      <c r="V5" t="s">
        <v>187</v>
      </c>
      <c r="W5" t="s">
        <v>188</v>
      </c>
      <c r="X5" t="s">
        <v>189</v>
      </c>
      <c r="Y5" s="9">
        <v>0</v>
      </c>
      <c r="Z5" s="9">
        <v>0</v>
      </c>
      <c r="AA5" s="9">
        <v>2</v>
      </c>
      <c r="AB5" s="9">
        <v>1</v>
      </c>
      <c r="AC5" s="85">
        <f t="shared" si="0"/>
        <v>0</v>
      </c>
      <c r="AD5" s="85">
        <f t="shared" si="1"/>
        <v>3</v>
      </c>
      <c r="AE5" s="61">
        <f t="shared" si="2"/>
        <v>0</v>
      </c>
      <c r="AF5" s="61">
        <f t="shared" si="3"/>
        <v>1</v>
      </c>
      <c r="AG5" s="8">
        <f t="shared" si="5"/>
        <v>4</v>
      </c>
      <c r="AH5">
        <f>IF(OR(AF5="",AE5=""),-1,IF(IFERROR(FIND(AH1,AE5,1),0)&gt;0,1,0))</f>
        <v>0</v>
      </c>
      <c r="AI5">
        <f>IF(OR(AF5="",AE5=""),-1,IF(IFERROR(FIND(AI1,AE5,1),0)&gt;0,1,0))</f>
        <v>1</v>
      </c>
      <c r="AJ5">
        <f>IF(OR(AF5="",AE5=""),-1,IF(IFERROR(FIND(AJ1,AE5,1),0)&gt;0,1,0))</f>
        <v>0</v>
      </c>
      <c r="AK5" s="74">
        <f t="shared" si="6"/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1</v>
      </c>
      <c r="AP5" s="86">
        <f t="shared" si="7"/>
        <v>0</v>
      </c>
      <c r="AQ5" s="86">
        <f t="shared" si="7"/>
        <v>0</v>
      </c>
      <c r="AR5" s="87">
        <f t="shared" si="7"/>
        <v>2</v>
      </c>
      <c r="AS5" s="61">
        <f>COUNTIF(AE2:AE21,AT5)</f>
        <v>7</v>
      </c>
      <c r="AT5" s="61">
        <v>0</v>
      </c>
      <c r="AU5" s="61">
        <f>MAX(AQ2:AQ21)</f>
        <v>2</v>
      </c>
      <c r="AV5" s="61" t="s">
        <v>30</v>
      </c>
      <c r="AW5" s="99">
        <f>AU5</f>
        <v>2</v>
      </c>
      <c r="AX5" s="100">
        <f>AQ21</f>
        <v>1</v>
      </c>
      <c r="BA5" s="8">
        <f t="shared" si="8"/>
        <v>4</v>
      </c>
      <c r="BB5">
        <f>IF(OR(AF5="",AE5=""),-1,IF(IFERROR(FIND(BB1,AF5,1),0)&gt;0,1,0))</f>
        <v>1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 t="shared" si="9"/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1</v>
      </c>
      <c r="BJ5" s="86">
        <f t="shared" si="10"/>
        <v>0</v>
      </c>
      <c r="BK5" s="86">
        <f t="shared" si="10"/>
        <v>0</v>
      </c>
      <c r="BL5" s="86">
        <f t="shared" si="10"/>
        <v>1</v>
      </c>
      <c r="BM5" s="61">
        <f>COUNTIF(AF2:AF21,BN5)</f>
        <v>4</v>
      </c>
      <c r="BN5" s="61">
        <v>0</v>
      </c>
      <c r="BO5" s="61">
        <f>MAX(BK2:BK21)</f>
        <v>1</v>
      </c>
      <c r="BP5" s="61" t="s">
        <v>30</v>
      </c>
      <c r="BQ5" s="99">
        <f>BO5</f>
        <v>1</v>
      </c>
      <c r="BR5" s="100">
        <f>BK21</f>
        <v>1</v>
      </c>
      <c r="BV5">
        <v>19</v>
      </c>
      <c r="BW5">
        <f t="shared" si="11"/>
        <v>1</v>
      </c>
      <c r="BX5">
        <f t="shared" si="12"/>
        <v>0</v>
      </c>
      <c r="BY5" s="85">
        <f>BW22</f>
        <v>1</v>
      </c>
      <c r="BZ5" s="85">
        <f>BX22</f>
        <v>1</v>
      </c>
      <c r="CA5" s="61">
        <f t="shared" si="15"/>
        <v>1</v>
      </c>
      <c r="CB5" s="61">
        <f t="shared" si="15"/>
        <v>0</v>
      </c>
      <c r="CC5">
        <v>19</v>
      </c>
      <c r="CD5">
        <f t="shared" si="16"/>
        <v>1</v>
      </c>
      <c r="CE5">
        <f t="shared" si="16"/>
        <v>0</v>
      </c>
      <c r="CF5" s="85">
        <f>CD22</f>
        <v>1</v>
      </c>
      <c r="CG5" s="85">
        <f>CE22</f>
        <v>1</v>
      </c>
      <c r="CQ5">
        <v>19</v>
      </c>
      <c r="CR5">
        <f t="shared" si="17"/>
        <v>3</v>
      </c>
      <c r="CS5">
        <f t="shared" si="17"/>
        <v>1</v>
      </c>
      <c r="CT5" s="85">
        <f>CR22</f>
        <v>3</v>
      </c>
      <c r="CU5" s="85">
        <f>CS22</f>
        <v>2</v>
      </c>
      <c r="CV5" s="61"/>
      <c r="CW5" s="61"/>
      <c r="CX5">
        <v>19</v>
      </c>
      <c r="CY5">
        <f t="shared" si="18"/>
        <v>3</v>
      </c>
      <c r="CZ5">
        <f t="shared" si="18"/>
        <v>1</v>
      </c>
      <c r="DA5" s="85">
        <f>CY22</f>
        <v>3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 t="shared" si="13"/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 t="shared" si="14"/>
        <v/>
      </c>
    </row>
    <row r="6" spans="1:122" x14ac:dyDescent="0.25">
      <c r="A6" s="104" t="s">
        <v>31</v>
      </c>
      <c r="B6" s="105" t="s">
        <v>32</v>
      </c>
      <c r="C6" s="106" t="s">
        <v>33</v>
      </c>
      <c r="D6" s="107" t="s">
        <v>34</v>
      </c>
      <c r="E6" s="107" t="s">
        <v>35</v>
      </c>
      <c r="F6" s="108" t="str">
        <f t="shared" ref="F6:L6" si="19">Z38</f>
        <v>O1.5</v>
      </c>
      <c r="G6" s="109" t="str">
        <f t="shared" si="19"/>
        <v>O2.5</v>
      </c>
      <c r="H6" s="109" t="str">
        <f t="shared" si="19"/>
        <v>CS3</v>
      </c>
      <c r="I6" s="109" t="str">
        <f t="shared" si="19"/>
        <v>CS4</v>
      </c>
      <c r="J6" s="109" t="str">
        <f t="shared" si="19"/>
        <v>Scrd</v>
      </c>
      <c r="K6" s="80" t="str">
        <f t="shared" si="19"/>
        <v>Concd</v>
      </c>
      <c r="L6" s="80" t="str">
        <f t="shared" si="19"/>
        <v>BTS</v>
      </c>
      <c r="M6" s="109" t="str">
        <f>AH38</f>
        <v>SG_3</v>
      </c>
      <c r="N6" s="109" t="str">
        <f>AI38</f>
        <v>SG_2</v>
      </c>
      <c r="O6" s="110" t="s">
        <v>36</v>
      </c>
      <c r="P6" s="110" t="s">
        <v>37</v>
      </c>
      <c r="Q6" s="110" t="s">
        <v>38</v>
      </c>
      <c r="R6" s="111" t="str">
        <f>"+2,5"</f>
        <v>+2,5</v>
      </c>
      <c r="S6" s="112" t="s">
        <v>18</v>
      </c>
      <c r="U6" s="84">
        <f t="shared" si="4"/>
        <v>5</v>
      </c>
      <c r="V6" s="12" t="s">
        <v>190</v>
      </c>
      <c r="W6" t="s">
        <v>191</v>
      </c>
      <c r="X6" t="s">
        <v>192</v>
      </c>
      <c r="Y6" s="9">
        <v>3</v>
      </c>
      <c r="Z6" s="9">
        <v>3</v>
      </c>
      <c r="AA6" s="9">
        <v>0</v>
      </c>
      <c r="AB6" s="9">
        <v>1</v>
      </c>
      <c r="AC6" s="85">
        <f t="shared" si="0"/>
        <v>6</v>
      </c>
      <c r="AD6" s="85">
        <f t="shared" si="1"/>
        <v>1</v>
      </c>
      <c r="AE6" s="61">
        <f t="shared" si="2"/>
        <v>0</v>
      </c>
      <c r="AF6" s="61">
        <f t="shared" si="3"/>
        <v>2</v>
      </c>
      <c r="AG6" s="8">
        <f t="shared" si="5"/>
        <v>5</v>
      </c>
      <c r="AH6">
        <f>IF(OR(AF6="",AE6=""),-1,IF(IFERROR(FIND(AH1,AE6,1),0)&gt;0,1,0))</f>
        <v>0</v>
      </c>
      <c r="AI6">
        <f>IF(OR(AF6="",AE6=""),-1,IF(IFERROR(FIND(AI1,AE6,1),0)&gt;0,1,0))</f>
        <v>1</v>
      </c>
      <c r="AJ6">
        <f>IF(OR(AF6="",AE6=""),-1,IF(IFERROR(FIND(AJ1,AE6,1),0)&gt;0,1,0))</f>
        <v>0</v>
      </c>
      <c r="AK6" s="74">
        <f t="shared" si="6"/>
        <v>16</v>
      </c>
      <c r="AL6">
        <f>IFERROR(VLOOKUP(AK6,AG2:AJ21,2),"")</f>
        <v>1</v>
      </c>
      <c r="AM6">
        <f>IFERROR(VLOOKUP(AK6,AG2:AJ21,3),"")</f>
        <v>0</v>
      </c>
      <c r="AN6">
        <f>IFERROR(VLOOKUP(AK6,AG2:AJ21,4),"")</f>
        <v>0</v>
      </c>
      <c r="AP6" s="86">
        <f t="shared" si="7"/>
        <v>1</v>
      </c>
      <c r="AQ6" s="86">
        <f t="shared" si="7"/>
        <v>0</v>
      </c>
      <c r="AR6" s="87">
        <f t="shared" si="7"/>
        <v>0</v>
      </c>
      <c r="AS6" s="61">
        <f>COUNTIF(AE2:AE21,AT6)</f>
        <v>6</v>
      </c>
      <c r="AT6" s="61">
        <v>2</v>
      </c>
      <c r="AU6" s="61">
        <f>MAX(AR2:AR21)</f>
        <v>2</v>
      </c>
      <c r="AV6" s="61">
        <v>2</v>
      </c>
      <c r="AW6" s="99">
        <f>AU6</f>
        <v>2</v>
      </c>
      <c r="AX6" s="100">
        <f>AR21</f>
        <v>0</v>
      </c>
      <c r="BA6" s="8">
        <f t="shared" si="8"/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1</v>
      </c>
      <c r="BE6" s="74">
        <f t="shared" si="9"/>
        <v>16</v>
      </c>
      <c r="BF6">
        <f>IFERROR(VLOOKUP(BE6,BA2:BD21,2),"")</f>
        <v>1</v>
      </c>
      <c r="BG6">
        <f>IFERROR(VLOOKUP(BE6,BA2:BD21,3),"")</f>
        <v>0</v>
      </c>
      <c r="BH6">
        <f>IFERROR(VLOOKUP(BE6,BA2:BD21,4),"")</f>
        <v>0</v>
      </c>
      <c r="BJ6" s="86">
        <f t="shared" si="10"/>
        <v>1</v>
      </c>
      <c r="BK6" s="86">
        <f t="shared" si="10"/>
        <v>0</v>
      </c>
      <c r="BL6" s="86">
        <f t="shared" si="10"/>
        <v>0</v>
      </c>
      <c r="BM6" s="61">
        <f>COUNTIF(AF2:AF21,BN6)</f>
        <v>10</v>
      </c>
      <c r="BN6" s="61">
        <v>2</v>
      </c>
      <c r="BO6" s="61">
        <f>MAX(BL2:BL21)</f>
        <v>5</v>
      </c>
      <c r="BP6" s="61">
        <v>2</v>
      </c>
      <c r="BQ6" s="99">
        <f>BO6</f>
        <v>5</v>
      </c>
      <c r="BR6" s="100">
        <f>BL21</f>
        <v>0</v>
      </c>
      <c r="BV6">
        <v>18</v>
      </c>
      <c r="BW6">
        <f t="shared" si="11"/>
        <v>0</v>
      </c>
      <c r="BX6">
        <f t="shared" si="12"/>
        <v>3</v>
      </c>
      <c r="BY6" s="85">
        <f>BW21</f>
        <v>1</v>
      </c>
      <c r="BZ6" s="85">
        <f>BX21</f>
        <v>3</v>
      </c>
      <c r="CA6" s="61">
        <f t="shared" si="15"/>
        <v>0</v>
      </c>
      <c r="CB6" s="61" t="str">
        <f t="shared" si="15"/>
        <v>M</v>
      </c>
      <c r="CC6">
        <v>18</v>
      </c>
      <c r="CD6">
        <f t="shared" si="16"/>
        <v>0</v>
      </c>
      <c r="CE6">
        <f t="shared" si="16"/>
        <v>3</v>
      </c>
      <c r="CF6" s="85">
        <f>CD21</f>
        <v>1</v>
      </c>
      <c r="CG6" s="85">
        <f>CE21</f>
        <v>3</v>
      </c>
      <c r="CQ6">
        <v>18</v>
      </c>
      <c r="CR6">
        <f t="shared" si="17"/>
        <v>5</v>
      </c>
      <c r="CS6">
        <f t="shared" si="17"/>
        <v>0</v>
      </c>
      <c r="CT6" s="85">
        <f>CR21</f>
        <v>3</v>
      </c>
      <c r="CU6" s="85">
        <f>CS21</f>
        <v>1</v>
      </c>
      <c r="CV6" s="61"/>
      <c r="CW6" s="61"/>
      <c r="CX6">
        <v>18</v>
      </c>
      <c r="CY6">
        <f t="shared" si="18"/>
        <v>5</v>
      </c>
      <c r="CZ6">
        <f t="shared" si="18"/>
        <v>0</v>
      </c>
      <c r="DA6" s="85">
        <f>CY21</f>
        <v>3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 t="shared" si="13"/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 t="shared" si="14"/>
        <v/>
      </c>
    </row>
    <row r="7" spans="1:122" ht="15.75" customHeight="1" thickBot="1" x14ac:dyDescent="0.3">
      <c r="A7" s="113">
        <f>A1</f>
        <v>1</v>
      </c>
      <c r="B7" s="114" t="str">
        <f>B1</f>
        <v>Watford - Leicester</v>
      </c>
      <c r="C7" s="114">
        <f>Y41</f>
        <v>0</v>
      </c>
      <c r="D7" s="114" t="str">
        <f>BH36</f>
        <v>X</v>
      </c>
      <c r="E7" s="114" t="str">
        <f>BI36</f>
        <v>X2</v>
      </c>
      <c r="F7" s="114">
        <f t="shared" ref="F7:K7" si="20">Z41</f>
        <v>31.25</v>
      </c>
      <c r="G7" s="114">
        <f t="shared" si="20"/>
        <v>12.5</v>
      </c>
      <c r="H7" s="114">
        <f t="shared" si="20"/>
        <v>12.5</v>
      </c>
      <c r="I7" s="114">
        <f t="shared" si="20"/>
        <v>0</v>
      </c>
      <c r="J7" s="114">
        <f t="shared" si="20"/>
        <v>56.25</v>
      </c>
      <c r="K7" s="114">
        <f t="shared" si="20"/>
        <v>43.75</v>
      </c>
      <c r="L7" s="115">
        <f>AF39</f>
        <v>31.25</v>
      </c>
      <c r="M7" s="114">
        <f>AH39</f>
        <v>62.5</v>
      </c>
      <c r="N7" s="114">
        <f>AI39</f>
        <v>12.5</v>
      </c>
      <c r="O7" s="116">
        <f>C22</f>
        <v>11</v>
      </c>
      <c r="P7" s="117">
        <f>E22</f>
        <v>12</v>
      </c>
      <c r="Q7" s="116">
        <f>G22</f>
        <v>0</v>
      </c>
      <c r="R7" s="116">
        <f>D26</f>
        <v>62.5</v>
      </c>
      <c r="S7" s="118">
        <f>E26</f>
        <v>3</v>
      </c>
      <c r="U7" s="84">
        <f t="shared" si="4"/>
        <v>6</v>
      </c>
      <c r="V7" t="s">
        <v>193</v>
      </c>
      <c r="W7" t="s">
        <v>186</v>
      </c>
      <c r="X7" t="s">
        <v>194</v>
      </c>
      <c r="Y7" s="9">
        <v>2</v>
      </c>
      <c r="Z7" s="9">
        <v>1</v>
      </c>
      <c r="AA7" s="9">
        <v>2</v>
      </c>
      <c r="AB7" s="9">
        <v>1</v>
      </c>
      <c r="AC7" s="85">
        <f t="shared" si="0"/>
        <v>3</v>
      </c>
      <c r="AD7" s="85">
        <f t="shared" si="1"/>
        <v>3</v>
      </c>
      <c r="AE7" s="61">
        <f t="shared" si="2"/>
        <v>1</v>
      </c>
      <c r="AF7" s="61">
        <f t="shared" si="3"/>
        <v>1</v>
      </c>
      <c r="AG7" s="8">
        <f t="shared" si="5"/>
        <v>6</v>
      </c>
      <c r="AH7">
        <f>IF(OR(AF7="",AE7=""),-1,IF(IFERROR(FIND(AH1,AE7,1),0)&gt;0,1,0))</f>
        <v>1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 t="shared" si="6"/>
        <v>15</v>
      </c>
      <c r="AL7">
        <f>IFERROR(VLOOKUP(AK7,AG2:AJ21,2),"")</f>
        <v>0</v>
      </c>
      <c r="AM7">
        <f>IFERROR(VLOOKUP(AK7,AG2:AJ21,3),"")</f>
        <v>1</v>
      </c>
      <c r="AN7">
        <f>IFERROR(VLOOKUP(AK7,AG2:AJ21,4),"")</f>
        <v>0</v>
      </c>
      <c r="AP7" s="86">
        <f t="shared" si="7"/>
        <v>0</v>
      </c>
      <c r="AQ7" s="86">
        <f t="shared" si="7"/>
        <v>1</v>
      </c>
      <c r="AR7" s="87">
        <f t="shared" si="7"/>
        <v>0</v>
      </c>
      <c r="AS7" s="61">
        <f>SUM(AS4:AS6)</f>
        <v>20</v>
      </c>
      <c r="AT7" s="61"/>
      <c r="AU7" s="61"/>
      <c r="AV7" s="61"/>
      <c r="AW7" s="61"/>
      <c r="AX7" s="11"/>
      <c r="BA7" s="8">
        <f t="shared" si="8"/>
        <v>6</v>
      </c>
      <c r="BB7">
        <f>IF(OR(AF7="",AE7=""),-1,IF(IFERROR(FIND(BB1,AF7,1),0)&gt;0,1,0))</f>
        <v>1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 t="shared" si="9"/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1</v>
      </c>
      <c r="BJ7" s="86">
        <f t="shared" si="10"/>
        <v>0</v>
      </c>
      <c r="BK7" s="86">
        <f t="shared" si="10"/>
        <v>0</v>
      </c>
      <c r="BL7" s="86">
        <f t="shared" si="10"/>
        <v>1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 t="shared" si="11"/>
        <v>2</v>
      </c>
      <c r="BX7">
        <f t="shared" si="12"/>
        <v>0</v>
      </c>
      <c r="BY7" s="85">
        <f>BW20</f>
        <v>0</v>
      </c>
      <c r="BZ7" s="85">
        <f>BX20</f>
        <v>3</v>
      </c>
      <c r="CA7" s="61">
        <f t="shared" si="15"/>
        <v>2</v>
      </c>
      <c r="CB7" s="61">
        <f t="shared" si="15"/>
        <v>0</v>
      </c>
      <c r="CC7">
        <v>17</v>
      </c>
      <c r="CD7">
        <f t="shared" si="16"/>
        <v>2</v>
      </c>
      <c r="CE7">
        <f t="shared" si="16"/>
        <v>0</v>
      </c>
      <c r="CF7" s="85">
        <f>CD20</f>
        <v>0</v>
      </c>
      <c r="CG7" s="85">
        <f>CE20</f>
        <v>3</v>
      </c>
      <c r="CQ7">
        <v>17</v>
      </c>
      <c r="CR7">
        <f t="shared" si="17"/>
        <v>0</v>
      </c>
      <c r="CS7">
        <f t="shared" si="17"/>
        <v>3</v>
      </c>
      <c r="CT7" s="85">
        <f>CR20</f>
        <v>4</v>
      </c>
      <c r="CU7" s="85">
        <f>CS20</f>
        <v>4</v>
      </c>
      <c r="CV7" s="61"/>
      <c r="CW7" s="61"/>
      <c r="CX7">
        <v>17</v>
      </c>
      <c r="CY7">
        <f t="shared" si="18"/>
        <v>0</v>
      </c>
      <c r="CZ7">
        <f t="shared" si="18"/>
        <v>3</v>
      </c>
      <c r="DA7" s="85">
        <f>CY20</f>
        <v>4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 t="shared" si="13"/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 t="shared" si="14"/>
        <v/>
      </c>
    </row>
    <row r="8" spans="1:122" x14ac:dyDescent="0.25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 t="shared" si="4"/>
        <v>7</v>
      </c>
      <c r="V8" t="s">
        <v>195</v>
      </c>
      <c r="W8" t="s">
        <v>189</v>
      </c>
      <c r="X8" t="s">
        <v>196</v>
      </c>
      <c r="Y8" s="9">
        <v>3</v>
      </c>
      <c r="Z8" s="9">
        <v>0</v>
      </c>
      <c r="AA8" s="9">
        <v>0</v>
      </c>
      <c r="AB8" s="9">
        <v>3</v>
      </c>
      <c r="AC8" s="85">
        <f t="shared" si="0"/>
        <v>3</v>
      </c>
      <c r="AD8" s="85">
        <f t="shared" si="1"/>
        <v>3</v>
      </c>
      <c r="AE8" s="61">
        <f t="shared" si="2"/>
        <v>1</v>
      </c>
      <c r="AF8" s="61">
        <f t="shared" si="3"/>
        <v>2</v>
      </c>
      <c r="AG8" s="8">
        <f t="shared" si="5"/>
        <v>7</v>
      </c>
      <c r="AH8">
        <f>IF(OR(AF8="",AE8=""),-1,IF(IFERROR(FIND(AH1,AE8,1),0)&gt;0,1,0))</f>
        <v>1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 t="shared" si="6"/>
        <v>14</v>
      </c>
      <c r="AL8">
        <f>IFERROR(VLOOKUP(AK8,AG2:AJ21,2),"")</f>
        <v>1</v>
      </c>
      <c r="AM8">
        <f>IFERROR(VLOOKUP(AK8,AG2:AJ21,3),"")</f>
        <v>0</v>
      </c>
      <c r="AN8">
        <f>IFERROR(VLOOKUP(AK8,AG2:AJ21,4),"")</f>
        <v>0</v>
      </c>
      <c r="AP8" s="86">
        <f t="shared" si="7"/>
        <v>1</v>
      </c>
      <c r="AQ8" s="86">
        <f t="shared" si="7"/>
        <v>0</v>
      </c>
      <c r="AR8" s="87">
        <f t="shared" si="7"/>
        <v>0</v>
      </c>
      <c r="AS8" s="95">
        <v>1</v>
      </c>
      <c r="AT8" s="95" t="s">
        <v>30</v>
      </c>
      <c r="AU8" s="95">
        <v>2</v>
      </c>
      <c r="AV8" t="s">
        <v>39</v>
      </c>
      <c r="AW8" s="93" t="s">
        <v>34</v>
      </c>
      <c r="AX8" s="120" t="s">
        <v>35</v>
      </c>
      <c r="BA8" s="8">
        <f t="shared" si="8"/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1</v>
      </c>
      <c r="BE8" s="74">
        <f t="shared" si="9"/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1</v>
      </c>
      <c r="BJ8" s="86">
        <f t="shared" si="10"/>
        <v>0</v>
      </c>
      <c r="BK8" s="86">
        <f t="shared" si="10"/>
        <v>0</v>
      </c>
      <c r="BL8" s="86">
        <f t="shared" si="10"/>
        <v>2</v>
      </c>
      <c r="BM8" s="95">
        <v>1</v>
      </c>
      <c r="BN8" s="95" t="s">
        <v>30</v>
      </c>
      <c r="BO8" s="95">
        <v>2</v>
      </c>
      <c r="BP8" t="s">
        <v>39</v>
      </c>
      <c r="BQ8" s="93" t="s">
        <v>34</v>
      </c>
      <c r="BR8" s="120" t="s">
        <v>35</v>
      </c>
      <c r="BV8">
        <v>16</v>
      </c>
      <c r="BW8">
        <f t="shared" si="11"/>
        <v>0</v>
      </c>
      <c r="BX8">
        <f t="shared" si="12"/>
        <v>3</v>
      </c>
      <c r="BY8" s="85">
        <f>BW19</f>
        <v>2</v>
      </c>
      <c r="BZ8" s="85">
        <f>BX19</f>
        <v>0</v>
      </c>
      <c r="CA8" s="61">
        <f t="shared" si="15"/>
        <v>0</v>
      </c>
      <c r="CB8" s="61" t="str">
        <f t="shared" si="15"/>
        <v>M</v>
      </c>
      <c r="CC8">
        <v>16</v>
      </c>
      <c r="CD8">
        <f t="shared" si="16"/>
        <v>0</v>
      </c>
      <c r="CE8">
        <f t="shared" si="16"/>
        <v>3</v>
      </c>
      <c r="CF8" s="85">
        <f>CD19</f>
        <v>2</v>
      </c>
      <c r="CG8" s="85">
        <f>CE19</f>
        <v>0</v>
      </c>
      <c r="CQ8">
        <v>16</v>
      </c>
      <c r="CR8">
        <f t="shared" si="17"/>
        <v>6</v>
      </c>
      <c r="CS8">
        <f t="shared" si="17"/>
        <v>1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 t="shared" si="18"/>
        <v>6</v>
      </c>
      <c r="CZ8">
        <f t="shared" si="18"/>
        <v>1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 t="shared" si="13"/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 t="shared" si="14"/>
        <v/>
      </c>
    </row>
    <row r="9" spans="1:122" x14ac:dyDescent="0.25">
      <c r="U9" s="84">
        <f t="shared" si="4"/>
        <v>8</v>
      </c>
      <c r="V9" t="s">
        <v>197</v>
      </c>
      <c r="W9" t="s">
        <v>198</v>
      </c>
      <c r="X9" t="s">
        <v>199</v>
      </c>
      <c r="Y9" s="9">
        <v>2</v>
      </c>
      <c r="Z9" s="9">
        <v>0</v>
      </c>
      <c r="AA9" s="9">
        <v>1</v>
      </c>
      <c r="AB9" s="9">
        <v>2</v>
      </c>
      <c r="AC9" s="85">
        <f t="shared" si="0"/>
        <v>2</v>
      </c>
      <c r="AD9" s="85">
        <f t="shared" si="1"/>
        <v>3</v>
      </c>
      <c r="AE9" s="61">
        <f t="shared" si="2"/>
        <v>1</v>
      </c>
      <c r="AF9" s="61">
        <f t="shared" si="3"/>
        <v>2</v>
      </c>
      <c r="AG9" s="8">
        <f t="shared" si="5"/>
        <v>8</v>
      </c>
      <c r="AH9">
        <f>IF(OR(AF9="",AE9=""),-1,IF(IFERROR(FIND(AH1,AE9,1),0)&gt;0,1,0))</f>
        <v>1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 t="shared" si="6"/>
        <v>13</v>
      </c>
      <c r="AL9">
        <f>IFERROR(VLOOKUP(AK9,AG2:AJ21,2),"")</f>
        <v>0</v>
      </c>
      <c r="AM9">
        <f>IFERROR(VLOOKUP(AK9,AG2:AJ21,3),"")</f>
        <v>1</v>
      </c>
      <c r="AN9">
        <f>IFERROR(VLOOKUP(AK9,AG2:AJ21,4),"")</f>
        <v>0</v>
      </c>
      <c r="AP9" s="86">
        <f t="shared" si="7"/>
        <v>0</v>
      </c>
      <c r="AQ9" s="86">
        <f t="shared" si="7"/>
        <v>1</v>
      </c>
      <c r="AR9" s="87">
        <f t="shared" si="7"/>
        <v>0</v>
      </c>
      <c r="AS9" s="99">
        <f>(AS4/AS7)*100</f>
        <v>35</v>
      </c>
      <c r="AT9" s="99">
        <f>(AS5/AS7)*100</f>
        <v>35</v>
      </c>
      <c r="AU9" s="99">
        <f>(AS6/AS7)*100</f>
        <v>30</v>
      </c>
      <c r="AV9" s="115">
        <f>MAX(AS9:AU9)</f>
        <v>35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 t="shared" si="8"/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1</v>
      </c>
      <c r="BE9" s="74">
        <f t="shared" si="9"/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1</v>
      </c>
      <c r="BJ9" s="86">
        <f t="shared" si="10"/>
        <v>0</v>
      </c>
      <c r="BK9" s="86">
        <f t="shared" si="10"/>
        <v>0</v>
      </c>
      <c r="BL9" s="86">
        <f t="shared" si="10"/>
        <v>3</v>
      </c>
      <c r="BM9" s="99">
        <f>(BM4/BM7)*100</f>
        <v>30</v>
      </c>
      <c r="BN9" s="99">
        <f>(BM5/BM7)*100</f>
        <v>20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 t="shared" si="11"/>
        <v>2</v>
      </c>
      <c r="BX9">
        <f t="shared" si="12"/>
        <v>1</v>
      </c>
      <c r="BY9" s="85">
        <f>BW18</f>
        <v>0</v>
      </c>
      <c r="BZ9" s="85">
        <f>BX18</f>
        <v>2</v>
      </c>
      <c r="CA9" s="61">
        <f t="shared" si="15"/>
        <v>2</v>
      </c>
      <c r="CB9" s="61">
        <f t="shared" si="15"/>
        <v>1</v>
      </c>
      <c r="CC9">
        <v>15</v>
      </c>
      <c r="CD9">
        <f t="shared" si="16"/>
        <v>2</v>
      </c>
      <c r="CE9">
        <f t="shared" si="16"/>
        <v>1</v>
      </c>
      <c r="CF9" s="85">
        <f>CD18</f>
        <v>0</v>
      </c>
      <c r="CG9" s="85">
        <f>CE18</f>
        <v>2</v>
      </c>
      <c r="CQ9">
        <v>15</v>
      </c>
      <c r="CR9">
        <f t="shared" si="17"/>
        <v>3</v>
      </c>
      <c r="CS9">
        <f t="shared" si="17"/>
        <v>3</v>
      </c>
      <c r="CT9" s="85">
        <f>CR18</f>
        <v>4</v>
      </c>
      <c r="CU9" s="85">
        <f>CS18</f>
        <v>9</v>
      </c>
      <c r="CV9" s="61"/>
      <c r="CW9" s="61"/>
      <c r="CX9">
        <v>15</v>
      </c>
      <c r="CY9">
        <f t="shared" si="18"/>
        <v>3</v>
      </c>
      <c r="CZ9">
        <f t="shared" si="18"/>
        <v>3</v>
      </c>
      <c r="DA9" s="85">
        <f>CY18</f>
        <v>4</v>
      </c>
      <c r="DB9" s="85">
        <f>CZ18</f>
        <v>9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 t="shared" si="13"/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 t="shared" si="14"/>
        <v/>
      </c>
    </row>
    <row r="10" spans="1:122" x14ac:dyDescent="0.25">
      <c r="U10" s="84">
        <f t="shared" si="4"/>
        <v>9</v>
      </c>
      <c r="V10" t="s">
        <v>200</v>
      </c>
      <c r="W10" t="s">
        <v>201</v>
      </c>
      <c r="X10" t="s">
        <v>202</v>
      </c>
      <c r="Y10" s="9">
        <v>0</v>
      </c>
      <c r="Z10" s="9">
        <v>0</v>
      </c>
      <c r="AA10" s="9">
        <v>3</v>
      </c>
      <c r="AB10" s="9">
        <v>1</v>
      </c>
      <c r="AC10" s="85">
        <f t="shared" si="0"/>
        <v>0</v>
      </c>
      <c r="AD10" s="85">
        <f t="shared" si="1"/>
        <v>4</v>
      </c>
      <c r="AE10" s="61">
        <f t="shared" si="2"/>
        <v>0</v>
      </c>
      <c r="AF10" s="61">
        <f t="shared" si="3"/>
        <v>1</v>
      </c>
      <c r="AG10" s="8">
        <f t="shared" si="5"/>
        <v>9</v>
      </c>
      <c r="AH10">
        <f>IF(OR(AF10="",AE10=""),-1,IF(IFERROR(FIND(AH1,AE10,1),0)&gt;0,1,0))</f>
        <v>0</v>
      </c>
      <c r="AI10">
        <f>IF(OR(AF10="",AE10=""),-1,IF(IFERROR(FIND(AI1,AE10,1),0)&gt;0,1,0))</f>
        <v>1</v>
      </c>
      <c r="AJ10">
        <f>IF(OR(AF10="",AE10=""),-1,IF(IFERROR(FIND(AJ1,AE10,1),0)&gt;0,1,0))</f>
        <v>0</v>
      </c>
      <c r="AK10" s="74">
        <f t="shared" si="6"/>
        <v>12</v>
      </c>
      <c r="AL10">
        <f>IFERROR(VLOOKUP(AK10,AG2:AJ21,2),"")</f>
        <v>0</v>
      </c>
      <c r="AM10">
        <f>IFERROR(VLOOKUP(AK10,AG2:AJ21,3),"")</f>
        <v>1</v>
      </c>
      <c r="AN10">
        <f>IFERROR(VLOOKUP(AK10,AG2:AJ21,4),"")</f>
        <v>0</v>
      </c>
      <c r="AP10" s="86">
        <f t="shared" si="7"/>
        <v>0</v>
      </c>
      <c r="AQ10" s="86">
        <f t="shared" si="7"/>
        <v>2</v>
      </c>
      <c r="AR10" s="87">
        <f t="shared" si="7"/>
        <v>0</v>
      </c>
      <c r="AX10" s="11"/>
      <c r="BA10" s="8">
        <f t="shared" si="8"/>
        <v>9</v>
      </c>
      <c r="BB10">
        <f>IF(OR(AF10="",AE10=""),-1,IF(IFERROR(FIND(BB1,AF10,1),0)&gt;0,1,0))</f>
        <v>1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 t="shared" si="9"/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1</v>
      </c>
      <c r="BJ10" s="86">
        <f t="shared" si="10"/>
        <v>0</v>
      </c>
      <c r="BK10" s="86">
        <f t="shared" si="10"/>
        <v>0</v>
      </c>
      <c r="BL10" s="86">
        <f t="shared" si="10"/>
        <v>4</v>
      </c>
      <c r="BR10" s="11"/>
      <c r="BV10">
        <v>14</v>
      </c>
      <c r="BW10">
        <f t="shared" si="11"/>
        <v>0</v>
      </c>
      <c r="BX10">
        <f t="shared" si="12"/>
        <v>0</v>
      </c>
      <c r="BY10" s="85">
        <f>BW17</f>
        <v>1</v>
      </c>
      <c r="BZ10" s="85">
        <f>BX17</f>
        <v>1</v>
      </c>
      <c r="CA10" s="61">
        <f t="shared" si="15"/>
        <v>0</v>
      </c>
      <c r="CB10" s="61">
        <f t="shared" si="15"/>
        <v>0</v>
      </c>
      <c r="CC10">
        <v>14</v>
      </c>
      <c r="CD10">
        <f t="shared" si="16"/>
        <v>0</v>
      </c>
      <c r="CE10">
        <f t="shared" si="16"/>
        <v>0</v>
      </c>
      <c r="CF10" s="85">
        <f>CD17</f>
        <v>1</v>
      </c>
      <c r="CG10" s="85">
        <f>CE17</f>
        <v>1</v>
      </c>
      <c r="CQ10">
        <v>14</v>
      </c>
      <c r="CR10">
        <f t="shared" si="17"/>
        <v>3</v>
      </c>
      <c r="CS10">
        <f t="shared" si="17"/>
        <v>3</v>
      </c>
      <c r="CT10" s="85">
        <f>CR17</f>
        <v>3</v>
      </c>
      <c r="CU10" s="85">
        <f>CS17</f>
        <v>4</v>
      </c>
      <c r="CV10" s="61"/>
      <c r="CW10" s="61"/>
      <c r="CX10">
        <v>14</v>
      </c>
      <c r="CY10">
        <f t="shared" si="18"/>
        <v>3</v>
      </c>
      <c r="CZ10">
        <f t="shared" si="18"/>
        <v>3</v>
      </c>
      <c r="DA10" s="85">
        <f>CY17</f>
        <v>3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 t="shared" si="13"/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 t="shared" si="14"/>
        <v/>
      </c>
    </row>
    <row r="11" spans="1:122" x14ac:dyDescent="0.25">
      <c r="U11" s="84">
        <f t="shared" si="4"/>
        <v>10</v>
      </c>
      <c r="V11" t="s">
        <v>203</v>
      </c>
      <c r="W11" t="s">
        <v>194</v>
      </c>
      <c r="X11" t="s">
        <v>185</v>
      </c>
      <c r="Y11" s="9">
        <v>0</v>
      </c>
      <c r="Z11" s="9">
        <v>3</v>
      </c>
      <c r="AA11" s="9">
        <v>2</v>
      </c>
      <c r="AB11" s="9">
        <v>2</v>
      </c>
      <c r="AC11" s="85">
        <f t="shared" si="0"/>
        <v>3</v>
      </c>
      <c r="AD11" s="85">
        <f t="shared" si="1"/>
        <v>4</v>
      </c>
      <c r="AE11" s="61">
        <f t="shared" si="2"/>
        <v>2</v>
      </c>
      <c r="AF11" s="61">
        <f t="shared" si="3"/>
        <v>0</v>
      </c>
      <c r="AG11" s="8">
        <f t="shared" si="5"/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1</v>
      </c>
      <c r="AK11" s="74">
        <f t="shared" si="6"/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1</v>
      </c>
      <c r="AP11" s="86">
        <f t="shared" si="7"/>
        <v>0</v>
      </c>
      <c r="AQ11" s="86">
        <f t="shared" si="7"/>
        <v>0</v>
      </c>
      <c r="AR11" s="87">
        <f t="shared" si="7"/>
        <v>1</v>
      </c>
      <c r="AX11" s="11"/>
      <c r="BA11" s="8">
        <f t="shared" si="8"/>
        <v>10</v>
      </c>
      <c r="BB11">
        <f>IF(OR(AF11="",AE11=""),-1,IF(IFERROR(FIND(BB1,AF11,1),0)&gt;0,1,0))</f>
        <v>0</v>
      </c>
      <c r="BC11">
        <f>IF(OR(AF11="",AE11=""),-1,IF(IFERROR(FIND(BC1,AF11,1),0)&gt;0,1,0))</f>
        <v>1</v>
      </c>
      <c r="BD11">
        <f>IF(OR(AF11="",AE11=""),-1,IF(IFERROR(FIND(BD1,AF11,1),0)&gt;0,1,0))</f>
        <v>0</v>
      </c>
      <c r="BE11" s="74">
        <f t="shared" si="9"/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1</v>
      </c>
      <c r="BJ11" s="86">
        <f t="shared" si="10"/>
        <v>0</v>
      </c>
      <c r="BK11" s="86">
        <f t="shared" si="10"/>
        <v>0</v>
      </c>
      <c r="BL11" s="86">
        <f t="shared" si="10"/>
        <v>5</v>
      </c>
      <c r="BR11" s="11"/>
      <c r="BV11">
        <v>13</v>
      </c>
      <c r="BW11">
        <f t="shared" si="11"/>
        <v>1</v>
      </c>
      <c r="BX11">
        <f t="shared" si="12"/>
        <v>0</v>
      </c>
      <c r="BY11" s="85">
        <f>BW16</f>
        <v>0</v>
      </c>
      <c r="BZ11" s="85">
        <f>BX16</f>
        <v>0</v>
      </c>
      <c r="CA11" s="61">
        <f t="shared" si="15"/>
        <v>1</v>
      </c>
      <c r="CB11" s="61">
        <f t="shared" si="15"/>
        <v>0</v>
      </c>
      <c r="CC11">
        <v>13</v>
      </c>
      <c r="CD11">
        <f t="shared" si="16"/>
        <v>1</v>
      </c>
      <c r="CE11">
        <f t="shared" si="16"/>
        <v>0</v>
      </c>
      <c r="CF11" s="85">
        <f>CD16</f>
        <v>0</v>
      </c>
      <c r="CG11" s="85">
        <f>CE16</f>
        <v>0</v>
      </c>
      <c r="CQ11">
        <v>13</v>
      </c>
      <c r="CR11">
        <f t="shared" si="17"/>
        <v>2</v>
      </c>
      <c r="CS11">
        <f t="shared" si="17"/>
        <v>3</v>
      </c>
      <c r="CT11" s="85">
        <f>CR16</f>
        <v>0</v>
      </c>
      <c r="CU11" s="85">
        <f>CS16</f>
        <v>2</v>
      </c>
      <c r="CV11" s="61"/>
      <c r="CW11" s="61"/>
      <c r="CX11">
        <v>13</v>
      </c>
      <c r="CY11">
        <f t="shared" si="18"/>
        <v>2</v>
      </c>
      <c r="CZ11">
        <f t="shared" si="18"/>
        <v>3</v>
      </c>
      <c r="DA11" s="85">
        <f>CY16</f>
        <v>0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 t="shared" si="14"/>
        <v/>
      </c>
    </row>
    <row r="12" spans="1:122" ht="15.75" customHeight="1" thickBot="1" x14ac:dyDescent="0.3">
      <c r="M12" s="61"/>
      <c r="U12" s="84">
        <f t="shared" si="4"/>
        <v>11</v>
      </c>
      <c r="V12" t="s">
        <v>204</v>
      </c>
      <c r="W12" t="s">
        <v>205</v>
      </c>
      <c r="X12" t="s">
        <v>189</v>
      </c>
      <c r="Y12" s="9">
        <v>1</v>
      </c>
      <c r="Z12" s="9">
        <v>2</v>
      </c>
      <c r="AA12" s="9">
        <v>1</v>
      </c>
      <c r="AB12" s="9">
        <v>4</v>
      </c>
      <c r="AC12" s="85">
        <f t="shared" si="0"/>
        <v>3</v>
      </c>
      <c r="AD12" s="85">
        <f t="shared" si="1"/>
        <v>5</v>
      </c>
      <c r="AE12" s="61">
        <f t="shared" si="2"/>
        <v>2</v>
      </c>
      <c r="AF12" s="61">
        <f t="shared" si="3"/>
        <v>2</v>
      </c>
      <c r="AG12" s="8">
        <f t="shared" si="5"/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1</v>
      </c>
      <c r="AK12" s="74">
        <f t="shared" si="6"/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1</v>
      </c>
      <c r="AP12" s="86">
        <f t="shared" si="7"/>
        <v>0</v>
      </c>
      <c r="AQ12" s="86">
        <f t="shared" si="7"/>
        <v>0</v>
      </c>
      <c r="AR12" s="87">
        <f t="shared" si="7"/>
        <v>2</v>
      </c>
      <c r="AX12" s="11"/>
      <c r="BA12" s="8">
        <f t="shared" si="8"/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1</v>
      </c>
      <c r="BE12" s="74">
        <f t="shared" si="9"/>
        <v>10</v>
      </c>
      <c r="BF12">
        <f>IFERROR(VLOOKUP(BE12,BA2:BD21,2),"")</f>
        <v>0</v>
      </c>
      <c r="BG12">
        <f>IFERROR(VLOOKUP(BE12,BA2:BD21,3),"")</f>
        <v>1</v>
      </c>
      <c r="BH12">
        <f>IFERROR(VLOOKUP(BE12,BA2:BD21,4),"")</f>
        <v>0</v>
      </c>
      <c r="BJ12" s="86">
        <f t="shared" si="10"/>
        <v>0</v>
      </c>
      <c r="BK12" s="86">
        <f t="shared" si="10"/>
        <v>1</v>
      </c>
      <c r="BL12" s="86">
        <f t="shared" si="10"/>
        <v>0</v>
      </c>
      <c r="BR12" s="11"/>
      <c r="BV12">
        <v>12</v>
      </c>
      <c r="BW12">
        <f t="shared" si="11"/>
        <v>3</v>
      </c>
      <c r="BX12">
        <f t="shared" si="12"/>
        <v>0</v>
      </c>
      <c r="BY12" s="85">
        <f>BW15</f>
        <v>0</v>
      </c>
      <c r="BZ12" s="85">
        <f>BX15</f>
        <v>0</v>
      </c>
      <c r="CA12" s="61" t="str">
        <f t="shared" si="15"/>
        <v>M</v>
      </c>
      <c r="CB12" s="61">
        <f t="shared" si="15"/>
        <v>0</v>
      </c>
      <c r="CC12">
        <v>12</v>
      </c>
      <c r="CD12">
        <f t="shared" si="16"/>
        <v>3</v>
      </c>
      <c r="CE12">
        <f t="shared" si="16"/>
        <v>0</v>
      </c>
      <c r="CF12" s="85">
        <f>CD15</f>
        <v>0</v>
      </c>
      <c r="CG12" s="85">
        <f>CE15</f>
        <v>0</v>
      </c>
      <c r="CQ12">
        <v>12</v>
      </c>
      <c r="CR12">
        <f t="shared" si="17"/>
        <v>0</v>
      </c>
      <c r="CS12">
        <f t="shared" si="17"/>
        <v>4</v>
      </c>
      <c r="CT12" s="85">
        <f>CR15</f>
        <v>0</v>
      </c>
      <c r="CU12" s="85">
        <f>CS15</f>
        <v>2</v>
      </c>
      <c r="CV12" s="61"/>
      <c r="CW12" s="61"/>
      <c r="CX12">
        <v>12</v>
      </c>
      <c r="CY12">
        <f t="shared" si="18"/>
        <v>0</v>
      </c>
      <c r="CZ12">
        <f t="shared" si="18"/>
        <v>4</v>
      </c>
      <c r="DA12" s="85">
        <f>CY15</f>
        <v>0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ht="15.75" customHeight="1" thickBot="1" x14ac:dyDescent="0.3">
      <c r="M13" s="61"/>
      <c r="U13" s="84">
        <f t="shared" si="4"/>
        <v>12</v>
      </c>
      <c r="V13" t="s">
        <v>206</v>
      </c>
      <c r="W13" t="s">
        <v>207</v>
      </c>
      <c r="X13" t="s">
        <v>208</v>
      </c>
      <c r="Y13" s="9">
        <v>0</v>
      </c>
      <c r="Z13" s="9">
        <v>0</v>
      </c>
      <c r="AA13" s="9">
        <v>0</v>
      </c>
      <c r="AB13" s="9">
        <v>2</v>
      </c>
      <c r="AC13" s="85">
        <f t="shared" si="0"/>
        <v>0</v>
      </c>
      <c r="AD13" s="85">
        <f t="shared" si="1"/>
        <v>2</v>
      </c>
      <c r="AE13" s="61">
        <f t="shared" si="2"/>
        <v>0</v>
      </c>
      <c r="AF13" s="61">
        <f t="shared" si="3"/>
        <v>2</v>
      </c>
      <c r="AG13" s="8">
        <f t="shared" si="5"/>
        <v>12</v>
      </c>
      <c r="AH13">
        <f>IF(OR(AF13="",AE13=""),-1,IF(IFERROR(FIND(AH1,AE13,1),0)&gt;0,1,0))</f>
        <v>0</v>
      </c>
      <c r="AI13">
        <f>IF(OR(AF13="",AE13=""),-1,IF(IFERROR(FIND(AI1,AE13,1),0)&gt;0,1,0))</f>
        <v>1</v>
      </c>
      <c r="AJ13">
        <f>IF(OR(AF13="",AE13=""),-1,IF(IFERROR(FIND(AJ1,AE13,1),0)&gt;0,1,0))</f>
        <v>0</v>
      </c>
      <c r="AK13" s="74">
        <f t="shared" si="6"/>
        <v>9</v>
      </c>
      <c r="AL13">
        <f>IFERROR(VLOOKUP(AK13,AG2:AJ21,2),"")</f>
        <v>0</v>
      </c>
      <c r="AM13">
        <f>IFERROR(VLOOKUP(AK13,AG2:AJ21,3),"")</f>
        <v>1</v>
      </c>
      <c r="AN13">
        <f>IFERROR(VLOOKUP(AK13,AG2:AJ21,4),"")</f>
        <v>0</v>
      </c>
      <c r="AP13" s="86">
        <f t="shared" si="7"/>
        <v>0</v>
      </c>
      <c r="AQ13" s="86">
        <f t="shared" si="7"/>
        <v>1</v>
      </c>
      <c r="AR13" s="87">
        <f t="shared" si="7"/>
        <v>0</v>
      </c>
      <c r="AX13" s="11"/>
      <c r="BA13" s="8">
        <f t="shared" si="8"/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1</v>
      </c>
      <c r="BE13" s="74">
        <f t="shared" si="9"/>
        <v>9</v>
      </c>
      <c r="BF13">
        <f>IFERROR(VLOOKUP(BE13,BA2:BD21,2),"")</f>
        <v>1</v>
      </c>
      <c r="BG13">
        <f>IFERROR(VLOOKUP(BE13,BA2:BD21,3),"")</f>
        <v>0</v>
      </c>
      <c r="BH13">
        <f>IFERROR(VLOOKUP(BE13,BA2:BD21,4),"")</f>
        <v>0</v>
      </c>
      <c r="BJ13" s="86">
        <f t="shared" si="10"/>
        <v>1</v>
      </c>
      <c r="BK13" s="86">
        <f t="shared" si="10"/>
        <v>0</v>
      </c>
      <c r="BL13" s="86">
        <f t="shared" si="10"/>
        <v>0</v>
      </c>
      <c r="BR13" s="11"/>
      <c r="BV13">
        <v>11</v>
      </c>
      <c r="BW13">
        <f t="shared" si="11"/>
        <v>2</v>
      </c>
      <c r="BX13">
        <f t="shared" si="12"/>
        <v>3</v>
      </c>
      <c r="BY13" s="85">
        <f>BW14</f>
        <v>1</v>
      </c>
      <c r="BZ13" s="85">
        <f>BX14</f>
        <v>2</v>
      </c>
      <c r="CA13" s="61">
        <f t="shared" si="15"/>
        <v>2</v>
      </c>
      <c r="CB13" s="61" t="str">
        <f t="shared" si="15"/>
        <v>M</v>
      </c>
      <c r="CC13">
        <v>11</v>
      </c>
      <c r="CD13">
        <f t="shared" si="16"/>
        <v>2</v>
      </c>
      <c r="CE13">
        <f t="shared" si="16"/>
        <v>3</v>
      </c>
      <c r="CF13" s="85">
        <f>CD14</f>
        <v>1</v>
      </c>
      <c r="CG13" s="85">
        <f>CE14</f>
        <v>2</v>
      </c>
      <c r="CQ13">
        <v>11</v>
      </c>
      <c r="CR13">
        <f t="shared" si="17"/>
        <v>3</v>
      </c>
      <c r="CS13">
        <f t="shared" si="17"/>
        <v>4</v>
      </c>
      <c r="CT13" s="85">
        <f>CR14</f>
        <v>3</v>
      </c>
      <c r="CU13" s="85">
        <f>CS14</f>
        <v>5</v>
      </c>
      <c r="CV13" s="61"/>
      <c r="CW13" s="61"/>
      <c r="CX13">
        <v>11</v>
      </c>
      <c r="CY13">
        <f t="shared" si="18"/>
        <v>3</v>
      </c>
      <c r="CZ13">
        <f t="shared" si="18"/>
        <v>4</v>
      </c>
      <c r="DA13" s="85">
        <f>CY14</f>
        <v>3</v>
      </c>
      <c r="DB13" s="85">
        <f>CZ14</f>
        <v>5</v>
      </c>
    </row>
    <row r="14" spans="1:122" ht="15.75" customHeight="1" thickBot="1" x14ac:dyDescent="0.3">
      <c r="M14" s="129">
        <f t="shared" ref="M14:O18" si="21">BC35</f>
        <v>1</v>
      </c>
      <c r="N14" s="129" t="str">
        <f t="shared" si="21"/>
        <v>X</v>
      </c>
      <c r="O14" s="129">
        <f t="shared" si="21"/>
        <v>2</v>
      </c>
      <c r="U14" s="84">
        <f t="shared" si="4"/>
        <v>13</v>
      </c>
      <c r="V14" t="s">
        <v>209</v>
      </c>
      <c r="W14" t="s">
        <v>210</v>
      </c>
      <c r="X14" t="s">
        <v>201</v>
      </c>
      <c r="Y14" s="9">
        <v>0</v>
      </c>
      <c r="Z14" s="9">
        <v>0</v>
      </c>
      <c r="AA14" s="9">
        <v>0</v>
      </c>
      <c r="AB14" s="9">
        <v>2</v>
      </c>
      <c r="AC14" s="85">
        <f t="shared" si="0"/>
        <v>0</v>
      </c>
      <c r="AD14" s="85">
        <f t="shared" si="1"/>
        <v>2</v>
      </c>
      <c r="AE14" s="61">
        <f t="shared" si="2"/>
        <v>0</v>
      </c>
      <c r="AF14" s="61">
        <f t="shared" si="3"/>
        <v>2</v>
      </c>
      <c r="AG14" s="8">
        <f t="shared" si="5"/>
        <v>13</v>
      </c>
      <c r="AH14">
        <f>IF(OR(AF14="",AE14=""),-1,IF(IFERROR(FIND(AH1,AE14,1),0)&gt;0,1,0))</f>
        <v>0</v>
      </c>
      <c r="AI14">
        <f>IF(OR(AF14="",AE14=""),-1,IF(IFERROR(FIND(AI1,AE14,1),0)&gt;0,1,0))</f>
        <v>1</v>
      </c>
      <c r="AJ14">
        <f>IF(OR(AF14="",AE14=""),-1,IF(IFERROR(FIND(AJ1,AE14,1),0)&gt;0,1,0))</f>
        <v>0</v>
      </c>
      <c r="AK14" s="74">
        <f t="shared" si="6"/>
        <v>8</v>
      </c>
      <c r="AL14">
        <f>IFERROR(VLOOKUP(AK14,AG2:AJ21,2),"")</f>
        <v>1</v>
      </c>
      <c r="AM14">
        <f>IFERROR(VLOOKUP(AK14,AG2:AJ21,3),"")</f>
        <v>0</v>
      </c>
      <c r="AN14">
        <f>IFERROR(VLOOKUP(AK14,AG2:AJ21,4),"")</f>
        <v>0</v>
      </c>
      <c r="AP14" s="86">
        <f t="shared" si="7"/>
        <v>1</v>
      </c>
      <c r="AQ14" s="86">
        <f t="shared" si="7"/>
        <v>0</v>
      </c>
      <c r="AR14" s="87">
        <f t="shared" si="7"/>
        <v>0</v>
      </c>
      <c r="AX14" s="11"/>
      <c r="BA14" s="8">
        <f t="shared" si="8"/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1</v>
      </c>
      <c r="BE14" s="74">
        <f t="shared" si="9"/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1</v>
      </c>
      <c r="BJ14" s="86">
        <f t="shared" si="10"/>
        <v>0</v>
      </c>
      <c r="BK14" s="86">
        <f t="shared" si="10"/>
        <v>0</v>
      </c>
      <c r="BL14" s="86">
        <f t="shared" si="10"/>
        <v>1</v>
      </c>
      <c r="BR14" s="11"/>
      <c r="BV14">
        <v>10</v>
      </c>
      <c r="BW14">
        <f t="shared" si="11"/>
        <v>1</v>
      </c>
      <c r="BX14">
        <f t="shared" si="12"/>
        <v>2</v>
      </c>
      <c r="BY14" s="85">
        <f>BW13</f>
        <v>2</v>
      </c>
      <c r="BZ14" s="85">
        <f>BX13</f>
        <v>3</v>
      </c>
      <c r="CA14" s="61">
        <f t="shared" si="15"/>
        <v>1</v>
      </c>
      <c r="CB14" s="61">
        <f t="shared" si="15"/>
        <v>2</v>
      </c>
      <c r="CC14">
        <v>10</v>
      </c>
      <c r="CD14">
        <f t="shared" si="16"/>
        <v>1</v>
      </c>
      <c r="CE14">
        <f t="shared" si="16"/>
        <v>2</v>
      </c>
      <c r="CF14" s="85">
        <f>CD13</f>
        <v>2</v>
      </c>
      <c r="CG14" s="85">
        <f>CE13</f>
        <v>3</v>
      </c>
      <c r="CQ14">
        <v>10</v>
      </c>
      <c r="CR14">
        <f t="shared" si="17"/>
        <v>3</v>
      </c>
      <c r="CS14">
        <f t="shared" si="17"/>
        <v>5</v>
      </c>
      <c r="CT14" s="85">
        <f>CR13</f>
        <v>3</v>
      </c>
      <c r="CU14" s="85">
        <f>CS13</f>
        <v>4</v>
      </c>
      <c r="CV14" s="61"/>
      <c r="CW14" s="61"/>
      <c r="CX14">
        <v>10</v>
      </c>
      <c r="CY14">
        <f t="shared" si="18"/>
        <v>3</v>
      </c>
      <c r="CZ14">
        <f t="shared" si="18"/>
        <v>5</v>
      </c>
      <c r="DA14" s="85">
        <f>CY13</f>
        <v>3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 x14ac:dyDescent="0.25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 t="shared" si="21"/>
        <v>1E-3</v>
      </c>
      <c r="N15" s="129">
        <f t="shared" si="21"/>
        <v>62.500999999999998</v>
      </c>
      <c r="O15" s="129">
        <f t="shared" si="21"/>
        <v>37.500999999999998</v>
      </c>
      <c r="U15" s="84">
        <f t="shared" si="4"/>
        <v>14</v>
      </c>
      <c r="V15" t="s">
        <v>211</v>
      </c>
      <c r="W15" t="s">
        <v>212</v>
      </c>
      <c r="X15" t="s">
        <v>213</v>
      </c>
      <c r="Y15" s="9">
        <v>2</v>
      </c>
      <c r="Z15" s="9">
        <v>1</v>
      </c>
      <c r="AA15" s="9">
        <v>1</v>
      </c>
      <c r="AB15" s="9">
        <v>3</v>
      </c>
      <c r="AC15" s="85">
        <f t="shared" si="0"/>
        <v>3</v>
      </c>
      <c r="AD15" s="85">
        <f t="shared" si="1"/>
        <v>4</v>
      </c>
      <c r="AE15" s="61">
        <f t="shared" si="2"/>
        <v>1</v>
      </c>
      <c r="AF15" s="61">
        <f t="shared" si="3"/>
        <v>2</v>
      </c>
      <c r="AG15" s="8">
        <f t="shared" si="5"/>
        <v>14</v>
      </c>
      <c r="AH15">
        <f>IF(OR(AF15="",AE15=""),-1,IF(IFERROR(FIND(AH1,AE15,1),0)&gt;0,1,0))</f>
        <v>1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 t="shared" si="6"/>
        <v>7</v>
      </c>
      <c r="AL15">
        <f>IFERROR(VLOOKUP(AK15,AG2:AJ21,2),"")</f>
        <v>1</v>
      </c>
      <c r="AM15">
        <f>IFERROR(VLOOKUP(AK15,AG2:AJ21,3),"")</f>
        <v>0</v>
      </c>
      <c r="AN15">
        <f>IFERROR(VLOOKUP(AK15,AG2:AJ21,4),"")</f>
        <v>0</v>
      </c>
      <c r="AP15" s="86">
        <f t="shared" si="7"/>
        <v>2</v>
      </c>
      <c r="AQ15" s="86">
        <f t="shared" si="7"/>
        <v>0</v>
      </c>
      <c r="AR15" s="87">
        <f t="shared" si="7"/>
        <v>0</v>
      </c>
      <c r="AX15" s="11"/>
      <c r="BA15" s="8">
        <f t="shared" si="8"/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1</v>
      </c>
      <c r="BE15" s="74">
        <f t="shared" si="9"/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1</v>
      </c>
      <c r="BJ15" s="86">
        <f t="shared" si="10"/>
        <v>0</v>
      </c>
      <c r="BK15" s="86">
        <f t="shared" si="10"/>
        <v>0</v>
      </c>
      <c r="BL15" s="86">
        <f t="shared" si="10"/>
        <v>2</v>
      </c>
      <c r="BR15" s="11"/>
      <c r="BV15">
        <v>9</v>
      </c>
      <c r="BW15">
        <f t="shared" si="11"/>
        <v>0</v>
      </c>
      <c r="BX15">
        <f t="shared" si="12"/>
        <v>0</v>
      </c>
      <c r="BY15" s="85">
        <f>BW12</f>
        <v>3</v>
      </c>
      <c r="BZ15" s="85">
        <f>BX12</f>
        <v>0</v>
      </c>
      <c r="CA15" s="61">
        <f t="shared" si="15"/>
        <v>0</v>
      </c>
      <c r="CB15" s="61">
        <f t="shared" si="15"/>
        <v>0</v>
      </c>
      <c r="CC15">
        <v>9</v>
      </c>
      <c r="CD15">
        <f t="shared" si="16"/>
        <v>0</v>
      </c>
      <c r="CE15">
        <f t="shared" si="16"/>
        <v>0</v>
      </c>
      <c r="CF15" s="85">
        <f>CD12</f>
        <v>3</v>
      </c>
      <c r="CG15" s="85">
        <f>CE12</f>
        <v>0</v>
      </c>
      <c r="CI15">
        <f>TREND(BW4:BW23,BX4:BX23,,BW4)</f>
        <v>1.0041039671682626</v>
      </c>
      <c r="CQ15">
        <v>9</v>
      </c>
      <c r="CR15">
        <f t="shared" si="17"/>
        <v>0</v>
      </c>
      <c r="CS15">
        <f t="shared" si="17"/>
        <v>2</v>
      </c>
      <c r="CT15" s="85">
        <f>CR12</f>
        <v>0</v>
      </c>
      <c r="CU15" s="85">
        <f>CS12</f>
        <v>4</v>
      </c>
      <c r="CV15" s="61"/>
      <c r="CW15" s="61"/>
      <c r="CX15">
        <v>9</v>
      </c>
      <c r="CY15">
        <f t="shared" si="18"/>
        <v>0</v>
      </c>
      <c r="CZ15">
        <f t="shared" si="18"/>
        <v>2</v>
      </c>
      <c r="DA15" s="85">
        <f>CY12</f>
        <v>0</v>
      </c>
      <c r="DB15" s="85">
        <f>CZ12</f>
        <v>4</v>
      </c>
      <c r="DG15" s="130" t="s">
        <v>18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18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ht="15.75" customHeight="1" thickBot="1" x14ac:dyDescent="0.3">
      <c r="A16" s="133"/>
      <c r="B16" s="80" t="s">
        <v>51</v>
      </c>
      <c r="C16" s="106" t="s">
        <v>52</v>
      </c>
      <c r="D16" s="80"/>
      <c r="E16" s="134" t="s">
        <v>28</v>
      </c>
      <c r="F16" s="134"/>
      <c r="G16" s="134"/>
      <c r="H16" s="134"/>
      <c r="I16" s="134"/>
      <c r="J16" s="134"/>
      <c r="K16" s="134"/>
      <c r="L16" s="134"/>
      <c r="M16" s="129">
        <f t="shared" si="21"/>
        <v>35</v>
      </c>
      <c r="N16" s="129">
        <f t="shared" si="21"/>
        <v>35</v>
      </c>
      <c r="O16" s="129">
        <f t="shared" si="21"/>
        <v>30</v>
      </c>
      <c r="U16" s="84">
        <f t="shared" si="4"/>
        <v>15</v>
      </c>
      <c r="V16" t="s">
        <v>214</v>
      </c>
      <c r="W16" t="s">
        <v>215</v>
      </c>
      <c r="X16" t="s">
        <v>216</v>
      </c>
      <c r="Y16" s="9">
        <v>2</v>
      </c>
      <c r="Z16" s="9">
        <v>2</v>
      </c>
      <c r="AA16" s="9">
        <v>0</v>
      </c>
      <c r="AB16" s="9">
        <v>9</v>
      </c>
      <c r="AC16" s="85">
        <f t="shared" si="0"/>
        <v>4</v>
      </c>
      <c r="AD16" s="85">
        <f t="shared" si="1"/>
        <v>9</v>
      </c>
      <c r="AE16" s="61">
        <f t="shared" si="2"/>
        <v>0</v>
      </c>
      <c r="AF16" s="61">
        <f t="shared" si="3"/>
        <v>2</v>
      </c>
      <c r="AG16" s="8">
        <f t="shared" si="5"/>
        <v>15</v>
      </c>
      <c r="AH16">
        <f>IF(OR(AF16="",AE16=""),-1,IF(IFERROR(FIND(AH1,AE16,1),0)&gt;0,1,0))</f>
        <v>0</v>
      </c>
      <c r="AI16">
        <f>IF(OR(AF16="",AE16=""),-1,IF(IFERROR(FIND(AI1,AE16,1),0)&gt;0,1,0))</f>
        <v>1</v>
      </c>
      <c r="AJ16">
        <f>IF(OR(AF16="",AE16=""),-1,IF(IFERROR(FIND(AJ1,AE16,1),0)&gt;0,1,0))</f>
        <v>0</v>
      </c>
      <c r="AK16" s="74">
        <f t="shared" si="6"/>
        <v>6</v>
      </c>
      <c r="AL16">
        <f>IFERROR(VLOOKUP(AK16,AG2:AJ21,2),"")</f>
        <v>1</v>
      </c>
      <c r="AM16">
        <f>IFERROR(VLOOKUP(AK16,AG2:AJ21,3),"")</f>
        <v>0</v>
      </c>
      <c r="AN16">
        <f>IFERROR(VLOOKUP(AK16,AG2:AJ21,4),"")</f>
        <v>0</v>
      </c>
      <c r="AP16" s="86">
        <f t="shared" si="7"/>
        <v>3</v>
      </c>
      <c r="AQ16" s="86">
        <f t="shared" si="7"/>
        <v>0</v>
      </c>
      <c r="AR16" s="87">
        <f t="shared" si="7"/>
        <v>0</v>
      </c>
      <c r="AX16" s="11"/>
      <c r="BA16" s="8">
        <f t="shared" si="8"/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1</v>
      </c>
      <c r="BE16" s="74">
        <f t="shared" si="9"/>
        <v>6</v>
      </c>
      <c r="BF16">
        <f>IFERROR(VLOOKUP(BE16,BA2:BD21,2),"")</f>
        <v>1</v>
      </c>
      <c r="BG16">
        <f>IFERROR(VLOOKUP(BE16,BA2:BD21,3),"")</f>
        <v>0</v>
      </c>
      <c r="BH16">
        <f>IFERROR(VLOOKUP(BE16,BA2:BD21,4),"")</f>
        <v>0</v>
      </c>
      <c r="BJ16" s="86">
        <f t="shared" si="10"/>
        <v>1</v>
      </c>
      <c r="BK16" s="86">
        <f t="shared" si="10"/>
        <v>0</v>
      </c>
      <c r="BL16" s="86">
        <f t="shared" si="10"/>
        <v>0</v>
      </c>
      <c r="BR16" s="11"/>
      <c r="BV16">
        <v>8</v>
      </c>
      <c r="BW16">
        <f t="shared" si="11"/>
        <v>0</v>
      </c>
      <c r="BX16">
        <f t="shared" si="12"/>
        <v>0</v>
      </c>
      <c r="BY16" s="85">
        <f>BW11</f>
        <v>1</v>
      </c>
      <c r="BZ16" s="85">
        <f>BX11</f>
        <v>0</v>
      </c>
      <c r="CA16" s="61">
        <f t="shared" si="15"/>
        <v>0</v>
      </c>
      <c r="CB16" s="61">
        <f t="shared" si="15"/>
        <v>0</v>
      </c>
      <c r="CC16">
        <v>8</v>
      </c>
      <c r="CD16">
        <f t="shared" si="16"/>
        <v>0</v>
      </c>
      <c r="CE16">
        <f t="shared" si="16"/>
        <v>0</v>
      </c>
      <c r="CF16" s="85">
        <f>CD11</f>
        <v>1</v>
      </c>
      <c r="CG16" s="85">
        <f>CE11</f>
        <v>0</v>
      </c>
      <c r="CI16">
        <f>TREND(BW4:BW23,BX4:BX23,,BW7)</f>
        <v>1.0041039671682626</v>
      </c>
      <c r="CQ16">
        <v>8</v>
      </c>
      <c r="CR16">
        <f t="shared" si="17"/>
        <v>0</v>
      </c>
      <c r="CS16">
        <f t="shared" si="17"/>
        <v>2</v>
      </c>
      <c r="CT16" s="85">
        <f>CR11</f>
        <v>2</v>
      </c>
      <c r="CU16" s="85">
        <f>CS11</f>
        <v>3</v>
      </c>
      <c r="CV16" s="61"/>
      <c r="CW16" s="61"/>
      <c r="CX16">
        <v>8</v>
      </c>
      <c r="CY16">
        <f t="shared" si="18"/>
        <v>0</v>
      </c>
      <c r="CZ16">
        <f t="shared" si="18"/>
        <v>2</v>
      </c>
      <c r="DA16" s="85">
        <f>CY11</f>
        <v>2</v>
      </c>
      <c r="DB16" s="85">
        <f>CZ11</f>
        <v>3</v>
      </c>
      <c r="DG16" s="135" t="s">
        <v>50</v>
      </c>
      <c r="DH16" s="136">
        <f>VLOOKUP(1,DE3:DJ11,6,FALSE)</f>
        <v>62.5</v>
      </c>
      <c r="DI16" s="136">
        <f>VLOOKUP(2,DE3:DJ11,6,FALSE)</f>
        <v>12.5</v>
      </c>
      <c r="DJ16" s="137">
        <f>VLOOKUP(3,DE3:DJ11,6,FALSE)</f>
        <v>6.25</v>
      </c>
      <c r="DO16" s="135" t="s">
        <v>50</v>
      </c>
      <c r="DP16" s="136">
        <f>VLOOKUP(1,DM3:DR11,6,FALSE)</f>
        <v>62.5</v>
      </c>
      <c r="DQ16" s="136">
        <f>VLOOKUP(2,DM3:DR11,6,FALSE)</f>
        <v>37.5</v>
      </c>
      <c r="DR16" s="137" t="str">
        <f>IF(DP14&lt;3,"",VLOOKUP(3,DM3:DR11,6,FALSE))</f>
        <v/>
      </c>
    </row>
    <row r="17" spans="1:111" x14ac:dyDescent="0.25">
      <c r="A17" s="104" t="s">
        <v>31</v>
      </c>
      <c r="B17" s="105" t="s">
        <v>32</v>
      </c>
      <c r="C17" s="138" t="s">
        <v>53</v>
      </c>
      <c r="D17" s="138" t="s">
        <v>54</v>
      </c>
      <c r="E17" s="139" t="s">
        <v>55</v>
      </c>
      <c r="F17" s="140" t="s">
        <v>53</v>
      </c>
      <c r="G17" s="140" t="s">
        <v>54</v>
      </c>
      <c r="H17" s="140" t="s">
        <v>55</v>
      </c>
      <c r="I17" s="141" t="s">
        <v>34</v>
      </c>
      <c r="J17" s="141" t="s">
        <v>35</v>
      </c>
      <c r="K17" s="142" t="s">
        <v>18</v>
      </c>
      <c r="L17" s="142" t="s">
        <v>56</v>
      </c>
      <c r="M17" s="129">
        <f t="shared" si="21"/>
        <v>30</v>
      </c>
      <c r="N17" s="129">
        <f t="shared" si="21"/>
        <v>20</v>
      </c>
      <c r="O17" s="129">
        <f t="shared" si="21"/>
        <v>50</v>
      </c>
      <c r="U17" s="84">
        <f t="shared" si="4"/>
        <v>16</v>
      </c>
      <c r="V17" t="s">
        <v>217</v>
      </c>
      <c r="W17" t="s">
        <v>218</v>
      </c>
      <c r="X17" t="s">
        <v>182</v>
      </c>
      <c r="Y17" s="9">
        <v>3</v>
      </c>
      <c r="Z17" s="9">
        <v>0</v>
      </c>
      <c r="AA17" s="9">
        <v>2</v>
      </c>
      <c r="AB17" s="9">
        <v>1</v>
      </c>
      <c r="AC17" s="85">
        <f t="shared" si="0"/>
        <v>3</v>
      </c>
      <c r="AD17" s="85">
        <f t="shared" si="1"/>
        <v>3</v>
      </c>
      <c r="AE17" s="61">
        <f t="shared" si="2"/>
        <v>1</v>
      </c>
      <c r="AF17" s="61">
        <f t="shared" si="3"/>
        <v>1</v>
      </c>
      <c r="AG17" s="8">
        <f t="shared" si="5"/>
        <v>16</v>
      </c>
      <c r="AH17">
        <f>IF(OR(AF17="",AE17=""),-1,IF(IFERROR(FIND(AH1,AE17,1),0)&gt;0,1,0))</f>
        <v>1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 t="shared" si="6"/>
        <v>5</v>
      </c>
      <c r="AL17">
        <f>IFERROR(VLOOKUP(AK17,AG2:AJ21,2),"")</f>
        <v>0</v>
      </c>
      <c r="AM17">
        <f>IFERROR(VLOOKUP(AK17,AG2:AJ21,3),"")</f>
        <v>1</v>
      </c>
      <c r="AN17">
        <f>IFERROR(VLOOKUP(AK17,AG2:AJ21,4),"")</f>
        <v>0</v>
      </c>
      <c r="AP17" s="86">
        <f t="shared" si="7"/>
        <v>0</v>
      </c>
      <c r="AQ17" s="86">
        <f t="shared" si="7"/>
        <v>1</v>
      </c>
      <c r="AR17" s="87">
        <f t="shared" si="7"/>
        <v>0</v>
      </c>
      <c r="AX17" s="11"/>
      <c r="BA17" s="8">
        <f t="shared" si="8"/>
        <v>16</v>
      </c>
      <c r="BB17">
        <f>IF(OR(AF17="",AE17=""),-1,IF(IFERROR(FIND(BB1,AF17,1),0)&gt;0,1,0))</f>
        <v>1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 t="shared" si="9"/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1</v>
      </c>
      <c r="BJ17" s="86">
        <f t="shared" si="10"/>
        <v>0</v>
      </c>
      <c r="BK17" s="86">
        <f t="shared" si="10"/>
        <v>0</v>
      </c>
      <c r="BL17" s="86">
        <f t="shared" si="10"/>
        <v>1</v>
      </c>
      <c r="BR17" s="11"/>
      <c r="BV17">
        <v>7</v>
      </c>
      <c r="BW17">
        <f t="shared" si="11"/>
        <v>1</v>
      </c>
      <c r="BX17">
        <f t="shared" si="12"/>
        <v>1</v>
      </c>
      <c r="BY17" s="85">
        <f>BW10</f>
        <v>0</v>
      </c>
      <c r="BZ17" s="85">
        <f>BX10</f>
        <v>0</v>
      </c>
      <c r="CA17" s="61">
        <f t="shared" si="15"/>
        <v>1</v>
      </c>
      <c r="CB17" s="61">
        <f t="shared" si="15"/>
        <v>1</v>
      </c>
      <c r="CC17">
        <v>7</v>
      </c>
      <c r="CD17">
        <f t="shared" si="16"/>
        <v>1</v>
      </c>
      <c r="CE17">
        <f t="shared" si="16"/>
        <v>1</v>
      </c>
      <c r="CF17" s="85">
        <f>CD10</f>
        <v>0</v>
      </c>
      <c r="CG17" s="85">
        <f>CE10</f>
        <v>0</v>
      </c>
      <c r="CI17">
        <f>TREND(BW4:BW23,BX4:BX23,,BW11)</f>
        <v>1.0041039671682626</v>
      </c>
      <c r="CQ17">
        <v>7</v>
      </c>
      <c r="CR17">
        <f t="shared" si="17"/>
        <v>3</v>
      </c>
      <c r="CS17">
        <f t="shared" si="17"/>
        <v>4</v>
      </c>
      <c r="CT17" s="85">
        <f>CR10</f>
        <v>3</v>
      </c>
      <c r="CU17" s="85">
        <f>CS10</f>
        <v>3</v>
      </c>
      <c r="CV17" s="61"/>
      <c r="CW17" s="61"/>
      <c r="CX17">
        <v>7</v>
      </c>
      <c r="CY17">
        <f t="shared" si="18"/>
        <v>3</v>
      </c>
      <c r="CZ17">
        <f t="shared" si="18"/>
        <v>4</v>
      </c>
      <c r="DA17" s="85">
        <f>CY10</f>
        <v>3</v>
      </c>
      <c r="DB17" s="85">
        <f>CZ10</f>
        <v>3</v>
      </c>
      <c r="DE17" s="131"/>
      <c r="DF17" s="131"/>
    </row>
    <row r="18" spans="1:111" x14ac:dyDescent="0.25">
      <c r="A18" s="84">
        <f>A1</f>
        <v>1</v>
      </c>
      <c r="B18" s="61" t="str">
        <f>B1</f>
        <v>Watford - Leicester</v>
      </c>
      <c r="C18" s="115">
        <f>W39</f>
        <v>4</v>
      </c>
      <c r="D18" s="143">
        <f>AA68</f>
        <v>0</v>
      </c>
      <c r="E18">
        <f>Y41</f>
        <v>0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 t="shared" si="21"/>
        <v>21.667000000000002</v>
      </c>
      <c r="N18" s="129">
        <f t="shared" si="21"/>
        <v>39.167000000000002</v>
      </c>
      <c r="O18" s="129">
        <f t="shared" si="21"/>
        <v>39.167000000000002</v>
      </c>
      <c r="U18" s="84">
        <f t="shared" si="4"/>
        <v>17</v>
      </c>
      <c r="V18" t="s">
        <v>219</v>
      </c>
      <c r="W18" t="s">
        <v>199</v>
      </c>
      <c r="X18" t="s">
        <v>220</v>
      </c>
      <c r="Y18" s="9">
        <v>1</v>
      </c>
      <c r="Z18" s="9">
        <v>3</v>
      </c>
      <c r="AA18" s="9">
        <v>0</v>
      </c>
      <c r="AB18" s="9">
        <v>4</v>
      </c>
      <c r="AC18" s="85">
        <f t="shared" si="0"/>
        <v>4</v>
      </c>
      <c r="AD18" s="85">
        <f t="shared" si="1"/>
        <v>4</v>
      </c>
      <c r="AE18" s="61">
        <f t="shared" si="2"/>
        <v>2</v>
      </c>
      <c r="AF18" s="61">
        <f t="shared" si="3"/>
        <v>2</v>
      </c>
      <c r="AG18" s="8">
        <f t="shared" si="5"/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1</v>
      </c>
      <c r="AK18" s="74">
        <f t="shared" si="6"/>
        <v>4</v>
      </c>
      <c r="AL18">
        <f>IFERROR(VLOOKUP(AK18,AG2:AJ21,2),"")</f>
        <v>0</v>
      </c>
      <c r="AM18">
        <f>IFERROR(VLOOKUP(AK18,AG2:AJ21,3),"")</f>
        <v>1</v>
      </c>
      <c r="AN18">
        <f>IFERROR(VLOOKUP(AK18,AG2:AJ21,4),"")</f>
        <v>0</v>
      </c>
      <c r="AP18" s="86">
        <f t="shared" si="7"/>
        <v>0</v>
      </c>
      <c r="AQ18" s="86">
        <f t="shared" si="7"/>
        <v>2</v>
      </c>
      <c r="AR18" s="87">
        <f t="shared" si="7"/>
        <v>0</v>
      </c>
      <c r="AX18" s="11"/>
      <c r="BA18" s="8">
        <f t="shared" si="8"/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1</v>
      </c>
      <c r="BE18" s="74">
        <f t="shared" si="9"/>
        <v>4</v>
      </c>
      <c r="BF18">
        <f>IFERROR(VLOOKUP(BE18,BA2:BD21,2),"")</f>
        <v>1</v>
      </c>
      <c r="BG18">
        <f>IFERROR(VLOOKUP(BE18,BA2:BD21,3),"")</f>
        <v>0</v>
      </c>
      <c r="BH18">
        <f>IFERROR(VLOOKUP(BE18,BA2:BD21,4),"")</f>
        <v>0</v>
      </c>
      <c r="BJ18" s="86">
        <f t="shared" si="10"/>
        <v>1</v>
      </c>
      <c r="BK18" s="86">
        <f t="shared" si="10"/>
        <v>0</v>
      </c>
      <c r="BL18" s="86">
        <f t="shared" si="10"/>
        <v>0</v>
      </c>
      <c r="BR18" s="11"/>
      <c r="BV18">
        <v>6</v>
      </c>
      <c r="BW18">
        <f t="shared" si="11"/>
        <v>0</v>
      </c>
      <c r="BX18">
        <f t="shared" si="12"/>
        <v>2</v>
      </c>
      <c r="BY18" s="85">
        <f>BW9</f>
        <v>2</v>
      </c>
      <c r="BZ18" s="85">
        <f>BX9</f>
        <v>1</v>
      </c>
      <c r="CA18" s="61">
        <f t="shared" si="15"/>
        <v>0</v>
      </c>
      <c r="CB18" s="61">
        <f t="shared" si="15"/>
        <v>2</v>
      </c>
      <c r="CC18">
        <v>6</v>
      </c>
      <c r="CD18">
        <f t="shared" si="16"/>
        <v>0</v>
      </c>
      <c r="CE18">
        <f t="shared" si="16"/>
        <v>2</v>
      </c>
      <c r="CF18" s="85">
        <f>CD9</f>
        <v>2</v>
      </c>
      <c r="CG18" s="85">
        <f>CE9</f>
        <v>1</v>
      </c>
      <c r="CI18">
        <f>TREND(BW4:BW23,BX4:BX23,,BW19)</f>
        <v>1.0041039671682626</v>
      </c>
      <c r="CQ18">
        <v>6</v>
      </c>
      <c r="CR18">
        <f t="shared" si="17"/>
        <v>4</v>
      </c>
      <c r="CS18">
        <f t="shared" si="17"/>
        <v>9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 t="shared" si="18"/>
        <v>4</v>
      </c>
      <c r="CZ18">
        <f t="shared" si="18"/>
        <v>9</v>
      </c>
      <c r="DA18" s="85">
        <f>CY9</f>
        <v>3</v>
      </c>
      <c r="DB18" s="85">
        <f>CZ9</f>
        <v>3</v>
      </c>
      <c r="DE18" s="131"/>
      <c r="DF18" s="131"/>
    </row>
    <row r="19" spans="1:111" x14ac:dyDescent="0.25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 t="shared" si="4"/>
        <v>18</v>
      </c>
      <c r="V19" t="s">
        <v>221</v>
      </c>
      <c r="W19" t="s">
        <v>208</v>
      </c>
      <c r="X19" t="s">
        <v>198</v>
      </c>
      <c r="Y19" s="9">
        <v>0</v>
      </c>
      <c r="Z19" s="9">
        <v>3</v>
      </c>
      <c r="AA19" s="9">
        <v>1</v>
      </c>
      <c r="AB19" s="9">
        <v>0</v>
      </c>
      <c r="AC19" s="85">
        <f t="shared" si="0"/>
        <v>3</v>
      </c>
      <c r="AD19" s="85">
        <f t="shared" si="1"/>
        <v>1</v>
      </c>
      <c r="AE19" s="61">
        <f t="shared" si="2"/>
        <v>2</v>
      </c>
      <c r="AF19" s="61">
        <f t="shared" si="3"/>
        <v>1</v>
      </c>
      <c r="AG19" s="8">
        <f t="shared" si="5"/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1</v>
      </c>
      <c r="AK19" s="74">
        <f t="shared" si="6"/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1</v>
      </c>
      <c r="AP19" s="86">
        <f t="shared" ref="AP19:AR21" si="22">IF(AL19=-1,AP18,IF(AL19=0,0,IF(AL19=1,AP18+1)))</f>
        <v>0</v>
      </c>
      <c r="AQ19" s="86">
        <f t="shared" si="22"/>
        <v>0</v>
      </c>
      <c r="AR19" s="87">
        <f t="shared" si="22"/>
        <v>1</v>
      </c>
      <c r="AX19" s="11"/>
      <c r="BA19" s="8">
        <f t="shared" si="8"/>
        <v>18</v>
      </c>
      <c r="BB19">
        <f>IF(OR(AF19="",AE19=""),-1,IF(IFERROR(FIND(BB1,AF19,1),0)&gt;0,1,0))</f>
        <v>1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 t="shared" si="9"/>
        <v>3</v>
      </c>
      <c r="BF19">
        <f>IFERROR(VLOOKUP(BE19,BA2:BD21,2),"")</f>
        <v>0</v>
      </c>
      <c r="BG19">
        <f>IFERROR(VLOOKUP(BE19,BA2:BD21,3),"")</f>
        <v>1</v>
      </c>
      <c r="BH19">
        <f>IFERROR(VLOOKUP(BE19,BA2:BD21,4),"")</f>
        <v>0</v>
      </c>
      <c r="BJ19" s="86">
        <f t="shared" ref="BJ19:BL21" si="23">IF(BF19=-1,BJ18,IF(BF19=0,0,IF(BF19=1,BJ18+1)))</f>
        <v>0</v>
      </c>
      <c r="BK19" s="86">
        <f t="shared" si="23"/>
        <v>1</v>
      </c>
      <c r="BL19" s="86">
        <f t="shared" si="23"/>
        <v>0</v>
      </c>
      <c r="BR19" s="11"/>
      <c r="BV19">
        <v>5</v>
      </c>
      <c r="BW19">
        <f t="shared" si="11"/>
        <v>2</v>
      </c>
      <c r="BX19">
        <f t="shared" si="12"/>
        <v>0</v>
      </c>
      <c r="BY19" s="85">
        <f>BW8</f>
        <v>0</v>
      </c>
      <c r="BZ19" s="85">
        <f>BX8</f>
        <v>3</v>
      </c>
      <c r="CA19" s="61">
        <f t="shared" si="15"/>
        <v>2</v>
      </c>
      <c r="CB19" s="61">
        <f t="shared" si="15"/>
        <v>0</v>
      </c>
      <c r="CC19">
        <v>5</v>
      </c>
      <c r="CD19">
        <f t="shared" si="16"/>
        <v>2</v>
      </c>
      <c r="CE19">
        <f t="shared" si="16"/>
        <v>0</v>
      </c>
      <c r="CF19" s="85">
        <f>CD8</f>
        <v>0</v>
      </c>
      <c r="CG19" s="85">
        <f>CE8</f>
        <v>3</v>
      </c>
      <c r="CQ19">
        <v>5</v>
      </c>
      <c r="CR19">
        <f t="shared" si="17"/>
        <v>3</v>
      </c>
      <c r="CS19">
        <f t="shared" si="17"/>
        <v>3</v>
      </c>
      <c r="CT19" s="85">
        <f>CR8</f>
        <v>6</v>
      </c>
      <c r="CU19" s="85">
        <f>CS8</f>
        <v>1</v>
      </c>
      <c r="CV19" s="61"/>
      <c r="CW19" s="61"/>
      <c r="CX19">
        <v>5</v>
      </c>
      <c r="CY19">
        <f t="shared" si="18"/>
        <v>3</v>
      </c>
      <c r="CZ19">
        <f t="shared" si="18"/>
        <v>3</v>
      </c>
      <c r="DA19" s="85">
        <f>CY8</f>
        <v>6</v>
      </c>
      <c r="DB19" s="85">
        <f>CZ8</f>
        <v>1</v>
      </c>
    </row>
    <row r="20" spans="1:111" x14ac:dyDescent="0.25">
      <c r="A20" s="133"/>
      <c r="B20" s="80" t="s">
        <v>57</v>
      </c>
      <c r="C20" s="106" t="s">
        <v>58</v>
      </c>
      <c r="D20" s="80"/>
      <c r="E20" s="106" t="s">
        <v>59</v>
      </c>
      <c r="F20" s="109"/>
      <c r="G20" s="109" t="s">
        <v>60</v>
      </c>
      <c r="H20" s="109"/>
      <c r="I20" s="80" t="s">
        <v>61</v>
      </c>
      <c r="J20" s="109"/>
      <c r="K20" s="61"/>
      <c r="L20" s="144"/>
      <c r="U20" s="84">
        <f t="shared" si="4"/>
        <v>19</v>
      </c>
      <c r="V20" t="s">
        <v>222</v>
      </c>
      <c r="W20" t="s">
        <v>223</v>
      </c>
      <c r="X20" t="s">
        <v>196</v>
      </c>
      <c r="Y20" s="9">
        <v>2</v>
      </c>
      <c r="Z20" s="9">
        <v>1</v>
      </c>
      <c r="AA20" s="9">
        <v>1</v>
      </c>
      <c r="AB20" s="9">
        <v>1</v>
      </c>
      <c r="AC20" s="85">
        <f t="shared" si="0"/>
        <v>3</v>
      </c>
      <c r="AD20" s="85">
        <f t="shared" si="1"/>
        <v>2</v>
      </c>
      <c r="AE20" s="61">
        <f t="shared" si="2"/>
        <v>1</v>
      </c>
      <c r="AF20" s="61">
        <f t="shared" si="3"/>
        <v>0</v>
      </c>
      <c r="AG20" s="8">
        <f t="shared" si="5"/>
        <v>19</v>
      </c>
      <c r="AH20">
        <f>IF(OR(AF20="",AE20=""),-1,IF(IFERROR(FIND(AH1,AE20,1),0)&gt;0,1,0))</f>
        <v>1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 t="shared" si="6"/>
        <v>2</v>
      </c>
      <c r="AL20">
        <f>IFERROR(VLOOKUP(AK20,AG2:AJ21,2),"")</f>
        <v>1</v>
      </c>
      <c r="AM20">
        <f>IFERROR(VLOOKUP(AK20,AG2:AJ21,3),"")</f>
        <v>0</v>
      </c>
      <c r="AN20">
        <f>IFERROR(VLOOKUP(AK20,AG2:AJ21,4),"")</f>
        <v>0</v>
      </c>
      <c r="AP20" s="86">
        <f t="shared" si="22"/>
        <v>1</v>
      </c>
      <c r="AQ20" s="86">
        <f t="shared" si="22"/>
        <v>0</v>
      </c>
      <c r="AR20" s="87">
        <f t="shared" si="22"/>
        <v>0</v>
      </c>
      <c r="AX20" s="11"/>
      <c r="BA20" s="8">
        <f t="shared" si="8"/>
        <v>19</v>
      </c>
      <c r="BB20">
        <f>IF(OR(AF20="",AE20=""),-1,IF(IFERROR(FIND(BB1,AF20,1),0)&gt;0,1,0))</f>
        <v>0</v>
      </c>
      <c r="BC20">
        <f>IF(OR(AF20="",AE20=""),-1,IF(IFERROR(FIND(BC1,AF20,1),0)&gt;0,1,0))</f>
        <v>1</v>
      </c>
      <c r="BD20">
        <f>IF(OR(AF20="",AE20=""),-1,IF(IFERROR(FIND(BD1,AF20,1),0)&gt;0,1,0))</f>
        <v>0</v>
      </c>
      <c r="BE20" s="74">
        <f t="shared" si="9"/>
        <v>2</v>
      </c>
      <c r="BF20">
        <f>IFERROR(VLOOKUP(BE20,BA2:BD21,2),"")</f>
        <v>1</v>
      </c>
      <c r="BG20">
        <f>IFERROR(VLOOKUP(BE20,BA2:BD21,3),"")</f>
        <v>0</v>
      </c>
      <c r="BH20">
        <f>IFERROR(VLOOKUP(BE20,BA2:BD21,4),"")</f>
        <v>0</v>
      </c>
      <c r="BJ20" s="86">
        <f t="shared" si="23"/>
        <v>1</v>
      </c>
      <c r="BK20" s="86">
        <f t="shared" si="23"/>
        <v>0</v>
      </c>
      <c r="BL20" s="86">
        <f t="shared" si="23"/>
        <v>0</v>
      </c>
      <c r="BR20" s="11"/>
      <c r="BV20">
        <v>4</v>
      </c>
      <c r="BW20">
        <f t="shared" si="11"/>
        <v>0</v>
      </c>
      <c r="BX20">
        <f t="shared" si="12"/>
        <v>3</v>
      </c>
      <c r="BY20" s="85">
        <f>BW7</f>
        <v>2</v>
      </c>
      <c r="BZ20" s="85">
        <f>BX7</f>
        <v>0</v>
      </c>
      <c r="CA20" s="61">
        <f t="shared" si="15"/>
        <v>0</v>
      </c>
      <c r="CB20" s="61" t="str">
        <f t="shared" si="15"/>
        <v>M</v>
      </c>
      <c r="CC20">
        <v>4</v>
      </c>
      <c r="CD20">
        <f t="shared" si="16"/>
        <v>0</v>
      </c>
      <c r="CE20">
        <f t="shared" si="16"/>
        <v>3</v>
      </c>
      <c r="CF20" s="85">
        <f>CD7</f>
        <v>2</v>
      </c>
      <c r="CG20" s="85">
        <f>CE7</f>
        <v>0</v>
      </c>
      <c r="CQ20">
        <v>4</v>
      </c>
      <c r="CR20">
        <f t="shared" si="17"/>
        <v>4</v>
      </c>
      <c r="CS20">
        <f t="shared" si="17"/>
        <v>4</v>
      </c>
      <c r="CT20" s="85">
        <f>CR7</f>
        <v>0</v>
      </c>
      <c r="CU20" s="85">
        <f>CS7</f>
        <v>3</v>
      </c>
      <c r="CV20" s="61"/>
      <c r="CW20" s="61"/>
      <c r="CX20">
        <v>4</v>
      </c>
      <c r="CY20">
        <f t="shared" si="18"/>
        <v>4</v>
      </c>
      <c r="CZ20">
        <f t="shared" si="18"/>
        <v>4</v>
      </c>
      <c r="DA20" s="85">
        <f>CY7</f>
        <v>0</v>
      </c>
      <c r="DB20" s="85">
        <f>CZ7</f>
        <v>3</v>
      </c>
    </row>
    <row r="21" spans="1:111" ht="15.75" customHeight="1" thickBot="1" x14ac:dyDescent="0.3">
      <c r="A21" s="104" t="s">
        <v>31</v>
      </c>
      <c r="B21" s="105" t="s">
        <v>32</v>
      </c>
      <c r="C21" s="145" t="s">
        <v>56</v>
      </c>
      <c r="D21" s="146" t="s">
        <v>50</v>
      </c>
      <c r="E21" s="147" t="s">
        <v>56</v>
      </c>
      <c r="F21" s="147" t="s">
        <v>50</v>
      </c>
      <c r="G21" s="148" t="s">
        <v>56</v>
      </c>
      <c r="H21" s="148" t="s">
        <v>50</v>
      </c>
      <c r="I21" s="149" t="s">
        <v>56</v>
      </c>
      <c r="J21" s="149" t="s">
        <v>50</v>
      </c>
      <c r="K21" s="150"/>
      <c r="L21" s="144"/>
      <c r="M21" s="129">
        <v>1</v>
      </c>
      <c r="N21" s="129" t="s">
        <v>30</v>
      </c>
      <c r="O21" s="129">
        <v>2</v>
      </c>
      <c r="U21" s="126">
        <f t="shared" si="4"/>
        <v>20</v>
      </c>
      <c r="V21" t="s">
        <v>224</v>
      </c>
      <c r="W21" t="s">
        <v>199</v>
      </c>
      <c r="X21" t="s">
        <v>210</v>
      </c>
      <c r="Y21" s="9">
        <v>1</v>
      </c>
      <c r="Z21" s="9">
        <v>4</v>
      </c>
      <c r="AA21" s="9">
        <v>1</v>
      </c>
      <c r="AB21" s="9">
        <v>2</v>
      </c>
      <c r="AC21" s="85">
        <f t="shared" si="0"/>
        <v>5</v>
      </c>
      <c r="AD21" s="85">
        <f t="shared" si="1"/>
        <v>3</v>
      </c>
      <c r="AE21" s="61">
        <f t="shared" si="2"/>
        <v>2</v>
      </c>
      <c r="AF21" s="61">
        <f t="shared" si="3"/>
        <v>2</v>
      </c>
      <c r="AG21" s="16">
        <f t="shared" si="5"/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1</v>
      </c>
      <c r="AK21" s="151">
        <f t="shared" si="6"/>
        <v>1</v>
      </c>
      <c r="AL21" s="17">
        <f>IFERROR(VLOOKUP(AK21,AG2:AJ21,2),"")</f>
        <v>0</v>
      </c>
      <c r="AM21" s="17">
        <f>IFERROR(VLOOKUP(AK21,AG2:AJ21,3),"")</f>
        <v>1</v>
      </c>
      <c r="AN21" s="17">
        <f>IFERROR(VLOOKUP(AK21,AG2:AJ21,4),"")</f>
        <v>0</v>
      </c>
      <c r="AO21" s="17"/>
      <c r="AP21" s="152">
        <f t="shared" si="22"/>
        <v>0</v>
      </c>
      <c r="AQ21" s="152">
        <f t="shared" si="22"/>
        <v>1</v>
      </c>
      <c r="AR21" s="153">
        <f t="shared" si="22"/>
        <v>0</v>
      </c>
      <c r="AS21" s="17"/>
      <c r="AT21" s="17"/>
      <c r="AU21" s="17"/>
      <c r="AV21" s="17"/>
      <c r="AW21" s="17"/>
      <c r="AX21" s="18"/>
      <c r="BA21" s="16">
        <f t="shared" si="8"/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1</v>
      </c>
      <c r="BE21" s="151">
        <f t="shared" si="9"/>
        <v>1</v>
      </c>
      <c r="BF21" s="17">
        <f>IFERROR(VLOOKUP(BE21,BA2:BD21,2),"")</f>
        <v>0</v>
      </c>
      <c r="BG21" s="17">
        <f>IFERROR(VLOOKUP(BE21,BA2:BD21,3),"")</f>
        <v>1</v>
      </c>
      <c r="BH21" s="17">
        <f>IFERROR(VLOOKUP(BE21,BA2:BD21,4),"")</f>
        <v>0</v>
      </c>
      <c r="BI21" s="17"/>
      <c r="BJ21" s="152">
        <f t="shared" si="23"/>
        <v>0</v>
      </c>
      <c r="BK21" s="152">
        <f t="shared" si="23"/>
        <v>1</v>
      </c>
      <c r="BL21" s="152">
        <f t="shared" si="23"/>
        <v>0</v>
      </c>
      <c r="BM21" s="17"/>
      <c r="BN21" s="17"/>
      <c r="BO21" s="17"/>
      <c r="BP21" s="17"/>
      <c r="BQ21" s="17"/>
      <c r="BR21" s="18"/>
      <c r="BV21">
        <v>3</v>
      </c>
      <c r="BW21">
        <f t="shared" si="11"/>
        <v>1</v>
      </c>
      <c r="BX21">
        <f t="shared" si="12"/>
        <v>3</v>
      </c>
      <c r="BY21" s="85">
        <f>BW6</f>
        <v>0</v>
      </c>
      <c r="BZ21" s="85">
        <f>BX6</f>
        <v>3</v>
      </c>
      <c r="CA21" s="61">
        <f t="shared" si="15"/>
        <v>1</v>
      </c>
      <c r="CB21" s="61" t="str">
        <f t="shared" si="15"/>
        <v>M</v>
      </c>
      <c r="CC21">
        <v>3</v>
      </c>
      <c r="CD21">
        <f t="shared" si="16"/>
        <v>1</v>
      </c>
      <c r="CE21">
        <f t="shared" si="16"/>
        <v>3</v>
      </c>
      <c r="CF21" s="85">
        <f>CD6</f>
        <v>0</v>
      </c>
      <c r="CG21" s="85">
        <f>CE6</f>
        <v>3</v>
      </c>
      <c r="CQ21">
        <v>3</v>
      </c>
      <c r="CR21">
        <f t="shared" si="17"/>
        <v>3</v>
      </c>
      <c r="CS21">
        <f t="shared" si="17"/>
        <v>1</v>
      </c>
      <c r="CT21" s="85">
        <f>CR6</f>
        <v>5</v>
      </c>
      <c r="CU21" s="85">
        <f>CS6</f>
        <v>0</v>
      </c>
      <c r="CV21" s="61"/>
      <c r="CW21" s="61"/>
      <c r="CX21">
        <v>3</v>
      </c>
      <c r="CY21">
        <f t="shared" si="18"/>
        <v>3</v>
      </c>
      <c r="CZ21">
        <f t="shared" si="18"/>
        <v>1</v>
      </c>
      <c r="DA21" s="85">
        <f>CY6</f>
        <v>5</v>
      </c>
      <c r="DB21" s="85">
        <f>CZ6</f>
        <v>0</v>
      </c>
    </row>
    <row r="22" spans="1:111" ht="15.75" customHeight="1" thickBot="1" x14ac:dyDescent="0.3">
      <c r="A22" s="84">
        <f>A1</f>
        <v>1</v>
      </c>
      <c r="B22" s="61" t="str">
        <f>B1</f>
        <v>Watford - Leicester</v>
      </c>
      <c r="C22" s="115">
        <f>BF42</f>
        <v>11</v>
      </c>
      <c r="D22" s="61">
        <f>BF43</f>
        <v>62.51</v>
      </c>
      <c r="E22" s="154">
        <f>BG42</f>
        <v>12</v>
      </c>
      <c r="F22" s="115">
        <f>BG43</f>
        <v>37.51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1E-3</v>
      </c>
      <c r="N22" s="129">
        <f>BD36</f>
        <v>62.500999999999998</v>
      </c>
      <c r="O22" s="129">
        <f>BE36</f>
        <v>37.500999999999998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 t="shared" si="11"/>
        <v>1</v>
      </c>
      <c r="BX22">
        <f t="shared" si="12"/>
        <v>1</v>
      </c>
      <c r="BY22" s="85">
        <f>BW5</f>
        <v>1</v>
      </c>
      <c r="BZ22" s="85">
        <f>BX5</f>
        <v>0</v>
      </c>
      <c r="CA22" s="61">
        <f t="shared" si="15"/>
        <v>1</v>
      </c>
      <c r="CB22" s="61">
        <f t="shared" si="15"/>
        <v>1</v>
      </c>
      <c r="CC22">
        <v>2</v>
      </c>
      <c r="CD22">
        <f t="shared" si="16"/>
        <v>1</v>
      </c>
      <c r="CE22">
        <f t="shared" si="16"/>
        <v>1</v>
      </c>
      <c r="CF22" s="85">
        <f>CD5</f>
        <v>1</v>
      </c>
      <c r="CG22" s="85">
        <f>CE5</f>
        <v>0</v>
      </c>
      <c r="CQ22">
        <v>2</v>
      </c>
      <c r="CR22">
        <f t="shared" si="17"/>
        <v>3</v>
      </c>
      <c r="CS22">
        <f t="shared" si="17"/>
        <v>2</v>
      </c>
      <c r="CT22" s="85">
        <f>CR5</f>
        <v>3</v>
      </c>
      <c r="CU22" s="85">
        <f>CS5</f>
        <v>1</v>
      </c>
      <c r="CV22" s="61"/>
      <c r="CW22" s="61"/>
      <c r="CX22">
        <v>2</v>
      </c>
      <c r="CY22">
        <f t="shared" si="18"/>
        <v>3</v>
      </c>
      <c r="CZ22">
        <f t="shared" si="18"/>
        <v>2</v>
      </c>
      <c r="DA22" s="85">
        <f>CY5</f>
        <v>3</v>
      </c>
      <c r="DB22" s="85">
        <f>CZ5</f>
        <v>1</v>
      </c>
    </row>
    <row r="23" spans="1:111" x14ac:dyDescent="0.25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Watford-Leicester</v>
      </c>
      <c r="W23" s="156" t="s">
        <v>62</v>
      </c>
      <c r="X23" s="157" t="str">
        <f>"MAXIMA DE VICTORIA SEGUIDAS COMO LOCAL  DE "&amp;W1&amp;"  A  "&amp;AW4&amp;"  Y CONTANDO CON  "&amp;AX4&amp;"VICTORIA SEGUIDOS"&amp;X28</f>
        <v>MAXIMA DE VICTORIA SEGUIDAS COMO LOCAL  DE Watford  A  3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0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63</v>
      </c>
      <c r="AT23" s="70" t="s">
        <v>64</v>
      </c>
      <c r="AU23" s="70" t="s">
        <v>65</v>
      </c>
      <c r="AV23" s="70"/>
      <c r="AW23" s="70"/>
      <c r="AY23" s="95">
        <v>1</v>
      </c>
      <c r="AZ23" s="95" t="s">
        <v>30</v>
      </c>
      <c r="BA23" s="95">
        <v>2</v>
      </c>
      <c r="BB23" t="s">
        <v>39</v>
      </c>
      <c r="BC23" s="93" t="s">
        <v>34</v>
      </c>
      <c r="BD23" s="95" t="s">
        <v>35</v>
      </c>
      <c r="BV23">
        <v>1</v>
      </c>
      <c r="BW23">
        <f t="shared" si="11"/>
        <v>1</v>
      </c>
      <c r="BX23">
        <f t="shared" si="12"/>
        <v>4</v>
      </c>
      <c r="BY23" s="85">
        <f>BW4</f>
        <v>1</v>
      </c>
      <c r="BZ23" s="85">
        <f>BX4</f>
        <v>1</v>
      </c>
      <c r="CA23" s="61">
        <f t="shared" si="15"/>
        <v>1</v>
      </c>
      <c r="CB23" s="61" t="str">
        <f t="shared" si="15"/>
        <v>M</v>
      </c>
      <c r="CC23">
        <v>1</v>
      </c>
      <c r="CD23">
        <f t="shared" si="16"/>
        <v>1</v>
      </c>
      <c r="CE23">
        <f t="shared" si="16"/>
        <v>4</v>
      </c>
      <c r="CF23" s="85">
        <f>CD4</f>
        <v>1</v>
      </c>
      <c r="CG23" s="85">
        <f>CE4</f>
        <v>1</v>
      </c>
      <c r="CQ23">
        <v>1</v>
      </c>
      <c r="CR23">
        <f t="shared" si="17"/>
        <v>5</v>
      </c>
      <c r="CS23">
        <f t="shared" si="17"/>
        <v>3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 t="shared" si="18"/>
        <v>5</v>
      </c>
      <c r="CZ23">
        <f t="shared" si="18"/>
        <v>3</v>
      </c>
      <c r="DA23" s="85">
        <f>CY4</f>
        <v>2</v>
      </c>
      <c r="DB23" s="85">
        <f>CZ4</f>
        <v>2</v>
      </c>
    </row>
    <row r="24" spans="1:111" x14ac:dyDescent="0.25">
      <c r="A24" s="133"/>
      <c r="B24" s="80" t="s">
        <v>66</v>
      </c>
      <c r="C24" s="106" t="s">
        <v>27</v>
      </c>
      <c r="D24" s="80"/>
      <c r="E24" s="106" t="s">
        <v>58</v>
      </c>
      <c r="F24" s="80"/>
      <c r="G24" s="106" t="s">
        <v>59</v>
      </c>
      <c r="H24" s="109"/>
      <c r="I24" s="109" t="s">
        <v>60</v>
      </c>
      <c r="J24" s="109"/>
      <c r="K24" s="61"/>
      <c r="L24" s="144"/>
      <c r="M24" s="61"/>
      <c r="V24" s="85" t="str">
        <f>W1</f>
        <v>Watford</v>
      </c>
      <c r="W24" s="84" t="s">
        <v>62</v>
      </c>
      <c r="X24" s="159" t="str">
        <f>"MAXIMA DE VICTORIA SEGUIDAS COMO VISITANTE DE "&amp;X1&amp;"  A  "&amp;BQ4&amp;"  Y CONTANDO CON  "&amp;BR4&amp;"   VICTORIA SEGUIDOS"&amp;X28</f>
        <v>MAXIMA DE VICTORIA SEGUIDAS COMO VISITANTE DE Leicester  A  1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 t="shared" ref="AT24:AT33" si="24">COUNTIF($AA$2:$AA$17,AS24)</f>
        <v>6</v>
      </c>
      <c r="AU24">
        <f t="shared" ref="AU24:AU33" si="25">COUNTIF($Z$2:$Z$17,AS24)</f>
        <v>8</v>
      </c>
      <c r="AX24" s="161" t="str">
        <f>V23</f>
        <v>Watford-Leicester</v>
      </c>
      <c r="AY24" s="162">
        <f>((AS9+BM9)/(AS9+AT9+AU9+BM9+BN9+BO9))*100</f>
        <v>32.5</v>
      </c>
      <c r="AZ24" s="162">
        <f>((AT9+BN9)/(AS9+AT9+AU9+BM9+BN9+BO9))*100</f>
        <v>27.500000000000004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1.0041039671682626</v>
      </c>
      <c r="BX24">
        <f>IF(FORECAST(BX4,BX4:BX23,BW4:BW23)&lt;=0,0,FORECAST(BX4,BX4:BX23,BW4:BW23))</f>
        <v>1.3311036789297659</v>
      </c>
      <c r="BY24">
        <f t="shared" ref="BY24:BZ27" si="26">ROUND(BW24,0)</f>
        <v>1</v>
      </c>
      <c r="BZ24">
        <f t="shared" si="26"/>
        <v>1</v>
      </c>
      <c r="CA24" s="61">
        <f t="shared" ref="CA24:CB27" si="27">IF((BY24&gt;=3),"M",BY24)</f>
        <v>1</v>
      </c>
      <c r="CB24" s="61">
        <f t="shared" si="27"/>
        <v>1</v>
      </c>
      <c r="CC24" s="85">
        <v>21</v>
      </c>
      <c r="CD24" s="164">
        <f>IF(FORECAST(CC24,CD4:CD23,CC4:CC23)&lt;=0,0,FORECAST(CC24,CD4:CD23,CC4:CC23))</f>
        <v>1.0684210526315789</v>
      </c>
      <c r="CE24" s="164">
        <f>IF(FORECAST(CC24,CE4:CE23,CC4:CC23)&lt;=0,0,FORECAST(CC24,CE4:CE23,CC4:CC23))</f>
        <v>0.60000000000000009</v>
      </c>
      <c r="CF24">
        <f t="shared" ref="CF24:CG27" si="28">ROUND(CD24,0)</f>
        <v>1</v>
      </c>
      <c r="CG24">
        <f t="shared" si="28"/>
        <v>1</v>
      </c>
      <c r="CH24" s="61">
        <f t="shared" ref="CH24:CI27" si="29">IF((CF24&gt;=3),"M",CF24)</f>
        <v>1</v>
      </c>
      <c r="CI24" s="61">
        <f t="shared" si="29"/>
        <v>1</v>
      </c>
      <c r="CQ24" s="85">
        <v>21</v>
      </c>
      <c r="CR24">
        <f>IF(FORECAST(CR4,CR4:CR23,CS4:CS23)&lt;=0,0,FORECAST(CR4,CR4:CR23,CS4:CS23))</f>
        <v>2.7672226250906453</v>
      </c>
      <c r="CS24">
        <f>IF(FORECAST(CS4,CS4:CS23,CR4:CR23)&lt;=0,0,FORECAST(CS4,CS4:CS23,CR4:CR23))</f>
        <v>2.9668161434977578</v>
      </c>
      <c r="CT24">
        <f t="shared" ref="CT24:CU27" si="30">ROUND(CR24,0)</f>
        <v>3</v>
      </c>
      <c r="CU24">
        <f t="shared" si="30"/>
        <v>3</v>
      </c>
      <c r="CV24" s="61"/>
      <c r="CW24" s="61"/>
      <c r="CX24" s="85">
        <v>21</v>
      </c>
      <c r="CY24" s="164">
        <f>IF(FORECAST(CX24,CY4:CY23,CX4:CX23)&lt;=0,0,FORECAST(CX24,CY4:CY23,CX4:CX23))</f>
        <v>2.3947368421052628</v>
      </c>
      <c r="CZ24" s="164">
        <f>IF(FORECAST(CX24,CZ4:CZ23,CX4:CX23)&lt;=0,0,FORECAST(CX24,CZ4:CZ23,CX4:CX23))</f>
        <v>1.8684210526315788</v>
      </c>
      <c r="DA24">
        <f t="shared" ref="DA24:DB27" si="31">ROUND(CY24,0)</f>
        <v>2</v>
      </c>
      <c r="DB24">
        <f t="shared" si="31"/>
        <v>2</v>
      </c>
    </row>
    <row r="25" spans="1:111" x14ac:dyDescent="0.25">
      <c r="A25" s="104" t="s">
        <v>31</v>
      </c>
      <c r="B25" s="105" t="s">
        <v>32</v>
      </c>
      <c r="C25" s="145" t="str">
        <f>"+2,5"</f>
        <v>+2,5</v>
      </c>
      <c r="D25" s="146" t="s">
        <v>50</v>
      </c>
      <c r="E25" s="142" t="s">
        <v>58</v>
      </c>
      <c r="F25" s="142" t="s">
        <v>50</v>
      </c>
      <c r="G25" s="148" t="s">
        <v>59</v>
      </c>
      <c r="H25" s="148" t="s">
        <v>50</v>
      </c>
      <c r="I25" s="149" t="s">
        <v>60</v>
      </c>
      <c r="J25" s="149" t="s">
        <v>50</v>
      </c>
      <c r="K25" s="61"/>
      <c r="L25" s="144"/>
      <c r="M25" s="61"/>
      <c r="V25" s="85" t="str">
        <f>V1</f>
        <v>Main→</v>
      </c>
      <c r="W25" s="165" t="s">
        <v>67</v>
      </c>
      <c r="X25" t="s">
        <v>68</v>
      </c>
      <c r="Y25" s="20" t="s">
        <v>69</v>
      </c>
      <c r="Z25" t="s">
        <v>70</v>
      </c>
      <c r="AA25">
        <f t="shared" ref="AA25:AP25" si="32">IF(OR(AA23=0,AA24=0),0,1)</f>
        <v>1</v>
      </c>
      <c r="AB25">
        <f t="shared" si="32"/>
        <v>0</v>
      </c>
      <c r="AC25">
        <f t="shared" si="32"/>
        <v>0</v>
      </c>
      <c r="AD25">
        <f t="shared" si="32"/>
        <v>0</v>
      </c>
      <c r="AE25">
        <f t="shared" si="32"/>
        <v>0</v>
      </c>
      <c r="AF25">
        <f t="shared" si="32"/>
        <v>1</v>
      </c>
      <c r="AG25">
        <f t="shared" si="32"/>
        <v>0</v>
      </c>
      <c r="AH25">
        <f t="shared" si="32"/>
        <v>0</v>
      </c>
      <c r="AI25">
        <f t="shared" si="32"/>
        <v>0</v>
      </c>
      <c r="AJ25">
        <f t="shared" si="32"/>
        <v>1</v>
      </c>
      <c r="AK25">
        <f t="shared" si="32"/>
        <v>1</v>
      </c>
      <c r="AL25">
        <f t="shared" si="32"/>
        <v>0</v>
      </c>
      <c r="AM25">
        <f t="shared" si="32"/>
        <v>0</v>
      </c>
      <c r="AN25">
        <f t="shared" si="32"/>
        <v>1</v>
      </c>
      <c r="AO25">
        <f t="shared" si="32"/>
        <v>0</v>
      </c>
      <c r="AP25">
        <f t="shared" si="32"/>
        <v>0</v>
      </c>
      <c r="AR25" s="166"/>
      <c r="AS25" s="131">
        <v>1</v>
      </c>
      <c r="AT25">
        <f t="shared" si="24"/>
        <v>5</v>
      </c>
      <c r="AU25">
        <f t="shared" si="25"/>
        <v>3</v>
      </c>
      <c r="BW25">
        <f>IF(FORECAST(BW7,BW4:BW23,BX4:BX23)&lt;=0,0,FORECAST(BW7,BW4:BW23,BX4:BX23))</f>
        <v>0.84952120383036922</v>
      </c>
      <c r="BX25">
        <f>IF(FORECAST(BX5,BX5:BX24,BW5:BW24)&lt;=0,0,FORECAST(BX5,BX5:BX24,BW5:BW24))</f>
        <v>1.7246096403051019</v>
      </c>
      <c r="BY25">
        <f t="shared" si="26"/>
        <v>1</v>
      </c>
      <c r="BZ25">
        <f t="shared" si="26"/>
        <v>2</v>
      </c>
      <c r="CA25" s="61">
        <f t="shared" si="27"/>
        <v>1</v>
      </c>
      <c r="CB25" s="61">
        <f t="shared" si="27"/>
        <v>2</v>
      </c>
      <c r="CD25" s="164">
        <f>IF(FORECAST(CC24,CD4:CD19,CC4:CC19)&lt;=0,0,FORECAST(CC24,CD4:CD19,CC4:CC19))</f>
        <v>1.0249999999999999</v>
      </c>
      <c r="CE25" s="164">
        <f>IF(FORECAST(CC24,CE4:CE19,CC4:CC19)&lt;=0,0,FORECAST(CC24,CE4:CE19,CC4:CC19))</f>
        <v>1.2250000000000001</v>
      </c>
      <c r="CF25">
        <f t="shared" si="28"/>
        <v>1</v>
      </c>
      <c r="CG25">
        <f t="shared" si="28"/>
        <v>1</v>
      </c>
      <c r="CH25" s="61">
        <f t="shared" si="29"/>
        <v>1</v>
      </c>
      <c r="CI25" s="61">
        <f t="shared" si="29"/>
        <v>1</v>
      </c>
      <c r="CR25">
        <f>IF(FORECAST(CR7,CR4:CR23,CS4:CS23)&lt;=0,0,FORECAST(CR7,CR4:CR23,CS4:CS23))</f>
        <v>2.8034807831762145</v>
      </c>
      <c r="CS25">
        <f>IF(FORECAST(CS7,CS4:CS23,CR4:CR23)&lt;=0,0,FORECAST(CS7,CS4:CS23,CR4:CR23))</f>
        <v>2.9443946188340808</v>
      </c>
      <c r="CT25">
        <f t="shared" si="30"/>
        <v>3</v>
      </c>
      <c r="CU25">
        <f t="shared" si="30"/>
        <v>3</v>
      </c>
      <c r="CV25" s="61"/>
      <c r="CW25" s="61"/>
      <c r="CY25" s="164">
        <f>IF(FORECAST(CX24,CY4:CY19,CX4:CX19)&lt;=0,0,FORECAST(CX24,CY4:CY19,CX4:CX19))</f>
        <v>2.9749999999999996</v>
      </c>
      <c r="CZ25" s="164">
        <f>IF(FORECAST(CX24,CZ4:CZ19,CX4:CX19)&lt;=0,0,FORECAST(CX24,CZ4:CZ19,CX4:CX19))</f>
        <v>0.875</v>
      </c>
      <c r="DA25">
        <f t="shared" si="31"/>
        <v>3</v>
      </c>
      <c r="DB25">
        <f t="shared" si="31"/>
        <v>1</v>
      </c>
    </row>
    <row r="26" spans="1:111" x14ac:dyDescent="0.25">
      <c r="A26" s="84">
        <f>A1</f>
        <v>1</v>
      </c>
      <c r="B26" s="61" t="str">
        <f>B1</f>
        <v>Watford - Leicester</v>
      </c>
      <c r="C26" s="115" t="str">
        <f>"+2,5"</f>
        <v>+2,5</v>
      </c>
      <c r="D26">
        <f>BR46</f>
        <v>62.5</v>
      </c>
      <c r="E26" s="115">
        <f>BF45</f>
        <v>3</v>
      </c>
      <c r="F26" s="115">
        <f>BF46</f>
        <v>62.5</v>
      </c>
      <c r="G26" s="115">
        <f>BG45</f>
        <v>2</v>
      </c>
      <c r="H26" s="61">
        <f>BG46</f>
        <v>12.5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3-0</v>
      </c>
      <c r="AA26" t="str">
        <f>Y4&amp;"-"&amp;Z4</f>
        <v>2-3</v>
      </c>
      <c r="AB26" t="str">
        <f>Y5&amp;"-"&amp;Z5</f>
        <v>0-0</v>
      </c>
      <c r="AC26" t="str">
        <f>Y6&amp;"-"&amp;Z6</f>
        <v>3-3</v>
      </c>
      <c r="AD26" t="str">
        <f>Y7&amp;"-"&amp;Z7</f>
        <v>2-1</v>
      </c>
      <c r="AE26" t="str">
        <f>Y8&amp;"-"&amp;Z8</f>
        <v>3-0</v>
      </c>
      <c r="AF26" t="str">
        <f>Y9&amp;"-"&amp;Z9</f>
        <v>2-0</v>
      </c>
      <c r="AG26" t="str">
        <f>Y10&amp;"-"&amp;Z10</f>
        <v>0-0</v>
      </c>
      <c r="AH26" t="str">
        <f>Y11&amp;"-"&amp;Z11</f>
        <v>0-3</v>
      </c>
      <c r="AR26" s="166"/>
      <c r="AS26" s="131">
        <v>2</v>
      </c>
      <c r="AT26">
        <f t="shared" si="24"/>
        <v>4</v>
      </c>
      <c r="AU26">
        <f t="shared" si="25"/>
        <v>2</v>
      </c>
      <c r="BW26">
        <f>IF(FORECAST(BW11,BW4:BW23,BX4:BX23)&lt;=0,0,FORECAST(BW11,BW4:BW23,BX4:BX23))</f>
        <v>1.0041039671682626</v>
      </c>
      <c r="BX26">
        <f>IF(FORECAST(BX6,BX6:BX25,BW6:BW25)&lt;=0,0,FORECAST(BX6,BX6:BX25,BW6:BW25))</f>
        <v>0.68407507080817553</v>
      </c>
      <c r="BY26">
        <f t="shared" si="26"/>
        <v>1</v>
      </c>
      <c r="BZ26">
        <f t="shared" si="26"/>
        <v>1</v>
      </c>
      <c r="CA26" s="61">
        <f t="shared" si="27"/>
        <v>1</v>
      </c>
      <c r="CB26" s="61">
        <f t="shared" si="27"/>
        <v>1</v>
      </c>
      <c r="CD26" s="164">
        <f>IF(FORECAST(CC24,CD4:CD11,CC4:CC11)&lt;=0,0,FORECAST(CC24,CD4:CD11,CC4:CC11))</f>
        <v>0.9285714285714286</v>
      </c>
      <c r="CE26" s="164">
        <f>IF(FORECAST(CC24,CE4:CE11,CC4:CC11)&lt;=0,0,FORECAST(CC24,CE4:CE11,CC4:CC11))</f>
        <v>1.5357142857142858</v>
      </c>
      <c r="CF26">
        <f t="shared" si="28"/>
        <v>1</v>
      </c>
      <c r="CG26">
        <f t="shared" si="28"/>
        <v>2</v>
      </c>
      <c r="CH26" s="61">
        <f t="shared" si="29"/>
        <v>1</v>
      </c>
      <c r="CI26" s="61">
        <f t="shared" si="29"/>
        <v>2</v>
      </c>
      <c r="CR26">
        <f>IF(FORECAST(CR11,CR4:CR23,CS4:CS23)&lt;=0,0,FORECAST(CR11,CR4:CR23,CS4:CS23))</f>
        <v>2.7672226250906453</v>
      </c>
      <c r="CS26">
        <f>IF(FORECAST(CS11,CS4:CS23,CR4:CR23)&lt;=0,0,FORECAST(CS11,CS4:CS23,CR4:CR23))</f>
        <v>2.9443946188340808</v>
      </c>
      <c r="CT26">
        <f t="shared" si="30"/>
        <v>3</v>
      </c>
      <c r="CU26">
        <f t="shared" si="30"/>
        <v>3</v>
      </c>
      <c r="CV26" s="61"/>
      <c r="CW26" s="61"/>
      <c r="CY26" s="164">
        <f>IF(FORECAST(CX24,CY4:CY11,CX4:CX11)&lt;=0,0,FORECAST(CX24,CY4:CY11,CX4:CX11))</f>
        <v>3</v>
      </c>
      <c r="CZ26" s="164">
        <f>IF(FORECAST(CX24,CZ4:CZ11,CX4:CX11)&lt;=0,0,FORECAST(CX24,CZ4:CZ11,CX4:CX11))</f>
        <v>0.71428571428571441</v>
      </c>
      <c r="DA26">
        <f t="shared" si="31"/>
        <v>3</v>
      </c>
      <c r="DB26">
        <f t="shared" si="31"/>
        <v>1</v>
      </c>
    </row>
    <row r="27" spans="1:111" ht="15.75" customHeight="1" thickBot="1" x14ac:dyDescent="0.3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67</v>
      </c>
      <c r="X27" t="str">
        <f>W1</f>
        <v>Watford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 t="shared" si="24"/>
        <v>1</v>
      </c>
      <c r="AU27">
        <f t="shared" si="25"/>
        <v>3</v>
      </c>
      <c r="BA27" s="169">
        <v>1</v>
      </c>
      <c r="BC27" s="86"/>
      <c r="BG27" s="170" t="s">
        <v>71</v>
      </c>
      <c r="BK27" s="74"/>
      <c r="BN27" s="74"/>
      <c r="BO27" s="74"/>
      <c r="BP27" s="74"/>
      <c r="BQ27" s="74"/>
      <c r="BW27">
        <f>IF(FORECAST(BW19,BW4:BW23,BX4:BX23)&lt;=0,0,FORECAST(BW19,BW4:BW23,BX4:BX23))</f>
        <v>0.84952120383036922</v>
      </c>
      <c r="BX27">
        <f>IF(FORECAST(BX7,BX7:BX26,BW7:BW26)&lt;=0,0,FORECAST(BX7,BX7:BX26,BW7:BW26))</f>
        <v>1.6245546868948453</v>
      </c>
      <c r="BY27">
        <f t="shared" si="26"/>
        <v>1</v>
      </c>
      <c r="BZ27">
        <f t="shared" si="26"/>
        <v>2</v>
      </c>
      <c r="CA27" s="61">
        <f t="shared" si="27"/>
        <v>1</v>
      </c>
      <c r="CB27" s="61">
        <f t="shared" si="27"/>
        <v>2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1</v>
      </c>
      <c r="CF27">
        <f t="shared" si="28"/>
        <v>1</v>
      </c>
      <c r="CG27">
        <f t="shared" si="28"/>
        <v>1</v>
      </c>
      <c r="CH27" s="61">
        <f t="shared" si="29"/>
        <v>1</v>
      </c>
      <c r="CI27" s="61">
        <f t="shared" si="29"/>
        <v>1</v>
      </c>
      <c r="CR27">
        <f>IF(FORECAST(CR19,CR4:CR23,CS4:CS23)&lt;=0,0,FORECAST(CR19,CR4:CR23,CS4:CS23))</f>
        <v>2.7490935460478605</v>
      </c>
      <c r="CS27">
        <f>IF(FORECAST(CS19,CS4:CS23,CR4:CR23)&lt;=0,0,FORECAST(CS19,CS4:CS23,CR4:CR23))</f>
        <v>2.9443946188340808</v>
      </c>
      <c r="CT27">
        <f t="shared" si="30"/>
        <v>3</v>
      </c>
      <c r="CU27">
        <f t="shared" si="30"/>
        <v>3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1</v>
      </c>
      <c r="DA27">
        <f t="shared" si="31"/>
        <v>4</v>
      </c>
      <c r="DB27">
        <f t="shared" si="31"/>
        <v>1</v>
      </c>
    </row>
    <row r="28" spans="1:111" ht="15.75" customHeight="1" thickBot="1" x14ac:dyDescent="0.3">
      <c r="A28" s="133"/>
      <c r="B28" s="80" t="s">
        <v>72</v>
      </c>
      <c r="C28" s="106" t="s">
        <v>27</v>
      </c>
      <c r="D28" s="80"/>
      <c r="E28" s="106" t="s">
        <v>58</v>
      </c>
      <c r="F28" s="80"/>
      <c r="G28" s="106" t="s">
        <v>59</v>
      </c>
      <c r="H28" s="109"/>
      <c r="I28" s="109" t="s">
        <v>60</v>
      </c>
      <c r="J28" s="109"/>
      <c r="K28" s="109" t="s">
        <v>61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 t="shared" si="24"/>
        <v>0</v>
      </c>
      <c r="AU28">
        <f t="shared" si="25"/>
        <v>0</v>
      </c>
      <c r="BB28">
        <f>BR31</f>
        <v>0</v>
      </c>
      <c r="BC28" t="str">
        <f>Z23&amp;" ( "&amp;W35&amp;")  vrs  "&amp;Z24&amp;" ( "&amp;W36&amp;" )"</f>
        <v>HM ( 17)  vrs  AW ( 13 )</v>
      </c>
      <c r="BD28" s="173">
        <f>W35</f>
        <v>17</v>
      </c>
      <c r="BE28" s="174">
        <f>W36</f>
        <v>13</v>
      </c>
      <c r="BF28" s="85">
        <f>BE28-BD28</f>
        <v>-4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Watford-Leicester</v>
      </c>
      <c r="BW28" s="61" t="str">
        <f>CONCATENATE(CA24,CB24)</f>
        <v>11</v>
      </c>
      <c r="BX28" t="str">
        <f>CONCATENATE(CA25,CB25)</f>
        <v>12</v>
      </c>
      <c r="BY28" s="61" t="str">
        <f>CONCATENATE(CA26,CB26)</f>
        <v>11</v>
      </c>
      <c r="BZ28" s="61" t="str">
        <f>CONCATENATE(CA27,CB27)</f>
        <v>12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12</v>
      </c>
      <c r="CG28" s="61" t="str">
        <f>CONCATENATE(CH27,CI27)</f>
        <v>11</v>
      </c>
      <c r="CQ28" s="177" t="s">
        <v>73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3</v>
      </c>
      <c r="DB28" s="179">
        <f>DA26</f>
        <v>3</v>
      </c>
      <c r="DC28" s="179">
        <f>DA27</f>
        <v>4</v>
      </c>
      <c r="DD28" s="179">
        <f>DB24</f>
        <v>2</v>
      </c>
      <c r="DE28" s="179">
        <f>DB25</f>
        <v>1</v>
      </c>
      <c r="DF28" s="179">
        <f>DB26</f>
        <v>1</v>
      </c>
      <c r="DG28" s="180">
        <f>DB27</f>
        <v>1</v>
      </c>
    </row>
    <row r="29" spans="1:111" ht="15.75" customHeight="1" thickBot="1" x14ac:dyDescent="0.3">
      <c r="A29" s="104" t="s">
        <v>31</v>
      </c>
      <c r="B29" s="105" t="s">
        <v>32</v>
      </c>
      <c r="C29" s="145" t="s">
        <v>53</v>
      </c>
      <c r="D29" s="140" t="s">
        <v>45</v>
      </c>
      <c r="E29" s="142" t="s">
        <v>58</v>
      </c>
      <c r="F29" s="142" t="s">
        <v>50</v>
      </c>
      <c r="G29" s="148" t="s">
        <v>59</v>
      </c>
      <c r="H29" s="148" t="s">
        <v>50</v>
      </c>
      <c r="I29" s="149" t="s">
        <v>60</v>
      </c>
      <c r="J29" s="149" t="s">
        <v>50</v>
      </c>
      <c r="K29" s="141" t="s">
        <v>61</v>
      </c>
      <c r="L29" s="181" t="s">
        <v>50</v>
      </c>
      <c r="M29" s="61"/>
      <c r="V29" s="12"/>
      <c r="W29" s="182"/>
      <c r="X29" t="s">
        <v>68</v>
      </c>
      <c r="Y29" s="20" t="s">
        <v>69</v>
      </c>
      <c r="AR29" s="166"/>
      <c r="AS29" s="131">
        <v>5</v>
      </c>
      <c r="AT29">
        <f t="shared" si="24"/>
        <v>0</v>
      </c>
      <c r="AU29">
        <f t="shared" si="25"/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Watford-Leicester</v>
      </c>
      <c r="BW29" s="61" t="str">
        <f>CONCATENATE(BY24,BZ24)</f>
        <v>11</v>
      </c>
      <c r="BX29" t="str">
        <f>CONCATENATE(CA25,CB25)</f>
        <v>12</v>
      </c>
      <c r="BY29" s="61" t="str">
        <f>CONCATENATE(BY26,BZ26)</f>
        <v>11</v>
      </c>
      <c r="BZ29" s="61" t="str">
        <f>CONCATENATE(BY27,BZ27)</f>
        <v>12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12</v>
      </c>
      <c r="CG29" s="61" t="str">
        <f>CONCATENATE(CF27,CG27)</f>
        <v>11</v>
      </c>
      <c r="CI29" s="61"/>
      <c r="CR29" s="183">
        <v>3</v>
      </c>
      <c r="CS29" s="184">
        <v>2</v>
      </c>
      <c r="CT29" s="184">
        <v>4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11" ht="15.75" customHeight="1" thickBot="1" x14ac:dyDescent="0.3">
      <c r="A30" s="84">
        <f>A1</f>
        <v>1</v>
      </c>
      <c r="B30" s="61" t="str">
        <f>B1</f>
        <v>Watford - Leicester</v>
      </c>
      <c r="C30" s="186">
        <f>W39</f>
        <v>4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1X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X2</v>
      </c>
      <c r="L30" s="144" t="str">
        <f>BI39</f>
        <v>X2</v>
      </c>
      <c r="M30" s="61"/>
      <c r="V30" s="12"/>
      <c r="W30" s="182"/>
      <c r="Y30" t="str">
        <f>AA2&amp;"-"&amp;AB2</f>
        <v>1-1</v>
      </c>
      <c r="Z30" t="str">
        <f>AA3&amp;"-"&amp;AB3</f>
        <v>1-0</v>
      </c>
      <c r="AA30" t="str">
        <f>AA4&amp;"-"&amp;AB4</f>
        <v>0-0</v>
      </c>
      <c r="AB30" t="str">
        <f>AA5&amp;"-"&amp;AB5</f>
        <v>2-1</v>
      </c>
      <c r="AC30" t="str">
        <f>AA6&amp;"-"&amp;AB6</f>
        <v>0-1</v>
      </c>
      <c r="AD30" t="str">
        <f>AA7&amp;"-"&amp;AB7</f>
        <v>2-1</v>
      </c>
      <c r="AE30" t="str">
        <f>AA8&amp;"-"&amp;AB8</f>
        <v>0-3</v>
      </c>
      <c r="AF30" t="str">
        <f>AA9&amp;"-"&amp;AB9</f>
        <v>1-2</v>
      </c>
      <c r="AG30" t="str">
        <f>AA10&amp;"-"&amp;AB10</f>
        <v>3-1</v>
      </c>
      <c r="AH30" t="str">
        <f>AA11&amp;"-"&amp;AB11</f>
        <v>2-2</v>
      </c>
      <c r="AR30" s="166"/>
      <c r="AS30" s="131">
        <v>6</v>
      </c>
      <c r="AT30">
        <f t="shared" si="24"/>
        <v>0</v>
      </c>
      <c r="AU30">
        <f t="shared" si="25"/>
        <v>0</v>
      </c>
      <c r="BC30" t="s">
        <v>75</v>
      </c>
      <c r="BF30" t="s">
        <v>76</v>
      </c>
      <c r="BK30" s="115"/>
      <c r="BL30" s="115"/>
      <c r="BM30" s="115"/>
      <c r="BN30" s="115"/>
      <c r="BO30" s="115"/>
      <c r="BP30" s="115"/>
      <c r="BQ30" s="115"/>
      <c r="BU30" s="9" t="str">
        <f>$V$23</f>
        <v>Watford-Leicester</v>
      </c>
      <c r="BV30" t="s">
        <v>56</v>
      </c>
      <c r="BW30" t="str">
        <f>BW28</f>
        <v>11</v>
      </c>
      <c r="BX30">
        <f>IF(FORECAST(BX10,BX10:BX29,BW10:BW29)&lt;=0,0,FORECAST(BX10,BX10:BX29,BW10:BW29))</f>
        <v>1.4167846609758039</v>
      </c>
      <c r="BY30" t="str">
        <f>BY28</f>
        <v>11</v>
      </c>
      <c r="BZ30" t="str">
        <f>BZ28</f>
        <v>12</v>
      </c>
      <c r="CA30" t="str">
        <f>CD28</f>
        <v>11</v>
      </c>
      <c r="CB30" t="str">
        <f>CE28</f>
        <v>11</v>
      </c>
      <c r="CC30" t="str">
        <f>CF28</f>
        <v>12</v>
      </c>
      <c r="CD30" t="str">
        <f>CG28</f>
        <v>11</v>
      </c>
      <c r="CE30" s="21"/>
      <c r="CF30" s="187">
        <v>11</v>
      </c>
      <c r="CG30" s="187">
        <v>1.4167846609757999</v>
      </c>
      <c r="CH30" s="187">
        <v>12</v>
      </c>
      <c r="CI30" s="187"/>
      <c r="CJ30" s="187"/>
      <c r="CK30" s="187"/>
      <c r="CL30" s="187"/>
      <c r="CM30" s="187"/>
    </row>
    <row r="31" spans="1:111" ht="15.75" customHeight="1" thickBot="1" x14ac:dyDescent="0.3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Leicester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 t="shared" si="24"/>
        <v>0</v>
      </c>
      <c r="AU31">
        <f t="shared" si="25"/>
        <v>0</v>
      </c>
      <c r="BC31" s="95">
        <v>1</v>
      </c>
      <c r="BD31" s="95" t="s">
        <v>30</v>
      </c>
      <c r="BE31" s="95">
        <v>2</v>
      </c>
      <c r="BF31" s="95">
        <v>1</v>
      </c>
      <c r="BG31" s="95" t="s">
        <v>30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Watford-Leicester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X::2::X::2::: GolRange ofmnmx→ 2-3; and ResuExact of →11::12::11::12:::; and ResuSigno of →11::12::11::12; and nº of goles→ ::2::3::2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X::X::2::X::: GolRange ofmnmx→ 2-3; and ResuExact of →11::11::12::11:::; and ResuSigno of →11::11::12::11; and nº of goles→ ::2::2::3</v>
      </c>
      <c r="CQ31" s="177" t="s">
        <v>73</v>
      </c>
      <c r="CR31" s="178">
        <f t="shared" ref="CR31:CY31" si="33">BX38</f>
        <v>2</v>
      </c>
      <c r="CS31" s="178">
        <f t="shared" si="33"/>
        <v>3</v>
      </c>
      <c r="CT31" s="178">
        <f t="shared" si="33"/>
        <v>2</v>
      </c>
      <c r="CU31" s="178">
        <f t="shared" si="33"/>
        <v>3</v>
      </c>
      <c r="CV31" s="178">
        <f t="shared" si="33"/>
        <v>2</v>
      </c>
      <c r="CW31" s="178">
        <f t="shared" si="33"/>
        <v>2</v>
      </c>
      <c r="CX31" s="178">
        <f t="shared" si="33"/>
        <v>3</v>
      </c>
      <c r="CY31" s="190">
        <f t="shared" si="33"/>
        <v>2</v>
      </c>
    </row>
    <row r="32" spans="1:111" ht="15.75" customHeight="1" thickBot="1" x14ac:dyDescent="0.3">
      <c r="A32" s="191" t="s">
        <v>77</v>
      </c>
      <c r="B32" s="61" t="s">
        <v>108</v>
      </c>
      <c r="C32" s="61" t="s">
        <v>78</v>
      </c>
      <c r="D32" s="61" t="s">
        <v>79</v>
      </c>
      <c r="E32" s="61" t="s">
        <v>80</v>
      </c>
      <c r="F32" s="61" t="s">
        <v>81</v>
      </c>
      <c r="G32" s="192" t="s">
        <v>82</v>
      </c>
      <c r="H32" s="193" t="s">
        <v>83</v>
      </c>
      <c r="I32" s="115" t="s">
        <v>84</v>
      </c>
      <c r="J32" s="115" t="s">
        <v>81</v>
      </c>
      <c r="K32" s="115" t="s">
        <v>85</v>
      </c>
      <c r="L32" s="194" t="s">
        <v>86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 t="shared" si="24"/>
        <v>0</v>
      </c>
      <c r="AU32">
        <f t="shared" si="25"/>
        <v>0</v>
      </c>
      <c r="BB32" t="s">
        <v>87</v>
      </c>
      <c r="BC32" s="99">
        <f>AW4</f>
        <v>3</v>
      </c>
      <c r="BD32" s="99">
        <f>AW5</f>
        <v>2</v>
      </c>
      <c r="BE32" s="99">
        <f>AW6</f>
        <v>2</v>
      </c>
      <c r="BF32" s="99">
        <f>AX4</f>
        <v>0</v>
      </c>
      <c r="BG32" s="99">
        <f>AX5</f>
        <v>1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</v>
      </c>
      <c r="CS32" s="184">
        <v>3</v>
      </c>
      <c r="CT32" s="184"/>
      <c r="CU32" s="184"/>
      <c r="CV32" s="184"/>
      <c r="CW32" s="184"/>
      <c r="CX32" s="184"/>
      <c r="CY32" s="185"/>
      <c r="CZ32" s="131"/>
    </row>
    <row r="33" spans="1:111" ht="15.75" customHeight="1" thickBot="1" x14ac:dyDescent="0.3">
      <c r="A33" s="195">
        <v>1</v>
      </c>
      <c r="B33" s="64">
        <v>1</v>
      </c>
      <c r="C33" t="s">
        <v>182</v>
      </c>
      <c r="D33" s="9">
        <v>29</v>
      </c>
      <c r="E33" s="9">
        <v>27</v>
      </c>
      <c r="F33" s="9">
        <v>1</v>
      </c>
      <c r="G33" s="9">
        <v>1</v>
      </c>
      <c r="H33" s="9">
        <v>66</v>
      </c>
      <c r="I33" s="9">
        <v>21</v>
      </c>
      <c r="J33" s="9">
        <v>45</v>
      </c>
      <c r="K33" s="9">
        <v>82</v>
      </c>
      <c r="L33" s="196" t="s">
        <v>226</v>
      </c>
      <c r="U33" s="63"/>
      <c r="V33" s="63"/>
      <c r="W33" s="84"/>
      <c r="X33" s="197" t="s">
        <v>88</v>
      </c>
      <c r="AG33" s="198" t="s">
        <v>89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 t="shared" si="24"/>
        <v>0</v>
      </c>
      <c r="AU33">
        <f t="shared" si="25"/>
        <v>0</v>
      </c>
      <c r="AV33" s="74"/>
      <c r="AW33" s="74"/>
      <c r="AX33" s="155"/>
      <c r="BB33" t="s">
        <v>87</v>
      </c>
      <c r="BC33" s="99">
        <f>BQ4</f>
        <v>1</v>
      </c>
      <c r="BD33" s="99">
        <f>BQ5</f>
        <v>1</v>
      </c>
      <c r="BE33" s="99">
        <f>BQ6</f>
        <v>5</v>
      </c>
      <c r="BF33" s="99">
        <f>BR4</f>
        <v>0</v>
      </c>
      <c r="BG33" s="99">
        <f>BR5</f>
        <v>1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2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Watford-Leicester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11" x14ac:dyDescent="0.25">
      <c r="A34" s="195">
        <v>2</v>
      </c>
      <c r="B34" s="64">
        <v>2</v>
      </c>
      <c r="C34" t="s">
        <v>202</v>
      </c>
      <c r="D34" s="9">
        <v>29</v>
      </c>
      <c r="E34" s="9">
        <v>19</v>
      </c>
      <c r="F34" s="9">
        <v>3</v>
      </c>
      <c r="G34" s="9">
        <v>7</v>
      </c>
      <c r="H34" s="9">
        <v>71</v>
      </c>
      <c r="I34" s="9">
        <v>31</v>
      </c>
      <c r="J34" s="9">
        <v>40</v>
      </c>
      <c r="K34" s="9">
        <v>60</v>
      </c>
      <c r="L34" s="196" t="s">
        <v>227</v>
      </c>
      <c r="U34" s="74"/>
      <c r="V34" s="74"/>
      <c r="W34" s="200" t="s">
        <v>77</v>
      </c>
      <c r="X34" t="s">
        <v>78</v>
      </c>
      <c r="Y34" t="s">
        <v>79</v>
      </c>
      <c r="Z34" t="s">
        <v>80</v>
      </c>
      <c r="AA34" t="s">
        <v>81</v>
      </c>
      <c r="AB34" t="s">
        <v>82</v>
      </c>
      <c r="AC34" t="s">
        <v>83</v>
      </c>
      <c r="AD34" t="s">
        <v>84</v>
      </c>
      <c r="AE34" t="s">
        <v>81</v>
      </c>
      <c r="AF34" t="s">
        <v>85</v>
      </c>
      <c r="AG34" t="s">
        <v>86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2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3</v>
      </c>
      <c r="CH34" s="61">
        <f>CF27+CG27</f>
        <v>2</v>
      </c>
    </row>
    <row r="35" spans="1:111" ht="15.75" customHeight="1" thickBot="1" x14ac:dyDescent="0.3">
      <c r="A35" s="195">
        <v>3</v>
      </c>
      <c r="B35" s="64">
        <v>3</v>
      </c>
      <c r="C35" t="s">
        <v>225</v>
      </c>
      <c r="D35" s="9">
        <v>29</v>
      </c>
      <c r="E35" s="9">
        <v>16</v>
      </c>
      <c r="F35" s="9">
        <v>5</v>
      </c>
      <c r="G35" s="9">
        <v>8</v>
      </c>
      <c r="H35" s="9">
        <v>58</v>
      </c>
      <c r="I35" s="9">
        <v>28</v>
      </c>
      <c r="J35" s="9">
        <v>30</v>
      </c>
      <c r="K35" s="9">
        <v>53</v>
      </c>
      <c r="L35" s="196" t="s">
        <v>228</v>
      </c>
      <c r="U35" s="74"/>
      <c r="W35" s="201">
        <v>17</v>
      </c>
      <c r="X35" s="85" t="s">
        <v>180</v>
      </c>
      <c r="Y35" s="85">
        <v>29</v>
      </c>
      <c r="Z35" s="85">
        <v>6</v>
      </c>
      <c r="AA35" s="85">
        <v>9</v>
      </c>
      <c r="AB35" s="85">
        <v>14</v>
      </c>
      <c r="AC35" s="85">
        <v>27</v>
      </c>
      <c r="AD35" s="85">
        <v>44</v>
      </c>
      <c r="AE35" s="85">
        <v>-17</v>
      </c>
      <c r="AF35" s="85">
        <v>27</v>
      </c>
      <c r="AG35" t="s">
        <v>249</v>
      </c>
      <c r="AJ35" s="167" t="str">
        <f>AC27</f>
        <v>D</v>
      </c>
      <c r="AK35" s="167" t="str">
        <f>AB27</f>
        <v>D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90</v>
      </c>
      <c r="BC35" s="95">
        <v>1</v>
      </c>
      <c r="BD35" s="95" t="s">
        <v>30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12</v>
      </c>
      <c r="BZ35" t="str">
        <f>BY28</f>
        <v>11</v>
      </c>
      <c r="CA35" t="str">
        <f>BZ28</f>
        <v>12</v>
      </c>
      <c r="CB35" t="str">
        <f>CD28</f>
        <v>11</v>
      </c>
      <c r="CC35" t="str">
        <f>CE28</f>
        <v>11</v>
      </c>
      <c r="CD35" t="str">
        <f>CF28</f>
        <v>12</v>
      </c>
      <c r="CE35" t="str">
        <f>CG28</f>
        <v>11</v>
      </c>
      <c r="CG35" s="187">
        <v>11</v>
      </c>
      <c r="CH35" s="187">
        <v>12</v>
      </c>
      <c r="CI35" s="187"/>
      <c r="CJ35" s="187"/>
      <c r="CK35" s="187"/>
      <c r="CL35" s="187"/>
      <c r="CM35" s="187"/>
      <c r="CN35" s="187"/>
    </row>
    <row r="36" spans="1:111" ht="15.75" customHeight="1" thickBot="1" x14ac:dyDescent="0.3">
      <c r="A36" s="195">
        <v>4</v>
      </c>
      <c r="B36" s="64">
        <v>4</v>
      </c>
      <c r="C36" t="s">
        <v>205</v>
      </c>
      <c r="D36" s="9">
        <v>29</v>
      </c>
      <c r="E36" s="9">
        <v>14</v>
      </c>
      <c r="F36" s="9">
        <v>6</v>
      </c>
      <c r="G36" s="9">
        <v>9</v>
      </c>
      <c r="H36" s="9">
        <v>51</v>
      </c>
      <c r="I36" s="9">
        <v>39</v>
      </c>
      <c r="J36" s="9">
        <v>12</v>
      </c>
      <c r="K36" s="9">
        <v>48</v>
      </c>
      <c r="L36" s="196" t="s">
        <v>229</v>
      </c>
      <c r="U36" s="74"/>
      <c r="W36" s="202">
        <v>13</v>
      </c>
      <c r="X36" s="203" t="s">
        <v>225</v>
      </c>
      <c r="Y36" s="203">
        <v>29</v>
      </c>
      <c r="Z36" s="203">
        <v>16</v>
      </c>
      <c r="AA36" s="203">
        <v>5</v>
      </c>
      <c r="AB36" s="203">
        <v>8</v>
      </c>
      <c r="AC36" s="203">
        <v>58</v>
      </c>
      <c r="AD36" s="203">
        <v>28</v>
      </c>
      <c r="AE36" s="203">
        <v>30</v>
      </c>
      <c r="AF36" s="203">
        <v>53</v>
      </c>
      <c r="AG36" s="203" t="s">
        <v>228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Watford-Leicester</v>
      </c>
      <c r="BC36">
        <f>CG37</f>
        <v>1E-3</v>
      </c>
      <c r="BD36">
        <f>CH37</f>
        <v>62.500999999999998</v>
      </c>
      <c r="BE36">
        <f>CI37</f>
        <v>37.500999999999998</v>
      </c>
      <c r="BF36" s="207" t="str">
        <f>IFERROR(VLOOKUP(BA36,IN!$B$12:$AU$12,39),"")</f>
        <v>X</v>
      </c>
      <c r="BG36" s="208" t="str">
        <f>IFERROR(VLOOKUP(BA36,IN!$B$12:$AU$12,35),"")</f>
        <v>11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2.79</v>
      </c>
      <c r="BL36">
        <f>I101</f>
        <v>2.4700000000000002</v>
      </c>
      <c r="BM36">
        <f>J101</f>
        <v>1.06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2</v>
      </c>
      <c r="BZ36" s="61" t="str">
        <f>BZ33</f>
        <v>X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2</v>
      </c>
      <c r="CE36" s="61" t="str">
        <f>CH33</f>
        <v>X</v>
      </c>
      <c r="CG36" s="95">
        <v>1</v>
      </c>
      <c r="CH36" s="95" t="s">
        <v>30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csPr=#11,1.4167846609758,12,,,,,#</v>
      </c>
    </row>
    <row r="37" spans="1:111" ht="15.75" customHeight="1" thickBot="1" x14ac:dyDescent="0.3">
      <c r="A37" s="195">
        <v>5</v>
      </c>
      <c r="B37" s="64">
        <v>5</v>
      </c>
      <c r="C37" t="s">
        <v>230</v>
      </c>
      <c r="D37" s="9">
        <v>29</v>
      </c>
      <c r="E37" s="9">
        <v>12</v>
      </c>
      <c r="F37" s="9">
        <v>9</v>
      </c>
      <c r="G37" s="9">
        <v>8</v>
      </c>
      <c r="H37" s="9">
        <v>44</v>
      </c>
      <c r="I37" s="9">
        <v>30</v>
      </c>
      <c r="J37" s="9">
        <v>14</v>
      </c>
      <c r="K37" s="9">
        <v>45</v>
      </c>
      <c r="L37" s="196" t="s">
        <v>231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Watford-Leicester</v>
      </c>
      <c r="BC37" s="210">
        <f>AS9</f>
        <v>35</v>
      </c>
      <c r="BD37" s="210">
        <f>AT9</f>
        <v>35</v>
      </c>
      <c r="BE37" s="210">
        <f>AU9</f>
        <v>30</v>
      </c>
      <c r="BF37" s="211" t="str">
        <f>IFERROR(VLOOKUP(BA37,IN!$B$12:$AU$12,39),"")</f>
        <v>X</v>
      </c>
      <c r="BG37" s="212" t="str">
        <f>IFERROR(VLOOKUP(BA37,IN!$B$12:$AU$12,35),"")</f>
        <v>11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21.011211207276872</v>
      </c>
      <c r="BL37">
        <f>IF(BL36="","",(((100)*(1/BL36))/((1/BL36)+(1/BL36)+(1/BM36)))+0.01)</f>
        <v>23.103681917211333</v>
      </c>
      <c r="BM37">
        <f>IF(BM36="","",(((100)*(1/BM36))/((1/BM36)+(1/BL36)+(1/BM36)))+0.01)</f>
        <v>41.176666666666662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Watford-Leicester</v>
      </c>
      <c r="BX37" s="99" t="str">
        <f t="shared" ref="BX37:CA38" si="34">BX33</f>
        <v>X</v>
      </c>
      <c r="BY37" s="99">
        <f t="shared" si="34"/>
        <v>2</v>
      </c>
      <c r="BZ37" s="99" t="str">
        <f t="shared" si="34"/>
        <v>X</v>
      </c>
      <c r="CA37" s="99">
        <f t="shared" si="34"/>
        <v>2</v>
      </c>
      <c r="CB37" s="99" t="str">
        <f t="shared" ref="CB37:CE38" si="35">CE33</f>
        <v>X</v>
      </c>
      <c r="CC37" s="99" t="str">
        <f t="shared" si="35"/>
        <v>X</v>
      </c>
      <c r="CD37" s="99">
        <f t="shared" si="35"/>
        <v>2</v>
      </c>
      <c r="CE37" s="99" t="str">
        <f t="shared" si="35"/>
        <v>X</v>
      </c>
      <c r="CG37" s="99">
        <f>(((COUNTIF(BX37:CE37,1))/8)*100)+0.001</f>
        <v>1E-3</v>
      </c>
      <c r="CH37" s="99">
        <f>(((COUNTIF(BX37:CE37,"X"))/8)*100)+0.001</f>
        <v>62.500999999999998</v>
      </c>
      <c r="CI37" s="99">
        <f>(((COUNTIF(BX37:CE37,2))/8)*100)+0.001</f>
        <v>37.500999999999998</v>
      </c>
    </row>
    <row r="38" spans="1:111" ht="15.75" customHeight="1" thickBot="1" x14ac:dyDescent="0.3">
      <c r="A38" s="195">
        <v>6</v>
      </c>
      <c r="B38" s="64">
        <v>7</v>
      </c>
      <c r="C38" t="s">
        <v>232</v>
      </c>
      <c r="D38" s="9">
        <v>29</v>
      </c>
      <c r="E38" s="9">
        <v>11</v>
      </c>
      <c r="F38" s="9">
        <v>11</v>
      </c>
      <c r="G38" s="9">
        <v>7</v>
      </c>
      <c r="H38" s="9">
        <v>30</v>
      </c>
      <c r="I38" s="9">
        <v>25</v>
      </c>
      <c r="J38" s="9">
        <v>5</v>
      </c>
      <c r="K38" s="9">
        <v>44</v>
      </c>
      <c r="L38" s="196" t="s">
        <v>233</v>
      </c>
      <c r="W38" s="213" t="s">
        <v>3</v>
      </c>
      <c r="Y38" s="197" t="s">
        <v>91</v>
      </c>
      <c r="Z38" t="s">
        <v>92</v>
      </c>
      <c r="AA38" t="s">
        <v>93</v>
      </c>
      <c r="AB38" t="s">
        <v>94</v>
      </c>
      <c r="AC38" t="s">
        <v>95</v>
      </c>
      <c r="AD38" t="s">
        <v>96</v>
      </c>
      <c r="AE38" t="s">
        <v>97</v>
      </c>
      <c r="AF38" t="s">
        <v>98</v>
      </c>
      <c r="AG38" s="86" t="s">
        <v>99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Watford-Leicester</v>
      </c>
      <c r="BC38">
        <f>BM9</f>
        <v>30</v>
      </c>
      <c r="BD38">
        <f>BN9</f>
        <v>20</v>
      </c>
      <c r="BE38">
        <f>BO9</f>
        <v>50</v>
      </c>
      <c r="BF38" s="211" t="str">
        <f>IFERROR(VLOOKUP(BA38,IN!$B$12:$AU$12,39),"")</f>
        <v>X</v>
      </c>
      <c r="BG38" s="212" t="str">
        <f>IFERROR(VLOOKUP(BA38,IN!$B$12:$AU$12,35),"")</f>
        <v>11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Watford-Leicester</v>
      </c>
      <c r="BX38" s="99">
        <f t="shared" si="34"/>
        <v>2</v>
      </c>
      <c r="BY38" s="99">
        <f t="shared" si="34"/>
        <v>3</v>
      </c>
      <c r="BZ38" s="99">
        <f t="shared" si="34"/>
        <v>2</v>
      </c>
      <c r="CA38" s="99">
        <f t="shared" si="34"/>
        <v>3</v>
      </c>
      <c r="CB38" s="99">
        <f t="shared" si="35"/>
        <v>2</v>
      </c>
      <c r="CC38" s="99">
        <f t="shared" si="35"/>
        <v>2</v>
      </c>
      <c r="CD38" s="99">
        <f t="shared" si="35"/>
        <v>3</v>
      </c>
      <c r="CE38" s="99">
        <f t="shared" si="35"/>
        <v>2</v>
      </c>
    </row>
    <row r="39" spans="1:111" ht="15.75" customHeight="1" thickBot="1" x14ac:dyDescent="0.3">
      <c r="A39" s="195">
        <v>7</v>
      </c>
      <c r="B39" s="64">
        <v>6</v>
      </c>
      <c r="C39" t="s">
        <v>234</v>
      </c>
      <c r="D39" s="9">
        <v>29</v>
      </c>
      <c r="E39" s="9">
        <v>10</v>
      </c>
      <c r="F39" s="9">
        <v>13</v>
      </c>
      <c r="G39" s="9">
        <v>6</v>
      </c>
      <c r="H39" s="9">
        <v>41</v>
      </c>
      <c r="I39" s="9">
        <v>34</v>
      </c>
      <c r="J39" s="9">
        <v>7</v>
      </c>
      <c r="K39" s="9">
        <v>43</v>
      </c>
      <c r="L39" s="196" t="s">
        <v>235</v>
      </c>
      <c r="W39" s="214">
        <f>W35-W36</f>
        <v>4</v>
      </c>
      <c r="X39" t="s">
        <v>1</v>
      </c>
      <c r="Y39">
        <f>SUM(AA2:AA17)/16</f>
        <v>1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31.25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12.5</v>
      </c>
      <c r="AJ39">
        <f>BH46</f>
        <v>6.25</v>
      </c>
      <c r="AL39">
        <f>BJ46</f>
        <v>62.5</v>
      </c>
      <c r="AM39">
        <f>BK46</f>
        <v>37.5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Watford-Leicester</v>
      </c>
      <c r="BC39">
        <f>(BC36+BC37+BC38)/3</f>
        <v>21.667000000000002</v>
      </c>
      <c r="BD39">
        <f>(BD36+BD37+BD38)/3</f>
        <v>39.167000000000002</v>
      </c>
      <c r="BE39">
        <f>(BE36+BE37+BE38)/3</f>
        <v>39.167000000000002</v>
      </c>
      <c r="BF39" s="216" t="str">
        <f>IFERROR(VLOOKUP(BA39,IN!$B$12:$AU$12,39),"")</f>
        <v>X</v>
      </c>
      <c r="BG39" s="217" t="str">
        <f>IFERROR(VLOOKUP(BA39,IN!$B$12:$AU$12,35),"")</f>
        <v>11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11" x14ac:dyDescent="0.25">
      <c r="A40" s="195">
        <v>8</v>
      </c>
      <c r="B40" s="64">
        <v>8</v>
      </c>
      <c r="C40" t="s">
        <v>236</v>
      </c>
      <c r="D40" s="9">
        <v>29</v>
      </c>
      <c r="E40" s="9">
        <v>11</v>
      </c>
      <c r="F40" s="9">
        <v>8</v>
      </c>
      <c r="G40" s="9">
        <v>10</v>
      </c>
      <c r="H40" s="9">
        <v>47</v>
      </c>
      <c r="I40" s="9">
        <v>40</v>
      </c>
      <c r="J40" s="9">
        <v>7</v>
      </c>
      <c r="K40" s="9">
        <v>41</v>
      </c>
      <c r="L40" s="196" t="s">
        <v>237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</v>
      </c>
      <c r="Z40">
        <f>((SUM(AU26:AU33))/16)*100</f>
        <v>31.25</v>
      </c>
      <c r="AA40">
        <f>((SUM(AU27:AU33))/16)*100</f>
        <v>18.75</v>
      </c>
      <c r="AB40">
        <f>((SUM(AU27:AU33))/16)*100</f>
        <v>18.75</v>
      </c>
      <c r="AC40">
        <f>((SUM(AU28:AU33))/16)*100</f>
        <v>0</v>
      </c>
      <c r="AD40">
        <f>(((COUNTIF(AA24:AP24,1)/16)*100))</f>
        <v>50</v>
      </c>
      <c r="AE40">
        <f>(((COUNTIF(AA24:AP24,0)/16)*100))</f>
        <v>50</v>
      </c>
      <c r="AS40" s="86"/>
      <c r="AU40" s="74"/>
      <c r="AV40" s="74"/>
      <c r="AW40" s="74"/>
      <c r="AX40" s="155"/>
    </row>
    <row r="41" spans="1:111" ht="15.75" customHeight="1" thickBot="1" x14ac:dyDescent="0.3">
      <c r="A41" s="195">
        <v>9</v>
      </c>
      <c r="B41" s="64">
        <v>9</v>
      </c>
      <c r="C41" t="s">
        <v>215</v>
      </c>
      <c r="D41" s="9">
        <v>29</v>
      </c>
      <c r="E41" s="9">
        <v>9</v>
      </c>
      <c r="F41" s="9">
        <v>13</v>
      </c>
      <c r="G41" s="9">
        <v>7</v>
      </c>
      <c r="H41" s="9">
        <v>40</v>
      </c>
      <c r="I41" s="9">
        <v>39</v>
      </c>
      <c r="J41" s="9">
        <v>1</v>
      </c>
      <c r="K41" s="9">
        <v>40</v>
      </c>
      <c r="L41" s="196" t="s">
        <v>238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100</v>
      </c>
      <c r="Y41" s="219">
        <f>Y39-Y40</f>
        <v>0</v>
      </c>
      <c r="Z41" s="220">
        <f t="shared" ref="Z41:AE41" si="36">(Z39+Z40)/2</f>
        <v>31.25</v>
      </c>
      <c r="AA41" s="220">
        <f t="shared" si="36"/>
        <v>12.5</v>
      </c>
      <c r="AB41" s="220">
        <f t="shared" si="36"/>
        <v>12.5</v>
      </c>
      <c r="AC41" s="220">
        <f t="shared" si="36"/>
        <v>0</v>
      </c>
      <c r="AD41" s="220">
        <f t="shared" si="36"/>
        <v>56.25</v>
      </c>
      <c r="AE41" s="220">
        <f t="shared" si="36"/>
        <v>43.75</v>
      </c>
      <c r="AU41" s="74"/>
      <c r="AV41" s="74"/>
      <c r="AW41" s="74"/>
      <c r="AX41" s="155"/>
      <c r="BB41" t="s">
        <v>56</v>
      </c>
    </row>
    <row r="42" spans="1:111" ht="15.75" customHeight="1" thickBot="1" x14ac:dyDescent="0.3">
      <c r="A42" s="195">
        <v>10</v>
      </c>
      <c r="B42" s="64">
        <v>10</v>
      </c>
      <c r="C42" t="s">
        <v>194</v>
      </c>
      <c r="D42" s="9">
        <v>29</v>
      </c>
      <c r="E42" s="9">
        <v>11</v>
      </c>
      <c r="F42" s="9">
        <v>6</v>
      </c>
      <c r="G42" s="9">
        <v>12</v>
      </c>
      <c r="H42" s="9">
        <v>34</v>
      </c>
      <c r="I42" s="9">
        <v>40</v>
      </c>
      <c r="J42" s="9">
        <v>-6</v>
      </c>
      <c r="K42" s="9">
        <v>39</v>
      </c>
      <c r="L42" s="196" t="s">
        <v>239</v>
      </c>
      <c r="Y42">
        <f>(SUM(AA2:AA17)/16)-(SUM(Z2:Z17)/16)</f>
        <v>0</v>
      </c>
      <c r="AU42" s="74"/>
      <c r="AV42" s="74"/>
      <c r="AW42" s="74"/>
      <c r="AX42" s="155"/>
      <c r="BA42" s="205">
        <f>BA27</f>
        <v>1</v>
      </c>
      <c r="BB42" s="206" t="str">
        <f>V23</f>
        <v>Watford-Leicester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12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11" x14ac:dyDescent="0.25">
      <c r="A43" s="195">
        <v>11</v>
      </c>
      <c r="B43" s="64">
        <v>11</v>
      </c>
      <c r="C43" t="s">
        <v>201</v>
      </c>
      <c r="D43" s="9">
        <v>29</v>
      </c>
      <c r="E43" s="9">
        <v>10</v>
      </c>
      <c r="F43" s="9">
        <v>9</v>
      </c>
      <c r="G43" s="9">
        <v>10</v>
      </c>
      <c r="H43" s="9">
        <v>26</v>
      </c>
      <c r="I43" s="9">
        <v>32</v>
      </c>
      <c r="J43" s="9">
        <v>-6</v>
      </c>
      <c r="K43" s="9">
        <v>39</v>
      </c>
      <c r="L43" s="196" t="s">
        <v>240</v>
      </c>
      <c r="BF43">
        <f>VLOOKUP(1,BC55:BF70,3,FALSE)</f>
        <v>62.51</v>
      </c>
      <c r="BG43">
        <f>VLOOKUP(2,BC55:BF70,3,FALSE)</f>
        <v>37.51</v>
      </c>
      <c r="BH43">
        <f>VLOOKUP(3,BC55:BF70,3,FALSE)</f>
        <v>0.02</v>
      </c>
      <c r="BI43">
        <f>VLOOKUP(4,BC55:BF70,3,FALSE)</f>
        <v>0.02</v>
      </c>
    </row>
    <row r="44" spans="1:111" ht="15.75" customHeight="1" thickBot="1" x14ac:dyDescent="0.3">
      <c r="A44" s="195">
        <v>12</v>
      </c>
      <c r="B44" s="64">
        <v>12</v>
      </c>
      <c r="C44" t="s">
        <v>185</v>
      </c>
      <c r="D44" s="9">
        <v>29</v>
      </c>
      <c r="E44" s="9">
        <v>10</v>
      </c>
      <c r="F44" s="9">
        <v>7</v>
      </c>
      <c r="G44" s="9">
        <v>12</v>
      </c>
      <c r="H44" s="9">
        <v>37</v>
      </c>
      <c r="I44" s="9">
        <v>46</v>
      </c>
      <c r="J44" s="9">
        <v>-9</v>
      </c>
      <c r="K44" s="9">
        <v>37</v>
      </c>
      <c r="L44" s="196" t="s">
        <v>241</v>
      </c>
      <c r="BB44" t="s">
        <v>18</v>
      </c>
    </row>
    <row r="45" spans="1:111" ht="15.75" customHeight="1" thickBot="1" x14ac:dyDescent="0.3">
      <c r="A45" s="195">
        <v>13</v>
      </c>
      <c r="B45" s="64">
        <v>14</v>
      </c>
      <c r="C45" t="s">
        <v>216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242</v>
      </c>
      <c r="BA45" s="205">
        <f>BA27</f>
        <v>1</v>
      </c>
      <c r="BB45" s="206" t="str">
        <f>V23</f>
        <v>Watford-Leicester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 t="shared" ref="BF45:BH46" si="37">DH15</f>
        <v>3</v>
      </c>
      <c r="BG45" s="221">
        <f t="shared" si="37"/>
        <v>2</v>
      </c>
      <c r="BH45" s="221">
        <f t="shared" si="37"/>
        <v>4</v>
      </c>
      <c r="BI45" s="222"/>
      <c r="BJ45" s="222">
        <f t="shared" ref="BJ45:BL46" si="38">DP15</f>
        <v>2</v>
      </c>
      <c r="BK45" s="222">
        <f t="shared" si="38"/>
        <v>3</v>
      </c>
      <c r="BL45" s="222" t="str">
        <f t="shared" si="38"/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11" ht="15.75" customHeight="1" thickBot="1" x14ac:dyDescent="0.3">
      <c r="A46" s="195">
        <v>14</v>
      </c>
      <c r="B46" s="64">
        <v>13</v>
      </c>
      <c r="C46" t="s">
        <v>243</v>
      </c>
      <c r="D46" s="9">
        <v>29</v>
      </c>
      <c r="E46" s="9">
        <v>9</v>
      </c>
      <c r="F46" s="9">
        <v>8</v>
      </c>
      <c r="G46" s="9">
        <v>12</v>
      </c>
      <c r="H46" s="9">
        <v>25</v>
      </c>
      <c r="I46" s="9">
        <v>41</v>
      </c>
      <c r="J46" s="9">
        <v>-16</v>
      </c>
      <c r="K46" s="9">
        <v>35</v>
      </c>
      <c r="L46" s="196" t="s">
        <v>244</v>
      </c>
      <c r="Y46" s="69" t="str">
        <f>AA1</f>
        <v>Vt1</v>
      </c>
      <c r="Z46" s="70" t="str">
        <f>Z1</f>
        <v>Hm2</v>
      </c>
      <c r="AA46" s="72" t="s">
        <v>12</v>
      </c>
      <c r="BF46">
        <f t="shared" si="37"/>
        <v>62.5</v>
      </c>
      <c r="BG46">
        <f t="shared" si="37"/>
        <v>12.5</v>
      </c>
      <c r="BH46">
        <f t="shared" si="37"/>
        <v>6.25</v>
      </c>
      <c r="BJ46">
        <f t="shared" si="38"/>
        <v>62.5</v>
      </c>
      <c r="BK46">
        <f t="shared" si="38"/>
        <v>37.5</v>
      </c>
      <c r="BL46" t="str">
        <f t="shared" si="38"/>
        <v/>
      </c>
      <c r="BR46" s="68">
        <f>(BF46+BJ46)/2</f>
        <v>62.5</v>
      </c>
    </row>
    <row r="47" spans="1:111" x14ac:dyDescent="0.25">
      <c r="A47" s="195">
        <v>15</v>
      </c>
      <c r="B47" s="64">
        <v>15</v>
      </c>
      <c r="C47" t="s">
        <v>245</v>
      </c>
      <c r="D47" s="9">
        <v>29</v>
      </c>
      <c r="E47" s="9">
        <v>6</v>
      </c>
      <c r="F47" s="9">
        <v>11</v>
      </c>
      <c r="G47" s="9">
        <v>12</v>
      </c>
      <c r="H47" s="9">
        <v>32</v>
      </c>
      <c r="I47" s="9">
        <v>40</v>
      </c>
      <c r="J47" s="9">
        <v>-8</v>
      </c>
      <c r="K47" s="9">
        <v>29</v>
      </c>
      <c r="L47" s="196" t="s">
        <v>246</v>
      </c>
      <c r="X47">
        <v>1</v>
      </c>
      <c r="Y47" s="84">
        <f>AA21</f>
        <v>1</v>
      </c>
      <c r="Z47">
        <f>Z21</f>
        <v>4</v>
      </c>
      <c r="AA47" s="166">
        <f t="shared" ref="AA47:AA66" si="39"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Watford-Leicester</v>
      </c>
      <c r="BC47" s="223" t="str">
        <f>BW28</f>
        <v>11</v>
      </c>
      <c r="BD47" s="223" t="str">
        <f>BX28</f>
        <v>12</v>
      </c>
      <c r="BE47" s="223" t="str">
        <f>BY28</f>
        <v>11</v>
      </c>
      <c r="BF47" s="223" t="str">
        <f>BZ28</f>
        <v>12</v>
      </c>
      <c r="BG47" s="223" t="str">
        <f>CD28</f>
        <v>11</v>
      </c>
      <c r="BH47" s="223" t="str">
        <f>CE28</f>
        <v>11</v>
      </c>
      <c r="BI47" s="223" t="str">
        <f>CF28</f>
        <v>12</v>
      </c>
      <c r="BJ47" s="223" t="str">
        <f>CG28</f>
        <v>11</v>
      </c>
    </row>
    <row r="48" spans="1:111" ht="15.75" customHeight="1" thickBot="1" x14ac:dyDescent="0.3">
      <c r="A48" s="195">
        <v>16</v>
      </c>
      <c r="B48" s="64">
        <v>16</v>
      </c>
      <c r="C48" t="s">
        <v>247</v>
      </c>
      <c r="D48" s="9">
        <v>29</v>
      </c>
      <c r="E48" s="9">
        <v>7</v>
      </c>
      <c r="F48" s="9">
        <v>6</v>
      </c>
      <c r="G48" s="9">
        <v>16</v>
      </c>
      <c r="H48" s="9">
        <v>35</v>
      </c>
      <c r="I48" s="9">
        <v>50</v>
      </c>
      <c r="J48" s="9">
        <v>-15</v>
      </c>
      <c r="K48" s="9">
        <v>27</v>
      </c>
      <c r="L48" s="196" t="s">
        <v>248</v>
      </c>
      <c r="X48">
        <v>2</v>
      </c>
      <c r="Y48" s="84">
        <f>AA20</f>
        <v>1</v>
      </c>
      <c r="Z48">
        <f>Z20</f>
        <v>1</v>
      </c>
      <c r="AA48" s="166">
        <f t="shared" si="39"/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72" x14ac:dyDescent="0.25">
      <c r="A49" s="195">
        <v>17</v>
      </c>
      <c r="B49" s="64">
        <v>17</v>
      </c>
      <c r="C49" t="s">
        <v>180</v>
      </c>
      <c r="D49" s="9">
        <v>29</v>
      </c>
      <c r="E49" s="9">
        <v>6</v>
      </c>
      <c r="F49" s="9">
        <v>9</v>
      </c>
      <c r="G49" s="9">
        <v>14</v>
      </c>
      <c r="H49" s="9">
        <v>27</v>
      </c>
      <c r="I49" s="9">
        <v>44</v>
      </c>
      <c r="J49" s="9">
        <v>-17</v>
      </c>
      <c r="K49" s="9">
        <v>27</v>
      </c>
      <c r="L49" s="196" t="s">
        <v>249</v>
      </c>
      <c r="X49">
        <v>3</v>
      </c>
      <c r="Y49" s="84">
        <f>AA19</f>
        <v>1</v>
      </c>
      <c r="Z49">
        <f>Z19</f>
        <v>3</v>
      </c>
      <c r="AA49" s="166">
        <f t="shared" si="39"/>
        <v>-1</v>
      </c>
      <c r="BA49" s="205">
        <f>BA27</f>
        <v>1</v>
      </c>
      <c r="BB49" s="206" t="str">
        <f>V23</f>
        <v>Watford-Leicester</v>
      </c>
      <c r="BC49" s="224">
        <v>11</v>
      </c>
      <c r="BD49" s="224">
        <v>12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72" x14ac:dyDescent="0.25">
      <c r="A50" s="64">
        <v>18</v>
      </c>
      <c r="B50" s="64">
        <v>18</v>
      </c>
      <c r="C50" t="s">
        <v>250</v>
      </c>
      <c r="D50" s="9">
        <v>29</v>
      </c>
      <c r="E50" s="9">
        <v>7</v>
      </c>
      <c r="F50" s="9">
        <v>6</v>
      </c>
      <c r="G50" s="9">
        <v>16</v>
      </c>
      <c r="H50" s="9">
        <v>29</v>
      </c>
      <c r="I50" s="9">
        <v>47</v>
      </c>
      <c r="J50" s="9">
        <v>-18</v>
      </c>
      <c r="K50" s="9">
        <v>27</v>
      </c>
      <c r="L50" s="196" t="s">
        <v>251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3</v>
      </c>
      <c r="AA50" s="166">
        <f t="shared" si="39"/>
        <v>1</v>
      </c>
    </row>
    <row r="51" spans="1:72" x14ac:dyDescent="0.25">
      <c r="A51" s="64">
        <v>19</v>
      </c>
      <c r="B51" s="64">
        <v>19</v>
      </c>
      <c r="C51" t="s">
        <v>189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252</v>
      </c>
      <c r="X51">
        <v>5</v>
      </c>
      <c r="Y51" s="84">
        <f>AA17</f>
        <v>2</v>
      </c>
      <c r="Z51">
        <f>Z17</f>
        <v>0</v>
      </c>
      <c r="AA51" s="166">
        <f t="shared" si="39"/>
        <v>-1</v>
      </c>
      <c r="BC51">
        <f>IF(BC49="",0.01,((BC53/BS53)*100))</f>
        <v>62.5</v>
      </c>
      <c r="BD51">
        <f>IF(BD49="",0.01,((BD53/BS53)*100))</f>
        <v>37.5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72" x14ac:dyDescent="0.25">
      <c r="A52" s="64">
        <v>20</v>
      </c>
      <c r="B52" s="64">
        <v>20</v>
      </c>
      <c r="C52" t="s">
        <v>253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254</v>
      </c>
      <c r="X52">
        <v>6</v>
      </c>
      <c r="Y52" s="84">
        <f>AA16</f>
        <v>0</v>
      </c>
      <c r="Z52">
        <f>Z16</f>
        <v>2</v>
      </c>
      <c r="AA52" s="166">
        <f t="shared" si="39"/>
        <v>1</v>
      </c>
    </row>
    <row r="53" spans="1:72" x14ac:dyDescent="0.25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 t="shared" si="39"/>
        <v>0</v>
      </c>
      <c r="BC53" s="74">
        <f>IF(BC49="","",COUNTIF(BC47:BJ47,BC49))</f>
        <v>5</v>
      </c>
      <c r="BD53" s="74">
        <f>IF(BD49="","",COUNTIF(BC47:BJ47,BD49))</f>
        <v>3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72" x14ac:dyDescent="0.25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 t="shared" si="39"/>
        <v>1</v>
      </c>
      <c r="BB54" s="96" t="s">
        <v>101</v>
      </c>
      <c r="BC54" t="s">
        <v>102</v>
      </c>
      <c r="BD54" s="226" t="s">
        <v>103</v>
      </c>
      <c r="BE54" t="s">
        <v>104</v>
      </c>
      <c r="BF54" t="s">
        <v>105</v>
      </c>
    </row>
    <row r="55" spans="1:72" x14ac:dyDescent="0.25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 t="shared" si="39"/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72" x14ac:dyDescent="0.25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2</v>
      </c>
      <c r="AA56" s="166">
        <f t="shared" si="39"/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12</v>
      </c>
    </row>
    <row r="57" spans="1:72" x14ac:dyDescent="0.25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3</v>
      </c>
      <c r="AA57" s="166">
        <f t="shared" si="39"/>
        <v>-1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>0</v>
      </c>
    </row>
    <row r="58" spans="1:72" x14ac:dyDescent="0.25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0</v>
      </c>
      <c r="AA58" s="166">
        <f t="shared" si="39"/>
        <v>0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>0</v>
      </c>
    </row>
    <row r="59" spans="1:72" ht="15.75" customHeight="1" thickBot="1" x14ac:dyDescent="0.3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 t="shared" si="39"/>
        <v>0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>0</v>
      </c>
      <c r="BR59" s="63"/>
      <c r="BS59" s="63"/>
      <c r="BT59" s="63"/>
    </row>
    <row r="60" spans="1:72" x14ac:dyDescent="0.25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 t="shared" si="39"/>
        <v>0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>0</v>
      </c>
      <c r="BR60" s="74"/>
      <c r="BS60" s="74"/>
      <c r="BT60" s="74"/>
    </row>
    <row r="61" spans="1:72" x14ac:dyDescent="0.25">
      <c r="T61" s="61"/>
      <c r="X61">
        <v>15</v>
      </c>
      <c r="Y61" s="84">
        <f>AA7</f>
        <v>2</v>
      </c>
      <c r="Z61">
        <f>Z7</f>
        <v>1</v>
      </c>
      <c r="AA61" s="166">
        <f t="shared" si="39"/>
        <v>-1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>0</v>
      </c>
      <c r="BQ61" s="74"/>
      <c r="BR61" s="231"/>
      <c r="BS61" s="74"/>
      <c r="BT61" s="74"/>
    </row>
    <row r="62" spans="1:72" x14ac:dyDescent="0.25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3</v>
      </c>
      <c r="AA62" s="166">
        <f t="shared" si="39"/>
        <v>1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>0</v>
      </c>
      <c r="BQ62" s="74"/>
      <c r="BR62" s="74"/>
      <c r="BS62" s="74"/>
      <c r="BT62" s="74"/>
    </row>
    <row r="63" spans="1:72" x14ac:dyDescent="0.25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 t="shared" si="39"/>
        <v>-1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>0</v>
      </c>
      <c r="BQ63" s="74"/>
      <c r="BR63" s="74"/>
      <c r="BS63" s="74"/>
      <c r="BT63" s="74"/>
    </row>
    <row r="64" spans="1:72" x14ac:dyDescent="0.25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3</v>
      </c>
      <c r="AA64" s="166">
        <f t="shared" si="39"/>
        <v>-1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>0</v>
      </c>
    </row>
    <row r="65" spans="1:58" x14ac:dyDescent="0.2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 t="shared" si="39"/>
        <v>0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>0</v>
      </c>
    </row>
    <row r="66" spans="1:58" ht="15.75" customHeight="1" thickBot="1" x14ac:dyDescent="0.3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 t="shared" si="39"/>
        <v>-1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>0</v>
      </c>
    </row>
    <row r="67" spans="1:58" ht="15.75" customHeight="1" thickBot="1" x14ac:dyDescent="0.3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>0</v>
      </c>
    </row>
    <row r="68" spans="1:58" ht="15.75" customHeight="1" thickBot="1" x14ac:dyDescent="0.3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1.1586867305061559</v>
      </c>
      <c r="Z68" s="239">
        <f>IF(FORECAST(Z62,Z47:Z66,Y47:Y66)&lt;=0,0,FORECAST(Z62,Z47:Z66,Y47:Y66))</f>
        <v>0.57525083612040118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>0</v>
      </c>
    </row>
    <row r="69" spans="1:58" x14ac:dyDescent="0.25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>0</v>
      </c>
    </row>
    <row r="70" spans="1:58" x14ac:dyDescent="0.25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>0</v>
      </c>
    </row>
    <row r="71" spans="1:58" x14ac:dyDescent="0.25">
      <c r="M71" s="61"/>
      <c r="T71" s="61"/>
      <c r="U71" s="61"/>
    </row>
    <row r="72" spans="1:58" x14ac:dyDescent="0.25">
      <c r="M72" s="241"/>
      <c r="N72" s="241"/>
      <c r="O72" s="241"/>
      <c r="T72" s="61"/>
      <c r="U72" s="61"/>
    </row>
    <row r="73" spans="1:58" x14ac:dyDescent="0.25">
      <c r="M73" s="241"/>
      <c r="N73" s="241"/>
      <c r="O73" s="241"/>
      <c r="T73" s="61"/>
      <c r="U73" s="61"/>
    </row>
    <row r="74" spans="1:58" x14ac:dyDescent="0.25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58" x14ac:dyDescent="0.25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58" x14ac:dyDescent="0.25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58" x14ac:dyDescent="0.25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58" x14ac:dyDescent="0.25">
      <c r="A78" s="232"/>
      <c r="B78" s="150"/>
      <c r="K78" s="61"/>
      <c r="L78" s="61"/>
      <c r="T78" s="61"/>
      <c r="U78" s="61"/>
    </row>
    <row r="79" spans="1:58" x14ac:dyDescent="0.25">
      <c r="A79" s="232"/>
      <c r="B79" s="150"/>
      <c r="K79" s="150"/>
      <c r="L79" s="61"/>
      <c r="M79" s="241"/>
      <c r="N79" s="241"/>
      <c r="O79" s="241"/>
      <c r="T79" s="61"/>
      <c r="U79" s="61"/>
    </row>
    <row r="80" spans="1:58" x14ac:dyDescent="0.25">
      <c r="B80" s="61"/>
      <c r="K80" s="61"/>
      <c r="L80" s="61"/>
      <c r="M80" s="241"/>
      <c r="N80" s="241"/>
      <c r="O80" s="241"/>
      <c r="T80" s="61"/>
      <c r="U80" s="61"/>
    </row>
    <row r="81" spans="1:22" x14ac:dyDescent="0.25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22" x14ac:dyDescent="0.25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22" x14ac:dyDescent="0.25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22" x14ac:dyDescent="0.25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22" x14ac:dyDescent="0.25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22" x14ac:dyDescent="0.25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22" x14ac:dyDescent="0.25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22" x14ac:dyDescent="0.25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22" x14ac:dyDescent="0.25">
      <c r="T89" s="61"/>
      <c r="U89" s="61"/>
      <c r="V89" s="61"/>
    </row>
    <row r="90" spans="1:22" x14ac:dyDescent="0.25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22" x14ac:dyDescent="0.25">
      <c r="A91" s="133"/>
      <c r="B91" s="80" t="s">
        <v>40</v>
      </c>
      <c r="C91" s="106" t="s">
        <v>27</v>
      </c>
      <c r="D91" s="80"/>
      <c r="E91" s="106" t="s">
        <v>41</v>
      </c>
      <c r="F91" s="80"/>
      <c r="G91" s="106" t="s">
        <v>42</v>
      </c>
      <c r="H91" s="109"/>
      <c r="I91" s="109" t="s">
        <v>43</v>
      </c>
      <c r="J91" s="109"/>
      <c r="K91" s="310" t="s">
        <v>44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22" x14ac:dyDescent="0.25">
      <c r="A92" s="104" t="s">
        <v>31</v>
      </c>
      <c r="B92" s="105" t="s">
        <v>32</v>
      </c>
      <c r="C92" s="145" t="s">
        <v>33</v>
      </c>
      <c r="D92" s="140" t="s">
        <v>45</v>
      </c>
      <c r="E92" s="142" t="s">
        <v>12</v>
      </c>
      <c r="F92" s="142" t="s">
        <v>46</v>
      </c>
      <c r="G92" s="244" t="s">
        <v>12</v>
      </c>
      <c r="H92" s="244" t="s">
        <v>47</v>
      </c>
      <c r="I92" s="245" t="s">
        <v>12</v>
      </c>
      <c r="J92" s="245" t="s">
        <v>48</v>
      </c>
      <c r="K92" s="141" t="s">
        <v>12</v>
      </c>
      <c r="L92" s="141" t="s">
        <v>49</v>
      </c>
      <c r="M92" s="141" t="s">
        <v>50</v>
      </c>
      <c r="N92" s="61"/>
      <c r="O92" s="61"/>
      <c r="P92" s="61"/>
      <c r="Q92" s="61"/>
      <c r="S92" s="61"/>
      <c r="T92" s="61"/>
      <c r="U92" s="61"/>
      <c r="V92" s="61"/>
    </row>
    <row r="93" spans="1:22" ht="15.75" customHeight="1" thickBot="1" x14ac:dyDescent="0.3">
      <c r="A93" s="126">
        <f>A1</f>
        <v>1</v>
      </c>
      <c r="B93" s="228" t="str">
        <f>B1</f>
        <v>Watford - Leicester</v>
      </c>
      <c r="C93" s="246">
        <f>Y41</f>
        <v>0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0M</v>
      </c>
      <c r="G93" s="114">
        <f>IFERROR(VLOOKUP(A1,IN!B12:AB12,18),"")</f>
        <v>2</v>
      </c>
      <c r="H93" s="114" t="str">
        <f>IFERROR(VLOOKUP(A1,IN!B12:AB12,20),"")</f>
        <v>12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X2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22" x14ac:dyDescent="0.25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22" x14ac:dyDescent="0.25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22" x14ac:dyDescent="0.25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89" x14ac:dyDescent="0.25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89" s="86" customFormat="1" ht="14.25" customHeight="1" x14ac:dyDescent="0.2">
      <c r="B98" s="279" t="s">
        <v>142</v>
      </c>
      <c r="C98" s="294" t="s">
        <v>143</v>
      </c>
      <c r="D98" s="297" t="s">
        <v>144</v>
      </c>
      <c r="E98" s="297" t="s">
        <v>145</v>
      </c>
      <c r="F98" s="297" t="s">
        <v>146</v>
      </c>
      <c r="G98" s="312" t="s">
        <v>147</v>
      </c>
      <c r="H98" s="314" t="s">
        <v>170</v>
      </c>
      <c r="I98" s="314" t="s">
        <v>148</v>
      </c>
      <c r="J98" s="314" t="s">
        <v>149</v>
      </c>
      <c r="K98" s="316" t="s">
        <v>171</v>
      </c>
      <c r="L98" s="317"/>
      <c r="M98" s="318"/>
      <c r="N98" s="320" t="s">
        <v>172</v>
      </c>
      <c r="O98" s="321"/>
      <c r="P98" s="322"/>
      <c r="Q98" s="316" t="s">
        <v>150</v>
      </c>
      <c r="R98" s="317"/>
      <c r="S98" s="318"/>
      <c r="T98" s="299" t="s">
        <v>173</v>
      </c>
      <c r="U98" s="301" t="s">
        <v>29</v>
      </c>
      <c r="V98" s="302"/>
      <c r="W98" s="302"/>
      <c r="X98" s="247"/>
      <c r="Y98" s="247"/>
      <c r="Z98" s="248"/>
      <c r="AA98" s="289" t="s">
        <v>29</v>
      </c>
      <c r="AB98" s="290"/>
      <c r="AC98" s="291"/>
      <c r="AD98" s="289" t="s">
        <v>72</v>
      </c>
      <c r="AE98" s="290"/>
      <c r="AF98" s="290"/>
      <c r="AG98" s="290"/>
      <c r="AH98" s="290"/>
      <c r="AI98" s="290"/>
      <c r="AJ98" s="290"/>
      <c r="AK98" s="291"/>
      <c r="AL98" s="279" t="s">
        <v>151</v>
      </c>
      <c r="AM98" s="249" t="s">
        <v>152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153</v>
      </c>
      <c r="BX98" s="283"/>
      <c r="BY98" s="283"/>
      <c r="BZ98" s="283" t="s">
        <v>154</v>
      </c>
      <c r="CA98" s="283"/>
      <c r="CB98" s="283"/>
      <c r="CC98" s="283" t="s">
        <v>155</v>
      </c>
      <c r="CD98" s="283"/>
      <c r="CE98" s="283"/>
      <c r="CF98" s="283" t="s">
        <v>154</v>
      </c>
      <c r="CG98" s="283"/>
      <c r="CH98" s="283"/>
      <c r="CI98" s="283" t="s">
        <v>155</v>
      </c>
      <c r="CJ98" s="283"/>
      <c r="CK98" s="283"/>
    </row>
    <row r="99" spans="1:89" s="86" customFormat="1" ht="14.25" customHeight="1" x14ac:dyDescent="0.25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27</v>
      </c>
      <c r="V99" s="253" t="s">
        <v>27</v>
      </c>
      <c r="W99" s="67"/>
      <c r="X99" s="106" t="s">
        <v>41</v>
      </c>
      <c r="Y99" s="80"/>
      <c r="Z99" s="254" t="s">
        <v>42</v>
      </c>
      <c r="AA99" s="255"/>
      <c r="AB99" s="109" t="s">
        <v>43</v>
      </c>
      <c r="AC99" s="109"/>
      <c r="AD99" s="284" t="s">
        <v>44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156</v>
      </c>
      <c r="AN99" s="285" t="s">
        <v>157</v>
      </c>
      <c r="AO99" s="286" t="s">
        <v>147</v>
      </c>
      <c r="AP99" s="286" t="s">
        <v>147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29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27</v>
      </c>
      <c r="BN99" s="80"/>
      <c r="BO99" s="106" t="s">
        <v>58</v>
      </c>
      <c r="BP99" s="80"/>
      <c r="BQ99" s="106" t="s">
        <v>59</v>
      </c>
      <c r="BR99" s="109"/>
      <c r="BS99" s="109" t="s">
        <v>60</v>
      </c>
      <c r="BT99" s="109"/>
      <c r="BU99" s="109" t="s">
        <v>61</v>
      </c>
      <c r="BV99" s="109"/>
      <c r="BW99" s="281" t="s">
        <v>158</v>
      </c>
      <c r="BX99" s="279" t="s">
        <v>159</v>
      </c>
      <c r="BY99" s="279" t="s">
        <v>160</v>
      </c>
      <c r="BZ99" s="281" t="s">
        <v>158</v>
      </c>
      <c r="CA99" s="279" t="s">
        <v>159</v>
      </c>
      <c r="CB99" s="279" t="s">
        <v>160</v>
      </c>
      <c r="CC99" s="281" t="s">
        <v>158</v>
      </c>
      <c r="CD99" s="279" t="s">
        <v>159</v>
      </c>
      <c r="CE99" s="279" t="s">
        <v>160</v>
      </c>
      <c r="CF99" s="281" t="s">
        <v>158</v>
      </c>
      <c r="CG99" s="279" t="s">
        <v>159</v>
      </c>
      <c r="CH99" s="279" t="s">
        <v>160</v>
      </c>
      <c r="CI99" s="281" t="s">
        <v>158</v>
      </c>
      <c r="CJ99" s="279" t="s">
        <v>159</v>
      </c>
      <c r="CK99" s="279" t="s">
        <v>160</v>
      </c>
    </row>
    <row r="100" spans="1:89" s="86" customFormat="1" ht="39" customHeight="1" x14ac:dyDescent="0.25">
      <c r="B100" s="280"/>
      <c r="C100" s="296"/>
      <c r="D100" s="256" t="s">
        <v>118</v>
      </c>
      <c r="E100" s="257" t="s">
        <v>119</v>
      </c>
      <c r="F100" s="121" t="s">
        <v>100</v>
      </c>
      <c r="G100" s="258" t="s">
        <v>120</v>
      </c>
      <c r="H100" s="259" t="s">
        <v>121</v>
      </c>
      <c r="I100" s="260" t="s">
        <v>122</v>
      </c>
      <c r="J100" s="260" t="s">
        <v>123</v>
      </c>
      <c r="K100" s="260" t="s">
        <v>124</v>
      </c>
      <c r="L100" s="67" t="s">
        <v>12</v>
      </c>
      <c r="M100" s="67" t="s">
        <v>125</v>
      </c>
      <c r="N100" s="253" t="s">
        <v>56</v>
      </c>
      <c r="O100" s="80" t="s">
        <v>12</v>
      </c>
      <c r="P100" s="106" t="s">
        <v>56</v>
      </c>
      <c r="Q100" s="261" t="s">
        <v>12</v>
      </c>
      <c r="R100" s="261" t="s">
        <v>56</v>
      </c>
      <c r="S100" s="67"/>
      <c r="T100" s="68" t="s">
        <v>126</v>
      </c>
      <c r="U100" s="262" t="s">
        <v>33</v>
      </c>
      <c r="V100" s="167" t="s">
        <v>54</v>
      </c>
      <c r="W100" s="263" t="s">
        <v>45</v>
      </c>
      <c r="X100" s="263" t="s">
        <v>12</v>
      </c>
      <c r="Y100" s="263" t="s">
        <v>36</v>
      </c>
      <c r="Z100" s="263" t="s">
        <v>12</v>
      </c>
      <c r="AA100" s="263" t="s">
        <v>37</v>
      </c>
      <c r="AB100" s="167" t="s">
        <v>12</v>
      </c>
      <c r="AC100" s="167" t="s">
        <v>38</v>
      </c>
      <c r="AD100" s="167" t="s">
        <v>12</v>
      </c>
      <c r="AE100" s="167" t="s">
        <v>161</v>
      </c>
      <c r="AF100" s="167" t="s">
        <v>50</v>
      </c>
      <c r="AG100" s="263" t="s">
        <v>18</v>
      </c>
      <c r="AH100" s="263" t="s">
        <v>162</v>
      </c>
      <c r="AI100" s="167">
        <v>1</v>
      </c>
      <c r="AJ100" s="167" t="s">
        <v>30</v>
      </c>
      <c r="AK100" s="167">
        <v>2</v>
      </c>
      <c r="AL100" s="282"/>
      <c r="AM100" s="285"/>
      <c r="AN100" s="285"/>
      <c r="AO100" s="286"/>
      <c r="AP100" s="286"/>
      <c r="AQ100" s="264" t="s">
        <v>163</v>
      </c>
      <c r="AR100" s="265" t="s">
        <v>164</v>
      </c>
      <c r="AS100" s="266" t="s">
        <v>165</v>
      </c>
      <c r="AT100" s="267" t="s">
        <v>164</v>
      </c>
      <c r="AU100" s="264" t="s">
        <v>166</v>
      </c>
      <c r="AV100" s="265" t="s">
        <v>164</v>
      </c>
      <c r="AW100" s="266" t="s">
        <v>167</v>
      </c>
      <c r="AX100" s="268" t="s">
        <v>164</v>
      </c>
      <c r="AY100" s="108" t="s">
        <v>92</v>
      </c>
      <c r="AZ100" s="109" t="s">
        <v>93</v>
      </c>
      <c r="BA100" s="109" t="s">
        <v>94</v>
      </c>
      <c r="BB100" s="109" t="s">
        <v>95</v>
      </c>
      <c r="BC100" s="109" t="s">
        <v>96</v>
      </c>
      <c r="BD100" s="80" t="s">
        <v>97</v>
      </c>
      <c r="BE100" s="80" t="s">
        <v>98</v>
      </c>
      <c r="BF100" s="109" t="s">
        <v>168</v>
      </c>
      <c r="BG100" s="109" t="s">
        <v>106</v>
      </c>
      <c r="BH100" s="110" t="s">
        <v>36</v>
      </c>
      <c r="BI100" s="110" t="s">
        <v>37</v>
      </c>
      <c r="BJ100" s="110" t="s">
        <v>38</v>
      </c>
      <c r="BK100" s="111" t="s">
        <v>107</v>
      </c>
      <c r="BL100" s="80" t="s">
        <v>18</v>
      </c>
      <c r="BM100" s="145" t="s">
        <v>74</v>
      </c>
      <c r="BN100" s="140" t="s">
        <v>45</v>
      </c>
      <c r="BO100" s="142" t="s">
        <v>58</v>
      </c>
      <c r="BP100" s="142" t="s">
        <v>50</v>
      </c>
      <c r="BQ100" s="148" t="s">
        <v>59</v>
      </c>
      <c r="BR100" s="148" t="s">
        <v>50</v>
      </c>
      <c r="BS100" s="149" t="s">
        <v>60</v>
      </c>
      <c r="BT100" s="149" t="s">
        <v>50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89" s="86" customFormat="1" x14ac:dyDescent="0.25">
      <c r="A101" s="86">
        <v>1</v>
      </c>
      <c r="B101" s="86" t="s">
        <v>176</v>
      </c>
      <c r="C101" s="269" t="s">
        <v>177</v>
      </c>
      <c r="D101" s="270" t="str">
        <f>IN!C4</f>
        <v>England &gt;&gt; Premier League</v>
      </c>
      <c r="E101" s="270" t="str">
        <f>IN!D4</f>
        <v>11:30</v>
      </c>
      <c r="F101" s="270" t="str">
        <f>B1</f>
        <v>Watford - Leicester</v>
      </c>
      <c r="G101" s="262">
        <f>IN!F4</f>
        <v>4.2361111111111106E-2</v>
      </c>
      <c r="H101" s="263">
        <f>IN!G4</f>
        <v>2.79</v>
      </c>
      <c r="I101" s="263">
        <f>IN!H4</f>
        <v>2.4700000000000002</v>
      </c>
      <c r="J101" s="263">
        <f>IN!I4</f>
        <v>1.06</v>
      </c>
      <c r="K101" s="167">
        <f>IN!J4</f>
        <v>12</v>
      </c>
      <c r="L101" s="167">
        <f>IN!K4</f>
        <v>2</v>
      </c>
      <c r="M101" s="167" t="str">
        <f>IN!L4</f>
        <v>O</v>
      </c>
      <c r="N101" s="167" t="str">
        <f>IN!M4</f>
        <v>0:3</v>
      </c>
      <c r="O101" s="167">
        <f>IN!N4</f>
        <v>2</v>
      </c>
      <c r="P101" s="167" t="str">
        <f>IN!O4</f>
        <v>1:2</v>
      </c>
      <c r="Q101" s="167">
        <f>IN!P4</f>
        <v>2</v>
      </c>
      <c r="R101" s="167" t="str">
        <f>IN!Q4</f>
        <v>0:1</v>
      </c>
      <c r="S101" s="167" t="str">
        <f>IN!R4</f>
        <v>p1</v>
      </c>
      <c r="T101" s="271" t="str">
        <f>IN!S4</f>
        <v>https://int.soccerway.com/matches/2020/06/20/england/premier-league/watford-football-club/leicester-city-fc/3029371/</v>
      </c>
      <c r="U101" s="167">
        <f>(SUM(AA2:AA17)/16)-(SUM(Z2:Z17)/16)</f>
        <v>0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0M</v>
      </c>
      <c r="Z101" s="167">
        <f>IFERROR(VLOOKUP(A1,IN!B12:AB12,18),"")</f>
        <v>2</v>
      </c>
      <c r="AA101" s="167" t="str">
        <f>IFERROR(VLOOKUP(A1,IN!B12:AB12,20),"")</f>
        <v>12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21.667000000000002</v>
      </c>
      <c r="AJ101" s="167">
        <f>BD39</f>
        <v>39.167000000000002</v>
      </c>
      <c r="AK101" s="167">
        <f>BE39</f>
        <v>39.167000000000002</v>
      </c>
      <c r="AL101" s="167">
        <v>1</v>
      </c>
      <c r="AM101" s="263" t="str">
        <f>IN!C4</f>
        <v>England &gt;&gt; Premier League</v>
      </c>
      <c r="AN101" s="263" t="str">
        <f>IN!E4</f>
        <v>Watford - Leicester</v>
      </c>
      <c r="AO101" s="167" t="str">
        <f>M2</f>
        <v>11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62.51</v>
      </c>
      <c r="AS101" s="325">
        <f>VLOOKUP(2,BC55:BF70,4,FALSE)</f>
        <v>12</v>
      </c>
      <c r="AT101" s="263">
        <f>VLOOKUP(2,BC55:BF70,3,FALSE)</f>
        <v>37.51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 t="shared" ref="AY101:BD101" si="40">(Z39+Z40)/2</f>
        <v>31.25</v>
      </c>
      <c r="AZ101" s="263">
        <f t="shared" si="40"/>
        <v>12.5</v>
      </c>
      <c r="BA101" s="263">
        <f t="shared" si="40"/>
        <v>12.5</v>
      </c>
      <c r="BB101" s="263">
        <f t="shared" si="40"/>
        <v>0</v>
      </c>
      <c r="BC101" s="263">
        <f t="shared" si="40"/>
        <v>56.25</v>
      </c>
      <c r="BD101" s="263">
        <f t="shared" si="40"/>
        <v>43.75</v>
      </c>
      <c r="BE101" s="263">
        <f>((COUNTIF(AA25:AP25,1)/16)*100)</f>
        <v>31.25</v>
      </c>
      <c r="BF101" s="263">
        <f>BF46</f>
        <v>62.5</v>
      </c>
      <c r="BG101" s="263">
        <f>BG46</f>
        <v>12.5</v>
      </c>
      <c r="BH101" s="263">
        <f>VLOOKUP(1,BC55:BF70,4,FALSE)</f>
        <v>11</v>
      </c>
      <c r="BI101" s="263">
        <f>VLOOKUP(2,BC55:BF70,4,FALSE)</f>
        <v>12</v>
      </c>
      <c r="BJ101" s="263">
        <f>VLOOKUP(3,BC55:BF70,4,FALSE)</f>
        <v>0</v>
      </c>
      <c r="BK101" s="263">
        <f>(BF46+BJ46)/2</f>
        <v>62.5</v>
      </c>
      <c r="BL101" s="167">
        <f>S7</f>
        <v>3</v>
      </c>
      <c r="BM101" s="167">
        <f>W35-W36</f>
        <v>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21.011211207276872</v>
      </c>
      <c r="BX101" s="272">
        <f>IF(I101="","",(((100)*(1/I101))/((1/H101)+(1/I101)+(1/J101)))+0.01)</f>
        <v>23.732015898098169</v>
      </c>
      <c r="BY101" s="272">
        <f>IF(J101="","",(((100)*(1/J101))/((1/H101)+(1/I101)+(1/J101)))+0.01)</f>
        <v>55.28677289462496</v>
      </c>
      <c r="BZ101" s="273">
        <f>(((COUNTIF(BX37:CE37,1))/8)*100)+0.001</f>
        <v>1E-3</v>
      </c>
      <c r="CA101" s="273">
        <f>(((COUNTIF(BX37:CE37,"X"))/8)*100)+0.001</f>
        <v>62.500999999999998</v>
      </c>
      <c r="CB101" s="273">
        <f>(((COUNTIF(BX37:CE37,2))/8)*100)+0.001</f>
        <v>37.500999999999998</v>
      </c>
      <c r="CC101" s="274">
        <f>M16</f>
        <v>35</v>
      </c>
      <c r="CD101" s="274">
        <f>N16</f>
        <v>35</v>
      </c>
      <c r="CE101" s="274">
        <f>O16</f>
        <v>30</v>
      </c>
      <c r="CF101" s="273">
        <f>(BM4/BM7)*100</f>
        <v>30</v>
      </c>
      <c r="CG101" s="273">
        <f>(BM5/BM7)*100</f>
        <v>20</v>
      </c>
      <c r="CH101" s="273">
        <f>(BM6/BM7)*100</f>
        <v>50</v>
      </c>
      <c r="CI101" s="274">
        <f>(BZ101+CC101+CF101)/3</f>
        <v>21.667000000000002</v>
      </c>
      <c r="CJ101" s="274">
        <f>(CA101+CD101+CG101)/3</f>
        <v>39.167000000000002</v>
      </c>
      <c r="CK101" s="274">
        <f>(CB101+CE101+CH101)/3</f>
        <v>39.167000000000002</v>
      </c>
    </row>
    <row r="102" spans="1:89" x14ac:dyDescent="0.25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89" ht="15.75" customHeight="1" thickBot="1" x14ac:dyDescent="0.3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89" s="179" customFormat="1" ht="15.75" customHeight="1" thickBot="1" x14ac:dyDescent="0.3">
      <c r="A104" s="177"/>
      <c r="D104" s="275" t="s">
        <v>175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</v>
      </c>
      <c r="V104" s="276">
        <f>AA68</f>
        <v>0</v>
      </c>
      <c r="W104" s="275" t="str">
        <f>AG39</f>
        <v>X</v>
      </c>
      <c r="X104" s="275">
        <f t="shared" ref="X104:AC104" si="41">E93</f>
        <v>2</v>
      </c>
      <c r="Y104" s="275" t="str">
        <f t="shared" si="41"/>
        <v>0M</v>
      </c>
      <c r="Z104" s="275">
        <f t="shared" si="41"/>
        <v>2</v>
      </c>
      <c r="AA104" s="275" t="str">
        <f t="shared" si="41"/>
        <v>12</v>
      </c>
      <c r="AB104" s="275">
        <f t="shared" si="41"/>
        <v>2</v>
      </c>
      <c r="AC104" s="275" t="str">
        <f t="shared" si="41"/>
        <v>01</v>
      </c>
      <c r="AD104" s="275" t="str">
        <f>BI36</f>
        <v>X2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21.667000000000002</v>
      </c>
      <c r="AJ104" s="275">
        <f>BD39</f>
        <v>39.167000000000002</v>
      </c>
      <c r="AK104" s="275">
        <f>BE39</f>
        <v>39.167000000000002</v>
      </c>
      <c r="AL104" s="275">
        <v>1</v>
      </c>
      <c r="AM104" s="275" t="s">
        <v>169</v>
      </c>
      <c r="AN104" s="275" t="str">
        <f>B7</f>
        <v>Watford - Leicester</v>
      </c>
      <c r="AO104" s="275" t="str">
        <f>M2</f>
        <v>11</v>
      </c>
      <c r="AP104" s="275" t="str">
        <f>N2</f>
        <v>X</v>
      </c>
      <c r="AQ104" s="275">
        <f>BF42</f>
        <v>11</v>
      </c>
      <c r="AR104" s="275">
        <f>BF43</f>
        <v>62.51</v>
      </c>
      <c r="AS104" s="277">
        <f>BG42</f>
        <v>12</v>
      </c>
      <c r="AT104" s="275">
        <f>BG43</f>
        <v>37.51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 t="shared" ref="AY104:BE104" si="42">F7</f>
        <v>31.25</v>
      </c>
      <c r="AZ104" s="275">
        <f t="shared" si="42"/>
        <v>12.5</v>
      </c>
      <c r="BA104" s="275">
        <f t="shared" si="42"/>
        <v>12.5</v>
      </c>
      <c r="BB104" s="275">
        <f t="shared" si="42"/>
        <v>0</v>
      </c>
      <c r="BC104" s="275">
        <f t="shared" si="42"/>
        <v>56.25</v>
      </c>
      <c r="BD104" s="275">
        <f t="shared" si="42"/>
        <v>43.75</v>
      </c>
      <c r="BE104" s="275">
        <f t="shared" si="42"/>
        <v>31.25</v>
      </c>
      <c r="BF104" s="275">
        <f>BF46</f>
        <v>62.5</v>
      </c>
      <c r="BG104" s="275">
        <f>BG46</f>
        <v>12.5</v>
      </c>
      <c r="BH104" s="275">
        <f>BF42</f>
        <v>11</v>
      </c>
      <c r="BI104" s="277">
        <f>BG42</f>
        <v>12</v>
      </c>
      <c r="BJ104" s="275">
        <f>BH42</f>
        <v>0</v>
      </c>
      <c r="BK104" s="275">
        <f>BR46</f>
        <v>62.5</v>
      </c>
      <c r="BL104" s="275">
        <f>S7</f>
        <v>3</v>
      </c>
      <c r="BM104" s="275">
        <f>W39</f>
        <v>4</v>
      </c>
      <c r="BN104" s="275" t="s">
        <v>174</v>
      </c>
      <c r="BO104" s="275" t="str">
        <f>BH36</f>
        <v>X</v>
      </c>
      <c r="BP104" s="275" t="str">
        <f>BI36</f>
        <v>X2</v>
      </c>
      <c r="BQ104" s="275" t="str">
        <f>BH37</f>
        <v>1X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X2</v>
      </c>
      <c r="BV104" s="275" t="str">
        <f>BI39</f>
        <v>X2</v>
      </c>
      <c r="BW104" s="275">
        <f>BK37</f>
        <v>21.011211207276872</v>
      </c>
      <c r="BX104" s="275">
        <f>BL37</f>
        <v>23.103681917211333</v>
      </c>
      <c r="BY104" s="275">
        <f>BM37</f>
        <v>41.176666666666662</v>
      </c>
      <c r="BZ104" s="275">
        <f>CG37</f>
        <v>1E-3</v>
      </c>
      <c r="CA104" s="275">
        <f>CH37</f>
        <v>62.500999999999998</v>
      </c>
      <c r="CB104" s="275">
        <f>CI37</f>
        <v>37.500999999999998</v>
      </c>
      <c r="CC104" s="275">
        <f>AS9</f>
        <v>35</v>
      </c>
      <c r="CD104" s="275">
        <f>AT9</f>
        <v>35</v>
      </c>
      <c r="CE104" s="275">
        <f>AU9</f>
        <v>30</v>
      </c>
      <c r="CF104" s="275">
        <f>BM9</f>
        <v>30</v>
      </c>
      <c r="CG104" s="275">
        <f>BN9</f>
        <v>20</v>
      </c>
      <c r="CH104" s="275">
        <f>BO9</f>
        <v>50</v>
      </c>
      <c r="CI104" s="275">
        <f>BC39</f>
        <v>21.667000000000002</v>
      </c>
      <c r="CJ104" s="275">
        <f>BD39</f>
        <v>39.167000000000002</v>
      </c>
      <c r="CK104" s="275">
        <f>BE39</f>
        <v>39.167000000000002</v>
      </c>
    </row>
    <row r="105" spans="1:89" x14ac:dyDescent="0.25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89" x14ac:dyDescent="0.25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89" x14ac:dyDescent="0.25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89" x14ac:dyDescent="0.25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89" x14ac:dyDescent="0.25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89" x14ac:dyDescent="0.25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89" x14ac:dyDescent="0.25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89" x14ac:dyDescent="0.25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4:21" x14ac:dyDescent="0.25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4:21" x14ac:dyDescent="0.25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4:21" x14ac:dyDescent="0.25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4:21" x14ac:dyDescent="0.25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4:21" x14ac:dyDescent="0.25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4:21" x14ac:dyDescent="0.25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4:21" x14ac:dyDescent="0.25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4:21" x14ac:dyDescent="0.25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4:21" x14ac:dyDescent="0.25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4:21" x14ac:dyDescent="0.25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4:21" x14ac:dyDescent="0.25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4:21" x14ac:dyDescent="0.25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4:21" x14ac:dyDescent="0.25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4:21" x14ac:dyDescent="0.25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4:21" x14ac:dyDescent="0.25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4:21" x14ac:dyDescent="0.25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4:21" x14ac:dyDescent="0.25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4:21" x14ac:dyDescent="0.25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4:21" x14ac:dyDescent="0.25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4:21" x14ac:dyDescent="0.25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4:21" x14ac:dyDescent="0.25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4:21" x14ac:dyDescent="0.25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4:21" x14ac:dyDescent="0.25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4:21" x14ac:dyDescent="0.25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4:21" x14ac:dyDescent="0.25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4:21" x14ac:dyDescent="0.25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4:21" x14ac:dyDescent="0.25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4:21" x14ac:dyDescent="0.25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4:21" x14ac:dyDescent="0.25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4:21" x14ac:dyDescent="0.25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4:21" x14ac:dyDescent="0.25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4:21" x14ac:dyDescent="0.25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4:21" x14ac:dyDescent="0.25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4:21" x14ac:dyDescent="0.25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4:21" x14ac:dyDescent="0.25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4:21" x14ac:dyDescent="0.25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4:21" x14ac:dyDescent="0.25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4:21" x14ac:dyDescent="0.25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4:21" x14ac:dyDescent="0.25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4:21" x14ac:dyDescent="0.25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4:21" x14ac:dyDescent="0.25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4:21" x14ac:dyDescent="0.25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4:21" x14ac:dyDescent="0.25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4:21" x14ac:dyDescent="0.25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4:21" x14ac:dyDescent="0.25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4:21" x14ac:dyDescent="0.25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4:21" x14ac:dyDescent="0.25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4:21" x14ac:dyDescent="0.25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4:21" x14ac:dyDescent="0.25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4:21" x14ac:dyDescent="0.25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4:21" x14ac:dyDescent="0.25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4:21" x14ac:dyDescent="0.25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4:21" x14ac:dyDescent="0.25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4:21" x14ac:dyDescent="0.25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4:21" x14ac:dyDescent="0.25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4:21" x14ac:dyDescent="0.25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4:21" x14ac:dyDescent="0.25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4:21" x14ac:dyDescent="0.25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4:21" x14ac:dyDescent="0.25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4:21" x14ac:dyDescent="0.25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4:21" x14ac:dyDescent="0.25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4:21" x14ac:dyDescent="0.25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4:21" x14ac:dyDescent="0.25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4:21" x14ac:dyDescent="0.25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4:21" x14ac:dyDescent="0.25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4:21" x14ac:dyDescent="0.25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4:21" x14ac:dyDescent="0.25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4:21" x14ac:dyDescent="0.25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4:21" x14ac:dyDescent="0.25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4:21" x14ac:dyDescent="0.25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4:21" x14ac:dyDescent="0.25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4:21" x14ac:dyDescent="0.25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4:21" x14ac:dyDescent="0.25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4:21" x14ac:dyDescent="0.25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4:21" x14ac:dyDescent="0.25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4:21" x14ac:dyDescent="0.25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4:21" x14ac:dyDescent="0.25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4:21" x14ac:dyDescent="0.25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4:21" x14ac:dyDescent="0.25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4:21" x14ac:dyDescent="0.25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4:21" x14ac:dyDescent="0.25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4:21" x14ac:dyDescent="0.25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4:21" x14ac:dyDescent="0.25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4:21" x14ac:dyDescent="0.25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4:21" x14ac:dyDescent="0.25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4:21" x14ac:dyDescent="0.25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4:21" x14ac:dyDescent="0.25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4:21" x14ac:dyDescent="0.25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4:21" x14ac:dyDescent="0.25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4:21" x14ac:dyDescent="0.25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4:21" x14ac:dyDescent="0.25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4:21" x14ac:dyDescent="0.25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4:21" x14ac:dyDescent="0.25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4:21" x14ac:dyDescent="0.25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4:21" x14ac:dyDescent="0.25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4:21" x14ac:dyDescent="0.25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4:21" x14ac:dyDescent="0.25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4:21" x14ac:dyDescent="0.25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4:21" x14ac:dyDescent="0.25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4:21" x14ac:dyDescent="0.25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4:21" x14ac:dyDescent="0.25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4:21" x14ac:dyDescent="0.25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4:21" x14ac:dyDescent="0.25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4:21" x14ac:dyDescent="0.25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4:21" x14ac:dyDescent="0.25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4:21" x14ac:dyDescent="0.25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4:21" x14ac:dyDescent="0.25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4:21" x14ac:dyDescent="0.25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4:21" x14ac:dyDescent="0.25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4:21" x14ac:dyDescent="0.25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4:21" x14ac:dyDescent="0.25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4:21" x14ac:dyDescent="0.25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4:72" x14ac:dyDescent="0.25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4:72" x14ac:dyDescent="0.25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4:72" x14ac:dyDescent="0.25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4:72" x14ac:dyDescent="0.25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4:72" x14ac:dyDescent="0.25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4:72" x14ac:dyDescent="0.25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4:72" x14ac:dyDescent="0.25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4:72" x14ac:dyDescent="0.25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4:72" x14ac:dyDescent="0.25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4:72" x14ac:dyDescent="0.25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4:72" x14ac:dyDescent="0.25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4:72" x14ac:dyDescent="0.25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4:72" x14ac:dyDescent="0.25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4:72" x14ac:dyDescent="0.25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4:72" x14ac:dyDescent="0.25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4:72" x14ac:dyDescent="0.25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4:72" x14ac:dyDescent="0.25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4:72" x14ac:dyDescent="0.25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4:72" x14ac:dyDescent="0.25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4:72" x14ac:dyDescent="0.25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4:72" x14ac:dyDescent="0.25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4:72" x14ac:dyDescent="0.25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4:72" x14ac:dyDescent="0.25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4:72" x14ac:dyDescent="0.25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4:72" x14ac:dyDescent="0.25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4:72" x14ac:dyDescent="0.25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4:72" x14ac:dyDescent="0.25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4:72" x14ac:dyDescent="0.25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4:72" x14ac:dyDescent="0.25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4:72" x14ac:dyDescent="0.25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4:72" x14ac:dyDescent="0.25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4:72" x14ac:dyDescent="0.25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4:72" x14ac:dyDescent="0.25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4:72" x14ac:dyDescent="0.25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4:72" x14ac:dyDescent="0.25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4:72" x14ac:dyDescent="0.25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4:72" x14ac:dyDescent="0.25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4:72" x14ac:dyDescent="0.25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4:72" x14ac:dyDescent="0.25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4:72" x14ac:dyDescent="0.25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4:72" x14ac:dyDescent="0.25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4:72" x14ac:dyDescent="0.25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4:72" x14ac:dyDescent="0.25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4:72" x14ac:dyDescent="0.25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4:72" x14ac:dyDescent="0.25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4:72" x14ac:dyDescent="0.25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4:72" x14ac:dyDescent="0.25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4:72" x14ac:dyDescent="0.25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4:72" x14ac:dyDescent="0.25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4:72" x14ac:dyDescent="0.25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4:72" x14ac:dyDescent="0.25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4:72" x14ac:dyDescent="0.25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4:72" x14ac:dyDescent="0.25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4:72" x14ac:dyDescent="0.25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4:72" x14ac:dyDescent="0.25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4:72" x14ac:dyDescent="0.25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4:72" x14ac:dyDescent="0.25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4:72" x14ac:dyDescent="0.25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4:72" x14ac:dyDescent="0.25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4:72" x14ac:dyDescent="0.25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4:72" x14ac:dyDescent="0.25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4:72" x14ac:dyDescent="0.25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4:72" x14ac:dyDescent="0.25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4:72" x14ac:dyDescent="0.25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4:72" x14ac:dyDescent="0.25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4:72" x14ac:dyDescent="0.25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4:72" x14ac:dyDescent="0.25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4:72" x14ac:dyDescent="0.25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4:72" x14ac:dyDescent="0.25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4:72" x14ac:dyDescent="0.25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4:72" x14ac:dyDescent="0.25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4:72" x14ac:dyDescent="0.25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4:72" x14ac:dyDescent="0.25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4:72" x14ac:dyDescent="0.25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4:72" x14ac:dyDescent="0.25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4:72" x14ac:dyDescent="0.25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4:72" x14ac:dyDescent="0.25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4:72" x14ac:dyDescent="0.25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4:72" x14ac:dyDescent="0.25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4:72" x14ac:dyDescent="0.25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4:72" x14ac:dyDescent="0.25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4:72" x14ac:dyDescent="0.25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4:72" x14ac:dyDescent="0.25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4:72" x14ac:dyDescent="0.25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4:72" x14ac:dyDescent="0.25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4:72" x14ac:dyDescent="0.25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4:72" x14ac:dyDescent="0.25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4:72" x14ac:dyDescent="0.25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4:72" x14ac:dyDescent="0.25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4:72" x14ac:dyDescent="0.25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4:72" x14ac:dyDescent="0.25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4:72" x14ac:dyDescent="0.25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4:72" x14ac:dyDescent="0.25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4:72" x14ac:dyDescent="0.25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4:72" x14ac:dyDescent="0.25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4:72" x14ac:dyDescent="0.25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4:21" x14ac:dyDescent="0.25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4:21" x14ac:dyDescent="0.25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4:21" x14ac:dyDescent="0.25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4:21" x14ac:dyDescent="0.25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4:21" x14ac:dyDescent="0.25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4:21" x14ac:dyDescent="0.25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4:21" x14ac:dyDescent="0.25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4:21" x14ac:dyDescent="0.25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4:21" x14ac:dyDescent="0.25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4:21" x14ac:dyDescent="0.25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4:21" x14ac:dyDescent="0.25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4:21" x14ac:dyDescent="0.25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4:21" x14ac:dyDescent="0.25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4:21" x14ac:dyDescent="0.25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4:21" x14ac:dyDescent="0.25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4:21" x14ac:dyDescent="0.25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4:21" x14ac:dyDescent="0.25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4:21" x14ac:dyDescent="0.25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4:21" x14ac:dyDescent="0.25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4:21" x14ac:dyDescent="0.25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4:21" x14ac:dyDescent="0.25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4:21" x14ac:dyDescent="0.25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4:21" x14ac:dyDescent="0.25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4:21" x14ac:dyDescent="0.25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4:21" x14ac:dyDescent="0.25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4:21" x14ac:dyDescent="0.25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4:21" x14ac:dyDescent="0.25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4:21" x14ac:dyDescent="0.25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4:21" x14ac:dyDescent="0.25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4:21" x14ac:dyDescent="0.25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4:21" x14ac:dyDescent="0.25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4:21" x14ac:dyDescent="0.25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4:21" x14ac:dyDescent="0.25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4:21" x14ac:dyDescent="0.25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4:21" x14ac:dyDescent="0.25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4:21" x14ac:dyDescent="0.25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4:21" x14ac:dyDescent="0.25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4:21" x14ac:dyDescent="0.25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4:21" x14ac:dyDescent="0.25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4:21" x14ac:dyDescent="0.25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4:21" x14ac:dyDescent="0.25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4:21" x14ac:dyDescent="0.25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4:21" x14ac:dyDescent="0.25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4:21" x14ac:dyDescent="0.25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4:21" x14ac:dyDescent="0.25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4:21" x14ac:dyDescent="0.25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4:21" x14ac:dyDescent="0.25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4:21" x14ac:dyDescent="0.25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4:21" x14ac:dyDescent="0.25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4:21" x14ac:dyDescent="0.25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4:21" x14ac:dyDescent="0.25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4:21" x14ac:dyDescent="0.25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4:21" x14ac:dyDescent="0.25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4:21" x14ac:dyDescent="0.25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4:21" x14ac:dyDescent="0.25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4:21" x14ac:dyDescent="0.25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4:21" x14ac:dyDescent="0.25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4:21" x14ac:dyDescent="0.25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4:21" x14ac:dyDescent="0.25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4:21" x14ac:dyDescent="0.25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4:21" x14ac:dyDescent="0.25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4:21" x14ac:dyDescent="0.25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4:21" x14ac:dyDescent="0.25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4:21" x14ac:dyDescent="0.25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4:21" x14ac:dyDescent="0.25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4:21" x14ac:dyDescent="0.25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4:21" x14ac:dyDescent="0.25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4:21" x14ac:dyDescent="0.25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4:21" x14ac:dyDescent="0.25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4:21" x14ac:dyDescent="0.25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4:21" x14ac:dyDescent="0.25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4:21" x14ac:dyDescent="0.25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4:21" x14ac:dyDescent="0.25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4:21" x14ac:dyDescent="0.25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4:21" x14ac:dyDescent="0.25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4:21" x14ac:dyDescent="0.25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4:21" x14ac:dyDescent="0.25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4:21" x14ac:dyDescent="0.25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4:21" x14ac:dyDescent="0.25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4:21" x14ac:dyDescent="0.25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4:21" x14ac:dyDescent="0.25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4:21" x14ac:dyDescent="0.25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4:21" x14ac:dyDescent="0.25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4:21" x14ac:dyDescent="0.25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4:21" x14ac:dyDescent="0.25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4:21" x14ac:dyDescent="0.25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4:21" x14ac:dyDescent="0.25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4:21" x14ac:dyDescent="0.25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4:21" x14ac:dyDescent="0.25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4:21" x14ac:dyDescent="0.25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4:21" x14ac:dyDescent="0.25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4:21" x14ac:dyDescent="0.25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4:21" x14ac:dyDescent="0.25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4:21" x14ac:dyDescent="0.25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4:21" x14ac:dyDescent="0.25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4:21" x14ac:dyDescent="0.25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4:21" x14ac:dyDescent="0.25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4:21" x14ac:dyDescent="0.25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4:21" x14ac:dyDescent="0.25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4:21" x14ac:dyDescent="0.25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4:21" x14ac:dyDescent="0.25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4:21" x14ac:dyDescent="0.25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4:21" x14ac:dyDescent="0.25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4:21" x14ac:dyDescent="0.25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4:21" x14ac:dyDescent="0.25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4:21" x14ac:dyDescent="0.25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4:21" x14ac:dyDescent="0.25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4:21" x14ac:dyDescent="0.25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4:21" x14ac:dyDescent="0.25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4:21" x14ac:dyDescent="0.25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4:21" x14ac:dyDescent="0.25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4:21" x14ac:dyDescent="0.25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4:21" x14ac:dyDescent="0.25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4:21" x14ac:dyDescent="0.25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4:21" x14ac:dyDescent="0.25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4:21" x14ac:dyDescent="0.25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4:21" x14ac:dyDescent="0.25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4:21" x14ac:dyDescent="0.25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4:21" x14ac:dyDescent="0.25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4:21" x14ac:dyDescent="0.25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4:21" x14ac:dyDescent="0.25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4:21" x14ac:dyDescent="0.25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4:21" x14ac:dyDescent="0.25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4:21" x14ac:dyDescent="0.25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4:21" x14ac:dyDescent="0.25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4:21" x14ac:dyDescent="0.25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4:21" x14ac:dyDescent="0.25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4:21" x14ac:dyDescent="0.25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4:21" x14ac:dyDescent="0.25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4:21" x14ac:dyDescent="0.25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4:21" x14ac:dyDescent="0.25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4:21" x14ac:dyDescent="0.25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4:21" x14ac:dyDescent="0.25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4:21" x14ac:dyDescent="0.25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4:21" x14ac:dyDescent="0.25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4:21" x14ac:dyDescent="0.25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4:21" x14ac:dyDescent="0.25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4:21" x14ac:dyDescent="0.25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4:21" x14ac:dyDescent="0.25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4:21" x14ac:dyDescent="0.25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4:21" x14ac:dyDescent="0.25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4:21" x14ac:dyDescent="0.25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4:21" x14ac:dyDescent="0.25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4:21" x14ac:dyDescent="0.25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4:21" x14ac:dyDescent="0.25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4:21" x14ac:dyDescent="0.25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4:21" x14ac:dyDescent="0.25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4:21" x14ac:dyDescent="0.25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4:21" x14ac:dyDescent="0.25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4:21" x14ac:dyDescent="0.25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4:21" x14ac:dyDescent="0.25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4:21" x14ac:dyDescent="0.25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4:21" x14ac:dyDescent="0.25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4:21" x14ac:dyDescent="0.25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4:21" x14ac:dyDescent="0.25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4:21" x14ac:dyDescent="0.25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4:21" x14ac:dyDescent="0.25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4:21" x14ac:dyDescent="0.25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4:21" x14ac:dyDescent="0.25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4:21" x14ac:dyDescent="0.25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4:21" x14ac:dyDescent="0.25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4:21" x14ac:dyDescent="0.25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4:21" x14ac:dyDescent="0.25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4:21" x14ac:dyDescent="0.25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4:21" x14ac:dyDescent="0.25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4:21" x14ac:dyDescent="0.25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4:21" x14ac:dyDescent="0.25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4:21" x14ac:dyDescent="0.25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4:21" x14ac:dyDescent="0.25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4:21" x14ac:dyDescent="0.25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4:21" x14ac:dyDescent="0.25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4:21" x14ac:dyDescent="0.25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4:21" x14ac:dyDescent="0.25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4:21" x14ac:dyDescent="0.25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4:21" x14ac:dyDescent="0.25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4:21" x14ac:dyDescent="0.25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4:21" x14ac:dyDescent="0.25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4:21" x14ac:dyDescent="0.25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4:21" x14ac:dyDescent="0.25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4:21" x14ac:dyDescent="0.25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4:21" x14ac:dyDescent="0.25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4:21" x14ac:dyDescent="0.25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4:21" x14ac:dyDescent="0.25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4:21" x14ac:dyDescent="0.25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4:21" x14ac:dyDescent="0.25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4:21" x14ac:dyDescent="0.25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4:21" x14ac:dyDescent="0.25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4:21" x14ac:dyDescent="0.25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4:21" x14ac:dyDescent="0.25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4:21" x14ac:dyDescent="0.25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4:21" x14ac:dyDescent="0.25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4:21" x14ac:dyDescent="0.25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4:21" x14ac:dyDescent="0.25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4:21" x14ac:dyDescent="0.25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4:21" x14ac:dyDescent="0.25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4:21" x14ac:dyDescent="0.25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4:21" x14ac:dyDescent="0.25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4:21" x14ac:dyDescent="0.25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4:21" x14ac:dyDescent="0.25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4:21" x14ac:dyDescent="0.25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4:21" x14ac:dyDescent="0.25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4:21" x14ac:dyDescent="0.25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4:21" x14ac:dyDescent="0.25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4:21" x14ac:dyDescent="0.25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4:21" x14ac:dyDescent="0.25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4:21" x14ac:dyDescent="0.25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4:21" x14ac:dyDescent="0.25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4:21" x14ac:dyDescent="0.25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4:21" x14ac:dyDescent="0.25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4:21" x14ac:dyDescent="0.25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4:21" x14ac:dyDescent="0.25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4:21" x14ac:dyDescent="0.25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4:21" x14ac:dyDescent="0.25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4:21" x14ac:dyDescent="0.25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4:21" x14ac:dyDescent="0.25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4:21" x14ac:dyDescent="0.25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4:21" x14ac:dyDescent="0.25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4:21" x14ac:dyDescent="0.25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4:21" x14ac:dyDescent="0.25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4:21" x14ac:dyDescent="0.25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4:21" x14ac:dyDescent="0.25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4:21" x14ac:dyDescent="0.25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4:21" x14ac:dyDescent="0.25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4:21" x14ac:dyDescent="0.25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4:21" x14ac:dyDescent="0.25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4:21" x14ac:dyDescent="0.25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4:21" x14ac:dyDescent="0.25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4:21" x14ac:dyDescent="0.25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4:21" x14ac:dyDescent="0.25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4:21" x14ac:dyDescent="0.25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4:21" x14ac:dyDescent="0.25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4:21" x14ac:dyDescent="0.25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4:21" x14ac:dyDescent="0.25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4:21" x14ac:dyDescent="0.25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4:21" x14ac:dyDescent="0.25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4:21" x14ac:dyDescent="0.25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4:21" x14ac:dyDescent="0.25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4:21" x14ac:dyDescent="0.25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4:21" x14ac:dyDescent="0.25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4:21" x14ac:dyDescent="0.25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4:21" x14ac:dyDescent="0.25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4:21" x14ac:dyDescent="0.25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4:21" x14ac:dyDescent="0.25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4:21" x14ac:dyDescent="0.25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4:21" x14ac:dyDescent="0.25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4:21" x14ac:dyDescent="0.25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4:21" x14ac:dyDescent="0.25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4:21" x14ac:dyDescent="0.25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4:21" x14ac:dyDescent="0.25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4:21" x14ac:dyDescent="0.25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4:21" x14ac:dyDescent="0.25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4:21" x14ac:dyDescent="0.25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4:21" x14ac:dyDescent="0.25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4:21" x14ac:dyDescent="0.25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4:21" x14ac:dyDescent="0.25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4:21" x14ac:dyDescent="0.25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4:21" x14ac:dyDescent="0.25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4:21" x14ac:dyDescent="0.25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4:21" x14ac:dyDescent="0.25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4:21" x14ac:dyDescent="0.25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4:21" x14ac:dyDescent="0.25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4:21" x14ac:dyDescent="0.25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4:21" x14ac:dyDescent="0.25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4:21" x14ac:dyDescent="0.25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4:21" x14ac:dyDescent="0.25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4:21" x14ac:dyDescent="0.25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4:21" x14ac:dyDescent="0.25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4:21" x14ac:dyDescent="0.25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4:21" x14ac:dyDescent="0.25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4:21" x14ac:dyDescent="0.25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4:21" x14ac:dyDescent="0.25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4:21" x14ac:dyDescent="0.25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4:21" x14ac:dyDescent="0.25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4:21" x14ac:dyDescent="0.25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4:21" x14ac:dyDescent="0.25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4:21" x14ac:dyDescent="0.25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4:21" x14ac:dyDescent="0.25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4:21" x14ac:dyDescent="0.25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4:21" x14ac:dyDescent="0.25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4:21" x14ac:dyDescent="0.25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4:21" x14ac:dyDescent="0.25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4:21" x14ac:dyDescent="0.25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4:21" x14ac:dyDescent="0.25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4:21" x14ac:dyDescent="0.25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4:21" x14ac:dyDescent="0.25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4:21" x14ac:dyDescent="0.25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4:21" x14ac:dyDescent="0.25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4:21" x14ac:dyDescent="0.25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4:21" x14ac:dyDescent="0.25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4:21" x14ac:dyDescent="0.25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4:21" x14ac:dyDescent="0.25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mergeCells count="54"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39" priority="1" operator="equal">
      <formula>"L"</formula>
    </cfRule>
  </conditionalFormatting>
  <conditionalFormatting sqref="Y27:AR27">
    <cfRule type="cellIs" dxfId="38" priority="2" stopIfTrue="1" operator="equal">
      <formula>"W"</formula>
    </cfRule>
  </conditionalFormatting>
  <conditionalFormatting sqref="Y27:AR27">
    <cfRule type="cellIs" dxfId="37" priority="3" stopIfTrue="1" operator="equal">
      <formula>"D"</formula>
    </cfRule>
  </conditionalFormatting>
  <conditionalFormatting sqref="BD55:BD70">
    <cfRule type="cellIs" dxfId="36" priority="4" stopIfTrue="1" operator="lessThanOrEqual">
      <formula>6</formula>
    </cfRule>
  </conditionalFormatting>
  <conditionalFormatting sqref="BD55:BD70">
    <cfRule type="cellIs" dxfId="35" priority="5" stopIfTrue="1" operator="equal">
      <formula>7</formula>
    </cfRule>
  </conditionalFormatting>
  <conditionalFormatting sqref="BC55:BC70">
    <cfRule type="cellIs" dxfId="34" priority="6" stopIfTrue="1" operator="lessThanOrEqual">
      <formula>6</formula>
    </cfRule>
  </conditionalFormatting>
  <conditionalFormatting sqref="BC55:BC70">
    <cfRule type="cellIs" dxfId="33" priority="7" stopIfTrue="1" operator="equal">
      <formula>7</formula>
    </cfRule>
  </conditionalFormatting>
  <conditionalFormatting sqref="AJ36:AN36">
    <cfRule type="cellIs" dxfId="32" priority="8" operator="equal">
      <formula>"L"</formula>
    </cfRule>
  </conditionalFormatting>
  <conditionalFormatting sqref="AJ36:AN36">
    <cfRule type="cellIs" dxfId="31" priority="9" stopIfTrue="1" operator="equal">
      <formula>"W"</formula>
    </cfRule>
  </conditionalFormatting>
  <conditionalFormatting sqref="AJ36:AN36">
    <cfRule type="cellIs" dxfId="30" priority="10" stopIfTrue="1" operator="equal">
      <formula>"D"</formula>
    </cfRule>
  </conditionalFormatting>
  <conditionalFormatting sqref="AJ35:AN35">
    <cfRule type="cellIs" dxfId="29" priority="11" operator="equal">
      <formula>"L"</formula>
    </cfRule>
  </conditionalFormatting>
  <conditionalFormatting sqref="AJ35:AN35">
    <cfRule type="cellIs" dxfId="28" priority="12" stopIfTrue="1" operator="equal">
      <formula>"W"</formula>
    </cfRule>
  </conditionalFormatting>
  <conditionalFormatting sqref="AJ35:AN35">
    <cfRule type="cellIs" dxfId="27" priority="13" stopIfTrue="1" operator="equal">
      <formula>"D"</formula>
    </cfRule>
  </conditionalFormatting>
  <conditionalFormatting sqref="Y31:AR31">
    <cfRule type="cellIs" dxfId="26" priority="14" operator="equal">
      <formula>"L"</formula>
    </cfRule>
  </conditionalFormatting>
  <conditionalFormatting sqref="Y31:AR31">
    <cfRule type="cellIs" dxfId="25" priority="15" stopIfTrue="1" operator="equal">
      <formula>"W"</formula>
    </cfRule>
  </conditionalFormatting>
  <conditionalFormatting sqref="Y31:AR31">
    <cfRule type="cellIs" dxfId="24" priority="16" stopIfTrue="1" operator="equal">
      <formula>"D"</formula>
    </cfRule>
  </conditionalFormatting>
  <conditionalFormatting sqref="BF55:BF69">
    <cfRule type="cellIs" dxfId="23" priority="17" operator="equal">
      <formula>#REF!</formula>
    </cfRule>
  </conditionalFormatting>
  <conditionalFormatting sqref="DE3:DE5">
    <cfRule type="cellIs" dxfId="22" priority="18" stopIfTrue="1" operator="lessThanOrEqual">
      <formula>6</formula>
    </cfRule>
  </conditionalFormatting>
  <conditionalFormatting sqref="DE3:DE5">
    <cfRule type="cellIs" dxfId="21" priority="19" stopIfTrue="1" operator="equal">
      <formula>7</formula>
    </cfRule>
  </conditionalFormatting>
  <conditionalFormatting sqref="DE7:DE11">
    <cfRule type="cellIs" dxfId="20" priority="20" stopIfTrue="1" operator="lessThanOrEqual">
      <formula>6</formula>
    </cfRule>
  </conditionalFormatting>
  <conditionalFormatting sqref="DE7:DE11">
    <cfRule type="cellIs" dxfId="19" priority="21" stopIfTrue="1" operator="equal">
      <formula>7</formula>
    </cfRule>
  </conditionalFormatting>
  <conditionalFormatting sqref="DF3:DF5">
    <cfRule type="cellIs" dxfId="18" priority="22" stopIfTrue="1" operator="lessThanOrEqual">
      <formula>6</formula>
    </cfRule>
  </conditionalFormatting>
  <conditionalFormatting sqref="DF3:DF5">
    <cfRule type="cellIs" dxfId="17" priority="23" stopIfTrue="1" operator="equal">
      <formula>7</formula>
    </cfRule>
  </conditionalFormatting>
  <conditionalFormatting sqref="DF7:DF11">
    <cfRule type="cellIs" dxfId="16" priority="24" stopIfTrue="1" operator="lessThanOrEqual">
      <formula>6</formula>
    </cfRule>
  </conditionalFormatting>
  <conditionalFormatting sqref="DF7:DF11">
    <cfRule type="cellIs" dxfId="15" priority="25" stopIfTrue="1" operator="equal">
      <formula>7</formula>
    </cfRule>
  </conditionalFormatting>
  <conditionalFormatting sqref="C30">
    <cfRule type="cellIs" dxfId="14" priority="26" operator="between">
      <formula>-0.2</formula>
      <formula>0.2</formula>
    </cfRule>
  </conditionalFormatting>
  <conditionalFormatting sqref="C93">
    <cfRule type="cellIs" dxfId="13" priority="27" operator="between">
      <formula>-0.2</formula>
      <formula>0.2</formula>
    </cfRule>
  </conditionalFormatting>
  <conditionalFormatting sqref="D26">
    <cfRule type="cellIs" dxfId="12" priority="28" operator="greaterThan">
      <formula>60.9375</formula>
    </cfRule>
  </conditionalFormatting>
  <conditionalFormatting sqref="C2">
    <cfRule type="cellIs" dxfId="11" priority="29" operator="equal">
      <formula>"OK"</formula>
    </cfRule>
  </conditionalFormatting>
  <conditionalFormatting sqref="C2">
    <cfRule type="cellIs" dxfId="10" priority="30" operator="equal">
      <formula>"ERROR"</formula>
    </cfRule>
  </conditionalFormatting>
  <conditionalFormatting sqref="D18">
    <cfRule type="cellIs" dxfId="9" priority="31" operator="between">
      <formula>-0.2</formula>
      <formula>0.2</formula>
    </cfRule>
  </conditionalFormatting>
  <conditionalFormatting sqref="DM3:DM11">
    <cfRule type="cellIs" dxfId="8" priority="32" stopIfTrue="1" operator="lessThanOrEqual">
      <formula>6</formula>
    </cfRule>
  </conditionalFormatting>
  <conditionalFormatting sqref="DM3:DM11">
    <cfRule type="cellIs" dxfId="7" priority="33" stopIfTrue="1" operator="equal">
      <formula>7</formula>
    </cfRule>
  </conditionalFormatting>
  <conditionalFormatting sqref="DN3:DN11">
    <cfRule type="cellIs" dxfId="6" priority="34" stopIfTrue="1" operator="lessThanOrEqual">
      <formula>6</formula>
    </cfRule>
  </conditionalFormatting>
  <conditionalFormatting sqref="DN3:DN11">
    <cfRule type="cellIs" dxfId="5" priority="35" stopIfTrue="1" operator="equal">
      <formula>7</formula>
    </cfRule>
  </conditionalFormatting>
  <conditionalFormatting sqref="DE6">
    <cfRule type="cellIs" dxfId="4" priority="36" stopIfTrue="1" operator="lessThanOrEqual">
      <formula>6</formula>
    </cfRule>
  </conditionalFormatting>
  <conditionalFormatting sqref="DE6">
    <cfRule type="cellIs" dxfId="3" priority="37" stopIfTrue="1" operator="equal">
      <formula>7</formula>
    </cfRule>
  </conditionalFormatting>
  <conditionalFormatting sqref="DF6">
    <cfRule type="cellIs" dxfId="2" priority="38" stopIfTrue="1" operator="lessThanOrEqual">
      <formula>6</formula>
    </cfRule>
  </conditionalFormatting>
  <conditionalFormatting sqref="DF6">
    <cfRule type="cellIs" dxfId="1" priority="39" stopIfTrue="1" operator="equal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2"/>
  <sheetViews>
    <sheetView workbookViewId="0">
      <selection activeCell="B4" sqref="B4"/>
    </sheetView>
  </sheetViews>
  <sheetFormatPr defaultColWidth="9.140625" defaultRowHeight="15" x14ac:dyDescent="0.25"/>
  <cols>
    <col min="3" max="3" width="33.7109375" customWidth="1"/>
    <col min="5" max="5" width="31.28515625" customWidth="1"/>
  </cols>
  <sheetData>
    <row r="1" spans="1:47" x14ac:dyDescent="0.25">
      <c r="C1" s="25"/>
      <c r="D1" s="26"/>
      <c r="F1" s="2"/>
      <c r="G1" s="2"/>
      <c r="H1" s="2"/>
      <c r="I1" s="2"/>
      <c r="J1" s="2"/>
      <c r="K1" s="2" t="s">
        <v>109</v>
      </c>
      <c r="L1" s="2"/>
      <c r="M1" s="22"/>
      <c r="N1" s="2" t="s">
        <v>109</v>
      </c>
      <c r="O1" s="22"/>
      <c r="P1" s="2"/>
      <c r="Q1" s="2"/>
      <c r="R1" s="2"/>
      <c r="S1" t="s">
        <v>109</v>
      </c>
      <c r="U1" s="323" t="s">
        <v>110</v>
      </c>
      <c r="V1" s="323"/>
      <c r="W1" s="323"/>
      <c r="X1" s="323"/>
    </row>
    <row r="2" spans="1:47" x14ac:dyDescent="0.25">
      <c r="C2" s="2" t="s">
        <v>111</v>
      </c>
      <c r="D2" s="2"/>
      <c r="E2" s="2"/>
      <c r="F2" s="2"/>
      <c r="G2" s="2"/>
      <c r="H2" s="2"/>
      <c r="I2" s="2"/>
      <c r="J2" s="2"/>
      <c r="K2" s="324" t="s">
        <v>112</v>
      </c>
      <c r="L2" s="324"/>
      <c r="M2" s="324"/>
      <c r="N2" s="324" t="s">
        <v>113</v>
      </c>
      <c r="O2" s="324"/>
      <c r="P2" s="2"/>
      <c r="Q2" s="2" t="s">
        <v>114</v>
      </c>
      <c r="R2" s="2"/>
      <c r="S2" t="s">
        <v>115</v>
      </c>
      <c r="U2" s="324" t="s">
        <v>116</v>
      </c>
      <c r="V2" s="324"/>
      <c r="W2" s="324"/>
      <c r="X2" s="324"/>
    </row>
    <row r="3" spans="1:47" x14ac:dyDescent="0.25">
      <c r="B3" s="19" t="s">
        <v>117</v>
      </c>
      <c r="C3" s="27" t="s">
        <v>118</v>
      </c>
      <c r="D3" s="28" t="s">
        <v>119</v>
      </c>
      <c r="E3" s="29" t="s">
        <v>100</v>
      </c>
      <c r="F3" s="30" t="s">
        <v>120</v>
      </c>
      <c r="G3" s="31" t="s">
        <v>121</v>
      </c>
      <c r="H3" s="32" t="s">
        <v>122</v>
      </c>
      <c r="I3" s="32" t="s">
        <v>123</v>
      </c>
      <c r="J3" s="32" t="s">
        <v>124</v>
      </c>
      <c r="K3" s="1" t="s">
        <v>12</v>
      </c>
      <c r="L3" s="1" t="s">
        <v>125</v>
      </c>
      <c r="M3" s="33" t="s">
        <v>56</v>
      </c>
      <c r="N3" s="7" t="s">
        <v>12</v>
      </c>
      <c r="O3" s="14" t="s">
        <v>56</v>
      </c>
      <c r="P3" s="34" t="s">
        <v>12</v>
      </c>
      <c r="Q3" s="34" t="s">
        <v>56</v>
      </c>
      <c r="R3" s="1"/>
      <c r="S3" s="3" t="s">
        <v>126</v>
      </c>
      <c r="U3" s="13" t="s">
        <v>127</v>
      </c>
      <c r="V3" s="13" t="s">
        <v>128</v>
      </c>
      <c r="W3" s="13" t="s">
        <v>129</v>
      </c>
      <c r="X3" s="13" t="s">
        <v>130</v>
      </c>
    </row>
    <row r="4" spans="1:47" x14ac:dyDescent="0.25">
      <c r="A4">
        <v>1</v>
      </c>
      <c r="B4" s="86">
        <v>1</v>
      </c>
      <c r="C4" s="25" t="s">
        <v>255</v>
      </c>
      <c r="D4" s="22" t="s">
        <v>256</v>
      </c>
      <c r="E4" s="25" t="s">
        <v>257</v>
      </c>
      <c r="F4" s="262">
        <v>4.2361111111111106E-2</v>
      </c>
      <c r="G4" s="37">
        <v>2.79</v>
      </c>
      <c r="H4" s="37">
        <v>2.4700000000000002</v>
      </c>
      <c r="I4" s="37">
        <v>1.06</v>
      </c>
      <c r="J4" s="64">
        <v>12</v>
      </c>
      <c r="K4" s="64">
        <v>2</v>
      </c>
      <c r="L4" s="64" t="s">
        <v>258</v>
      </c>
      <c r="M4" s="22" t="s">
        <v>259</v>
      </c>
      <c r="N4" s="64">
        <v>2</v>
      </c>
      <c r="O4" s="22" t="s">
        <v>260</v>
      </c>
      <c r="P4" s="64">
        <v>2</v>
      </c>
      <c r="Q4" s="22" t="s">
        <v>261</v>
      </c>
      <c r="R4" s="22" t="s">
        <v>102</v>
      </c>
      <c r="S4" s="278" t="s">
        <v>262</v>
      </c>
      <c r="U4" s="62">
        <f>IF(AI12="","",AI12)</f>
        <v>4.2361111111111106E-2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 x14ac:dyDescent="0.25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ht="15.75" thickBot="1" x14ac:dyDescent="0.3">
      <c r="F6" s="3" t="s">
        <v>131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132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133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 x14ac:dyDescent="0.25">
      <c r="B7" s="19" t="str">
        <f t="shared" ref="B7:E8" si="0">B3</f>
        <v>S/n</v>
      </c>
      <c r="C7" s="27" t="str">
        <f t="shared" si="0"/>
        <v>COMPETITION</v>
      </c>
      <c r="D7" s="28" t="str">
        <f t="shared" si="0"/>
        <v>TIME</v>
      </c>
      <c r="E7" s="29" t="str">
        <f t="shared" si="0"/>
        <v>MATCH</v>
      </c>
      <c r="F7" s="42" t="s">
        <v>134</v>
      </c>
      <c r="G7" s="23" t="s">
        <v>5</v>
      </c>
      <c r="H7" s="43" t="s">
        <v>120</v>
      </c>
      <c r="I7" s="43" t="s">
        <v>135</v>
      </c>
      <c r="J7" s="43" t="s">
        <v>136</v>
      </c>
      <c r="K7" s="43" t="s">
        <v>137</v>
      </c>
      <c r="L7" s="43" t="s">
        <v>138</v>
      </c>
      <c r="M7" s="23"/>
      <c r="N7" s="43" t="s">
        <v>139</v>
      </c>
      <c r="O7" s="43" t="s">
        <v>140</v>
      </c>
      <c r="P7" s="23"/>
      <c r="T7" s="42" t="s">
        <v>134</v>
      </c>
      <c r="U7" s="23" t="s">
        <v>5</v>
      </c>
      <c r="V7" s="43" t="s">
        <v>120</v>
      </c>
      <c r="W7" s="43" t="s">
        <v>135</v>
      </c>
      <c r="X7" s="43" t="s">
        <v>136</v>
      </c>
      <c r="Y7" s="43" t="s">
        <v>137</v>
      </c>
      <c r="Z7" s="43" t="s">
        <v>138</v>
      </c>
      <c r="AA7" s="23"/>
      <c r="AB7" s="43" t="s">
        <v>139</v>
      </c>
      <c r="AC7" s="43" t="s">
        <v>140</v>
      </c>
      <c r="AD7" s="23"/>
      <c r="AH7" s="42" t="s">
        <v>134</v>
      </c>
      <c r="AI7" s="23" t="s">
        <v>5</v>
      </c>
      <c r="AJ7" s="43" t="s">
        <v>120</v>
      </c>
      <c r="AK7" s="43" t="s">
        <v>135</v>
      </c>
      <c r="AL7" s="43" t="s">
        <v>136</v>
      </c>
      <c r="AM7" s="43" t="s">
        <v>137</v>
      </c>
      <c r="AN7" s="43" t="s">
        <v>138</v>
      </c>
      <c r="AO7" s="23"/>
      <c r="AP7" s="43" t="s">
        <v>139</v>
      </c>
      <c r="AQ7" s="43" t="s">
        <v>140</v>
      </c>
      <c r="AR7" s="23"/>
    </row>
    <row r="8" spans="1:47" x14ac:dyDescent="0.25">
      <c r="B8" s="35">
        <f t="shared" si="0"/>
        <v>1</v>
      </c>
      <c r="C8" s="25" t="str">
        <f t="shared" si="0"/>
        <v>England &gt;&gt; Premier League</v>
      </c>
      <c r="D8" s="22" t="str">
        <f t="shared" si="0"/>
        <v>11:30</v>
      </c>
      <c r="E8" s="25" t="str">
        <f t="shared" si="0"/>
        <v>Watford - Leicester</v>
      </c>
      <c r="F8" s="44" t="str">
        <f>IF(M4="","",M4)</f>
        <v>0:3</v>
      </c>
      <c r="G8" s="45" t="str">
        <f>IF(F8="","",TRIM(O8))</f>
        <v>0M</v>
      </c>
      <c r="H8" s="46" t="str">
        <f>IF(F8="","",CONCATENATE(I8,J8))</f>
        <v>03</v>
      </c>
      <c r="I8" s="47">
        <f>IF(F8="","",HOUR(F8))</f>
        <v>0</v>
      </c>
      <c r="J8" s="47">
        <f>IF(F8="","",MINUTE(F8))</f>
        <v>3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0</v>
      </c>
      <c r="N8" s="50" t="str">
        <f>IF(F8="","",IF((J8&gt;=3),"M",J8))</f>
        <v>M</v>
      </c>
      <c r="O8" s="24" t="str">
        <f>IF(F8="","",CONCATENATE(M8,N8))</f>
        <v>0M</v>
      </c>
      <c r="P8" s="24" t="str">
        <f>IF(F8="","",CONCATENATE(I8,J8))</f>
        <v>03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ht="15.75" thickBot="1" x14ac:dyDescent="0.3">
      <c r="A10" s="51" t="s">
        <v>141</v>
      </c>
      <c r="C10" s="2" t="s">
        <v>111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112</v>
      </c>
      <c r="O10" s="2"/>
      <c r="P10" s="2"/>
      <c r="Q10" s="2"/>
      <c r="R10" s="2"/>
      <c r="S10" t="s">
        <v>113</v>
      </c>
      <c r="T10" s="2"/>
      <c r="U10" s="2"/>
      <c r="V10" s="2"/>
      <c r="W10" s="2"/>
      <c r="X10" s="2" t="s">
        <v>114</v>
      </c>
      <c r="Y10" s="2"/>
      <c r="Z10" s="2"/>
      <c r="AB10" s="2" t="s">
        <v>115</v>
      </c>
      <c r="AD10" s="2" t="s">
        <v>116</v>
      </c>
      <c r="AE10" s="2"/>
      <c r="AF10" s="2"/>
      <c r="AG10" s="2"/>
    </row>
    <row r="11" spans="1:47" x14ac:dyDescent="0.25">
      <c r="A11" s="51"/>
      <c r="B11" s="19" t="s">
        <v>117</v>
      </c>
      <c r="C11" s="27" t="s">
        <v>118</v>
      </c>
      <c r="D11" s="28" t="s">
        <v>119</v>
      </c>
      <c r="E11" s="29" t="s">
        <v>100</v>
      </c>
      <c r="F11" s="52" t="s">
        <v>120</v>
      </c>
      <c r="G11" s="31" t="s">
        <v>121</v>
      </c>
      <c r="H11" s="32" t="s">
        <v>122</v>
      </c>
      <c r="I11" s="32" t="s">
        <v>123</v>
      </c>
      <c r="J11" s="31" t="s">
        <v>121</v>
      </c>
      <c r="K11" s="32" t="s">
        <v>122</v>
      </c>
      <c r="L11" s="32" t="s">
        <v>123</v>
      </c>
      <c r="M11" s="29" t="s">
        <v>124</v>
      </c>
      <c r="N11" s="1" t="s">
        <v>12</v>
      </c>
      <c r="O11" s="1" t="s">
        <v>125</v>
      </c>
      <c r="P11" s="33" t="s">
        <v>56</v>
      </c>
      <c r="Q11" s="33"/>
      <c r="R11" s="33"/>
      <c r="S11" s="15" t="s">
        <v>12</v>
      </c>
      <c r="T11" s="7" t="s">
        <v>56</v>
      </c>
      <c r="U11" s="7" t="s">
        <v>37</v>
      </c>
      <c r="V11" s="7" t="s">
        <v>38</v>
      </c>
      <c r="W11" s="53" t="s">
        <v>12</v>
      </c>
      <c r="X11" s="53" t="s">
        <v>56</v>
      </c>
      <c r="Y11" s="54" t="s">
        <v>37</v>
      </c>
      <c r="Z11" s="54" t="s">
        <v>38</v>
      </c>
      <c r="AA11" s="1"/>
      <c r="AB11" s="25" t="s">
        <v>126</v>
      </c>
      <c r="AC11" s="55" t="s">
        <v>127</v>
      </c>
      <c r="AD11" s="13" t="s">
        <v>128</v>
      </c>
      <c r="AE11" s="13" t="s">
        <v>129</v>
      </c>
      <c r="AF11" s="13" t="s">
        <v>130</v>
      </c>
      <c r="AG11" s="13" t="s">
        <v>130</v>
      </c>
      <c r="AI11" s="42" t="s">
        <v>134</v>
      </c>
      <c r="AJ11" s="23" t="s">
        <v>5</v>
      </c>
      <c r="AK11" s="43" t="s">
        <v>120</v>
      </c>
      <c r="AL11" s="43" t="s">
        <v>135</v>
      </c>
      <c r="AM11" s="43" t="s">
        <v>136</v>
      </c>
      <c r="AN11" s="43" t="s">
        <v>137</v>
      </c>
      <c r="AO11" s="43" t="s">
        <v>138</v>
      </c>
      <c r="AP11" s="23"/>
      <c r="AQ11" s="43" t="s">
        <v>139</v>
      </c>
      <c r="AR11" s="43" t="s">
        <v>140</v>
      </c>
      <c r="AS11" s="23"/>
    </row>
    <row r="12" spans="1:47" x14ac:dyDescent="0.25">
      <c r="A12" s="51"/>
      <c r="B12" s="35">
        <f t="shared" ref="B12:I12" si="1">IF(B4="","",B4)</f>
        <v>1</v>
      </c>
      <c r="C12" s="25" t="str">
        <f t="shared" si="1"/>
        <v>England &gt;&gt; Premier League</v>
      </c>
      <c r="D12" s="22" t="str">
        <f t="shared" si="1"/>
        <v>11:30</v>
      </c>
      <c r="E12" s="25" t="str">
        <f t="shared" si="1"/>
        <v>Watford - Leicester</v>
      </c>
      <c r="F12" s="56">
        <f>F4</f>
        <v>4.2361111111111106E-2</v>
      </c>
      <c r="G12" s="37">
        <f t="shared" si="1"/>
        <v>2.79</v>
      </c>
      <c r="H12" s="37">
        <f t="shared" si="1"/>
        <v>2.4700000000000002</v>
      </c>
      <c r="I12" s="37">
        <f t="shared" si="1"/>
        <v>1.06</v>
      </c>
      <c r="J12" s="57">
        <f>IF(G12="","",(((100)*(1/G12))/((1/G12)+(1/H12)+(1/I12)))+0.01)</f>
        <v>21.011211207276872</v>
      </c>
      <c r="K12" s="57">
        <f>IF(H12="","",(((100)*(1/H12))/((1/G12)+(1/H12)+(1/I12)))+0.01)</f>
        <v>23.732015898098169</v>
      </c>
      <c r="L12" s="57">
        <f>IF(I12="","",(((100)*(1/I12))/((1/G12)+(1/H12)+(1/I12)))+0.01)</f>
        <v>55.28677289462496</v>
      </c>
      <c r="M12" s="2">
        <f>IF(J4="","",J4)</f>
        <v>12</v>
      </c>
      <c r="N12" s="2">
        <f>IF(K4="","",K4)</f>
        <v>2</v>
      </c>
      <c r="O12" s="2" t="str">
        <f>IF(L4="","",L4)</f>
        <v>O</v>
      </c>
      <c r="P12" s="22" t="str">
        <f>IF(M4="","",M4)</f>
        <v>0:3</v>
      </c>
      <c r="Q12" s="2" t="str">
        <f>IF(M4="","",G8)</f>
        <v>0M</v>
      </c>
      <c r="R12" s="2">
        <f>IF(M4="","",K8)</f>
        <v>2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https://int.soccerway.com/matches/2020/06/20/england/premier-league/watford-football-club/leicester-city-fc/3029371/</v>
      </c>
      <c r="AC12" s="26">
        <f>IF(AI12="","",AI12)</f>
        <v>4.2361111111111106E-2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>
        <f t="shared" ref="AI12" si="2">IF(F12="","",F12)</f>
        <v>4.2361111111111106E-2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mergeCells count="4">
    <mergeCell ref="U1:X1"/>
    <mergeCell ref="K2:M2"/>
    <mergeCell ref="N2:O2"/>
    <mergeCell ref="U2:X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4939A53-46F7-4BF3-8B30-47D993C9C9FC}">
            <xm:f>NOT(ISERROR(SEARCH($E12,N12)))</xm:f>
            <xm:f>$E12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S12:T12 N12 W12:X12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2020-06-19T19:34:26Z</dcterms:created>
  <dcterms:modified xsi:type="dcterms:W3CDTF">2020-07-01T06:50:23Z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