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illarreal v Sevill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<sst xmlns="http://schemas.openxmlformats.org/spreadsheetml/2006/main" uniqueCount="259">
  <si>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</si>
  <si>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</si>
  <si>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</si>
  <si>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</si>
  <si>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</si>
  <si>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</si>
  <si>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</si>
  <si>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Villarreal</t>
  </si>
  <si>
    <t>Sevilla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</si>
  <si>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</si>
  <si>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</si>
  <si>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</si>
  <si>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</si>
  <si>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</si>
  <si>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</si>
  <si>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</si>
  <si>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</si>
  <si>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</si>
  <si>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</si>
  <si>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</si>
  <si>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2020-06-17</t>
  </si>
  <si>
    <t>Mallorca</t>
  </si>
  <si>
    <t>Levante</t>
  </si>
  <si>
    <t>SG</t>
  </si>
  <si>
    <t>"%"</t>
  </si>
  <si>
    <t>2020-03-09</t>
  </si>
  <si>
    <t>Leganes</t>
  </si>
  <si>
    <t>Atletico Madrid</t>
  </si>
  <si>
    <t>RACHA</t>
  </si>
  <si>
    <t>ULT</t>
  </si>
  <si>
    <t>CD</t>
  </si>
  <si>
    <t>"C"</t>
  </si>
  <si>
    <t>"D"</t>
  </si>
  <si>
    <t>P1</t>
  </si>
  <si>
    <t>2020-02-16</t>
  </si>
  <si>
    <t>Getafe</t>
  </si>
  <si>
    <t>TIPS_ROY_PICKS</t>
  </si>
  <si>
    <t>picks</t>
  </si>
  <si>
    <t>roySYS</t>
  </si>
  <si>
    <t>rFZ</t>
  </si>
  <si>
    <t>2020-02-03</t>
  </si>
  <si>
    <t>Osasuna</t>
  </si>
  <si>
    <t>CFR Cluj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</si>
  <si>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</si>
  <si>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</si>
  <si>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</si>
  <si>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</si>
  <si>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</si>
  <si>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</si>
  <si>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</si>
  <si>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</si>
  <si>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</si>
  <si>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</si>
  <si>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Espanyol</t>
  </si>
  <si>
    <t>Celta Vigo</t>
  </si>
  <si>
    <t>2019-12-22</t>
  </si>
  <si>
    <t>Mirandés</t>
  </si>
  <si>
    <t>2019-12-07</t>
  </si>
  <si>
    <t>Sandhausen</t>
  </si>
  <si>
    <t>max</t>
  </si>
  <si>
    <t>2019-11-25</t>
  </si>
  <si>
    <t>Real Madrid</t>
  </si>
  <si>
    <t>2019-11-03</t>
  </si>
  <si>
    <t>Athletic Club</t>
  </si>
  <si>
    <t>Escobedo</t>
  </si>
  <si>
    <t>2019-10-26</t>
  </si>
  <si>
    <t>Deportivo Alavés</t>
  </si>
  <si>
    <t>2019-09-28</t>
  </si>
  <si>
    <t>Real Betis</t>
  </si>
  <si>
    <t>Bergantiños</t>
  </si>
  <si>
    <t>2019-09-21</t>
  </si>
  <si>
    <t>Real Valladolid</t>
  </si>
  <si>
    <t>APOEL</t>
  </si>
  <si>
    <t>2019-09-02</t>
  </si>
  <si>
    <t>2019-08-18</t>
  </si>
  <si>
    <t>Granada</t>
  </si>
  <si>
    <t>DOUBLE Chance PICKS</t>
  </si>
  <si>
    <t>pForce</t>
  </si>
  <si>
    <t>2019-07-14</t>
  </si>
  <si>
    <t>West Bromwich Albion</t>
  </si>
  <si>
    <t>%</t>
  </si>
  <si>
    <t>Ps_Diff</t>
  </si>
  <si>
    <t>Fz-101</t>
  </si>
  <si>
    <t>Avg_Gol</t>
  </si>
  <si>
    <t>CS</t>
  </si>
  <si>
    <t>2019-05-13</t>
  </si>
  <si>
    <t>Eibar</t>
  </si>
  <si>
    <t>F91 Dudelange</t>
  </si>
  <si>
    <t>2019-04-29</t>
  </si>
  <si>
    <t>Huesca</t>
  </si>
  <si>
    <t>Valencia</t>
  </si>
  <si>
    <t>2019-04-22</t>
  </si>
  <si>
    <t>Barcelona</t>
  </si>
  <si>
    <t>CORRECT SCORES PICKS</t>
  </si>
  <si>
    <t>1st</t>
  </si>
  <si>
    <t>2nd</t>
  </si>
  <si>
    <t>3rd</t>
  </si>
  <si>
    <t>4th</t>
  </si>
  <si>
    <t>2019-04-12</t>
  </si>
  <si>
    <t>2019-04-03</t>
  </si>
  <si>
    <t>Qarabag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</si>
  <si>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</si>
  <si>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</si>
  <si>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</si>
  <si>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</si>
  <si>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</si>
  <si>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</si>
  <si>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</si>
  <si>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</si>
  <si>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</si>
  <si>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</si>
  <si>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</si>
  <si>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</si>
  <si>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</si>
  <si>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</si>
  <si>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</si>
  <si>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</si>
  <si>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</si>
  <si>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</si>
  <si>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</si>
  <si>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</si>
  <si>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</si>
  <si>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</si>
  <si>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</si>
  <si>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</si>
  <si>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</si>
  <si>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</si>
  <si>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</si>
  <si>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</si>
  <si>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</si>
  <si>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</si>
  <si>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DWWWL</t>
  </si>
  <si>
    <t>Atl. Madrid</t>
  </si>
  <si>
    <t>WWDDD</t>
  </si>
  <si>
    <t>WWWLL</t>
  </si>
  <si>
    <t>pronox Home Capacities</t>
  </si>
  <si>
    <t>DDWDW</t>
  </si>
  <si>
    <t>DDLDW</t>
  </si>
  <si>
    <t>Real Sociedad</t>
  </si>
  <si>
    <t>LLDWL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</si>
  <si>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</si>
  <si>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</si>
  <si>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</si>
  <si>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</si>
  <si>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</si>
  <si>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</si>
  <si>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</si>
  <si>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</si>
  <si>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</si>
  <si>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WLDDW</t>
  </si>
  <si>
    <t>Ath Bilbao</t>
  </si>
  <si>
    <t>WDDWW</t>
  </si>
  <si>
    <t>MATCH</t>
  </si>
  <si>
    <t>Granada CF</t>
  </si>
  <si>
    <t>LDWDD</t>
  </si>
  <si>
    <t>WDDDL</t>
  </si>
  <si>
    <t>Alaves</t>
  </si>
  <si>
    <t>LWLDD</t>
  </si>
  <si>
    <t>Betis</t>
  </si>
  <si>
    <t>LDLWL</t>
  </si>
  <si>
    <t>Valladolid</t>
  </si>
  <si>
    <t>LDWLL</t>
  </si>
  <si>
    <t>WDLDD</t>
  </si>
  <si>
    <t>DDLLL</t>
  </si>
  <si>
    <t>DLLWL</t>
  </si>
  <si>
    <t>DLLWD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</si>
  <si>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</si>
  <si>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</si>
  <si>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</si>
  <si>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</si>
  <si>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</si>
  <si>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</si>
  <si>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</si>
  <si>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</si>
  <si>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</si>
  <si>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</si>
  <si>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</si>
  <si>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</si>
  <si>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</si>
  <si>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</si>
  <si>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</si>
  <si>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</si>
  <si>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</si>
  <si>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</si>
  <si>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</si>
  <si>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</si>
  <si>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</si>
  <si>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</si>
  <si>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</si>
  <si>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</si>
  <si>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</si>
  <si>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</si>
  <si>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</si>
  <si>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</si>
  <si>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</si>
  <si>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</si>
  <si>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</si>
  <si>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</si>
  <si>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</si>
  <si>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</si>
  <si>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</si>
  <si>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</si>
  <si>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</si>
  <si>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</si>
  <si>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</si>
  <si>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</si>
  <si>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</si>
  <si>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</si>
  <si>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</si>
  <si>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</si>
  <si>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</si>
  <si>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</si>
  <si>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</si>
  <si>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</si>
  <si>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</si>
  <si>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</si>
  <si>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</si>
  <si>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</si>
  <si>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</si>
  <si>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</si>
  <si>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</si>
  <si>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</si>
  <si>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</si>
  <si>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</si>
  <si>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2020-06-22</t>
  </si>
  <si>
    <t>2020-06-22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</si>
  <si>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</si>
  <si>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</si>
  <si>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</si>
  <si>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</si>
  <si>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</si>
  <si>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</si>
  <si>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</si>
  <si>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</si>
  <si>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</si>
  <si>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</si>
  <si>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</si>
  <si>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</si>
  <si>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</si>
  <si>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</si>
  <si>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</si>
  <si>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</si>
  <si>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</si>
  <si>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</si>
  <si>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Villarreal - Sevilla</t>
  </si>
  <si>
    <t>2:2</t>
  </si>
  <si>
    <t>O</t>
  </si>
  <si>
    <t>https://int.soccerway.com/matches/2020/06/22/spain/primera-division/villarreal-club-de-futbol/sevilla-futbol-club/3059118/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</si>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</sst>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Villarreal - Sevilla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Villarreal - Sevilla</v>
      </c>
      <c r="C2" t="str">
        <f>IF(B1=B2,"OK","ERROR")</f>
        <v>OK</v>
      </c>
      <c r="E2">
        <v>7</v>
      </c>
      <c r="F2">
        <v>4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1</v>
      </c>
      <c r="AB2" s="10">
        <v>1</v>
      </c>
      <c r="AC2" s="85">
        <f>Y2+Z2</f>
        <v>1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Villarreal-Sevilla</v>
      </c>
      <c r="CA2" t="str">
        <f>V24</f>
        <v>Villarreal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2</v>
      </c>
      <c r="AB3" s="10">
        <v>2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Villarreal</v>
      </c>
      <c r="BZ3" s="85" t="str">
        <f>X1</f>
        <v>Sevilla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3</v>
      </c>
      <c r="DG3">
        <f>IF(DJ3="","",RANK(DJ3,DJ3:DJ11))</f>
        <v>3</v>
      </c>
      <c r="DH3" s="84">
        <f>IF(CR29="","",CR29)</f>
        <v>5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22</v>
      </c>
      <c r="X4" t="s">
        <v>35</v>
      </c>
      <c r="Y4" s="9">
        <v>2</v>
      </c>
      <c r="Z4" s="9">
        <v>1</v>
      </c>
      <c r="AA4" s="9">
        <v>0</v>
      </c>
      <c r="AB4" s="9">
        <v>3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0</v>
      </c>
      <c r="BZ4" s="85">
        <f>BX23</f>
        <v>4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0</v>
      </c>
      <c r="CG4" s="85">
        <f>CE23</f>
        <v>4</v>
      </c>
      <c r="CQ4">
        <v>20</v>
      </c>
      <c r="CR4">
        <f>AC2</f>
        <v>1</v>
      </c>
      <c r="CS4">
        <f>AD2</f>
        <v>2</v>
      </c>
      <c r="CT4" s="85">
        <f>CR23</f>
        <v>8</v>
      </c>
      <c r="CU4" s="85">
        <f>CS23</f>
        <v>3</v>
      </c>
      <c r="CV4" s="61"/>
      <c r="CW4" s="61"/>
      <c r="CX4">
        <v>20</v>
      </c>
      <c r="CY4">
        <f>CR4</f>
        <v>1</v>
      </c>
      <c r="CZ4">
        <f>CS4</f>
        <v>2</v>
      </c>
      <c r="DA4" s="85">
        <f>CY23</f>
        <v>8</v>
      </c>
      <c r="DB4" s="85">
        <f>CZ23</f>
        <v>3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9</v>
      </c>
      <c r="DJ4" s="97">
        <f>IF(DI4="","",(DI4/16)*100)</f>
        <v>56.25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41</v>
      </c>
      <c r="X5" t="s">
        <v>42</v>
      </c>
      <c r="Y5" s="9">
        <v>3</v>
      </c>
      <c r="Z5" s="9">
        <v>1</v>
      </c>
      <c r="AA5" s="9">
        <v>1</v>
      </c>
      <c r="AB5" s="9">
        <v>1</v>
      </c>
      <c r="AC5" s="85">
        <f>Y5+Z5</f>
        <v>4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2</v>
      </c>
      <c r="BY5" s="85">
        <f>BW22</f>
        <v>3</v>
      </c>
      <c r="BZ5" s="85">
        <f>BX22</f>
        <v>3</v>
      </c>
      <c r="CA5" s="61">
        <f>IF((BW5&gt;=3),"M",BW5)</f>
        <v>2</v>
      </c>
      <c r="CB5" s="61">
        <f>IF((BX5&gt;=3),"M",BX5)</f>
        <v>2</v>
      </c>
      <c r="CC5">
        <v>19</v>
      </c>
      <c r="CD5">
        <f>BW5</f>
        <v>2</v>
      </c>
      <c r="CE5">
        <f>BX5</f>
        <v>2</v>
      </c>
      <c r="CF5" s="85">
        <f>CD22</f>
        <v>3</v>
      </c>
      <c r="CG5" s="85">
        <f>CE22</f>
        <v>3</v>
      </c>
      <c r="CQ5">
        <v>19</v>
      </c>
      <c r="CR5">
        <f>AC3</f>
        <v>3</v>
      </c>
      <c r="CS5">
        <f>AD3</f>
        <v>4</v>
      </c>
      <c r="CT5" s="85">
        <f>CR22</f>
        <v>4</v>
      </c>
      <c r="CU5" s="85">
        <f>CS22</f>
        <v>5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4</v>
      </c>
      <c r="DB5" s="85">
        <f>CZ22</f>
        <v>5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2</v>
      </c>
      <c r="AA6" s="9">
        <v>2</v>
      </c>
      <c r="AB6" s="9">
        <v>1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4</v>
      </c>
      <c r="BZ6" s="85">
        <f>BX21</f>
        <v>1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4</v>
      </c>
      <c r="CG6" s="85">
        <f>CE21</f>
        <v>1</v>
      </c>
      <c r="CQ6">
        <v>18</v>
      </c>
      <c r="CR6">
        <f>AC4</f>
        <v>3</v>
      </c>
      <c r="CS6">
        <f>AD4</f>
        <v>3</v>
      </c>
      <c r="CT6" s="85">
        <f>CR21</f>
        <v>3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3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Villarreal - Sevilla</v>
      </c>
      <c r="C7" s="114">
        <f>Y41</f>
        <v>0.125</v>
      </c>
      <c r="D7" s="114" t="str">
        <f>BH36</f>
        <v>X</v>
      </c>
      <c r="E7" s="114" t="str">
        <f>BI36</f>
        <v>1X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62.5</v>
      </c>
      <c r="K7" s="114">
        <f>AE41</f>
        <v>37.5</v>
      </c>
      <c r="L7" s="115">
        <f>AF39</f>
        <v>31.25</v>
      </c>
      <c r="M7" s="114">
        <f>AH39</f>
        <v>56.25</v>
      </c>
      <c r="N7" s="114">
        <f>AI39</f>
        <v>25</v>
      </c>
      <c r="O7" s="116">
        <f>C22</f>
        <v>11</v>
      </c>
      <c r="P7" s="117">
        <f>E22</f>
        <v>21</v>
      </c>
      <c r="Q7" s="116">
        <f>G22</f>
        <v>0</v>
      </c>
      <c r="R7" s="116">
        <f>D26</f>
        <v>65.625</v>
      </c>
      <c r="S7" s="118">
        <f>E26</f>
        <v>3</v>
      </c>
      <c r="U7" s="84">
        <f>U6+1</f>
        <v>6</v>
      </c>
      <c r="V7" t="s">
        <v>55</v>
      </c>
      <c r="W7" t="s">
        <v>35</v>
      </c>
      <c r="X7" t="s">
        <v>56</v>
      </c>
      <c r="Y7" s="9">
        <v>1</v>
      </c>
      <c r="Z7" s="9">
        <v>0</v>
      </c>
      <c r="AA7" s="9">
        <v>3</v>
      </c>
      <c r="AB7" s="9">
        <v>1</v>
      </c>
      <c r="AC7" s="85">
        <f>Y7+Z7</f>
        <v>1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4</v>
      </c>
      <c r="CS7">
        <f>AD5</f>
        <v>2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4</v>
      </c>
      <c r="CZ7">
        <f>CS7</f>
        <v>2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27</v>
      </c>
      <c r="X8" t="s">
        <v>58</v>
      </c>
      <c r="Y8" s="9">
        <v>0</v>
      </c>
      <c r="Z8" s="9">
        <v>0</v>
      </c>
      <c r="AA8" s="9">
        <v>3</v>
      </c>
      <c r="AB8" s="9">
        <v>1</v>
      </c>
      <c r="AC8" s="85">
        <f>Y8+Z8</f>
        <v>0</v>
      </c>
      <c r="AD8" s="85">
        <f>AA8+AB8</f>
        <v>4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2</v>
      </c>
      <c r="BY8" s="85">
        <f>BW19</f>
        <v>2</v>
      </c>
      <c r="BZ8" s="85">
        <f>BX19</f>
        <v>0</v>
      </c>
      <c r="CA8" s="61">
        <f>IF((BW8&gt;=3),"M",BW8)</f>
        <v>2</v>
      </c>
      <c r="CB8" s="61">
        <f>IF((BX8&gt;=3),"M",BX8)</f>
        <v>2</v>
      </c>
      <c r="CC8">
        <v>16</v>
      </c>
      <c r="CD8">
        <f>BW8</f>
        <v>2</v>
      </c>
      <c r="CE8">
        <f>BX8</f>
        <v>2</v>
      </c>
      <c r="CF8" s="85">
        <f>CD19</f>
        <v>2</v>
      </c>
      <c r="CG8" s="85">
        <f>CE19</f>
        <v>0</v>
      </c>
      <c r="CQ8">
        <v>16</v>
      </c>
      <c r="CR8">
        <f>AC6</f>
        <v>3</v>
      </c>
      <c r="CS8">
        <f>AD6</f>
        <v>3</v>
      </c>
      <c r="CT8" s="85">
        <f>CR19</f>
        <v>1</v>
      </c>
      <c r="CU8" s="85">
        <f>CS19</f>
        <v>7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1</v>
      </c>
      <c r="DB8" s="85">
        <f>CZ19</f>
        <v>7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54</v>
      </c>
      <c r="X9" t="s">
        <v>61</v>
      </c>
      <c r="Y9" s="9">
        <v>1</v>
      </c>
      <c r="Z9" s="9">
        <v>3</v>
      </c>
      <c r="AA9" s="9">
        <v>2</v>
      </c>
      <c r="AB9" s="9">
        <v>1</v>
      </c>
      <c r="AC9" s="85">
        <f>Y9+Z9</f>
        <v>4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30</v>
      </c>
      <c r="AU9" s="99">
        <f>(AS6/AS7)*100</f>
        <v>20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25</v>
      </c>
      <c r="BO9" s="99">
        <f>(BM6/BM7)*100</f>
        <v>40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0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3</v>
      </c>
      <c r="CE9">
        <f>BX9</f>
        <v>0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4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4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0</v>
      </c>
      <c r="Z10" s="9">
        <v>0</v>
      </c>
      <c r="AA10" s="9">
        <v>0</v>
      </c>
      <c r="AB10" s="9">
        <v>5</v>
      </c>
      <c r="AC10" s="85">
        <f>Y10+Z10</f>
        <v>0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0</v>
      </c>
      <c r="BY10" s="85">
        <f>BW17</f>
        <v>0</v>
      </c>
      <c r="BZ10" s="85">
        <f>BX17</f>
        <v>4</v>
      </c>
      <c r="CA10" s="61" t="str">
        <f>IF((BW10&gt;=3),"M",BW10)</f>
        <v>M</v>
      </c>
      <c r="CB10" s="61">
        <f>IF((BX10&gt;=3),"M",BX10)</f>
        <v>0</v>
      </c>
      <c r="CC10">
        <v>14</v>
      </c>
      <c r="CD10">
        <f>BW10</f>
        <v>3</v>
      </c>
      <c r="CE10">
        <f>BX10</f>
        <v>0</v>
      </c>
      <c r="CF10" s="85">
        <f>CD17</f>
        <v>0</v>
      </c>
      <c r="CG10" s="85">
        <f>CE17</f>
        <v>4</v>
      </c>
      <c r="CQ10">
        <v>14</v>
      </c>
      <c r="CR10">
        <f>AC8</f>
        <v>0</v>
      </c>
      <c r="CS10">
        <f>AD8</f>
        <v>4</v>
      </c>
      <c r="CT10" s="85">
        <f>CR17</f>
        <v>8</v>
      </c>
      <c r="CU10" s="85">
        <f>CS17</f>
        <v>1</v>
      </c>
      <c r="CV10" s="61"/>
      <c r="CW10" s="61"/>
      <c r="CX10">
        <v>14</v>
      </c>
      <c r="CY10">
        <f>CR10</f>
        <v>0</v>
      </c>
      <c r="CZ10">
        <f>CS10</f>
        <v>4</v>
      </c>
      <c r="DA10" s="85">
        <f>CY17</f>
        <v>8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21</v>
      </c>
      <c r="Y11" s="9">
        <v>4</v>
      </c>
      <c r="Z11" s="9">
        <v>1</v>
      </c>
      <c r="AA11" s="9">
        <v>0</v>
      </c>
      <c r="AB11" s="9">
        <v>2</v>
      </c>
      <c r="AC11" s="85">
        <f>Y11+Z11</f>
        <v>5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3</v>
      </c>
      <c r="BY11" s="85">
        <f>BW16</f>
        <v>1</v>
      </c>
      <c r="BZ11" s="85">
        <f>BX16</f>
        <v>2</v>
      </c>
      <c r="CA11" s="61">
        <f>IF((BW11&gt;=3),"M",BW11)</f>
        <v>2</v>
      </c>
      <c r="CB11" s="61" t="str">
        <f>IF((BX11&gt;=3),"M",BX11)</f>
        <v>M</v>
      </c>
      <c r="CC11">
        <v>13</v>
      </c>
      <c r="CD11">
        <f>BW11</f>
        <v>2</v>
      </c>
      <c r="CE11">
        <f>BX11</f>
        <v>3</v>
      </c>
      <c r="CF11" s="85">
        <f>CD16</f>
        <v>1</v>
      </c>
      <c r="CG11" s="85">
        <f>CE16</f>
        <v>2</v>
      </c>
      <c r="CQ11">
        <v>13</v>
      </c>
      <c r="CR11">
        <f>AC9</f>
        <v>4</v>
      </c>
      <c r="CS11">
        <f>AD9</f>
        <v>3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3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5</v>
      </c>
      <c r="Z12" s="9">
        <v>1</v>
      </c>
      <c r="AA12" s="9">
        <v>0</v>
      </c>
      <c r="AB12" s="9">
        <v>1</v>
      </c>
      <c r="AC12" s="85">
        <f>Y12+Z12</f>
        <v>6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1</v>
      </c>
      <c r="BZ12" s="85">
        <f>BX15</f>
        <v>0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1</v>
      </c>
      <c r="CG12" s="85">
        <f>CE15</f>
        <v>0</v>
      </c>
      <c r="CQ12">
        <v>12</v>
      </c>
      <c r="CR12">
        <f>AC10</f>
        <v>0</v>
      </c>
      <c r="CS12">
        <f>AD10</f>
        <v>5</v>
      </c>
      <c r="CT12" s="85">
        <f>CR15</f>
        <v>2</v>
      </c>
      <c r="CU12" s="85">
        <f>CS15</f>
        <v>1</v>
      </c>
      <c r="CV12" s="61"/>
      <c r="CW12" s="61"/>
      <c r="CX12">
        <v>12</v>
      </c>
      <c r="CY12">
        <f>CR12</f>
        <v>0</v>
      </c>
      <c r="CZ12">
        <f>CS12</f>
        <v>5</v>
      </c>
      <c r="DA12" s="85">
        <f>CY15</f>
        <v>2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72</v>
      </c>
      <c r="Y13" s="9">
        <v>2</v>
      </c>
      <c r="Z13" s="9">
        <v>0</v>
      </c>
      <c r="AA13" s="9">
        <v>1</v>
      </c>
      <c r="AB13" s="9">
        <v>0</v>
      </c>
      <c r="AC13" s="85">
        <f>Y13+Z13</f>
        <v>2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0</v>
      </c>
      <c r="BZ13" s="85">
        <f>BX14</f>
        <v>1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0</v>
      </c>
      <c r="CG13" s="85">
        <f>CE14</f>
        <v>1</v>
      </c>
      <c r="CQ13">
        <v>11</v>
      </c>
      <c r="CR13">
        <f>AC11</f>
        <v>5</v>
      </c>
      <c r="CS13">
        <f>AD11</f>
        <v>2</v>
      </c>
      <c r="CT13" s="85">
        <f>CR14</f>
        <v>6</v>
      </c>
      <c r="CU13" s="85">
        <f>CS14</f>
        <v>1</v>
      </c>
      <c r="CV13" s="61"/>
      <c r="CW13" s="61"/>
      <c r="CX13">
        <v>11</v>
      </c>
      <c r="CY13">
        <f>CR13</f>
        <v>5</v>
      </c>
      <c r="CZ13">
        <f>CS13</f>
        <v>2</v>
      </c>
      <c r="DA13" s="85">
        <f>CY14</f>
        <v>6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61</v>
      </c>
      <c r="X14" t="s">
        <v>41</v>
      </c>
      <c r="Y14" s="9">
        <v>2</v>
      </c>
      <c r="Z14" s="9">
        <v>2</v>
      </c>
      <c r="AA14" s="9">
        <v>1</v>
      </c>
      <c r="AB14" s="9">
        <v>1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0</v>
      </c>
      <c r="BZ14" s="85">
        <f>BX13</f>
        <v>1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0</v>
      </c>
      <c r="CG14" s="85">
        <f>CE13</f>
        <v>1</v>
      </c>
      <c r="CQ14">
        <v>10</v>
      </c>
      <c r="CR14">
        <f>AC12</f>
        <v>6</v>
      </c>
      <c r="CS14">
        <f>AD12</f>
        <v>1</v>
      </c>
      <c r="CT14" s="85">
        <f>CR13</f>
        <v>5</v>
      </c>
      <c r="CU14" s="85">
        <f>CS13</f>
        <v>2</v>
      </c>
      <c r="CV14" s="61"/>
      <c r="CW14" s="61"/>
      <c r="CX14">
        <v>10</v>
      </c>
      <c r="CY14">
        <f>CR14</f>
        <v>6</v>
      </c>
      <c r="CZ14">
        <f>CS14</f>
        <v>1</v>
      </c>
      <c r="DA14" s="85">
        <f>CY13</f>
        <v>5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74</v>
      </c>
      <c r="W15" t="s">
        <v>75</v>
      </c>
      <c r="X15" t="s">
        <v>71</v>
      </c>
      <c r="Y15" s="9">
        <v>4</v>
      </c>
      <c r="Z15" s="9">
        <v>4</v>
      </c>
      <c r="AA15" s="9">
        <v>0</v>
      </c>
      <c r="AB15" s="9">
        <v>1</v>
      </c>
      <c r="AC15" s="85">
        <f>Y15+Z15</f>
        <v>8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0</v>
      </c>
      <c r="BZ15" s="85">
        <f>BX12</f>
        <v>0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0</v>
      </c>
      <c r="CG15" s="85">
        <f>CE12</f>
        <v>0</v>
      </c>
      <c r="CI15">
        <f>TREND(BW4:BW23,BX4:BX23,,BW4)</f>
        <v>1.5058479532164</v>
      </c>
      <c r="CQ15">
        <v>9</v>
      </c>
      <c r="CR15">
        <f>AC13</f>
        <v>2</v>
      </c>
      <c r="CS15">
        <f>AD13</f>
        <v>1</v>
      </c>
      <c r="CT15" s="85">
        <f>CR12</f>
        <v>0</v>
      </c>
      <c r="CU15" s="85">
        <f>CS12</f>
        <v>5</v>
      </c>
      <c r="CV15" s="61"/>
      <c r="CW15" s="61"/>
      <c r="CX15">
        <v>9</v>
      </c>
      <c r="CY15">
        <f>CR15</f>
        <v>2</v>
      </c>
      <c r="CZ15">
        <f>CS15</f>
        <v>1</v>
      </c>
      <c r="DA15" s="85">
        <f>CY12</f>
        <v>0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30</v>
      </c>
      <c r="O16" s="129">
        <f>BE37</f>
        <v>20</v>
      </c>
      <c r="U16" s="84">
        <f>U15+1</f>
        <v>15</v>
      </c>
      <c r="V16" t="s">
        <v>78</v>
      </c>
      <c r="W16" t="s">
        <v>79</v>
      </c>
      <c r="X16" t="s">
        <v>68</v>
      </c>
      <c r="Y16" s="9">
        <v>3</v>
      </c>
      <c r="Z16" s="9">
        <v>0</v>
      </c>
      <c r="AA16" s="9">
        <v>1</v>
      </c>
      <c r="AB16" s="9">
        <v>2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2</v>
      </c>
      <c r="BZ16" s="85">
        <f>BX11</f>
        <v>3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2</v>
      </c>
      <c r="CG16" s="85">
        <f>CE11</f>
        <v>3</v>
      </c>
      <c r="CI16">
        <f>TREND(BW4:BW23,BX4:BX23,,BW7)</f>
        <v>1.5058479532164</v>
      </c>
      <c r="CQ16">
        <v>8</v>
      </c>
      <c r="CR16">
        <f>AC14</f>
        <v>4</v>
      </c>
      <c r="CS16">
        <f>AD14</f>
        <v>2</v>
      </c>
      <c r="CT16" s="85">
        <f>CR11</f>
        <v>4</v>
      </c>
      <c r="CU16" s="85">
        <f>CS11</f>
        <v>3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4</v>
      </c>
      <c r="DB16" s="85">
        <f>CZ11</f>
        <v>3</v>
      </c>
      <c r="DG16" s="135" t="s">
        <v>80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12.5</v>
      </c>
      <c r="DO16" s="135" t="s">
        <v>80</v>
      </c>
      <c r="DP16" s="136">
        <f>VLOOKUP(1,DM3:DR11,6,FALSE)</f>
        <v>75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35</v>
      </c>
      <c r="N17" s="129">
        <f>BD38</f>
        <v>25</v>
      </c>
      <c r="O17" s="129">
        <f>BE38</f>
        <v>40</v>
      </c>
      <c r="U17" s="84">
        <f>U16+1</f>
        <v>16</v>
      </c>
      <c r="V17" t="s">
        <v>85</v>
      </c>
      <c r="W17" t="s">
        <v>86</v>
      </c>
      <c r="X17" t="s">
        <v>87</v>
      </c>
      <c r="Y17" s="9">
        <v>1</v>
      </c>
      <c r="Z17" s="9">
        <v>0</v>
      </c>
      <c r="AA17" s="9">
        <v>2</v>
      </c>
      <c r="AB17" s="9">
        <v>5</v>
      </c>
      <c r="AC17" s="85">
        <f>Y17+Z17</f>
        <v>1</v>
      </c>
      <c r="AD17" s="85">
        <f>AA17+AB17</f>
        <v>7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4</v>
      </c>
      <c r="BY17" s="85">
        <f>BW10</f>
        <v>3</v>
      </c>
      <c r="BZ17" s="85">
        <f>BX10</f>
        <v>0</v>
      </c>
      <c r="CA17" s="61">
        <f>IF((BW17&gt;=3),"M",BW17)</f>
        <v>0</v>
      </c>
      <c r="CB17" s="61" t="str">
        <f>IF((BX17&gt;=3),"M",BX17)</f>
        <v>M</v>
      </c>
      <c r="CC17">
        <v>7</v>
      </c>
      <c r="CD17">
        <f>BW17</f>
        <v>0</v>
      </c>
      <c r="CE17">
        <f>BX17</f>
        <v>4</v>
      </c>
      <c r="CF17" s="85">
        <f>CD10</f>
        <v>3</v>
      </c>
      <c r="CG17" s="85">
        <f>CE10</f>
        <v>0</v>
      </c>
      <c r="CI17">
        <f>TREND(BW4:BW23,BX4:BX23,,BW11)</f>
        <v>1.5058479532164</v>
      </c>
      <c r="CQ17">
        <v>7</v>
      </c>
      <c r="CR17">
        <f>AC15</f>
        <v>8</v>
      </c>
      <c r="CS17">
        <f>AD15</f>
        <v>1</v>
      </c>
      <c r="CT17" s="85">
        <f>CR10</f>
        <v>0</v>
      </c>
      <c r="CU17" s="85">
        <f>CS10</f>
        <v>4</v>
      </c>
      <c r="CV17" s="61"/>
      <c r="CW17" s="61"/>
      <c r="CX17">
        <v>7</v>
      </c>
      <c r="CY17">
        <f>CR17</f>
        <v>8</v>
      </c>
      <c r="CZ17">
        <f>CS17</f>
        <v>1</v>
      </c>
      <c r="DA17" s="85">
        <f>CY10</f>
        <v>0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Villarreal - Sevilla</v>
      </c>
      <c r="C18" s="115">
        <f>W39</f>
        <v>3</v>
      </c>
      <c r="D18" s="143">
        <f>AA68</f>
        <v>0</v>
      </c>
      <c r="E18">
        <f>Y41</f>
        <v>0.125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36.667</v>
      </c>
      <c r="N18" s="129">
        <f>BD39</f>
        <v>43.333666666667</v>
      </c>
      <c r="O18" s="129">
        <f>BE39</f>
        <v>20.000333333333</v>
      </c>
      <c r="U18" s="84">
        <f>U17+1</f>
        <v>17</v>
      </c>
      <c r="V18" t="s">
        <v>88</v>
      </c>
      <c r="W18" t="s">
        <v>89</v>
      </c>
      <c r="X18" t="s">
        <v>90</v>
      </c>
      <c r="Y18" s="9">
        <v>1</v>
      </c>
      <c r="Z18" s="9">
        <v>1</v>
      </c>
      <c r="AA18" s="9">
        <v>1</v>
      </c>
      <c r="AB18" s="9">
        <v>1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3</v>
      </c>
      <c r="BZ18" s="85">
        <f>BX9</f>
        <v>0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3</v>
      </c>
      <c r="CG18" s="85">
        <f>CE9</f>
        <v>0</v>
      </c>
      <c r="CI18">
        <f>TREND(BW4:BW23,BX4:BX23,,BW19)</f>
        <v>1.5058479532164</v>
      </c>
      <c r="CQ18">
        <v>6</v>
      </c>
      <c r="CR18">
        <f>AC16</f>
        <v>3</v>
      </c>
      <c r="CS18">
        <f>AD16</f>
        <v>3</v>
      </c>
      <c r="CT18" s="85">
        <f>CR9</f>
        <v>1</v>
      </c>
      <c r="CU18" s="85">
        <f>CS9</f>
        <v>4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1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91</v>
      </c>
      <c r="W19" t="s">
        <v>26</v>
      </c>
      <c r="X19" t="s">
        <v>92</v>
      </c>
      <c r="Y19" s="9">
        <v>2</v>
      </c>
      <c r="Z19" s="9">
        <v>1</v>
      </c>
      <c r="AA19" s="9">
        <v>4</v>
      </c>
      <c r="AB19" s="9">
        <v>0</v>
      </c>
      <c r="AC19" s="85">
        <f>Y19+Z19</f>
        <v>3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2</v>
      </c>
      <c r="BZ19" s="85">
        <f>BX8</f>
        <v>2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2</v>
      </c>
      <c r="CG19" s="85">
        <f>CE8</f>
        <v>2</v>
      </c>
      <c r="CQ19">
        <v>5</v>
      </c>
      <c r="CR19">
        <f>AC17</f>
        <v>1</v>
      </c>
      <c r="CS19">
        <f>AD17</f>
        <v>7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1</v>
      </c>
      <c r="CZ19">
        <f>CS19</f>
        <v>7</v>
      </c>
      <c r="DA19" s="85">
        <f>CY8</f>
        <v>3</v>
      </c>
      <c r="DB19" s="85">
        <f>CZ8</f>
        <v>3</v>
      </c>
    </row>
    <row r="20" spans="1:122">
      <c r="A20" s="133"/>
      <c r="B20" s="80" t="s">
        <v>93</v>
      </c>
      <c r="C20" s="106" t="s">
        <v>94</v>
      </c>
      <c r="D20" s="80"/>
      <c r="E20" s="106" t="s">
        <v>95</v>
      </c>
      <c r="F20" s="109"/>
      <c r="G20" s="109" t="s">
        <v>96</v>
      </c>
      <c r="H20" s="109"/>
      <c r="I20" s="80" t="s">
        <v>97</v>
      </c>
      <c r="J20" s="109"/>
      <c r="K20" s="61"/>
      <c r="L20" s="144"/>
      <c r="U20" s="84">
        <f>U19+1</f>
        <v>19</v>
      </c>
      <c r="V20" t="s">
        <v>98</v>
      </c>
      <c r="W20" t="s">
        <v>90</v>
      </c>
      <c r="X20" t="s">
        <v>86</v>
      </c>
      <c r="Y20" s="9">
        <v>1</v>
      </c>
      <c r="Z20" s="9">
        <v>3</v>
      </c>
      <c r="AA20" s="9">
        <v>3</v>
      </c>
      <c r="AB20" s="9">
        <v>2</v>
      </c>
      <c r="AC20" s="85">
        <f>Y20+Z20</f>
        <v>4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1</v>
      </c>
      <c r="CG20" s="85">
        <f>CE7</f>
        <v>1</v>
      </c>
      <c r="CQ20">
        <v>4</v>
      </c>
      <c r="CR20">
        <f>AC18</f>
        <v>2</v>
      </c>
      <c r="CS20">
        <f>AD18</f>
        <v>2</v>
      </c>
      <c r="CT20" s="85">
        <f>CR7</f>
        <v>4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4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99</v>
      </c>
      <c r="W21" t="s">
        <v>92</v>
      </c>
      <c r="X21" t="s">
        <v>100</v>
      </c>
      <c r="Y21" s="9">
        <v>4</v>
      </c>
      <c r="Z21" s="9">
        <v>4</v>
      </c>
      <c r="AA21" s="9">
        <v>0</v>
      </c>
      <c r="AB21" s="9">
        <v>3</v>
      </c>
      <c r="AC21" s="85">
        <f>Y21+Z21</f>
        <v>8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1</v>
      </c>
      <c r="BY21" s="85">
        <f>BW6</f>
        <v>0</v>
      </c>
      <c r="BZ21" s="85">
        <f>BX6</f>
        <v>1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4</v>
      </c>
      <c r="CE21">
        <f>BX21</f>
        <v>1</v>
      </c>
      <c r="CF21" s="85">
        <f>CD6</f>
        <v>0</v>
      </c>
      <c r="CG21" s="85">
        <f>CE6</f>
        <v>1</v>
      </c>
      <c r="CQ21">
        <v>3</v>
      </c>
      <c r="CR21">
        <f>AC19</f>
        <v>3</v>
      </c>
      <c r="CS21">
        <f>AD19</f>
        <v>4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4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Villarreal - Sevilla</v>
      </c>
      <c r="C22" s="115">
        <f>BF42</f>
        <v>11</v>
      </c>
      <c r="D22" s="61">
        <f>BF43</f>
        <v>75.01</v>
      </c>
      <c r="E22" s="154">
        <f>BG42</f>
        <v>21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3</v>
      </c>
      <c r="BY22" s="85">
        <f>BW5</f>
        <v>2</v>
      </c>
      <c r="BZ22" s="85">
        <f>BX5</f>
        <v>2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3</v>
      </c>
      <c r="CE22">
        <f>BX22</f>
        <v>3</v>
      </c>
      <c r="CF22" s="85">
        <f>CD5</f>
        <v>2</v>
      </c>
      <c r="CG22" s="85">
        <f>CE5</f>
        <v>2</v>
      </c>
      <c r="CQ22">
        <v>2</v>
      </c>
      <c r="CR22">
        <f>AC20</f>
        <v>4</v>
      </c>
      <c r="CS22">
        <f>AD20</f>
        <v>5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4</v>
      </c>
      <c r="CZ22">
        <f>CS22</f>
        <v>5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Villarreal-Sevilla</v>
      </c>
      <c r="W23" s="156" t="s">
        <v>101</v>
      </c>
      <c r="X23" s="157" t="str">
        <f>"MAXIMA DE VICTORIA SEGUIDAS COMO LOCAL  DE "&amp;W1&amp;"  A  "&amp;AW4&amp;"  Y CONTANDO CON  "&amp;AX4&amp;"VICTORIA SEGUIDOS"&amp;X28</f>
        <v>MAXIMA DE VICTORIA SEGUIDAS COMO LOCAL  DE Villarreal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0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102</v>
      </c>
      <c r="AT23" s="70" t="s">
        <v>103</v>
      </c>
      <c r="AU23" s="70" t="s">
        <v>104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4</v>
      </c>
      <c r="BY23" s="85">
        <f>BW4</f>
        <v>1</v>
      </c>
      <c r="BZ23" s="85">
        <f>BX4</f>
        <v>0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4</v>
      </c>
      <c r="CF23" s="85">
        <f>CD4</f>
        <v>1</v>
      </c>
      <c r="CG23" s="85">
        <f>CE4</f>
        <v>0</v>
      </c>
      <c r="CQ23">
        <v>1</v>
      </c>
      <c r="CR23">
        <f>AC21</f>
        <v>8</v>
      </c>
      <c r="CS23">
        <f>AD21</f>
        <v>3</v>
      </c>
      <c r="CT23" s="85">
        <f>CR4</f>
        <v>1</v>
      </c>
      <c r="CU23" s="85">
        <f>CS4</f>
        <v>2</v>
      </c>
      <c r="CV23" s="61"/>
      <c r="CW23" s="61"/>
      <c r="CX23">
        <v>1</v>
      </c>
      <c r="CY23">
        <f>CR23</f>
        <v>8</v>
      </c>
      <c r="CZ23">
        <f>CS23</f>
        <v>3</v>
      </c>
      <c r="DA23" s="85">
        <f>CY4</f>
        <v>1</v>
      </c>
      <c r="DB23" s="85">
        <f>CZ4</f>
        <v>2</v>
      </c>
    </row>
    <row r="24" spans="1:122">
      <c r="A24" s="133"/>
      <c r="B24" s="80" t="s">
        <v>105</v>
      </c>
      <c r="C24" s="106" t="s">
        <v>37</v>
      </c>
      <c r="D24" s="80"/>
      <c r="E24" s="106" t="s">
        <v>94</v>
      </c>
      <c r="F24" s="80"/>
      <c r="G24" s="106" t="s">
        <v>95</v>
      </c>
      <c r="H24" s="109"/>
      <c r="I24" s="109" t="s">
        <v>96</v>
      </c>
      <c r="J24" s="109"/>
      <c r="K24" s="61"/>
      <c r="L24" s="144"/>
      <c r="M24" s="61"/>
      <c r="V24" s="85" t="str">
        <f>W1</f>
        <v>Villarreal</v>
      </c>
      <c r="W24" s="84" t="s">
        <v>101</v>
      </c>
      <c r="X24" s="159" t="str">
        <f>"MAXIMA DE VICTORIA SEGUIDAS COMO VISITANTE DE "&amp;X1&amp;"  A  "&amp;BQ4&amp;"  Y CONTANDO CON  "&amp;BR4&amp;"   VICTORIA SEGUIDOS"&amp;X28</f>
        <v>MAXIMA DE VICTORIA SEGUIDAS COMO VISITANTE DE Sevilla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7</v>
      </c>
      <c r="AX24" s="161" t="str">
        <f>V23</f>
        <v>Villarreal-Sevilla</v>
      </c>
      <c r="AY24" s="162">
        <f>((AS9+BM9)/(AS9+AT9+AU9+BM9+BN9+BO9))*100</f>
        <v>42.5</v>
      </c>
      <c r="AZ24" s="162">
        <f>((AT9+BN9)/(AS9+AT9+AU9+BM9+BN9+BO9))*100</f>
        <v>27.5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1.3859649122807</v>
      </c>
      <c r="BX24">
        <f>IF(FORECAST(BX4,BX4:BX23,BW4:BW23)&lt;=0,0,FORECAST(BX4,BX4:BX23,BW4:BW23))</f>
        <v>1.4938704028021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1.2157894736842</v>
      </c>
      <c r="CE24" s="164">
        <f>IF(FORECAST(CC24,CE4:CE23,CC4:CC23)&lt;=0,0,FORECAST(CC24,CE4:CE23,CC4:CC23))</f>
        <v>0.55789473684211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4.7208008898776</v>
      </c>
      <c r="CS24">
        <f>IF(FORECAST(CS4,CS4:CS23,CR4:CR23)&lt;=0,0,FORECAST(CS4,CS4:CS23,CR4:CR23))</f>
        <v>3.4624040920716</v>
      </c>
      <c r="CT24">
        <f>ROUND(CR24,0)</f>
        <v>5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1.8052631578947</v>
      </c>
      <c r="CZ24" s="164">
        <f>IF(FORECAST(CX24,CZ4:CZ23,CX4:CX23)&lt;=0,0,FORECAST(CX24,CZ4:CZ23,CX4:CX23))</f>
        <v>2.6789473684211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94</v>
      </c>
      <c r="F25" s="142" t="s">
        <v>80</v>
      </c>
      <c r="G25" s="148" t="s">
        <v>95</v>
      </c>
      <c r="H25" s="148" t="s">
        <v>80</v>
      </c>
      <c r="I25" s="149" t="s">
        <v>96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106</v>
      </c>
      <c r="X25" t="s">
        <v>107</v>
      </c>
      <c r="Y25" s="20" t="s">
        <v>108</v>
      </c>
      <c r="Z25" t="s">
        <v>109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4</v>
      </c>
      <c r="BW25">
        <f>IF(FORECAST(BW7,BW4:BW23,BX4:BX23)&lt;=0,0,FORECAST(BW7,BW4:BW23,BX4:BX23))</f>
        <v>1.3859649122807</v>
      </c>
      <c r="BX25">
        <f>IF(FORECAST(BX5,BX5:BX24,BW5:BW24)&lt;=0,0,FORECAST(BX5,BX5:BX24,BW5:BW24))</f>
        <v>1.2731279028157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1.575</v>
      </c>
      <c r="CE25" s="164">
        <f>IF(FORECAST(CC24,CE4:CE19,CC4:CC19)&lt;=0,0,FORECAST(CC24,CE4:CE19,CC4:CC19))</f>
        <v>0.975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2.5684093437152</v>
      </c>
      <c r="CS25">
        <f>IF(FORECAST(CS7,CS4:CS23,CR4:CR23)&lt;=0,0,FORECAST(CS7,CS4:CS23,CR4:CR23))</f>
        <v>3.4624040920716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1.95</v>
      </c>
      <c r="CZ25" s="164">
        <f>IF(FORECAST(CX24,CZ4:CZ19,CX4:CX19)&lt;=0,0,FORECAST(CX24,CZ4:CZ19,CX4:CX19))</f>
        <v>2.85</v>
      </c>
      <c r="DA25">
        <f>ROUND(CY25,0)</f>
        <v>2</v>
      </c>
      <c r="DB25">
        <f>ROUND(CZ25,0)</f>
        <v>3</v>
      </c>
    </row>
    <row r="26" spans="1:122">
      <c r="A26" s="84">
        <f>A1</f>
        <v>1</v>
      </c>
      <c r="B26" s="61" t="str">
        <f>B1</f>
        <v>Villarreal - Sevilla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25</v>
      </c>
      <c r="I26" s="115">
        <f>BH45</f>
        <v>5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1-2</v>
      </c>
      <c r="AA26" t="str">
        <f>Y4&amp;"-"&amp;Z4</f>
        <v>2-1</v>
      </c>
      <c r="AB26" t="str">
        <f>Y5&amp;"-"&amp;Z5</f>
        <v>3-1</v>
      </c>
      <c r="AC26" t="str">
        <f>Y6&amp;"-"&amp;Z6</f>
        <v>1-2</v>
      </c>
      <c r="AD26" t="str">
        <f>Y7&amp;"-"&amp;Z7</f>
        <v>1-0</v>
      </c>
      <c r="AE26" t="str">
        <f>Y8&amp;"-"&amp;Z8</f>
        <v>0-0</v>
      </c>
      <c r="AF26" t="str">
        <f>Y9&amp;"-"&amp;Z9</f>
        <v>1-3</v>
      </c>
      <c r="AG26" t="str">
        <f>Y10&amp;"-"&amp;Z10</f>
        <v>0-0</v>
      </c>
      <c r="AH26" t="str">
        <f>Y11&amp;"-"&amp;Z11</f>
        <v>4-1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1.266081871345</v>
      </c>
      <c r="BX26">
        <f>IF(FORECAST(BX6,BX6:BX25,BW6:BW25)&lt;=0,0,FORECAST(BX6,BX6:BX25,BW6:BW25))</f>
        <v>1.3987453480765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0.57142857142857</v>
      </c>
      <c r="CE26" s="164">
        <f>IF(FORECAST(CC24,CE4:CE11,CC4:CC11)&lt;=0,0,FORECAST(CC24,CE4:CE11,CC4:CC11))</f>
        <v>0.64285714285714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2.5684093437152</v>
      </c>
      <c r="CS26">
        <f>IF(FORECAST(CS11,CS4:CS23,CR4:CR23)&lt;=0,0,FORECAST(CS11,CS4:CS23,CR4:CR23))</f>
        <v>3.1324808184143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2.4285714285714</v>
      </c>
      <c r="CZ26" s="164">
        <f>IF(FORECAST(CX24,CZ4:CZ11,CX4:CX11)&lt;=0,0,FORECAST(CX24,CZ4:CZ11,CX4:CX11))</f>
        <v>2.5357142857143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106</v>
      </c>
      <c r="X27" t="str">
        <f>W1</f>
        <v>Villarreal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110</v>
      </c>
      <c r="BK27" s="74"/>
      <c r="BN27" s="74"/>
      <c r="BO27" s="74"/>
      <c r="BP27" s="74"/>
      <c r="BQ27" s="74"/>
      <c r="BW27">
        <f>IF(FORECAST(BW19,BW4:BW23,BX4:BX23)&lt;=0,0,FORECAST(BW19,BW4:BW23,BX4:BX23))</f>
        <v>1.266081871345</v>
      </c>
      <c r="BX27">
        <f>IF(FORECAST(BX7,BX7:BX26,BW7:BW26)&lt;=0,0,FORECAST(BX7,BX7:BX26,BW7:BW26))</f>
        <v>1.4425133184474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4.7208008898776</v>
      </c>
      <c r="CS27">
        <f>IF(FORECAST(CS19,CS4:CS23,CR4:CR23)&lt;=0,0,FORECAST(CS19,CS4:CS23,CR4:CR23))</f>
        <v>1.8127877237852</v>
      </c>
      <c r="CT27">
        <f>ROUND(CR27,0)</f>
        <v>5</v>
      </c>
      <c r="CU27">
        <f>ROUND(CS27,0)</f>
        <v>2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3</v>
      </c>
      <c r="DA27">
        <f>ROUND(CY27,0)</f>
        <v>1</v>
      </c>
      <c r="DB27">
        <f>ROUND(CZ27,0)</f>
        <v>3</v>
      </c>
    </row>
    <row r="28" spans="1:122" customHeight="1" ht="15.75">
      <c r="A28" s="133"/>
      <c r="B28" s="80" t="s">
        <v>111</v>
      </c>
      <c r="C28" s="106" t="s">
        <v>37</v>
      </c>
      <c r="D28" s="80"/>
      <c r="E28" s="106" t="s">
        <v>94</v>
      </c>
      <c r="F28" s="80"/>
      <c r="G28" s="106" t="s">
        <v>95</v>
      </c>
      <c r="H28" s="109"/>
      <c r="I28" s="109" t="s">
        <v>96</v>
      </c>
      <c r="J28" s="109"/>
      <c r="K28" s="109" t="s">
        <v>97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( 7)  vrs  AW ( 4 )</v>
      </c>
      <c r="BD28" s="173">
        <f>W35</f>
        <v>7</v>
      </c>
      <c r="BE28" s="174">
        <f>W36</f>
        <v>4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Villarreal-Sevilla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21</v>
      </c>
      <c r="CF28" s="61" t="str">
        <f>CONCATENATE(CH26,CI26)</f>
        <v>11</v>
      </c>
      <c r="CG28" s="61" t="str">
        <f>CONCATENATE(CH27,CI27)</f>
        <v>21</v>
      </c>
      <c r="CQ28" s="177" t="s">
        <v>112</v>
      </c>
      <c r="CR28" s="178">
        <f>CT24</f>
        <v>5</v>
      </c>
      <c r="CS28" s="178">
        <f>CT25</f>
        <v>3</v>
      </c>
      <c r="CT28" s="178">
        <f>CT26</f>
        <v>3</v>
      </c>
      <c r="CU28" s="178">
        <f>CT27</f>
        <v>5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113</v>
      </c>
      <c r="E29" s="142" t="s">
        <v>94</v>
      </c>
      <c r="F29" s="142" t="s">
        <v>80</v>
      </c>
      <c r="G29" s="148" t="s">
        <v>95</v>
      </c>
      <c r="H29" s="148" t="s">
        <v>80</v>
      </c>
      <c r="I29" s="149" t="s">
        <v>96</v>
      </c>
      <c r="J29" s="149" t="s">
        <v>80</v>
      </c>
      <c r="K29" s="141" t="s">
        <v>97</v>
      </c>
      <c r="L29" s="181" t="s">
        <v>80</v>
      </c>
      <c r="M29" s="61"/>
      <c r="V29" s="12"/>
      <c r="W29" s="182"/>
      <c r="X29" t="s">
        <v>107</v>
      </c>
      <c r="Y29" s="20" t="s">
        <v>108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Villarreal-Sevilla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21</v>
      </c>
      <c r="CF29" s="61" t="str">
        <f>CONCATENATE(CF26,CG26)</f>
        <v>11</v>
      </c>
      <c r="CG29" s="61" t="str">
        <f>CONCATENATE(CF27,CG27)</f>
        <v>21</v>
      </c>
      <c r="CI29" s="61"/>
      <c r="CR29" s="183">
        <v>5.0</v>
      </c>
      <c r="CS29" s="184">
        <v>3.0</v>
      </c>
      <c r="CT29" s="184">
        <v>2.0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Villarreal - Sevilla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2-2</v>
      </c>
      <c r="AA30" t="str">
        <f>AA4&amp;"-"&amp;AB4</f>
        <v>0-3</v>
      </c>
      <c r="AB30" t="str">
        <f>AA5&amp;"-"&amp;AB5</f>
        <v>1-1</v>
      </c>
      <c r="AC30" t="str">
        <f>AA6&amp;"-"&amp;AB6</f>
        <v>2-1</v>
      </c>
      <c r="AD30" t="str">
        <f>AA7&amp;"-"&amp;AB7</f>
        <v>3-1</v>
      </c>
      <c r="AE30" t="str">
        <f>AA8&amp;"-"&amp;AB8</f>
        <v>3-1</v>
      </c>
      <c r="AF30" t="str">
        <f>AA9&amp;"-"&amp;AB9</f>
        <v>2-1</v>
      </c>
      <c r="AG30" t="str">
        <f>AA10&amp;"-"&amp;AB10</f>
        <v>0-5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114</v>
      </c>
      <c r="BF30" t="s">
        <v>115</v>
      </c>
      <c r="BK30" s="115"/>
      <c r="BL30" s="115"/>
      <c r="BM30" s="115"/>
      <c r="BN30" s="115"/>
      <c r="BO30" s="115"/>
      <c r="BP30" s="115"/>
      <c r="BQ30" s="115"/>
      <c r="BU30" s="9" t="str">
        <f>$V$23</f>
        <v>Villarreal-Sevilla</v>
      </c>
      <c r="BV30" t="s">
        <v>84</v>
      </c>
      <c r="BW30" t="str">
        <f>BW28</f>
        <v>11</v>
      </c>
      <c r="BX30">
        <f>IF(FORECAST(BX10,BX10:BX29,BW10:BW29)&lt;=0,0,FORECAST(BX10,BX10:BX29,BW10:BW29))</f>
        <v>1.6333265028935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21</v>
      </c>
      <c r="CC30" t="str">
        <f>CF28</f>
        <v>11</v>
      </c>
      <c r="CD30" t="str">
        <f>CG28</f>
        <v>21</v>
      </c>
      <c r="CE30" s="21"/>
      <c r="CF30" s="187">
        <v>11</v>
      </c>
      <c r="CG30" s="187">
        <v>1.6333265028935</v>
      </c>
      <c r="CH30" s="187">
        <v>21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Sevilla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Villarreal-Sevilla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X::1::X::1::: GolRange ofmnmx→ 2-3; and ResuExact of →11::21::11::21:::; and ResuSigno of →11::21::11::21; and nº of goles→ ::2::3::2</v>
      </c>
      <c r="CQ31" s="177" t="s">
        <v>112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61</v>
      </c>
      <c r="D33" s="9">
        <v>30</v>
      </c>
      <c r="E33" s="9">
        <v>19</v>
      </c>
      <c r="F33" s="9">
        <v>8</v>
      </c>
      <c r="G33" s="9">
        <v>3</v>
      </c>
      <c r="H33" s="9">
        <v>57</v>
      </c>
      <c r="I33" s="9">
        <v>21</v>
      </c>
      <c r="J33" s="9">
        <v>36</v>
      </c>
      <c r="K33" s="9">
        <v>65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Villarreal-Sevilla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92</v>
      </c>
      <c r="D34" s="9">
        <v>30</v>
      </c>
      <c r="E34" s="9">
        <v>20</v>
      </c>
      <c r="F34" s="9">
        <v>5</v>
      </c>
      <c r="G34" s="9">
        <v>5</v>
      </c>
      <c r="H34" s="9">
        <v>69</v>
      </c>
      <c r="I34" s="9">
        <v>31</v>
      </c>
      <c r="J34" s="9">
        <v>38</v>
      </c>
      <c r="K34" s="9">
        <v>65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6</v>
      </c>
      <c r="C35" t="s">
        <v>132</v>
      </c>
      <c r="D35" s="9">
        <v>30</v>
      </c>
      <c r="E35" s="9">
        <v>13</v>
      </c>
      <c r="F35" s="9">
        <v>13</v>
      </c>
      <c r="G35" s="9">
        <v>4</v>
      </c>
      <c r="H35" s="9">
        <v>38</v>
      </c>
      <c r="I35" s="9">
        <v>22</v>
      </c>
      <c r="J35" s="9">
        <v>16</v>
      </c>
      <c r="K35" s="9">
        <v>52</v>
      </c>
      <c r="L35" s="196" t="s">
        <v>133</v>
      </c>
      <c r="U35" s="74"/>
      <c r="W35" s="201">
        <v>7</v>
      </c>
      <c r="X35" s="85" t="s">
        <v>7</v>
      </c>
      <c r="Y35" s="85">
        <v>30</v>
      </c>
      <c r="Z35" s="85">
        <v>14</v>
      </c>
      <c r="AA35" s="85">
        <v>5</v>
      </c>
      <c r="AB35" s="85">
        <v>11</v>
      </c>
      <c r="AC35" s="85">
        <v>47</v>
      </c>
      <c r="AD35" s="85">
        <v>38</v>
      </c>
      <c r="AE35" s="85">
        <v>9</v>
      </c>
      <c r="AF35" s="85">
        <v>47</v>
      </c>
      <c r="AG35" t="s">
        <v>134</v>
      </c>
      <c r="AJ35" s="167" t="str">
        <f>AC27</f>
        <v>L</v>
      </c>
      <c r="AK35" s="167" t="str">
        <f>AB27</f>
        <v>W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21</v>
      </c>
      <c r="CD35" t="str">
        <f>CF28</f>
        <v>11</v>
      </c>
      <c r="CE35" t="str">
        <f>CG28</f>
        <v>21</v>
      </c>
      <c r="CG35" s="187">
        <v>11</v>
      </c>
      <c r="CH35" s="187">
        <v>21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8</v>
      </c>
      <c r="D36" s="9">
        <v>30</v>
      </c>
      <c r="E36" s="9">
        <v>14</v>
      </c>
      <c r="F36" s="9">
        <v>10</v>
      </c>
      <c r="G36" s="9">
        <v>6</v>
      </c>
      <c r="H36" s="9">
        <v>42</v>
      </c>
      <c r="I36" s="9">
        <v>30</v>
      </c>
      <c r="J36" s="9">
        <v>12</v>
      </c>
      <c r="K36" s="9">
        <v>52</v>
      </c>
      <c r="L36" s="196" t="s">
        <v>136</v>
      </c>
      <c r="U36" s="74"/>
      <c r="W36" s="202">
        <v>4</v>
      </c>
      <c r="X36" s="203" t="s">
        <v>8</v>
      </c>
      <c r="Y36" s="203">
        <v>30</v>
      </c>
      <c r="Z36" s="203">
        <v>14</v>
      </c>
      <c r="AA36" s="203">
        <v>10</v>
      </c>
      <c r="AB36" s="203">
        <v>6</v>
      </c>
      <c r="AC36" s="203">
        <v>42</v>
      </c>
      <c r="AD36" s="203">
        <v>30</v>
      </c>
      <c r="AE36" s="203">
        <v>12</v>
      </c>
      <c r="AF36" s="203">
        <v>52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Villarreal-Sevilla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>X</v>
      </c>
      <c r="BG36" s="208" t="str">
        <f>IFERROR(VLOOKUP(BA36,IN!$B$12:$AU$12,35),"")</f>
        <v>22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1.52</v>
      </c>
      <c r="BL36">
        <f>I101</f>
        <v>2.23</v>
      </c>
      <c r="BM36">
        <f>J101</f>
        <v>2.02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 t="str">
        <f>CG33</f>
        <v>X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csPr=#11,1.6333265028935,21,,,,,#</v>
      </c>
    </row>
    <row r="37" spans="1:122" customHeight="1" ht="15.75">
      <c r="A37" s="195">
        <v>5</v>
      </c>
      <c r="B37" s="64">
        <v>5</v>
      </c>
      <c r="C37" t="s">
        <v>35</v>
      </c>
      <c r="D37" s="9">
        <v>30</v>
      </c>
      <c r="E37" s="9">
        <v>13</v>
      </c>
      <c r="F37" s="9">
        <v>9</v>
      </c>
      <c r="G37" s="9">
        <v>8</v>
      </c>
      <c r="H37" s="9">
        <v>39</v>
      </c>
      <c r="I37" s="9">
        <v>28</v>
      </c>
      <c r="J37" s="9">
        <v>11</v>
      </c>
      <c r="K37" s="9">
        <v>48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Villarreal-Sevilla</v>
      </c>
      <c r="BC37" s="210">
        <f>AS9</f>
        <v>50</v>
      </c>
      <c r="BD37" s="210">
        <f>AT9</f>
        <v>30</v>
      </c>
      <c r="BE37" s="210">
        <f>AU9</f>
        <v>20</v>
      </c>
      <c r="BF37" s="211" t="str">
        <f>IFERROR(VLOOKUP(BA37,IN!$B$12:$AU$12,39),"")</f>
        <v>X</v>
      </c>
      <c r="BG37" s="212" t="str">
        <f>IFERROR(VLOOKUP(BA37,IN!$B$12:$AU$12,35),"")</f>
        <v>22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41.093122047316</v>
      </c>
      <c r="BL37">
        <f>IF(BL36="","",(((100)*(1/BL36))/((1/BL36)+(1/BL36)+(1/BM36)))+0.01)</f>
        <v>32.226905901116</v>
      </c>
      <c r="BM37">
        <f>IF(BM36="","",(((100)*(1/BM36))/((1/BM36)+(1/BL36)+(1/BM36)))+0.01)</f>
        <v>34.423580246914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Villarreal-Sevilla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4</v>
      </c>
      <c r="C38" t="s">
        <v>138</v>
      </c>
      <c r="D38" s="9">
        <v>30</v>
      </c>
      <c r="E38" s="9">
        <v>14</v>
      </c>
      <c r="F38" s="9">
        <v>5</v>
      </c>
      <c r="G38" s="9">
        <v>11</v>
      </c>
      <c r="H38" s="9">
        <v>47</v>
      </c>
      <c r="I38" s="9">
        <v>38</v>
      </c>
      <c r="J38" s="9">
        <v>9</v>
      </c>
      <c r="K38" s="9">
        <v>47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Villarreal-Sevilla</v>
      </c>
      <c r="BC38">
        <f>BM9</f>
        <v>35</v>
      </c>
      <c r="BD38">
        <f>BN9</f>
        <v>25</v>
      </c>
      <c r="BE38">
        <f>BO9</f>
        <v>40</v>
      </c>
      <c r="BF38" s="211" t="str">
        <f>IFERROR(VLOOKUP(BA38,IN!$B$12:$AU$12,39),"")</f>
        <v>X</v>
      </c>
      <c r="BG38" s="212" t="str">
        <f>IFERROR(VLOOKUP(BA38,IN!$B$12:$AU$12,35),"")</f>
        <v>22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Villarreal-Sevilla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8</v>
      </c>
      <c r="C39" t="s">
        <v>7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134</v>
      </c>
      <c r="W39" s="214">
        <f>W35-W36</f>
        <v>3</v>
      </c>
      <c r="X39" t="s">
        <v>1</v>
      </c>
      <c r="Y39">
        <f>SUM(AA2:AA17)/16</f>
        <v>1.1875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12.5</v>
      </c>
      <c r="AL39">
        <f>BJ46</f>
        <v>75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Villarreal-Sevilla</v>
      </c>
      <c r="BC39">
        <f>(BC36+BC37+BC38)/3</f>
        <v>36.667</v>
      </c>
      <c r="BD39">
        <f>(BD36+BD37+BD38)/3</f>
        <v>43.333666666667</v>
      </c>
      <c r="BE39">
        <f>(BE36+BE37+BE38)/3</f>
        <v>20.000333333333</v>
      </c>
      <c r="BF39" s="216" t="str">
        <f>IFERROR(VLOOKUP(BA39,IN!$B$12:$AU$12,39),"")</f>
        <v>X</v>
      </c>
      <c r="BG39" s="217" t="str">
        <f>IFERROR(VLOOKUP(BA39,IN!$B$12:$AU$12,35),"")</f>
        <v>22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90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150</v>
      </c>
      <c r="D41" s="9">
        <v>30</v>
      </c>
      <c r="E41" s="9">
        <v>10</v>
      </c>
      <c r="F41" s="9">
        <v>12</v>
      </c>
      <c r="G41" s="9">
        <v>8</v>
      </c>
      <c r="H41" s="9">
        <v>33</v>
      </c>
      <c r="I41" s="9">
        <v>26</v>
      </c>
      <c r="J41" s="9">
        <v>7</v>
      </c>
      <c r="K41" s="9">
        <v>42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0.125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62.5</v>
      </c>
      <c r="AE41" s="220">
        <f>(AE39+AE40)/2</f>
        <v>37.5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153</v>
      </c>
      <c r="D42" s="9">
        <v>30</v>
      </c>
      <c r="E42" s="9">
        <v>12</v>
      </c>
      <c r="F42" s="9">
        <v>6</v>
      </c>
      <c r="G42" s="9">
        <v>12</v>
      </c>
      <c r="H42" s="9">
        <v>37</v>
      </c>
      <c r="I42" s="9">
        <v>36</v>
      </c>
      <c r="J42" s="9">
        <v>1</v>
      </c>
      <c r="K42" s="9">
        <v>42</v>
      </c>
      <c r="L42" s="196" t="s">
        <v>154</v>
      </c>
      <c r="Y42">
        <f>(SUM(AA2:AA17)/16)-(SUM(Z2:Z17)/16)</f>
        <v>0.125</v>
      </c>
      <c r="AU42" s="74"/>
      <c r="AV42" s="74"/>
      <c r="AW42" s="74"/>
      <c r="AX42" s="155"/>
      <c r="BA42" s="205">
        <f>BA27</f>
        <v>1</v>
      </c>
      <c r="BB42" s="206" t="str">
        <f>V23</f>
        <v>Villarreal-Sevilla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22</v>
      </c>
      <c r="D43" s="9">
        <v>30</v>
      </c>
      <c r="E43" s="9">
        <v>11</v>
      </c>
      <c r="F43" s="9">
        <v>5</v>
      </c>
      <c r="G43" s="9">
        <v>14</v>
      </c>
      <c r="H43" s="9">
        <v>37</v>
      </c>
      <c r="I43" s="9">
        <v>43</v>
      </c>
      <c r="J43" s="9">
        <v>-6</v>
      </c>
      <c r="K43" s="9">
        <v>38</v>
      </c>
      <c r="L43" s="196" t="s">
        <v>155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41</v>
      </c>
      <c r="D44" s="9">
        <v>30</v>
      </c>
      <c r="E44" s="9">
        <v>8</v>
      </c>
      <c r="F44" s="9">
        <v>11</v>
      </c>
      <c r="G44" s="9">
        <v>11</v>
      </c>
      <c r="H44" s="9">
        <v>35</v>
      </c>
      <c r="I44" s="9">
        <v>46</v>
      </c>
      <c r="J44" s="9">
        <v>-11</v>
      </c>
      <c r="K44" s="9">
        <v>35</v>
      </c>
      <c r="L44" s="196" t="s">
        <v>139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156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157</v>
      </c>
      <c r="BA45" s="205">
        <f>BA27</f>
        <v>1</v>
      </c>
      <c r="BB45" s="206" t="str">
        <f>V23</f>
        <v>Villarreal-Sevilla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158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12.5</v>
      </c>
      <c r="BJ46">
        <f>DP16</f>
        <v>75</v>
      </c>
      <c r="BK46">
        <f>DQ16</f>
        <v>25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160</v>
      </c>
      <c r="D47" s="9">
        <v>30</v>
      </c>
      <c r="E47" s="9">
        <v>7</v>
      </c>
      <c r="F47" s="9">
        <v>12</v>
      </c>
      <c r="G47" s="9">
        <v>11</v>
      </c>
      <c r="H47" s="9">
        <v>25</v>
      </c>
      <c r="I47" s="9">
        <v>35</v>
      </c>
      <c r="J47" s="9">
        <v>-10</v>
      </c>
      <c r="K47" s="9">
        <v>33</v>
      </c>
      <c r="L47" s="196" t="s">
        <v>161</v>
      </c>
      <c r="X47">
        <v>1</v>
      </c>
      <c r="Y47" s="84">
        <f>AA21</f>
        <v>0</v>
      </c>
      <c r="Z47">
        <f>Z21</f>
        <v>4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Villarreal-Sevilla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21</v>
      </c>
      <c r="BI47" s="223" t="str">
        <f>CF28</f>
        <v>11</v>
      </c>
      <c r="BJ47" s="223" t="str">
        <f>CG28</f>
        <v>21</v>
      </c>
    </row>
    <row r="48" spans="1:122" customHeight="1" ht="15.75">
      <c r="A48" s="195">
        <v>16</v>
      </c>
      <c r="B48" s="64">
        <v>17</v>
      </c>
      <c r="C48" t="s">
        <v>54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162</v>
      </c>
      <c r="X48">
        <v>2</v>
      </c>
      <c r="Y48" s="84">
        <f>AA20</f>
        <v>3</v>
      </c>
      <c r="Z48">
        <f>Z20</f>
        <v>3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86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163</v>
      </c>
      <c r="X49">
        <v>3</v>
      </c>
      <c r="Y49" s="84">
        <f>AA19</f>
        <v>4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Villarreal-Sevilla</v>
      </c>
      <c r="BC49" s="224">
        <v>11</v>
      </c>
      <c r="BD49" s="224">
        <v>21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21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26</v>
      </c>
      <c r="D51" s="9">
        <v>30</v>
      </c>
      <c r="E51" s="9">
        <v>5</v>
      </c>
      <c r="F51" s="9">
        <v>9</v>
      </c>
      <c r="G51" s="9">
        <v>16</v>
      </c>
      <c r="H51" s="9">
        <v>23</v>
      </c>
      <c r="I51" s="9">
        <v>44</v>
      </c>
      <c r="J51" s="9">
        <v>-21</v>
      </c>
      <c r="K51" s="9">
        <v>24</v>
      </c>
      <c r="L51" s="196" t="s">
        <v>165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53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166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4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3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1.266081871345</v>
      </c>
      <c r="Z68" s="239">
        <f>IF(FORECAST(Z62,Z47:Z66,Y47:Y66)&lt;=0,0,FORECAST(Z62,Z47:Z66,Y47:Y66))</f>
        <v>1.2066549912434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37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290" t="s">
        <v>176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113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Villarreal - Sevilla</v>
      </c>
      <c r="C93" s="246">
        <f>Y41</f>
        <v>0.125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181</v>
      </c>
      <c r="C98" s="309" t="s">
        <v>182</v>
      </c>
      <c r="D98" s="312" t="s">
        <v>183</v>
      </c>
      <c r="E98" s="312" t="s">
        <v>184</v>
      </c>
      <c r="F98" s="312" t="s">
        <v>185</v>
      </c>
      <c r="G98" s="292" t="s">
        <v>186</v>
      </c>
      <c r="H98" s="294" t="s">
        <v>187</v>
      </c>
      <c r="I98" s="294" t="s">
        <v>188</v>
      </c>
      <c r="J98" s="294" t="s">
        <v>189</v>
      </c>
      <c r="K98" s="296" t="s">
        <v>190</v>
      </c>
      <c r="L98" s="297"/>
      <c r="M98" s="298"/>
      <c r="N98" s="300" t="s">
        <v>191</v>
      </c>
      <c r="O98" s="301"/>
      <c r="P98" s="302"/>
      <c r="Q98" s="296" t="s">
        <v>192</v>
      </c>
      <c r="R98" s="297"/>
      <c r="S98" s="298"/>
      <c r="T98" s="279" t="s">
        <v>193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111</v>
      </c>
      <c r="AE98" s="304"/>
      <c r="AF98" s="304"/>
      <c r="AG98" s="304"/>
      <c r="AH98" s="304"/>
      <c r="AI98" s="304"/>
      <c r="AJ98" s="304"/>
      <c r="AK98" s="305"/>
      <c r="AL98" s="306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196</v>
      </c>
      <c r="BX98" s="316"/>
      <c r="BY98" s="316"/>
      <c r="BZ98" s="316" t="s">
        <v>197</v>
      </c>
      <c r="CA98" s="316"/>
      <c r="CB98" s="316"/>
      <c r="CC98" s="316" t="s">
        <v>198</v>
      </c>
      <c r="CD98" s="316"/>
      <c r="CE98" s="316"/>
      <c r="CF98" s="316" t="s">
        <v>197</v>
      </c>
      <c r="CG98" s="316"/>
      <c r="CH98" s="316"/>
      <c r="CI98" s="316" t="s">
        <v>198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317" t="s">
        <v>176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199</v>
      </c>
      <c r="AN99" s="318" t="s">
        <v>200</v>
      </c>
      <c r="AO99" s="319" t="s">
        <v>186</v>
      </c>
      <c r="AP99" s="319" t="s">
        <v>186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94</v>
      </c>
      <c r="BP99" s="80"/>
      <c r="BQ99" s="106" t="s">
        <v>95</v>
      </c>
      <c r="BR99" s="109"/>
      <c r="BS99" s="109" t="s">
        <v>96</v>
      </c>
      <c r="BT99" s="109"/>
      <c r="BU99" s="109" t="s">
        <v>97</v>
      </c>
      <c r="BV99" s="109"/>
      <c r="BW99" s="322" t="s">
        <v>201</v>
      </c>
      <c r="BX99" s="306" t="s">
        <v>202</v>
      </c>
      <c r="BY99" s="306" t="s">
        <v>203</v>
      </c>
      <c r="BZ99" s="322" t="s">
        <v>201</v>
      </c>
      <c r="CA99" s="306" t="s">
        <v>202</v>
      </c>
      <c r="CB99" s="306" t="s">
        <v>203</v>
      </c>
      <c r="CC99" s="322" t="s">
        <v>201</v>
      </c>
      <c r="CD99" s="306" t="s">
        <v>202</v>
      </c>
      <c r="CE99" s="306" t="s">
        <v>203</v>
      </c>
      <c r="CF99" s="322" t="s">
        <v>201</v>
      </c>
      <c r="CG99" s="306" t="s">
        <v>202</v>
      </c>
      <c r="CH99" s="306" t="s">
        <v>203</v>
      </c>
      <c r="CI99" s="322" t="s">
        <v>201</v>
      </c>
      <c r="CJ99" s="306" t="s">
        <v>202</v>
      </c>
      <c r="CK99" s="306" t="s">
        <v>203</v>
      </c>
    </row>
    <row r="100" spans="1:122" customHeight="1" ht="39" s="86" customFormat="1">
      <c r="B100" s="308"/>
      <c r="C100" s="311"/>
      <c r="D100" s="256" t="s">
        <v>204</v>
      </c>
      <c r="E100" s="257" t="s">
        <v>205</v>
      </c>
      <c r="F100" s="121" t="s">
        <v>152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212</v>
      </c>
      <c r="U100" s="262" t="s">
        <v>46</v>
      </c>
      <c r="V100" s="167" t="s">
        <v>82</v>
      </c>
      <c r="W100" s="263" t="s">
        <v>113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213</v>
      </c>
      <c r="AF100" s="167" t="s">
        <v>80</v>
      </c>
      <c r="AG100" s="263" t="s">
        <v>23</v>
      </c>
      <c r="AH100" s="263" t="s">
        <v>214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220</v>
      </c>
      <c r="BG100" s="109" t="s">
        <v>221</v>
      </c>
      <c r="BH100" s="110" t="s">
        <v>49</v>
      </c>
      <c r="BI100" s="110" t="s">
        <v>50</v>
      </c>
      <c r="BJ100" s="110" t="s">
        <v>51</v>
      </c>
      <c r="BK100" s="111" t="s">
        <v>222</v>
      </c>
      <c r="BL100" s="80" t="s">
        <v>23</v>
      </c>
      <c r="BM100" s="145" t="s">
        <v>223</v>
      </c>
      <c r="BN100" s="140" t="s">
        <v>113</v>
      </c>
      <c r="BO100" s="142" t="s">
        <v>94</v>
      </c>
      <c r="BP100" s="142" t="s">
        <v>80</v>
      </c>
      <c r="BQ100" s="148" t="s">
        <v>95</v>
      </c>
      <c r="BR100" s="148" t="s">
        <v>80</v>
      </c>
      <c r="BS100" s="149" t="s">
        <v>96</v>
      </c>
      <c r="BT100" s="149" t="s">
        <v>80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224</v>
      </c>
      <c r="C101" s="269" t="s">
        <v>225</v>
      </c>
      <c r="D101" s="270" t="str">
        <f>IN!C4</f>
        <v>Spain &gt;&gt; LaLiga</v>
      </c>
      <c r="E101" s="270" t="str">
        <f>IN!D4</f>
        <v>17:30</v>
      </c>
      <c r="F101" s="270" t="str">
        <f>B1</f>
        <v>Villarreal - Sevilla</v>
      </c>
      <c r="G101" s="262" t="str">
        <f>IN!F4</f>
        <v>2:2</v>
      </c>
      <c r="H101" s="263">
        <f>IN!G4</f>
        <v>1.52</v>
      </c>
      <c r="I101" s="263">
        <f>IN!H4</f>
        <v>2.23</v>
      </c>
      <c r="J101" s="263">
        <f>IN!I4</f>
        <v>2.02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>2:2</v>
      </c>
      <c r="S101" s="167" t="str">
        <f>IN!R4</f>
        <v>p1</v>
      </c>
      <c r="T101" s="271" t="str">
        <f>IN!S4</f>
        <v>https://int.soccerway.com/matches/2020/06/22/spain/primera-division/villarreal-club-de-futbol/sevilla-futbol-club/3059118/</v>
      </c>
      <c r="U101" s="167">
        <f>(SUM(AA2:AA17)/16)-(SUM(Z2:Z17)/16)</f>
        <v>0.125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36.667</v>
      </c>
      <c r="AJ101" s="167">
        <f>BD39</f>
        <v>43.333666666667</v>
      </c>
      <c r="AK101" s="167">
        <f>BE39</f>
        <v>20.000333333333</v>
      </c>
      <c r="AL101" s="167">
        <v>1</v>
      </c>
      <c r="AM101" s="263" t="str">
        <f>IN!C4</f>
        <v>Spain &gt;&gt; LaLiga</v>
      </c>
      <c r="AN101" s="263" t="str">
        <f>IN!E4</f>
        <v>Villarreal - Sevilla</v>
      </c>
      <c r="AO101" s="167" t="str">
        <f>M2</f>
        <v>22</v>
      </c>
      <c r="AP101" s="167" t="str">
        <f>N2</f>
        <v>X</v>
      </c>
      <c r="AQ101" s="263">
        <f>VLOOKUP(1,BC55:BF70,4,FALSE)</f>
        <v>11</v>
      </c>
      <c r="AR101" s="263">
        <f>VLOOKUP(1,BC55:BF70,3,FALSE)</f>
        <v>75.01</v>
      </c>
      <c r="AS101" s="263">
        <f>VLOOKUP(2,BC55:BF70,4,FALSE)</f>
        <v>21</v>
      </c>
      <c r="AT101" s="263">
        <f>VLOOKUP(2,BC55:BF70,3,FALSE)</f>
        <v>25.01</v>
      </c>
      <c r="AU101" s="263">
        <f>VLOOKUP(3,BC55:BF70,4,FALSE)</f>
        <v>0</v>
      </c>
      <c r="AV101" s="263">
        <f>VLOOKUP(3,BC55:BF70,3,FALSE)</f>
        <v>0.02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62.5</v>
      </c>
      <c r="BD101" s="263">
        <f>(AE39+AE40)/2</f>
        <v>37.5</v>
      </c>
      <c r="BE101" s="263">
        <f>((COUNTIF(AA25:AP25,1)/16)*100)</f>
        <v>31.25</v>
      </c>
      <c r="BF101" s="263">
        <f>BF46</f>
        <v>56.25</v>
      </c>
      <c r="BG101" s="263">
        <f>BG46</f>
        <v>25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0</v>
      </c>
      <c r="BK101" s="263">
        <f>(BF46+BJ46)/2</f>
        <v>65.625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41.093122047316</v>
      </c>
      <c r="BX101" s="272">
        <f>IF(I101="","",(((100)*(1/I101))/((1/H101)+(1/I101)+(1/J101)))+0.01)</f>
        <v>28.01284552104</v>
      </c>
      <c r="BY101" s="272">
        <f>IF(J101="","",(((100)*(1/J101))/((1/H101)+(1/I101)+(1/J101)))+0.01)</f>
        <v>30.924032431644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50</v>
      </c>
      <c r="CD101" s="274">
        <f>N16</f>
        <v>30</v>
      </c>
      <c r="CE101" s="274">
        <f>O16</f>
        <v>20</v>
      </c>
      <c r="CF101" s="273">
        <f>(BM4/BM7)*100</f>
        <v>35</v>
      </c>
      <c r="CG101" s="273">
        <f>(BM5/BM7)*100</f>
        <v>25</v>
      </c>
      <c r="CH101" s="273">
        <f>(BM6/BM7)*100</f>
        <v>40</v>
      </c>
      <c r="CI101" s="274">
        <f>(BZ101+CC101+CF101)/3</f>
        <v>36.667</v>
      </c>
      <c r="CJ101" s="274">
        <f>(CA101+CD101+CG101)/3</f>
        <v>43.333666666667</v>
      </c>
      <c r="CK101" s="274">
        <f>(CB101+CE101+CH101)/3</f>
        <v>20.000333333333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0.125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>22</v>
      </c>
      <c r="AD104" s="275" t="str">
        <f>BI36</f>
        <v>1X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36.667</v>
      </c>
      <c r="AJ104" s="275">
        <f>BD39</f>
        <v>43.333666666667</v>
      </c>
      <c r="AK104" s="275">
        <f>BE39</f>
        <v>20.000333333333</v>
      </c>
      <c r="AL104" s="275">
        <v>1</v>
      </c>
      <c r="AM104" s="275" t="s">
        <v>227</v>
      </c>
      <c r="AN104" s="275" t="str">
        <f>B7</f>
        <v>Villarreal - Sevilla</v>
      </c>
      <c r="AO104" s="275" t="str">
        <f>M2</f>
        <v>22</v>
      </c>
      <c r="AP104" s="275" t="str">
        <f>N2</f>
        <v>X</v>
      </c>
      <c r="AQ104" s="275">
        <f>BF42</f>
        <v>11</v>
      </c>
      <c r="AR104" s="275">
        <f>BF43</f>
        <v>75.01</v>
      </c>
      <c r="AS104" s="277">
        <f>BG42</f>
        <v>21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62.5</v>
      </c>
      <c r="BD104" s="275">
        <f>K7</f>
        <v>37.5</v>
      </c>
      <c r="BE104" s="275">
        <f>L7</f>
        <v>31.25</v>
      </c>
      <c r="BF104" s="275">
        <f>BF46</f>
        <v>56.25</v>
      </c>
      <c r="BG104" s="275">
        <f>BG46</f>
        <v>25</v>
      </c>
      <c r="BH104" s="275">
        <f>BF42</f>
        <v>11</v>
      </c>
      <c r="BI104" s="277">
        <f>BG42</f>
        <v>21</v>
      </c>
      <c r="BJ104" s="275">
        <f>BH42</f>
        <v>0</v>
      </c>
      <c r="BK104" s="275">
        <f>BR46</f>
        <v>65.625</v>
      </c>
      <c r="BL104" s="275">
        <f>S7</f>
        <v>3</v>
      </c>
      <c r="BM104" s="275">
        <f>W39</f>
        <v>3</v>
      </c>
      <c r="BN104" s="275" t="s">
        <v>228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41.093122047316</v>
      </c>
      <c r="BX104" s="275">
        <f>BL37</f>
        <v>32.226905901116</v>
      </c>
      <c r="BY104" s="275">
        <f>BM37</f>
        <v>34.423580246914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50</v>
      </c>
      <c r="CD104" s="275">
        <f>AT9</f>
        <v>30</v>
      </c>
      <c r="CE104" s="275">
        <f>AU9</f>
        <v>20</v>
      </c>
      <c r="CF104" s="275">
        <f>BM9</f>
        <v>35</v>
      </c>
      <c r="CG104" s="275">
        <f>BN9</f>
        <v>25</v>
      </c>
      <c r="CH104" s="275">
        <f>BO9</f>
        <v>40</v>
      </c>
      <c r="CI104" s="275">
        <f>BC39</f>
        <v>36.667</v>
      </c>
      <c r="CJ104" s="275">
        <f>BD39</f>
        <v>43.333666666667</v>
      </c>
      <c r="CK104" s="275">
        <f>BE39</f>
        <v>20.000333333333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204</v>
      </c>
      <c r="D3" s="28" t="s">
        <v>205</v>
      </c>
      <c r="E3" s="29" t="s">
        <v>152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212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1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1.52</v>
      </c>
      <c r="H4" s="37">
        <v>2.23</v>
      </c>
      <c r="I4" s="37">
        <v>2.02</v>
      </c>
      <c r="J4" s="64">
        <v>12</v>
      </c>
      <c r="K4" s="64" t="s">
        <v>43</v>
      </c>
      <c r="L4" s="64" t="s">
        <v>246</v>
      </c>
      <c r="M4" s="22" t="s">
        <v>245</v>
      </c>
      <c r="N4" s="64" t="s">
        <v>43</v>
      </c>
      <c r="O4" s="22"/>
      <c r="P4" s="64" t="s">
        <v>43</v>
      </c>
      <c r="Q4" s="22" t="s">
        <v>245</v>
      </c>
      <c r="R4" s="22" t="s">
        <v>168</v>
      </c>
      <c r="S4" s="278" t="s">
        <v>247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206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206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206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1</v>
      </c>
      <c r="C8" s="25" t="str">
        <f>C4</f>
        <v>Spain &gt;&gt; LaLiga</v>
      </c>
      <c r="D8" s="22" t="str">
        <f>D4</f>
        <v>17:30</v>
      </c>
      <c r="E8" s="25" t="str">
        <f>E4</f>
        <v>Villarreal - Sevilla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258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204</v>
      </c>
      <c r="D11" s="28" t="s">
        <v>205</v>
      </c>
      <c r="E11" s="29" t="s">
        <v>152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212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251</v>
      </c>
      <c r="AJ11" s="23" t="s">
        <v>5</v>
      </c>
      <c r="AK11" s="43" t="s">
        <v>206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1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Villarreal - Sevilla</v>
      </c>
      <c r="F12" s="56" t="str">
        <f>F4</f>
        <v>2:2</v>
      </c>
      <c r="G12" s="37">
        <f>IF(G4="","",G4)</f>
        <v>1.52</v>
      </c>
      <c r="H12" s="37">
        <f>IF(H4="","",H4)</f>
        <v>2.23</v>
      </c>
      <c r="I12" s="37">
        <f>IF(I4="","",I4)</f>
        <v>2.02</v>
      </c>
      <c r="J12" s="57">
        <f>IF(G12="","",(((100)*(1/G12))/((1/G12)+(1/H12)+(1/I12)))+0.01)</f>
        <v>41.093122047316</v>
      </c>
      <c r="K12" s="57">
        <f>IF(H12="","",(((100)*(1/H12))/((1/G12)+(1/H12)+(1/I12)))+0.01)</f>
        <v>28.01284552104</v>
      </c>
      <c r="L12" s="57">
        <f>IF(I12="","",(((100)*(1/I12))/((1/G12)+(1/H12)+(1/I12)))+0.01)</f>
        <v>30.924032431644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https://int.soccerway.com/matches/2020/06/22/spain/primera-division/villarreal-club-de-futbol/sevilla-futbol-club/3059118/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Villarreal v Sevilla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