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Torino v Udinese" sheetId="1" r:id="rId4"/>
    <sheet name="IN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<sst xmlns="http://schemas.openxmlformats.org/spreadsheetml/2006/main" uniqueCount="261">
  <si>
    <t>POSITION</t>
  </si>
  <si>
    <t>HM</t>
  </si>
  <si>
    <t>AW</t>
  </si>
  <si>
    <t>rFz</t>
  </si>
  <si>
    <t>1x2</t>
  </si>
  <si>
    <t>RESULTS</t>
  </si>
  <si>
    <t>Main→</t>
  </si>
  <si>
    <t>Torino</t>
  </si>
  <si>
    <t>Udinese</t>
  </si>
  <si>
    <t>Hm1</t>
  </si>
  <si>
    <t>Hm2</t>
  </si>
  <si>
    <t>Vt1</t>
  </si>
  <si>
    <t>Vt2</t>
  </si>
  <si>
    <t>SG_hm</t>
  </si>
  <si>
    <t>1X2</t>
  </si>
  <si>
    <t>1X3</t>
  </si>
  <si>
    <t>home</t>
  </si>
  <si>
    <t>Away</t>
  </si>
  <si>
    <t>Res</t>
  </si>
  <si>
    <t>AwayM</t>
  </si>
  <si>
    <t>2020-06-21</t>
  </si>
  <si>
    <t>Parma</t>
  </si>
  <si>
    <t>Bologna</t>
  </si>
  <si>
    <t>SG</t>
  </si>
  <si>
    <t>"%"</t>
  </si>
  <si>
    <t>2020-02-09</t>
  </si>
  <si>
    <t>Sampdoria</t>
  </si>
  <si>
    <t>Brescia</t>
  </si>
  <si>
    <t>RACHA</t>
  </si>
  <si>
    <t>ULT</t>
  </si>
  <si>
    <t>CD</t>
  </si>
  <si>
    <t>"C"</t>
  </si>
  <si>
    <t>"D"</t>
  </si>
  <si>
    <t>P1</t>
  </si>
  <si>
    <t>2020-01-26</t>
  </si>
  <si>
    <t>Atalanta</t>
  </si>
  <si>
    <t>TIPS_ROY_PICKS</t>
  </si>
  <si>
    <t>picks</t>
  </si>
  <si>
    <t>roySYS</t>
  </si>
  <si>
    <t>rFZ</t>
  </si>
  <si>
    <t>2020-01-12</t>
  </si>
  <si>
    <t>Milan</t>
  </si>
  <si>
    <t>X</t>
  </si>
  <si>
    <t>s/N</t>
  </si>
  <si>
    <t>Matches</t>
  </si>
  <si>
    <t>AVG</t>
  </si>
  <si>
    <t>FJ</t>
  </si>
  <si>
    <t>DB</t>
  </si>
  <si>
    <t>cs1</t>
  </si>
  <si>
    <t>cs2</t>
  </si>
  <si>
    <t>cs3</t>
  </si>
  <si>
    <t>2020-01-10</t>
  </si>
  <si>
    <t>Genoa</t>
  </si>
  <si>
    <t>Juventus</t>
  </si>
  <si>
    <t>2019-12-22</t>
  </si>
  <si>
    <t>SPAL</t>
  </si>
  <si>
    <t>Lecce</t>
  </si>
  <si>
    <t>2019-12-08</t>
  </si>
  <si>
    <t>Fiorentina</t>
  </si>
  <si>
    <t>max</t>
  </si>
  <si>
    <t>2019-11-24</t>
  </si>
  <si>
    <t>Internazionale</t>
  </si>
  <si>
    <t>Lazio</t>
  </si>
  <si>
    <t>2019-11-03</t>
  </si>
  <si>
    <t>2019-10-27</t>
  </si>
  <si>
    <t>Cagliari</t>
  </si>
  <si>
    <t>2019-10-07</t>
  </si>
  <si>
    <t>Napoli</t>
  </si>
  <si>
    <t>2019-09-27</t>
  </si>
  <si>
    <t>2019-09-17</t>
  </si>
  <si>
    <t>Hellas Verona</t>
  </si>
  <si>
    <t>2019-08-26</t>
  </si>
  <si>
    <t>Sassuolo</t>
  </si>
  <si>
    <t>DOUBLE Chance PICKS</t>
  </si>
  <si>
    <t>pForce</t>
  </si>
  <si>
    <t>2019-08-23</t>
  </si>
  <si>
    <t>Wolverhampton Wanderers</t>
  </si>
  <si>
    <t>Beşiktaş</t>
  </si>
  <si>
    <t>%</t>
  </si>
  <si>
    <t>Ps_Diff</t>
  </si>
  <si>
    <t>Fz-101</t>
  </si>
  <si>
    <t>Avg_Gol</t>
  </si>
  <si>
    <t>CS</t>
  </si>
  <si>
    <t>2019-08-09</t>
  </si>
  <si>
    <t>Shakhtyor</t>
  </si>
  <si>
    <t>Borussia Dortmund</t>
  </si>
  <si>
    <t>2019-07-26</t>
  </si>
  <si>
    <t>Debrecen</t>
  </si>
  <si>
    <t>2019-07-18</t>
  </si>
  <si>
    <t>Pro Patria</t>
  </si>
  <si>
    <t>Frosinone</t>
  </si>
  <si>
    <t>CORRECT SCORES PICKS</t>
  </si>
  <si>
    <t>1st</t>
  </si>
  <si>
    <t>2nd</t>
  </si>
  <si>
    <t>3rd</t>
  </si>
  <si>
    <t>4th</t>
  </si>
  <si>
    <t>2019-05-26</t>
  </si>
  <si>
    <t>2019-05-12</t>
  </si>
  <si>
    <t>RESUM</t>
  </si>
  <si>
    <t>S/N</t>
  </si>
  <si>
    <t>SG_AD</t>
  </si>
  <si>
    <t>SG_CB</t>
  </si>
  <si>
    <t>Total Gols  +2.5 PICKS</t>
  </si>
  <si>
    <t>Z TO A trend</t>
  </si>
  <si>
    <t>LAST RESULT</t>
  </si>
  <si>
    <t>↓</t>
  </si>
  <si>
    <t>BTT</t>
  </si>
  <si>
    <t>POS</t>
  </si>
  <si>
    <t>Match Winner &amp; Double Chance</t>
  </si>
  <si>
    <t>Pron</t>
  </si>
  <si>
    <t>avg_1x2</t>
  </si>
  <si>
    <t>Gen</t>
  </si>
  <si>
    <t>Ult</t>
  </si>
  <si>
    <t>2M</t>
  </si>
  <si>
    <t>1M</t>
  </si>
  <si>
    <t>0M</t>
  </si>
  <si>
    <t>#</t>
  </si>
  <si>
    <t>Previous Rank</t>
  </si>
  <si>
    <t>Team</t>
  </si>
  <si>
    <t>MP</t>
  </si>
  <si>
    <t>W</t>
  </si>
  <si>
    <t>D</t>
  </si>
  <si>
    <t>L</t>
  </si>
  <si>
    <t>F</t>
  </si>
  <si>
    <t>A</t>
  </si>
  <si>
    <t>P</t>
  </si>
  <si>
    <t>Last 5 matches</t>
  </si>
  <si>
    <t>Rachas</t>
  </si>
  <si>
    <t>WWWWL</t>
  </si>
  <si>
    <t>CLASIFICATION</t>
  </si>
  <si>
    <t>ATO Z trend</t>
  </si>
  <si>
    <t>WWWWD</t>
  </si>
  <si>
    <t>Inter</t>
  </si>
  <si>
    <t>WLLWW</t>
  </si>
  <si>
    <t>DLLLL</t>
  </si>
  <si>
    <t>pronox Home Capacities</t>
  </si>
  <si>
    <t>DDDDL</t>
  </si>
  <si>
    <t>AS Roma</t>
  </si>
  <si>
    <t>WWLLL</t>
  </si>
  <si>
    <t>WWWLW</t>
  </si>
  <si>
    <t>AVG last 16</t>
  </si>
  <si>
    <t>O1.5</t>
  </si>
  <si>
    <t>O2.5</t>
  </si>
  <si>
    <t>CS3</t>
  </si>
  <si>
    <t>CS4</t>
  </si>
  <si>
    <t>Scrd</t>
  </si>
  <si>
    <t>Concd</t>
  </si>
  <si>
    <t>BTS</t>
  </si>
  <si>
    <t>proAVEGA</t>
  </si>
  <si>
    <t>AC Milan</t>
  </si>
  <si>
    <t>WLDWL</t>
  </si>
  <si>
    <t>Verona</t>
  </si>
  <si>
    <t>WLDWD</t>
  </si>
  <si>
    <t>DLWLD</t>
  </si>
  <si>
    <t>MATCH</t>
  </si>
  <si>
    <t>LLDLW</t>
  </si>
  <si>
    <t>LLLLD</t>
  </si>
  <si>
    <t>LWLWW</t>
  </si>
  <si>
    <t>DDDWL</t>
  </si>
  <si>
    <t>LWLWL</t>
  </si>
  <si>
    <t>WLWWD</t>
  </si>
  <si>
    <t>LLLWW</t>
  </si>
  <si>
    <t>Spal</t>
  </si>
  <si>
    <t>WLLLL</t>
  </si>
  <si>
    <t>DLLLD</t>
  </si>
  <si>
    <t>s/n</t>
  </si>
  <si>
    <t>p1</t>
  </si>
  <si>
    <t>JRQ-P1</t>
  </si>
  <si>
    <t>POR</t>
  </si>
  <si>
    <t>RES</t>
  </si>
  <si>
    <t>Tipsters Opinions</t>
  </si>
  <si>
    <t>SV</t>
  </si>
  <si>
    <t>WDW</t>
  </si>
  <si>
    <t>PRDZ</t>
  </si>
  <si>
    <t>Roy</t>
  </si>
  <si>
    <t>csP1</t>
  </si>
  <si>
    <t>csP2</t>
  </si>
  <si>
    <t>csP3</t>
  </si>
  <si>
    <t>csP4</t>
  </si>
  <si>
    <t>RoyPick Games</t>
  </si>
  <si>
    <t>Date</t>
  </si>
  <si>
    <t>Competition  (Group of event)</t>
  </si>
  <si>
    <t>Time</t>
  </si>
  <si>
    <t>Match</t>
  </si>
  <si>
    <t>Result</t>
  </si>
  <si>
    <t>"Odds_1"</t>
  </si>
  <si>
    <t>"Odds_X"</t>
  </si>
  <si>
    <t>"Odds_2"</t>
  </si>
  <si>
    <t>Soccervista</t>
  </si>
  <si>
    <t>Windrawwin</t>
  </si>
  <si>
    <t>RP2</t>
  </si>
  <si>
    <t>SOCCERWAY _INFO</t>
  </si>
  <si>
    <t>Event number</t>
  </si>
  <si>
    <t>Events</t>
  </si>
  <si>
    <t>PORCENTAGES_ODDS</t>
  </si>
  <si>
    <t>PORCENTAGES_ROYPICK_1</t>
  </si>
  <si>
    <t>PORCENTTAGES ROYPICKS 2</t>
  </si>
  <si>
    <t>Group of event</t>
  </si>
  <si>
    <t>Event name</t>
  </si>
  <si>
    <t>"1"</t>
  </si>
  <si>
    <t>"X"</t>
  </si>
  <si>
    <t>"2"</t>
  </si>
  <si>
    <t>COMPETITION</t>
  </si>
  <si>
    <t>TIME</t>
  </si>
  <si>
    <t>RESULT</t>
  </si>
  <si>
    <t>"odds_1"</t>
  </si>
  <si>
    <t>"odds_X"</t>
  </si>
  <si>
    <t>"odds_2"</t>
  </si>
  <si>
    <t>BOOKIES</t>
  </si>
  <si>
    <t>O/U</t>
  </si>
  <si>
    <t>URL</t>
  </si>
  <si>
    <t>cs4</t>
  </si>
  <si>
    <t>cs5</t>
  </si>
  <si>
    <t>CSpick1</t>
  </si>
  <si>
    <t>Probability, %</t>
  </si>
  <si>
    <t>CSpick2</t>
  </si>
  <si>
    <t>CSpick3</t>
  </si>
  <si>
    <t>CSpick4</t>
  </si>
  <si>
    <t>SG_2</t>
  </si>
  <si>
    <t>SG_3</t>
  </si>
  <si>
    <t>+2,5</t>
  </si>
  <si>
    <t>pAVG</t>
  </si>
  <si>
    <t>RP#26, 2020-06-23</t>
  </si>
  <si>
    <t>2020-06-23 19:45:00</t>
  </si>
  <si>
    <t>HERE ARE THE DIRECTY LINKS POINTING TO THE FORMULAS… IF YOU HAVE ANY DOUBT PLEASE DON'T HESITATE TO LET ME KNOW. THANKS</t>
  </si>
  <si>
    <t>Germany &gt;&gt; 2. Bundesliga</t>
  </si>
  <si>
    <t>º</t>
  </si>
  <si>
    <t>tips</t>
  </si>
  <si>
    <t>RESULTS BREAKDOWN</t>
  </si>
  <si>
    <t>ODDSPORTAL (LINK 1)</t>
  </si>
  <si>
    <t xml:space="preserve"> SOCCERVISTA (LINK2)</t>
  </si>
  <si>
    <t>WINDRAWWIN</t>
  </si>
  <si>
    <t>PREDICTZ</t>
  </si>
  <si>
    <t>SOCCERWAY</t>
  </si>
  <si>
    <t>RESULT-WS</t>
  </si>
  <si>
    <t>S/n</t>
  </si>
  <si>
    <t>res1</t>
  </si>
  <si>
    <t>resCS</t>
  </si>
  <si>
    <t>res1X2</t>
  </si>
  <si>
    <t>resTG</t>
  </si>
  <si>
    <t>Italy &gt;&gt; Serie A</t>
  </si>
  <si>
    <t>19:45</t>
  </si>
  <si>
    <t>Torino - Udinese</t>
  </si>
  <si>
    <t>1:0</t>
  </si>
  <si>
    <t>O</t>
  </si>
  <si>
    <t>2:2</t>
  </si>
  <si>
    <t>0:1</t>
  </si>
  <si>
    <t>0:0</t>
  </si>
  <si>
    <t>p4</t>
  </si>
  <si>
    <t>https://int.soccerway.com/matches/2020/06/23/italy/serie-a/torino-fc/udinese-calcio/3111969/</t>
  </si>
  <si>
    <t>soccervista plus</t>
  </si>
  <si>
    <t>WinDrawWin</t>
  </si>
  <si>
    <t>Predictz</t>
  </si>
  <si>
    <t>res</t>
  </si>
  <si>
    <t>HOME</t>
  </si>
  <si>
    <t>VISIT</t>
  </si>
  <si>
    <t>RESULT"1X2"</t>
  </si>
  <si>
    <t>Suma-gol</t>
  </si>
  <si>
    <t>"</t>
  </si>
  <si>
    <t>,</t>
  </si>
  <si>
    <t>PRINCIPAL</t>
  </si>
</sst>
</file>

<file path=xl/styles.xml><?xml version="1.0" encoding="utf-8"?>
<styleSheet xmlns="http://schemas.openxmlformats.org/spreadsheetml/2006/main" xml:space="preserve">
  <numFmts count="2">
    <numFmt numFmtId="164" formatCode="h:mm;@"/>
    <numFmt numFmtId="165" formatCode="dd/mm/yy\ h:mm;@"/>
  </numFmts>
  <fonts count="1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0"/>
      <color rgb="FFFF0000"/>
      <name val="Arial"/>
    </font>
    <font>
      <b val="0"/>
      <i val="0"/>
      <strike val="0"/>
      <u val="none"/>
      <sz val="10"/>
      <color rgb="FFFF0000"/>
      <name val="Arial"/>
    </font>
    <font>
      <b val="0"/>
      <i val="0"/>
      <strike val="0"/>
      <u val="none"/>
      <sz val="10"/>
      <color rgb="FF000000"/>
      <name val="Arial"/>
    </font>
    <font>
      <b val="0"/>
      <i val="0"/>
      <strike val="0"/>
      <u val="single"/>
      <sz val="11"/>
      <color rgb="FF0563C1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11"/>
      <color rgb="FFFF0000"/>
      <name val="Arial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FFFFFF"/>
      <name val="Arial"/>
    </font>
    <font>
      <b val="0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0"/>
      <i val="0"/>
      <strike val="0"/>
      <u val="single"/>
      <sz val="11"/>
      <color rgb="FF0000FF"/>
      <name val="Calibri"/>
    </font>
  </fonts>
  <fills count="2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F0000"/>
        <bgColor rgb="FFFFFFFF"/>
      </patternFill>
    </fill>
    <fill>
      <patternFill patternType="solid">
        <fgColor rgb="FF000000"/>
        <bgColor rgb="FFFFFFFF"/>
      </patternFill>
    </fill>
    <fill>
      <patternFill patternType="solid">
        <fgColor rgb="FF548135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00B0F0"/>
        <bgColor rgb="FFFFFFFF"/>
      </patternFill>
    </fill>
    <fill>
      <patternFill patternType="solid">
        <fgColor rgb="FF002060"/>
        <bgColor rgb="FFFFFFFF"/>
      </patternFill>
    </fill>
    <fill>
      <patternFill patternType="solid">
        <fgColor rgb="FF8E98A5"/>
        <bgColor rgb="FFFFFFFF"/>
      </patternFill>
    </fill>
    <fill>
      <patternFill patternType="solid">
        <fgColor rgb="FF7F7F7F"/>
        <bgColor rgb="FFFFFFFF"/>
      </patternFill>
    </fill>
    <fill>
      <patternFill patternType="solid">
        <fgColor rgb="FFA5A5A5"/>
        <bgColor rgb="FFFFFFFF"/>
      </patternFill>
    </fill>
    <fill>
      <patternFill patternType="solid">
        <fgColor rgb="FFFFFF99"/>
        <bgColor rgb="FFFFFFFF"/>
      </patternFill>
    </fill>
    <fill>
      <patternFill patternType="solid">
        <fgColor rgb="FFFFD965"/>
        <bgColor rgb="FFFFFFFF"/>
      </patternFill>
    </fill>
    <fill>
      <patternFill patternType="solid">
        <fgColor rgb="FF4472C4"/>
        <bgColor rgb="FFFFFFFF"/>
      </patternFill>
    </fill>
    <fill>
      <patternFill patternType="solid">
        <fgColor rgb="FF7030A0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70AD47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44546A"/>
        <bgColor rgb="FFFFFFFF"/>
      </patternFill>
    </fill>
    <fill>
      <patternFill patternType="solid">
        <fgColor rgb="FF333F4F"/>
        <bgColor rgb="FFFFFFFF"/>
      </patternFill>
    </fill>
    <fill>
      <patternFill patternType="solid">
        <fgColor rgb="FF66FF33"/>
        <bgColor rgb="FFFFFFFF"/>
      </patternFill>
    </fill>
    <fill>
      <patternFill patternType="solid">
        <fgColor rgb="FFD9DCE1"/>
        <bgColor rgb="FFFFFFFF"/>
      </patternFill>
    </fill>
    <fill>
      <patternFill patternType="solid">
        <fgColor rgb="FF737373"/>
        <bgColor rgb="FFFFFFFF"/>
      </patternFill>
    </fill>
  </fills>
  <borders count="27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325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right" vertical="bottom" textRotation="0" wrapText="false" shrinkToFit="false"/>
    </xf>
    <xf xfId="0" fontId="0" numFmtId="49" fillId="0" borderId="0" applyFont="0" applyNumberFormat="1" applyFill="0" applyBorder="0" applyAlignment="1">
      <alignment horizontal="right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14" fillId="0" borderId="0" applyFont="0" applyNumberFormat="1" applyFill="0" applyBorder="0" applyAlignment="0">
      <alignment horizontal="general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bottom" textRotation="0" wrapText="false" shrinkToFit="false"/>
    </xf>
    <xf xfId="0" fontId="1" numFmtId="164" fillId="3" borderId="0" applyFont="1" applyNumberFormat="1" applyFill="1" applyBorder="0" applyAlignment="1">
      <alignment horizontal="center" vertical="bottom" textRotation="0" wrapText="false" shrinkToFit="false"/>
    </xf>
    <xf xfId="0" fontId="1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0" borderId="6" applyFont="0" applyNumberFormat="0" applyFill="0" applyBorder="1" applyAlignment="0">
      <alignment horizontal="general" vertical="bottom" textRotation="0" wrapText="false" shrinkToFit="false"/>
    </xf>
    <xf xfId="0" fontId="0" numFmtId="0" fillId="0" borderId="7" applyFont="0" applyNumberFormat="0" applyFill="0" applyBorder="1" applyAlignment="0">
      <alignment horizontal="general" vertical="bottom" textRotation="0" wrapText="false" shrinkToFit="false"/>
    </xf>
    <xf xfId="0" fontId="0" numFmtId="0" fillId="0" borderId="8" applyFont="0" applyNumberFormat="0" applyFill="0" applyBorder="1" applyAlignment="0">
      <alignment horizontal="general" vertical="bottom" textRotation="0" wrapText="false" shrinkToFit="false"/>
    </xf>
    <xf xfId="0" fontId="2" numFmtId="0" fillId="5" borderId="0" applyFont="1" applyNumberFormat="0" applyFill="1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0" numFmtId="49" fillId="0" borderId="0" applyFont="0" applyNumberFormat="1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2" numFmtId="0" fillId="5" borderId="0" applyFont="1" applyNumberFormat="0" applyFill="1" applyBorder="0" applyAlignment="1">
      <alignment horizontal="left" vertical="bottom" textRotation="0" wrapText="false" shrinkToFit="false"/>
    </xf>
    <xf xfId="0" fontId="3" numFmtId="164" fillId="5" borderId="0" applyFont="1" applyNumberFormat="1" applyFill="1" applyBorder="0" applyAlignment="1">
      <alignment horizontal="center" vertical="bottom" textRotation="0" wrapText="false" shrinkToFit="false"/>
    </xf>
    <xf xfId="0" fontId="3" numFmtId="0" fillId="5" borderId="0" applyFont="1" applyNumberFormat="0" applyFill="1" applyBorder="0" applyAlignment="1">
      <alignment horizontal="center" vertical="bottom" textRotation="0" wrapText="false" shrinkToFit="false"/>
    </xf>
    <xf xfId="0" fontId="4" numFmtId="164" fillId="5" borderId="0" applyFont="1" applyNumberFormat="1" applyFill="1" applyBorder="0" applyAlignment="1">
      <alignment horizontal="center" vertical="bottom" textRotation="0" wrapText="false" shrinkToFit="false"/>
    </xf>
    <xf xfId="0" fontId="4" numFmtId="2" fillId="5" borderId="0" applyFont="1" applyNumberFormat="1" applyFill="1" applyBorder="0" applyAlignment="1">
      <alignment horizontal="center" vertical="bottom" textRotation="0" wrapText="false" shrinkToFit="false"/>
    </xf>
    <xf xfId="0" fontId="3" numFmtId="2" fillId="5" borderId="0" applyFont="1" applyNumberFormat="1" applyFill="1" applyBorder="0" applyAlignment="1">
      <alignment horizontal="center" vertical="bottom" textRotation="0" wrapText="false" shrinkToFit="false"/>
    </xf>
    <xf xfId="0" fontId="1" numFmtId="164" fillId="2" borderId="0" applyFont="1" applyNumberFormat="1" applyFill="1" applyBorder="0" applyAlignment="1">
      <alignment horizontal="center" vertical="bottom" textRotation="0" wrapText="false" shrinkToFit="false"/>
    </xf>
    <xf xfId="0" fontId="1" numFmtId="0" fillId="6" borderId="0" applyFont="1" applyNumberFormat="0" applyFill="1" applyBorder="0" applyAlignment="1">
      <alignment horizontal="center" vertical="bottom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164" fillId="7" borderId="0" applyFont="1" applyNumberFormat="1" applyFill="1" applyBorder="0" applyAlignment="1">
      <alignment horizontal="center" vertical="bottom" textRotation="0" wrapText="false" shrinkToFit="false"/>
    </xf>
    <xf xfId="0" fontId="0" numFmtId="2" fillId="0" borderId="0" applyFont="0" applyNumberFormat="1" applyFill="0" applyBorder="0" applyAlignment="1">
      <alignment horizontal="center" vertical="bottom" textRotation="0" wrapText="false" shrinkToFit="false"/>
    </xf>
    <xf xfId="0" fontId="6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164" fillId="0" borderId="0" applyFont="1" applyNumberFormat="1" applyFill="0" applyBorder="0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8" borderId="0" applyFont="1" applyNumberFormat="0" applyFill="1" applyBorder="0" applyAlignment="0">
      <alignment horizontal="general" vertical="bottom" textRotation="0" wrapText="false" shrinkToFit="false"/>
    </xf>
    <xf xfId="0" fontId="9" numFmtId="0" fillId="5" borderId="9" applyFont="1" applyNumberFormat="0" applyFill="1" applyBorder="1" applyAlignment="1">
      <alignment horizontal="center" vertical="top" textRotation="0" wrapText="false" shrinkToFit="false"/>
    </xf>
    <xf xfId="0" fontId="0" numFmtId="0" fillId="9" borderId="0" applyFont="0" applyNumberFormat="0" applyFill="1" applyBorder="0" applyAlignment="0">
      <alignment horizontal="general" vertical="bottom" textRotation="0" wrapText="false" shrinkToFit="false"/>
    </xf>
    <xf xfId="0" fontId="10" numFmtId="164" fillId="0" borderId="10" applyFont="1" applyNumberFormat="1" applyFill="0" applyBorder="1" applyAlignment="1">
      <alignment horizontal="center" vertical="bottom" textRotation="0" wrapText="false" shrinkToFit="false"/>
    </xf>
    <xf xfId="0" fontId="11" numFmtId="0" fillId="0" borderId="0" applyFont="1" applyNumberFormat="0" applyFill="0" applyBorder="0" applyAlignment="1">
      <alignment horizontal="center" vertical="top" textRotation="0" wrapText="false" shrinkToFit="false"/>
    </xf>
    <xf xfId="0" fontId="0" numFmtId="0" fillId="9" borderId="0" applyFont="0" applyNumberFormat="0" applyFill="1" applyBorder="0" applyAlignment="1">
      <alignment horizontal="center" vertical="bottom" textRotation="0" wrapText="false" shrinkToFit="false"/>
    </xf>
    <xf xfId="0" fontId="0" numFmtId="0" fillId="9" borderId="0" applyFont="0" applyNumberFormat="0" applyFill="1" applyBorder="0" applyAlignment="1">
      <alignment horizontal="right" vertical="bottom" textRotation="0" wrapText="false" shrinkToFit="false"/>
    </xf>
    <xf xfId="0" fontId="0" numFmtId="0" fillId="8" borderId="0" applyFont="0" applyNumberFormat="0" applyFill="1" applyBorder="0" applyAlignment="1">
      <alignment horizontal="center" vertical="bottom" textRotation="0" wrapText="false" shrinkToFit="false"/>
    </xf>
    <xf xfId="0" fontId="0" numFmtId="0" fillId="9" borderId="0" applyFont="0" applyNumberFormat="0" applyFill="1" applyBorder="0" applyAlignment="0">
      <alignment horizontal="general" vertical="bottom" textRotation="0" wrapText="false" shrinkToFit="false"/>
    </xf>
    <xf xfId="0" fontId="0" numFmtId="0" fillId="5" borderId="0" applyFont="0" applyNumberFormat="0" applyFill="1" applyBorder="0" applyAlignment="1">
      <alignment horizontal="center" vertical="bottom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4" numFmtId="164" fillId="5" borderId="9" applyFont="1" applyNumberFormat="1" applyFill="1" applyBorder="1" applyAlignment="1">
      <alignment horizontal="center" vertical="bottom" textRotation="0" wrapText="false" shrinkToFit="false"/>
    </xf>
    <xf xfId="0" fontId="1" numFmtId="0" fillId="10" borderId="0" applyFont="1" applyNumberFormat="0" applyFill="1" applyBorder="0" applyAlignment="1">
      <alignment horizontal="center" vertical="bottom" textRotation="0" wrapText="false" shrinkToFit="false"/>
    </xf>
    <xf xfId="0" fontId="1" numFmtId="164" fillId="10" borderId="0" applyFont="1" applyNumberFormat="1" applyFill="1" applyBorder="0" applyAlignment="1">
      <alignment horizontal="center" vertical="bottom" textRotation="0" wrapText="false" shrinkToFit="false"/>
    </xf>
    <xf xfId="0" fontId="1" numFmtId="164" fillId="4" borderId="0" applyFont="1" applyNumberFormat="1" applyFill="1" applyBorder="0" applyAlignment="1">
      <alignment horizontal="center" vertical="bottom" textRotation="0" wrapText="false" shrinkToFit="false"/>
    </xf>
    <xf xfId="0" fontId="0" numFmtId="164" fillId="0" borderId="10" applyFont="0" applyNumberFormat="1" applyFill="0" applyBorder="1" applyAlignment="1">
      <alignment horizontal="center" vertical="bottom" textRotation="0" wrapText="false" shrinkToFit="false"/>
    </xf>
    <xf xfId="0" fontId="0" numFmtId="2" fillId="11" borderId="11" applyFont="0" applyNumberFormat="1" applyFill="1" applyBorder="1" applyAlignment="1">
      <alignment horizontal="center" vertical="bottom" textRotation="0" wrapText="false" shrinkToFit="false"/>
    </xf>
    <xf xfId="0" fontId="6" numFmtId="0" fillId="0" borderId="0" applyFont="1" applyNumberFormat="0" applyFill="0" applyBorder="0" applyAlignment="1">
      <alignment horizontal="left" vertical="bottom" textRotation="0" wrapText="false" shrinkToFit="false"/>
    </xf>
    <xf xfId="0" fontId="0" numFmtId="1" fillId="0" borderId="0" applyFont="0" applyNumberFormat="1" applyFill="0" applyBorder="0" applyAlignment="0">
      <alignment horizontal="general" vertical="bottom" textRotation="0" wrapText="false" shrinkToFit="false"/>
    </xf>
    <xf xfId="0" fontId="0" numFmtId="1" fillId="0" borderId="0" applyFont="0" applyNumberFormat="1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7" numFmtId="164" fillId="0" borderId="0" applyFont="1" applyNumberFormat="1" applyFill="0" applyBorder="0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0" numFmtId="0" fillId="12" borderId="0" applyFont="1" applyNumberFormat="0" applyFill="1" applyBorder="0" applyAlignment="1">
      <alignment horizontal="center" vertical="bottom" textRotation="0" wrapText="false" shrinkToFit="false"/>
    </xf>
    <xf xfId="0" fontId="10" numFmtId="0" fillId="12" borderId="10" applyFont="1" applyNumberFormat="0" applyFill="1" applyBorder="1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2" numFmtId="0" fillId="0" borderId="2" applyFont="1" applyNumberFormat="0" applyFill="0" applyBorder="1" applyAlignment="0">
      <alignment horizontal="general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0" numFmtId="0" fillId="13" borderId="2" applyFont="0" applyNumberFormat="0" applyFill="1" applyBorder="1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0" fillId="0" borderId="12" applyFont="0" applyNumberFormat="0" applyFill="0" applyBorder="1" applyAlignment="0">
      <alignment horizontal="general" vertical="bottom" textRotation="0" wrapText="false" shrinkToFit="false"/>
    </xf>
    <xf xfId="0" fontId="2" numFmtId="0" fillId="5" borderId="13" applyFont="1" applyNumberFormat="0" applyFill="1" applyBorder="1" applyAlignment="1">
      <alignment horizontal="center" vertical="bottom" textRotation="0" wrapText="false" shrinkToFit="false"/>
    </xf>
    <xf xfId="0" fontId="10" numFmtId="0" fillId="0" borderId="13" applyFont="1" applyNumberFormat="0" applyFill="0" applyBorder="1" applyAlignment="1">
      <alignment horizontal="center" vertical="bottom" textRotation="0" wrapText="false" shrinkToFit="false"/>
    </xf>
    <xf xfId="0" fontId="10" numFmtId="0" fillId="0" borderId="14" applyFont="1" applyNumberFormat="0" applyFill="0" applyBorder="1" applyAlignment="1">
      <alignment horizontal="center" vertical="bottom" textRotation="0" wrapText="false" shrinkToFit="false"/>
    </xf>
    <xf xfId="0" fontId="1" numFmtId="0" fillId="6" borderId="0" applyFont="1" applyNumberFormat="0" applyFill="1" applyBorder="0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164" fillId="14" borderId="12" applyFont="1" applyNumberFormat="1" applyFill="1" applyBorder="1" applyAlignment="1">
      <alignment horizontal="center" vertical="bottom" textRotation="0" wrapText="false" shrinkToFit="false"/>
    </xf>
    <xf xfId="0" fontId="1" numFmtId="0" fillId="14" borderId="13" applyFont="1" applyNumberFormat="0" applyFill="1" applyBorder="1" applyAlignment="1">
      <alignment horizontal="center" vertical="bottom" textRotation="0" wrapText="false" shrinkToFit="false"/>
    </xf>
    <xf xfId="0" fontId="1" numFmtId="0" fillId="14" borderId="14" applyFont="1" applyNumberFormat="0" applyFill="1" applyBorder="1" applyAlignment="1">
      <alignment horizontal="center" vertical="bottom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0" numFmtId="0" fillId="15" borderId="0" applyFont="0" applyNumberFormat="0" applyFill="1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5" numFmtId="0" fillId="0" borderId="5" applyFont="1" applyNumberFormat="0" applyFill="0" applyBorder="1" applyAlignment="0">
      <alignment horizontal="general" vertical="bottom" textRotation="0" wrapText="false" shrinkToFit="false"/>
    </xf>
    <xf xfId="0" fontId="10" numFmtId="0" fillId="5" borderId="1" applyFont="1" applyNumberFormat="0" applyFill="1" applyBorder="1" applyAlignment="1">
      <alignment horizontal="center" vertical="bottom" textRotation="0" wrapText="false" shrinkToFit="false"/>
    </xf>
    <xf xfId="0" fontId="10" numFmtId="0" fillId="5" borderId="2" applyFont="1" applyNumberFormat="0" applyFill="1" applyBorder="1" applyAlignment="0">
      <alignment horizontal="general" vertical="bottom" textRotation="0" wrapText="false" shrinkToFit="false"/>
    </xf>
    <xf xfId="0" fontId="10" numFmtId="0" fillId="5" borderId="3" applyFont="1" applyNumberFormat="0" applyFill="1" applyBorder="1" applyAlignment="1">
      <alignment horizontal="center" vertical="bottom" textRotation="0" wrapText="false" shrinkToFit="false"/>
    </xf>
    <xf xfId="0" fontId="10" numFmtId="0" fillId="0" borderId="0" applyFont="1" applyNumberFormat="0" applyFill="0" applyBorder="0" applyAlignment="1">
      <alignment horizontal="left" vertical="bottom" textRotation="0" wrapText="false" shrinkToFit="false"/>
    </xf>
    <xf xfId="0" fontId="0" numFmtId="0" fillId="13" borderId="0" applyFont="0" applyNumberFormat="0" applyFill="1" applyBorder="0" applyAlignment="1">
      <alignment horizontal="left" vertical="bottom" textRotation="0" wrapText="false" shrinkToFit="false"/>
    </xf>
    <xf xfId="0" fontId="0" numFmtId="0" fillId="13" borderId="0" applyFont="0" applyNumberFormat="0" applyFill="1" applyBorder="0" applyAlignment="0">
      <alignment horizontal="general" vertical="bottom" textRotation="0" wrapText="false" shrinkToFit="false"/>
    </xf>
    <xf xfId="0" fontId="0" numFmtId="0" fillId="10" borderId="5" applyFont="0" applyNumberFormat="0" applyFill="1" applyBorder="1" applyAlignment="1">
      <alignment horizontal="center" vertical="bottom" textRotation="0" wrapText="false" shrinkToFit="false"/>
    </xf>
    <xf xfId="0" fontId="0" numFmtId="0" fillId="13" borderId="0" applyFont="0" applyNumberFormat="0" applyFill="1" applyBorder="0" applyAlignment="1">
      <alignment horizontal="center" vertical="bottom" textRotation="0" wrapText="false" shrinkToFit="false"/>
    </xf>
    <xf xfId="0" fontId="12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2" fillId="0" borderId="5" applyFont="0" applyNumberFormat="1" applyFill="0" applyBorder="1" applyAlignment="0">
      <alignment horizontal="general" vertical="bottom" textRotation="0" wrapText="false" shrinkToFit="false"/>
    </xf>
    <xf xfId="0" fontId="0" numFmtId="1" fillId="0" borderId="4" applyFont="0" applyNumberFormat="1" applyFill="0" applyBorder="1" applyAlignment="0">
      <alignment horizontal="general" vertical="bottom" textRotation="0" wrapText="false" shrinkToFit="false"/>
    </xf>
    <xf xfId="0" fontId="2" numFmtId="0" fillId="5" borderId="0" applyFont="1" applyNumberFormat="0" applyFill="1" applyBorder="0" applyAlignment="1">
      <alignment horizontal="center" vertical="bottom" textRotation="0" wrapText="false" shrinkToFit="false"/>
    </xf>
    <xf xfId="0" fontId="2" numFmtId="0" fillId="5" borderId="5" applyFont="1" applyNumberFormat="0" applyFill="1" applyBorder="1" applyAlignment="1">
      <alignment horizontal="center" vertical="bottom" textRotation="0" wrapText="false" shrinkToFit="false"/>
    </xf>
    <xf xfId="0" fontId="13" numFmtId="0" fillId="3" borderId="1" applyFont="1" applyNumberFormat="0" applyFill="1" applyBorder="1" applyAlignment="0">
      <alignment horizontal="general" vertical="bottom" textRotation="0" wrapText="false" shrinkToFit="false"/>
    </xf>
    <xf xfId="0" fontId="1" numFmtId="0" fillId="3" borderId="2" applyFont="1" applyNumberFormat="0" applyFill="1" applyBorder="1" applyAlignment="1">
      <alignment horizontal="center" vertical="bottom" textRotation="0" wrapText="false" shrinkToFit="false"/>
    </xf>
    <xf xfId="0" fontId="1" numFmtId="164" fillId="3" borderId="2" applyFont="1" applyNumberFormat="1" applyFill="1" applyBorder="1" applyAlignment="1">
      <alignment horizontal="center" vertical="bottom" textRotation="0" wrapText="false" shrinkToFit="false"/>
    </xf>
    <xf xfId="0" fontId="13" numFmtId="0" fillId="4" borderId="4" applyFont="1" applyNumberFormat="0" applyFill="1" applyBorder="1" applyAlignment="0">
      <alignment horizontal="general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bottom" textRotation="0" wrapText="false" shrinkToFit="false"/>
    </xf>
    <xf xfId="0" fontId="1" numFmtId="164" fillId="3" borderId="0" applyFont="1" applyNumberFormat="1" applyFill="1" applyBorder="0" applyAlignment="1">
      <alignment horizontal="center" vertical="bottom" textRotation="0" wrapText="false" shrinkToFit="false"/>
    </xf>
    <xf xfId="0" fontId="7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2" fillId="3" borderId="0" applyFont="1" applyNumberFormat="1" applyFill="1" applyBorder="0" applyAlignment="1">
      <alignment horizontal="right" vertical="bottom" textRotation="0" wrapText="false" shrinkToFit="false"/>
    </xf>
    <xf xfId="0" fontId="1" numFmtId="2" fillId="3" borderId="0" applyFont="1" applyNumberFormat="1" applyFill="1" applyBorder="0" applyAlignment="1">
      <alignment horizontal="center" vertical="bottom" textRotation="0" wrapText="false" shrinkToFit="false"/>
    </xf>
    <xf xfId="0" fontId="1" numFmtId="0" fillId="3" borderId="0" applyFont="1" applyNumberFormat="0" applyFill="1" applyBorder="0" applyAlignment="0">
      <alignment horizontal="general" vertical="bottom" textRotation="0" wrapText="false" shrinkToFit="false"/>
    </xf>
    <xf xfId="0" fontId="7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3" borderId="5" applyFont="1" applyNumberFormat="0" applyFill="1" applyBorder="1" applyAlignment="1">
      <alignment horizontal="center" vertical="bottom" textRotation="0" wrapText="false" shrinkToFit="false"/>
    </xf>
    <xf xfId="0" fontId="7" numFmtId="0" fillId="0" borderId="6" applyFont="1" applyNumberFormat="0" applyFill="0" applyBorder="1" applyAlignment="1">
      <alignment horizontal="center" vertical="bottom" textRotation="0" wrapText="false" shrinkToFit="false"/>
    </xf>
    <xf xfId="0" fontId="7" numFmtId="0" fillId="0" borderId="7" applyFont="1" applyNumberFormat="0" applyFill="0" applyBorder="1" applyAlignment="1">
      <alignment horizontal="center" vertical="bottom" textRotation="0" wrapText="false" shrinkToFit="false"/>
    </xf>
    <xf xfId="0" fontId="7" numFmtId="0" fillId="0" borderId="0" applyFont="1" applyNumberFormat="0" applyFill="0" applyBorder="0" applyAlignment="1">
      <alignment horizontal="center" vertical="bottom" textRotation="0" wrapText="false" shrinkToFit="false"/>
    </xf>
    <xf xfId="0" fontId="7" numFmtId="0" fillId="0" borderId="7" applyFont="1" applyNumberFormat="0" applyFill="0" applyBorder="1" applyAlignment="0">
      <alignment horizontal="general" vertical="bottom" textRotation="0" wrapText="false" shrinkToFit="false"/>
    </xf>
    <xf xfId="0" fontId="7" numFmtId="20" fillId="0" borderId="7" applyFont="1" applyNumberFormat="1" applyFill="0" applyBorder="1" applyAlignment="0">
      <alignment horizontal="general" vertical="bottom" textRotation="0" wrapText="false" shrinkToFit="false"/>
    </xf>
    <xf xfId="0" fontId="7" numFmtId="0" fillId="0" borderId="8" applyFont="1" applyNumberFormat="0" applyFill="0" applyBorder="1" applyAlignment="1">
      <alignment horizontal="center" vertical="bottom" textRotation="0" wrapText="false" shrinkToFit="false"/>
    </xf>
    <xf xfId="0" fontId="0" numFmtId="0" fillId="0" borderId="2" applyFont="0" applyNumberFormat="0" applyFill="0" applyBorder="1" applyAlignment="1">
      <alignment horizontal="center" vertical="bottom" textRotation="0" wrapText="false" shrinkToFit="false"/>
    </xf>
    <xf xfId="0" fontId="0" numFmtId="0" fillId="13" borderId="5" applyFont="0" applyNumberFormat="0" applyFill="1" applyBorder="1" applyAlignment="1">
      <alignment horizontal="center" vertical="bottom" textRotation="0" wrapText="false" shrinkToFit="false"/>
    </xf>
    <xf xfId="0" fontId="3" numFmtId="0" fillId="5" borderId="0" applyFont="1" applyNumberFormat="0" applyFill="1" applyBorder="0" applyAlignment="1">
      <alignment horizontal="center" vertical="bottom" textRotation="0" wrapText="false" shrinkToFit="false"/>
    </xf>
    <xf xfId="0" fontId="3" numFmtId="0" fillId="5" borderId="5" applyFont="1" applyNumberFormat="0" applyFill="1" applyBorder="1" applyAlignment="0">
      <alignment horizontal="general" vertical="bottom" textRotation="0" wrapText="false" shrinkToFit="false"/>
    </xf>
    <xf xfId="0" fontId="0" numFmtId="1" fillId="0" borderId="6" applyFont="0" applyNumberFormat="1" applyFill="0" applyBorder="1" applyAlignment="0">
      <alignment horizontal="general" vertical="bottom" textRotation="0" wrapText="false" shrinkToFit="false"/>
    </xf>
    <xf xfId="0" fontId="0" numFmtId="1" fillId="0" borderId="7" applyFont="0" applyNumberFormat="1" applyFill="0" applyBorder="1" applyAlignment="0">
      <alignment horizontal="general" vertical="bottom" textRotation="0" wrapText="false" shrinkToFit="false"/>
    </xf>
    <xf xfId="0" fontId="0" numFmtId="2" fillId="0" borderId="8" applyFont="0" applyNumberFormat="1" applyFill="0" applyBorder="1" applyAlignment="0">
      <alignment horizontal="general" vertical="bottom" textRotation="0" wrapText="false" shrinkToFit="false"/>
    </xf>
    <xf xfId="0" fontId="0" numFmtId="0" fillId="0" borderId="6" applyFont="0" applyNumberFormat="0" applyFill="0" applyBorder="1" applyAlignment="0">
      <alignment horizontal="general" vertical="bottom" textRotation="0" wrapText="false" shrinkToFit="false"/>
    </xf>
    <xf xfId="0" fontId="0" numFmtId="0" fillId="0" borderId="7" applyFont="0" applyNumberFormat="0" applyFill="0" applyBorder="1" applyAlignment="0">
      <alignment horizontal="general" vertical="bottom" textRotation="0" wrapText="false" shrinkToFit="false"/>
    </xf>
    <xf xfId="0" fontId="0" numFmtId="0" fillId="0" borderId="8" applyFont="0" applyNumberFormat="0" applyFill="0" applyBorder="1" applyAlignment="0">
      <alignment horizontal="general" vertical="bottom" textRotation="0" wrapText="false" shrinkToFit="false"/>
    </xf>
    <xf xfId="0" fontId="14" numFmtId="0" fillId="3" borderId="0" applyFont="1" applyNumberFormat="0" applyFill="1" applyBorder="0" applyAlignment="1">
      <alignment horizontal="center" vertical="bottom" textRotation="0" wrapText="false" shrinkToFit="false"/>
    </xf>
    <xf xfId="0" fontId="10" numFmtId="0" fillId="0" borderId="4" applyFont="1" applyNumberFormat="0" applyFill="0" applyBorder="1" applyAlignment="1">
      <alignment horizontal="center" vertical="bottom" textRotation="0" wrapText="false" shrinkToFit="false"/>
    </xf>
    <xf xfId="0" fontId="10" numFmtId="0" fillId="0" borderId="0" applyFont="1" applyNumberFormat="0" applyFill="0" applyBorder="0" applyAlignment="1">
      <alignment horizontal="center" vertical="bottom" textRotation="0" wrapText="false" shrinkToFit="false"/>
    </xf>
    <xf xfId="0" fontId="10" numFmtId="0" fillId="0" borderId="5" applyFont="1" applyNumberFormat="0" applyFill="0" applyBorder="1" applyAlignment="1">
      <alignment horizontal="center" vertical="bottom" textRotation="0" wrapText="false" shrinkToFit="false"/>
    </xf>
    <xf xfId="0" fontId="13" numFmtId="0" fillId="3" borderId="4" applyFont="1" applyNumberFormat="0" applyFill="1" applyBorder="1" applyAlignment="0">
      <alignment horizontal="general" vertical="bottom" textRotation="0" wrapText="false" shrinkToFit="false"/>
    </xf>
    <xf xfId="0" fontId="1" numFmtId="2" fillId="7" borderId="0" applyFont="1" applyNumberFormat="1" applyFill="1" applyBorder="0" applyAlignment="1">
      <alignment horizontal="center" vertical="bottom" textRotation="0" wrapText="false" shrinkToFit="false"/>
    </xf>
    <xf xfId="0" fontId="10" numFmtId="0" fillId="0" borderId="6" applyFont="1" applyNumberFormat="0" applyFill="0" applyBorder="1" applyAlignment="1">
      <alignment horizontal="center" vertical="bottom" textRotation="0" wrapText="false" shrinkToFit="false"/>
    </xf>
    <xf xfId="0" fontId="10" numFmtId="0" fillId="0" borderId="7" applyFont="1" applyNumberFormat="0" applyFill="0" applyBorder="1" applyAlignment="1">
      <alignment horizontal="center" vertical="bottom" textRotation="0" wrapText="false" shrinkToFit="false"/>
    </xf>
    <xf xfId="0" fontId="10" numFmtId="0" fillId="0" borderId="8" applyFont="1" applyNumberFormat="0" applyFill="0" applyBorder="1" applyAlignment="1">
      <alignment horizontal="center" vertical="bottom" textRotation="0" wrapText="false" shrinkToFit="false"/>
    </xf>
    <xf xfId="0" fontId="15" numFmtId="164" fillId="5" borderId="0" applyFont="1" applyNumberFormat="1" applyFill="1" applyBorder="0" applyAlignment="1">
      <alignment horizontal="center" vertical="bottom" textRotation="0" wrapText="false" shrinkToFit="false"/>
    </xf>
    <xf xfId="0" fontId="15" numFmtId="0" fillId="5" borderId="0" applyFont="1" applyNumberFormat="0" applyFill="1" applyBorder="0" applyAlignment="0">
      <alignment horizontal="general" vertical="bottom" textRotation="0" wrapText="false" shrinkToFit="false"/>
    </xf>
    <xf xfId="0" fontId="0" numFmtId="2" fillId="5" borderId="0" applyFont="0" applyNumberFormat="1" applyFill="1" applyBorder="0" applyAlignment="1">
      <alignment horizontal="right" vertical="bottom" textRotation="0" wrapText="false" shrinkToFit="false"/>
    </xf>
    <xf xfId="0" fontId="0" numFmtId="0" fillId="2" borderId="0" applyFont="0" applyNumberFormat="0" applyFill="1" applyBorder="0" applyAlignment="1">
      <alignment horizontal="center" vertical="bottom" textRotation="0" wrapText="false" shrinkToFit="false"/>
    </xf>
    <xf xfId="0" fontId="0" numFmtId="2" fillId="13" borderId="0" applyFont="0" applyNumberFormat="1" applyFill="1" applyBorder="0" applyAlignment="1">
      <alignment horizontal="center" vertical="bottom" textRotation="0" wrapText="false" shrinkToFit="false"/>
    </xf>
    <xf xfId="0" fontId="0" numFmtId="2" fillId="16" borderId="0" applyFont="0" applyNumberFormat="1" applyFill="1" applyBorder="0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1">
      <alignment horizontal="center" vertical="bottom" textRotation="0" wrapText="false" shrinkToFit="false"/>
    </xf>
    <xf xfId="0" fontId="0" numFmtId="164" fillId="5" borderId="0" applyFont="0" applyNumberFormat="1" applyFill="1" applyBorder="0" applyAlignment="1">
      <alignment horizontal="center" vertical="bottom" textRotation="0" wrapText="false" shrinkToFit="false"/>
    </xf>
    <xf xfId="0" fontId="0" numFmtId="2" fillId="5" borderId="0" applyFont="0" applyNumberFormat="1" applyFill="1" applyBorder="0" applyAlignment="1">
      <alignment horizontal="center" vertical="bottom" textRotation="0" wrapText="false" shrinkToFit="false"/>
    </xf>
    <xf xfId="0" fontId="1" numFmtId="2" fillId="13" borderId="0" applyFont="1" applyNumberFormat="1" applyFill="1" applyBorder="0" applyAlignment="1">
      <alignment horizontal="center" vertical="bottom" textRotation="0" wrapText="false" shrinkToFit="false"/>
    </xf>
    <xf xfId="0" fontId="1" numFmtId="2" fillId="10" borderId="0" applyFont="1" applyNumberFormat="1" applyFill="1" applyBorder="0" applyAlignment="1">
      <alignment horizontal="center" vertical="bottom" textRotation="0" wrapText="false" shrinkToFit="false"/>
    </xf>
    <xf xfId="0" fontId="1" numFmtId="0" fillId="17" borderId="0" applyFont="1" applyNumberFormat="0" applyFill="1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7" applyFont="1" applyNumberFormat="0" applyFill="0" applyBorder="1" applyAlignment="0">
      <alignment horizontal="general" vertical="bottom" textRotation="0" wrapText="false" shrinkToFit="false"/>
    </xf>
    <xf xfId="0" fontId="5" numFmtId="0" fillId="0" borderId="7" applyFont="1" applyNumberFormat="0" applyFill="0" applyBorder="1" applyAlignment="0">
      <alignment horizontal="general" vertical="bottom" textRotation="0" wrapText="false" shrinkToFit="false"/>
    </xf>
    <xf xfId="0" fontId="5" numFmtId="0" fillId="0" borderId="8" applyFont="1" applyNumberFormat="0" applyFill="0" applyBorder="1" applyAlignment="0">
      <alignment horizontal="general" vertical="bottom" textRotation="0" wrapText="false" shrinkToFit="false"/>
    </xf>
    <xf xfId="0" fontId="7" numFmtId="20" fillId="0" borderId="0" applyFont="1" applyNumberFormat="1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1" applyBorder="1" applyAlignment="0">
      <alignment horizontal="general" vertical="bottom" textRotation="0" wrapText="false" shrinkToFit="false"/>
    </xf>
    <xf xfId="0" fontId="10" numFmtId="0" fillId="0" borderId="2" applyFont="1" applyNumberFormat="0" applyFill="0" applyBorder="1" applyAlignment="1">
      <alignment horizontal="right" vertical="bottom" textRotation="0" wrapText="false" shrinkToFit="false"/>
    </xf>
    <xf xfId="0" fontId="2" numFmtId="0" fillId="0" borderId="3" applyFont="1" applyNumberFormat="0" applyFill="0" applyBorder="1" applyAlignment="0">
      <alignment horizontal="general" vertical="bottom" textRotation="0" wrapText="false" shrinkToFit="false"/>
    </xf>
    <xf xfId="0" fontId="10" numFmtId="0" fillId="0" borderId="0" applyFont="1" applyNumberFormat="0" applyFill="0" applyBorder="0" applyAlignment="1">
      <alignment horizontal="right" vertical="bottom" textRotation="0" wrapText="false" shrinkToFit="false"/>
    </xf>
    <xf xfId="0" fontId="2" numFmtId="0" fillId="0" borderId="5" applyFont="1" applyNumberFormat="0" applyFill="0" applyBorder="1" applyAlignment="0">
      <alignment horizontal="general" vertical="bottom" textRotation="0" wrapText="false" shrinkToFit="false"/>
    </xf>
    <xf xfId="0" fontId="2" numFmtId="0" fillId="5" borderId="0" applyFont="1" applyNumberFormat="0" applyFill="1" applyBorder="0" applyAlignment="1">
      <alignment horizontal="right" vertical="bottom" textRotation="0" wrapText="false" shrinkToFit="false"/>
    </xf>
    <xf xfId="0" fontId="2" numFmtId="0" fillId="5" borderId="0" applyFont="1" applyNumberFormat="0" applyFill="1" applyBorder="0" applyAlignment="0">
      <alignment horizontal="general" vertical="bottom" textRotation="0" wrapText="false" shrinkToFit="false"/>
    </xf>
    <xf xfId="0" fontId="3" numFmtId="0" fillId="5" borderId="0" applyFont="1" applyNumberFormat="0" applyFill="1" applyBorder="0" applyAlignment="0">
      <alignment horizontal="general" vertical="bottom" textRotation="0" wrapText="false" shrinkToFit="false"/>
    </xf>
    <xf xfId="0" fontId="7" numFmtId="2" fillId="5" borderId="0" applyFont="1" applyNumberFormat="1" applyFill="1" applyBorder="0" applyAlignment="0">
      <alignment horizontal="general" vertical="bottom" textRotation="0" wrapText="false" shrinkToFit="false"/>
    </xf>
    <xf xfId="0" fontId="1" numFmtId="0" fillId="2" borderId="4" applyFont="1" applyNumberFormat="0" applyFill="1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1">
      <alignment horizontal="center" vertical="bottom" textRotation="0" wrapText="false" shrinkToFit="false"/>
    </xf>
    <xf xfId="0" fontId="5" numFmtId="0" fillId="0" borderId="5" applyFont="1" applyNumberFormat="0" applyFill="0" applyBorder="1" applyAlignment="1">
      <alignment horizontal="center" vertical="bottom" textRotation="0" wrapText="false" shrinkToFit="false"/>
    </xf>
    <xf xfId="0" fontId="14" numFmtId="0" fillId="2" borderId="0" applyFont="1" applyNumberFormat="0" applyFill="1" applyBorder="0" applyAlignment="0">
      <alignment horizontal="general" vertical="bottom" textRotation="0" wrapText="false" shrinkToFit="false"/>
    </xf>
    <xf xfId="0" fontId="3" numFmtId="0" fillId="12" borderId="0" applyFont="1" applyNumberFormat="0" applyFill="1" applyBorder="0" applyAlignment="0">
      <alignment horizontal="general" vertical="bottom" textRotation="0" wrapText="false" shrinkToFit="false"/>
    </xf>
    <xf xfId="0" fontId="1" numFmtId="2" fillId="3" borderId="5" applyFont="1" applyNumberFormat="1" applyFill="1" applyBorder="1" applyAlignment="1">
      <alignment horizontal="center" vertical="bottom" textRotation="0" wrapText="false" shrinkToFit="false"/>
    </xf>
    <xf xfId="0" fontId="8" numFmtId="0" fillId="0" borderId="4" applyFont="1" applyNumberFormat="0" applyFill="0" applyBorder="1" applyAlignment="1">
      <alignment horizontal="center" vertical="bottom" textRotation="0" wrapText="false" shrinkToFit="false"/>
    </xf>
    <xf xfId="0" fontId="13" numFmtId="0" fillId="18" borderId="0" applyFont="1" applyNumberFormat="0" applyFill="1" applyBorder="0" applyAlignment="0">
      <alignment horizontal="general" vertical="bottom" textRotation="0" wrapText="false" shrinkToFit="false"/>
    </xf>
    <xf xfId="0" fontId="13" numFmtId="0" fillId="2" borderId="0" applyFont="1" applyNumberFormat="0" applyFill="1" applyBorder="0" applyAlignment="0">
      <alignment horizontal="general" vertical="bottom" textRotation="0" wrapText="false" shrinkToFit="false"/>
    </xf>
    <xf xfId="0" fontId="2" numFmtId="49" fillId="0" borderId="0" applyFont="1" applyNumberFormat="1" applyFill="0" applyBorder="0" applyAlignment="1">
      <alignment horizontal="center" vertical="bottom" textRotation="0" wrapText="false" shrinkToFit="false"/>
    </xf>
    <xf xfId="0" fontId="2" numFmtId="20" fillId="0" borderId="0" applyFont="1" applyNumberFormat="1" applyFill="0" applyBorder="0" applyAlignment="1">
      <alignment horizontal="center" vertical="bottom" textRotation="0" wrapText="false" shrinkToFit="false"/>
    </xf>
    <xf xfId="0" fontId="0" numFmtId="0" fillId="0" borderId="12" applyFont="0" applyNumberFormat="0" applyFill="0" applyBorder="1" applyAlignment="0">
      <alignment horizontal="general" vertical="bottom" textRotation="0" wrapText="false" shrinkToFit="false"/>
    </xf>
    <xf xfId="0" fontId="0" numFmtId="0" fillId="0" borderId="13" applyFont="0" applyNumberFormat="0" applyFill="0" applyBorder="1" applyAlignment="1">
      <alignment horizontal="center" vertical="bottom" textRotation="0" wrapText="false" shrinkToFit="false"/>
    </xf>
    <xf xfId="0" fontId="0" numFmtId="0" fillId="0" borderId="13" applyFont="0" applyNumberFormat="0" applyFill="0" applyBorder="1" applyAlignment="0">
      <alignment horizontal="general" vertical="bottom" textRotation="0" wrapText="false" shrinkToFit="false"/>
    </xf>
    <xf xfId="0" fontId="0" numFmtId="0" fillId="0" borderId="1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1" applyBorder="1" applyAlignment="1">
      <alignment horizontal="center" vertical="bottom" textRotation="0" wrapText="false" shrinkToFit="false"/>
    </xf>
    <xf xfId="0" fontId="2" numFmtId="0" fillId="0" borderId="4" applyFont="1" applyNumberFormat="0" applyFill="0" applyBorder="1" applyAlignment="0">
      <alignment horizontal="general" vertical="bottom" textRotation="0" wrapText="false" shrinkToFit="false"/>
    </xf>
    <xf xfId="0" fontId="10" numFmtId="0" fillId="5" borderId="12" applyFont="1" applyNumberFormat="0" applyFill="1" applyBorder="1" applyAlignment="0">
      <alignment horizontal="general" vertical="bottom" textRotation="0" wrapText="false" shrinkToFit="false"/>
    </xf>
    <xf xfId="0" fontId="10" numFmtId="0" fillId="5" borderId="13" applyFont="1" applyNumberFormat="0" applyFill="1" applyBorder="1" applyAlignment="1">
      <alignment horizontal="center" vertical="bottom" textRotation="0" wrapText="false" shrinkToFit="false"/>
    </xf>
    <xf xfId="0" fontId="10" numFmtId="0" fillId="5" borderId="14" applyFont="1" applyNumberFormat="0" applyFill="1" applyBorder="1" applyAlignment="1">
      <alignment horizontal="center" vertical="bottom" textRotation="0" wrapText="false" shrinkToFit="false"/>
    </xf>
    <xf xfId="0" fontId="0" numFmtId="0" fillId="16" borderId="0" applyFont="0" applyNumberFormat="0" applyFill="1" applyBorder="0" applyAlignment="1">
      <alignment horizontal="center" vertical="bottom" textRotation="0" wrapText="false" shrinkToFit="false"/>
    </xf>
    <xf xfId="0" fontId="10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17" borderId="0" applyFont="0" applyNumberFormat="0" applyFill="1" applyBorder="0" applyAlignment="0">
      <alignment horizontal="general" vertical="bottom" textRotation="0" wrapText="false" shrinkToFit="false"/>
    </xf>
    <xf xfId="0" fontId="0" numFmtId="0" fillId="17" borderId="0" applyFont="0" applyNumberFormat="0" applyFill="1" applyBorder="0" applyAlignment="1">
      <alignment horizontal="left" vertical="bottom" textRotation="0" wrapText="false" shrinkToFit="false"/>
    </xf>
    <xf xfId="0" fontId="0" numFmtId="0" fillId="0" borderId="14" applyFont="0" applyNumberFormat="0" applyFill="0" applyBorder="1" applyAlignment="1">
      <alignment horizontal="center" vertical="bottom" textRotation="0" wrapText="false" shrinkToFit="false"/>
    </xf>
    <xf xfId="0" fontId="1" numFmtId="0" fillId="0" borderId="4" applyFont="1" applyNumberFormat="0" applyFill="0" applyBorder="1" applyAlignment="1">
      <alignment horizontal="center" vertical="bottom" textRotation="0" wrapText="false" shrinkToFit="false"/>
    </xf>
    <xf xfId="0" fontId="3" numFmtId="0" fillId="0" borderId="0" applyFont="1" applyNumberFormat="0" applyFill="0" applyBorder="0" applyAlignment="1">
      <alignment horizontal="center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0" fillId="0" borderId="5" applyFont="1" applyNumberFormat="0" applyFill="0" applyBorder="1" applyAlignment="1">
      <alignment horizontal="center" vertical="bottom" textRotation="0" wrapText="false" shrinkToFit="false"/>
    </xf>
    <xf xfId="0" fontId="0" numFmtId="0" fillId="0" borderId="4" applyFont="0" applyNumberFormat="0" applyFill="0" applyBorder="1" applyAlignment="1">
      <alignment horizontal="center" vertical="bottom" textRotation="0" wrapText="false" shrinkToFit="false"/>
    </xf>
    <xf xfId="0" fontId="0" numFmtId="0" fillId="0" borderId="5" applyFont="0" applyNumberFormat="0" applyFill="0" applyBorder="1" applyAlignment="1">
      <alignment horizontal="left" vertical="bottom" textRotation="0" wrapText="false" shrinkToFit="false"/>
    </xf>
    <xf xfId="0" fontId="10" numFmtId="0" fillId="5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0" applyFont="1" applyNumberFormat="0" applyFill="1" applyBorder="0" applyAlignment="1">
      <alignment horizontal="left" vertical="bottom" textRotation="0" wrapText="false" shrinkToFit="false"/>
    </xf>
    <xf xfId="0" fontId="0" numFmtId="0" fillId="8" borderId="0" applyFont="0" applyNumberFormat="0" applyFill="1" applyBorder="0" applyAlignment="1">
      <alignment horizontal="center" vertical="bottom" textRotation="0" wrapText="false" shrinkToFit="false"/>
    </xf>
    <xf xfId="0" fontId="0" numFmtId="0" fillId="0" borderId="9" applyFont="0" applyNumberFormat="0" applyFill="0" applyBorder="1" applyAlignment="1">
      <alignment horizontal="center" vertical="bottom" textRotation="0" wrapText="false" shrinkToFit="false"/>
    </xf>
    <xf xfId="0" fontId="10" numFmtId="0" fillId="15" borderId="10" applyFont="1" applyNumberFormat="0" applyFill="1" applyBorder="1" applyAlignment="1">
      <alignment horizontal="center" vertical="bottom" textRotation="0" wrapText="false" shrinkToFit="false"/>
    </xf>
    <xf xfId="0" fontId="7" numFmtId="0" fillId="15" borderId="15" applyFont="1" applyNumberFormat="0" applyFill="1" applyBorder="1" applyAlignment="1">
      <alignment horizontal="center" vertical="bottom" textRotation="0" wrapText="false" shrinkToFit="false"/>
    </xf>
    <xf xfId="0" fontId="0" numFmtId="0" fillId="15" borderId="7" applyFont="0" applyNumberFormat="0" applyFill="1" applyBorder="1" applyAlignment="0">
      <alignment horizontal="general" vertical="bottom" textRotation="0" wrapText="false" shrinkToFit="false"/>
    </xf>
    <xf xfId="0" fontId="5" numFmtId="0" fillId="0" borderId="7" applyFont="1" applyNumberFormat="0" applyFill="0" applyBorder="1" applyAlignment="1">
      <alignment horizontal="center" vertical="bottom" textRotation="0" wrapText="false" shrinkToFit="false"/>
    </xf>
    <xf xfId="0" fontId="1" numFmtId="0" fillId="19" borderId="1" applyFont="1" applyNumberFormat="0" applyFill="1" applyBorder="1" applyAlignment="0">
      <alignment horizontal="general" vertical="bottom" textRotation="0" wrapText="false" shrinkToFit="false"/>
    </xf>
    <xf xfId="0" fontId="1" numFmtId="0" fillId="19" borderId="2" applyFont="1" applyNumberFormat="0" applyFill="1" applyBorder="1" applyAlignment="0">
      <alignment horizontal="general" vertical="bottom" textRotation="0" wrapText="false" shrinkToFit="false"/>
    </xf>
    <xf xfId="0" fontId="1" numFmtId="0" fillId="20" borderId="1" applyFont="1" applyNumberFormat="0" applyFill="1" applyBorder="1" applyAlignment="1">
      <alignment horizontal="center" vertical="bottom" textRotation="0" wrapText="false" shrinkToFit="false"/>
    </xf>
    <xf xfId="0" fontId="1" numFmtId="0" fillId="20" borderId="3" applyFont="1" applyNumberFormat="0" applyFill="1" applyBorder="1" applyAlignment="1">
      <alignment horizontal="center" vertical="bottom" textRotation="0" wrapText="false" shrinkToFit="false"/>
    </xf>
    <xf xfId="0" fontId="1" numFmtId="0" fillId="2" borderId="10" applyFont="1" applyNumberFormat="0" applyFill="1" applyBorder="1" applyAlignment="0">
      <alignment horizontal="general" vertical="bottom" textRotation="0" wrapText="false" shrinkToFit="false"/>
    </xf>
    <xf xfId="0" fontId="7" numFmtId="0" fillId="0" borderId="2" applyFont="1" applyNumberFormat="0" applyFill="0" applyBorder="1" applyAlignment="0">
      <alignment horizontal="general" vertical="bottom" textRotation="0" wrapText="false" shrinkToFit="false"/>
    </xf>
    <xf xfId="0" fontId="1" numFmtId="0" fillId="20" borderId="4" applyFont="1" applyNumberFormat="0" applyFill="1" applyBorder="1" applyAlignment="1">
      <alignment horizontal="center" vertical="bottom" textRotation="0" wrapText="false" shrinkToFit="false"/>
    </xf>
    <xf xfId="0" fontId="1" numFmtId="0" fillId="20" borderId="5" applyFont="1" applyNumberFormat="0" applyFill="1" applyBorder="1" applyAlignment="1">
      <alignment horizontal="center" vertical="bottom" textRotation="0" wrapText="false" shrinkToFit="false"/>
    </xf>
    <xf xfId="0" fontId="0" numFmtId="0" fillId="0" borderId="10" applyFont="0" applyNumberFormat="0" applyFill="0" applyBorder="1" applyAlignment="1">
      <alignment horizontal="center" vertical="bottom" textRotation="0" wrapText="false" shrinkToFit="false"/>
    </xf>
    <xf xfId="0" fontId="1" numFmtId="0" fillId="3" borderId="10" applyFont="1" applyNumberFormat="0" applyFill="1" applyBorder="1" applyAlignment="1">
      <alignment horizontal="center" vertical="bottom" textRotation="0" wrapText="false" shrinkToFit="false"/>
    </xf>
    <xf xfId="0" fontId="8" numFmtId="0" fillId="21" borderId="7" applyFont="1" applyNumberFormat="0" applyFill="1" applyBorder="1" applyAlignment="1">
      <alignment horizontal="center" vertical="bottom" textRotation="0" wrapText="false" shrinkToFit="false"/>
    </xf>
    <xf xfId="0" fontId="1" numFmtId="0" fillId="20" borderId="6" applyFont="1" applyNumberFormat="0" applyFill="1" applyBorder="1" applyAlignment="1">
      <alignment horizontal="center" vertical="bottom" textRotation="0" wrapText="false" shrinkToFit="false"/>
    </xf>
    <xf xfId="0" fontId="1" numFmtId="0" fillId="20" borderId="8" applyFont="1" applyNumberFormat="0" applyFill="1" applyBorder="1" applyAlignment="1">
      <alignment horizontal="center" vertical="bottom" textRotation="0" wrapText="false" shrinkToFit="false"/>
    </xf>
    <xf xfId="0" fontId="1" numFmtId="0" fillId="3" borderId="15" applyFont="1" applyNumberFormat="0" applyFill="1" applyBorder="1" applyAlignment="1">
      <alignment horizontal="center" vertical="bottom" textRotation="0" wrapText="false" shrinkToFit="false"/>
    </xf>
    <xf xfId="0" fontId="10" numFmtId="0" fillId="21" borderId="0" applyFont="1" applyNumberFormat="0" applyFill="1" applyBorder="0" applyAlignment="0">
      <alignment horizontal="general" vertical="bottom" textRotation="0" wrapText="false" shrinkToFit="false"/>
    </xf>
    <xf xfId="0" fontId="10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0" fillId="0" borderId="12" applyFont="1" applyNumberFormat="0" applyFill="0" applyBorder="1" applyAlignment="1">
      <alignment horizontal="center" vertical="bottom" textRotation="0" wrapText="false" shrinkToFit="false"/>
    </xf>
    <xf xfId="0" fontId="7" numFmtId="0" fillId="0" borderId="13" applyFont="1" applyNumberFormat="0" applyFill="0" applyBorder="1" applyAlignment="1">
      <alignment horizontal="center" vertical="bottom" textRotation="0" wrapText="false" shrinkToFit="false"/>
    </xf>
    <xf xfId="0" fontId="14" numFmtId="0" fillId="19" borderId="0" applyFont="1" applyNumberFormat="0" applyFill="1" applyBorder="0" applyAlignment="1">
      <alignment horizontal="center" vertical="bottom" textRotation="0" wrapText="false" shrinkToFit="false"/>
    </xf>
    <xf xfId="0" fontId="10" numFmtId="0" fillId="5" borderId="0" applyFont="1" applyNumberFormat="0" applyFill="1" applyBorder="0" applyAlignment="1">
      <alignment horizontal="center" vertical="bottom" textRotation="0" wrapText="false" shrinkToFit="false"/>
    </xf>
    <xf xfId="0" fontId="7" numFmtId="0" fillId="5" borderId="0" applyFont="1" applyNumberFormat="0" applyFill="1" applyBorder="0" applyAlignment="1">
      <alignment horizontal="center" vertical="bottom" textRotation="0" wrapText="false" shrinkToFit="false"/>
    </xf>
    <xf xfId="0" fontId="12" numFmtId="0" fillId="0" borderId="0" applyFont="1" applyNumberFormat="0" applyFill="0" applyBorder="0" applyAlignment="1">
      <alignment horizontal="center" vertical="bottom" textRotation="0" wrapText="false" shrinkToFit="false"/>
    </xf>
    <xf xfId="0" fontId="14" numFmtId="0" fillId="19" borderId="0" applyFont="1" applyNumberFormat="0" applyFill="1" applyBorder="0" applyAlignment="1">
      <alignment horizontal="right" vertical="bottom" textRotation="0" wrapText="false" shrinkToFit="false"/>
    </xf>
    <xf xfId="0" fontId="0" numFmtId="0" fillId="0" borderId="7" applyFont="0" applyNumberFormat="0" applyFill="0" applyBorder="1" applyAlignment="1">
      <alignment horizontal="center" vertical="bottom" textRotation="0" wrapText="false" shrinkToFit="false"/>
    </xf>
    <xf xfId="0" fontId="0" numFmtId="0" fillId="0" borderId="7" applyFont="0" applyNumberFormat="0" applyFill="0" applyBorder="1" applyAlignment="1">
      <alignment horizontal="right" vertical="bottom" textRotation="0" wrapText="false" shrinkToFit="false"/>
    </xf>
    <xf xfId="0" fontId="0" numFmtId="0" fillId="0" borderId="8" applyFont="0" applyNumberFormat="0" applyFill="0" applyBorder="1" applyAlignment="1">
      <alignment horizontal="left" vertical="bottom" textRotation="0" wrapText="false" shrinkToFit="false"/>
    </xf>
    <xf xfId="0" fontId="16" numFmtId="0" fillId="0" borderId="0" applyFont="1" applyNumberFormat="0" applyFill="0" applyBorder="0" applyAlignment="0">
      <alignment horizontal="general" vertical="bottom" textRotation="0" wrapText="false" shrinkToFit="false"/>
    </xf>
    <xf xfId="0" fontId="13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164" fillId="0" borderId="0" applyFont="1" applyNumberFormat="1" applyFill="0" applyBorder="0" applyAlignment="1">
      <alignment horizontal="center" vertical="bottom" textRotation="0" wrapText="false" shrinkToFit="false"/>
    </xf>
    <xf xfId="0" fontId="1" numFmtId="2" fillId="0" borderId="0" applyFont="1" applyNumberFormat="1" applyFill="0" applyBorder="0" applyAlignment="1">
      <alignment horizontal="right" vertical="bottom" textRotation="0" wrapText="false" shrinkToFit="false"/>
    </xf>
    <xf xfId="0" fontId="1" numFmtId="2" fillId="0" borderId="0" applyFont="1" applyNumberFormat="1" applyFill="0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20" fillId="0" borderId="0" applyFont="1" applyNumberFormat="1" applyFill="0" applyBorder="0" applyAlignment="0">
      <alignment horizontal="general" vertical="bottom" textRotation="0" wrapText="false" shrinkToFit="false"/>
    </xf>
    <xf xfId="0" fontId="1" numFmtId="0" fillId="14" borderId="12" applyFont="1" applyNumberFormat="0" applyFill="1" applyBorder="1" applyAlignment="0">
      <alignment horizontal="general" vertical="bottom" textRotation="0" wrapText="false" shrinkToFit="false"/>
    </xf>
    <xf xfId="0" fontId="1" numFmtId="0" fillId="14" borderId="13" applyFont="1" applyNumberFormat="0" applyFill="1" applyBorder="1" applyAlignment="0">
      <alignment horizontal="general" vertical="bottom" textRotation="0" wrapText="false" shrinkToFit="false"/>
    </xf>
    <xf xfId="0" fontId="10" numFmtId="0" fillId="5" borderId="14" applyFont="1" applyNumberFormat="0" applyFill="1" applyBorder="1" applyAlignment="0">
      <alignment horizontal="general" vertical="bottom" textRotation="0" wrapText="false" shrinkToFit="false"/>
    </xf>
    <xf xfId="0" fontId="14" numFmtId="0" fillId="0" borderId="0" applyFont="1" applyNumberFormat="0" applyFill="0" applyBorder="0" applyAlignment="1">
      <alignment horizontal="center" vertical="bottom" textRotation="0" wrapText="false" shrinkToFit="false"/>
    </xf>
    <xf xfId="0" fontId="15" numFmtId="164" fillId="0" borderId="0" applyFont="1" applyNumberFormat="1" applyFill="0" applyBorder="0" applyAlignment="1">
      <alignment horizontal="center" vertical="bottom" textRotation="0" wrapText="false" shrinkToFit="false"/>
    </xf>
    <xf xfId="0" fontId="0" numFmtId="2" fillId="0" borderId="0" applyFont="0" applyNumberFormat="1" applyFill="0" applyBorder="0" applyAlignment="1">
      <alignment horizontal="right" vertical="bottom" textRotation="0" wrapText="false" shrinkToFit="false"/>
    </xf>
    <xf xfId="0" fontId="0" numFmtId="2" fillId="10" borderId="0" applyFont="0" applyNumberFormat="1" applyFill="1" applyBorder="0" applyAlignment="1">
      <alignment horizontal="center" vertical="bottom" textRotation="0" wrapText="false" shrinkToFit="false"/>
    </xf>
    <xf xfId="0" fontId="0" numFmtId="0" fillId="17" borderId="0" applyFont="0" applyNumberFormat="0" applyFill="1" applyBorder="0" applyAlignment="1">
      <alignment horizontal="center" vertical="bottom" textRotation="0" wrapText="false" shrinkToFit="false"/>
    </xf>
    <xf xfId="0" fontId="0" numFmtId="0" fillId="16" borderId="7" applyFont="0" applyNumberFormat="0" applyFill="1" applyBorder="1" applyAlignment="0">
      <alignment horizontal="general" vertical="bottom" textRotation="0" wrapText="false" shrinkToFit="false"/>
    </xf>
    <xf xfId="0" fontId="5" numFmtId="0" fillId="0" borderId="16" applyFont="1" applyNumberFormat="0" applyFill="0" applyBorder="1" applyAlignment="1">
      <alignment horizontal="center" vertical="bottom" textRotation="0" wrapText="false" shrinkToFit="false"/>
    </xf>
    <xf xfId="0" fontId="5" numFmtId="0" fillId="0" borderId="17" applyFont="1" applyNumberFormat="0" applyFill="0" applyBorder="1" applyAlignment="1">
      <alignment horizontal="center" vertical="bottom" textRotation="0" wrapText="false" shrinkToFit="false"/>
    </xf>
    <xf xfId="0" fontId="5" numFmtId="0" fillId="0" borderId="18" applyFont="1" applyNumberFormat="0" applyFill="0" applyBorder="1" applyAlignment="1">
      <alignment horizontal="center" vertical="bottom" textRotation="0" wrapText="false" shrinkToFit="false"/>
    </xf>
    <xf xfId="0" fontId="5" numFmtId="0" fillId="0" borderId="19" applyFont="1" applyNumberFormat="0" applyFill="0" applyBorder="1" applyAlignment="1">
      <alignment horizontal="center" vertical="bottom" textRotation="0" wrapText="false" shrinkToFit="false"/>
    </xf>
    <xf xfId="0" fontId="5" numFmtId="0" fillId="0" borderId="20" applyFont="1" applyNumberFormat="0" applyFill="0" applyBorder="1" applyAlignment="1">
      <alignment horizontal="center" vertical="bottom" textRotation="0" wrapText="false" shrinkToFit="false"/>
    </xf>
    <xf xfId="0" fontId="5" numFmtId="0" fillId="0" borderId="21" applyFont="1" applyNumberFormat="0" applyFill="0" applyBorder="1" applyAlignment="1">
      <alignment horizontal="center" vertical="bottom" textRotation="0" wrapText="false" shrinkToFit="false"/>
    </xf>
    <xf xfId="0" fontId="1" numFmtId="164" fillId="2" borderId="0" applyFont="1" applyNumberFormat="1" applyFill="1" applyBorder="0" applyAlignment="1">
      <alignment horizontal="center" vertical="bottom" textRotation="0" wrapText="false" shrinkToFit="false"/>
    </xf>
    <xf xfId="0" fontId="1" numFmtId="164" fillId="18" borderId="0" applyFont="1" applyNumberFormat="1" applyFill="1" applyBorder="0" applyAlignment="1">
      <alignment horizontal="center" vertical="bottom" textRotation="0" wrapText="false" shrinkToFit="false"/>
    </xf>
    <xf xfId="0" fontId="1" numFmtId="2" fillId="18" borderId="0" applyFont="1" applyNumberFormat="1" applyFill="1" applyBorder="0" applyAlignment="1">
      <alignment horizontal="center" vertical="bottom" textRotation="0" wrapText="false" shrinkToFit="false"/>
    </xf>
    <xf xfId="0" fontId="2" numFmtId="0" fillId="5" borderId="0" applyFont="1" applyNumberFormat="0" applyFill="1" applyBorder="0" applyAlignment="1">
      <alignment horizontal="left" vertical="bottom" textRotation="0" wrapText="false" shrinkToFit="false"/>
    </xf>
    <xf xfId="0" fontId="3" numFmtId="164" fillId="5" borderId="0" applyFont="1" applyNumberFormat="1" applyFill="1" applyBorder="0" applyAlignment="1">
      <alignment horizontal="center" vertical="bottom" textRotation="0" wrapText="false" shrinkToFit="false"/>
    </xf>
    <xf xfId="0" fontId="4" numFmtId="164" fillId="5" borderId="0" applyFont="1" applyNumberFormat="1" applyFill="1" applyBorder="0" applyAlignment="1">
      <alignment horizontal="center" vertical="bottom" textRotation="0" wrapText="false" shrinkToFit="false"/>
    </xf>
    <xf xfId="0" fontId="4" numFmtId="2" fillId="5" borderId="0" applyFont="1" applyNumberFormat="1" applyFill="1" applyBorder="0" applyAlignment="1">
      <alignment horizontal="center" vertical="bottom" textRotation="0" wrapText="false" shrinkToFit="false"/>
    </xf>
    <xf xfId="0" fontId="3" numFmtId="2" fillId="5" borderId="0" applyFont="1" applyNumberFormat="1" applyFill="1" applyBorder="0" applyAlignment="1">
      <alignment horizontal="center" vertical="bottom" textRotation="0" wrapText="false" shrinkToFit="false"/>
    </xf>
    <xf xfId="0" fontId="1" numFmtId="0" fillId="6" borderId="0" applyFont="1" applyNumberFormat="0" applyFill="1" applyBorder="0" applyAlignment="1">
      <alignment horizontal="center" vertical="bottom" textRotation="0" wrapText="false" shrinkToFit="false"/>
    </xf>
    <xf xfId="0" fontId="5" numFmtId="164" fillId="0" borderId="0" applyFont="1" applyNumberFormat="1" applyFill="0" applyBorder="0" applyAlignment="1">
      <alignment horizontal="center" vertical="bottom" textRotation="0" wrapText="false" shrinkToFit="false"/>
    </xf>
    <xf xfId="0" fontId="5" numFmtId="2" fillId="0" borderId="0" applyFont="1" applyNumberFormat="1" applyFill="0" applyBorder="0" applyAlignment="1">
      <alignment horizontal="center" vertical="bottom" textRotation="0" wrapText="false" shrinkToFit="false"/>
    </xf>
    <xf xfId="0" fontId="8" numFmtId="2" fillId="5" borderId="21" applyFont="1" applyNumberFormat="1" applyFill="1" applyBorder="1" applyAlignment="1">
      <alignment horizontal="center" vertical="bottom" textRotation="0" wrapText="true" shrinkToFit="false"/>
    </xf>
    <xf xfId="0" fontId="8" numFmtId="2" fillId="5" borderId="17" applyFont="1" applyNumberFormat="1" applyFill="1" applyBorder="1" applyAlignment="1">
      <alignment horizontal="center" vertical="bottom" textRotation="0" wrapText="true" shrinkToFit="false"/>
    </xf>
    <xf xfId="0" fontId="5" numFmtId="2" fillId="0" borderId="21" applyFont="1" applyNumberFormat="1" applyFill="0" applyBorder="1" applyAlignment="1">
      <alignment horizontal="center" vertical="bottom" textRotation="0" wrapText="true" shrinkToFit="false"/>
    </xf>
    <xf xfId="0" fontId="5" numFmtId="2" fillId="0" borderId="17" applyFont="1" applyNumberFormat="1" applyFill="0" applyBorder="1" applyAlignment="1">
      <alignment horizontal="center" vertical="bottom" textRotation="0" wrapText="true" shrinkToFit="false"/>
    </xf>
    <xf xfId="0" fontId="5" numFmtId="0" fillId="0" borderId="17" applyFont="1" applyNumberFormat="0" applyFill="0" applyBorder="1" applyAlignment="1">
      <alignment horizontal="center" vertical="bottom" textRotation="0" wrapText="true" shrinkToFit="false"/>
    </xf>
    <xf xfId="0" fontId="5" numFmtId="165" fillId="0" borderId="0" applyFont="1" applyNumberFormat="1" applyFill="0" applyBorder="0" applyAlignment="0">
      <alignment horizontal="general" vertical="bottom" textRotation="0" wrapText="false" shrinkToFit="false"/>
    </xf>
    <xf xfId="0" fontId="5" numFmtId="2" fillId="0" borderId="0" applyFont="1" applyNumberFormat="1" applyFill="0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1">
      <alignment horizontal="left" vertical="bottom" textRotation="0" wrapText="false" shrinkToFit="false"/>
    </xf>
    <xf xfId="0" fontId="0" numFmtId="0" fillId="11" borderId="11" applyFont="0" applyNumberFormat="0" applyFill="1" applyBorder="1" applyAlignment="1">
      <alignment horizontal="center" vertical="bottom" textRotation="0" wrapText="false" shrinkToFit="false"/>
    </xf>
    <xf xfId="0" fontId="0" numFmtId="2" fillId="22" borderId="11" applyFont="0" applyNumberFormat="1" applyFill="1" applyBorder="1" applyAlignment="1">
      <alignment horizontal="center" vertical="bottom" textRotation="0" wrapText="false" shrinkToFit="false"/>
    </xf>
    <xf xfId="0" fontId="0" numFmtId="2" fillId="11" borderId="11" applyFont="0" applyNumberFormat="1" applyFill="1" applyBorder="1" applyAlignment="1">
      <alignment horizontal="center" vertical="bottom" textRotation="0" wrapText="false" shrinkToFit="false"/>
    </xf>
    <xf xfId="0" fontId="10" numFmtId="0" fillId="0" borderId="13" applyFont="1" applyNumberFormat="0" applyFill="0" applyBorder="1" applyAlignment="1">
      <alignment horizontal="center" vertical="bottom" textRotation="0" wrapText="false" shrinkToFit="false"/>
    </xf>
    <xf xfId="0" fontId="10" numFmtId="2" fillId="0" borderId="13" applyFont="1" applyNumberFormat="1" applyFill="0" applyBorder="1" applyAlignment="1">
      <alignment horizontal="center" vertical="bottom" textRotation="0" wrapText="false" shrinkToFit="false"/>
    </xf>
    <xf xfId="0" fontId="10" numFmtId="20" fillId="0" borderId="13" applyFont="1" applyNumberFormat="1" applyFill="0" applyBorder="1" applyAlignment="1">
      <alignment horizontal="center" vertical="bottom" textRotation="0" wrapText="false" shrinkToFit="false"/>
    </xf>
    <xf xfId="0" fontId="17" numFmtId="0" fillId="0" borderId="0" applyFont="1" applyNumberFormat="0" applyFill="0" applyBorder="0" applyAlignment="1">
      <alignment horizontal="left" vertical="bottom" textRotation="0" wrapText="false" shrinkToFit="false"/>
    </xf>
    <xf xfId="0" fontId="5" numFmtId="0" fillId="0" borderId="22" applyFont="1" applyNumberFormat="0" applyFill="0" applyBorder="1" applyAlignment="1">
      <alignment horizontal="general" vertical="top" textRotation="0" wrapText="false" shrinkToFit="false"/>
    </xf>
    <xf xfId="0" fontId="5" numFmtId="0" fillId="0" borderId="23" applyFont="1" applyNumberFormat="0" applyFill="0" applyBorder="1" applyAlignment="1">
      <alignment horizontal="general" vertical="top" textRotation="0" wrapText="false" shrinkToFit="false"/>
    </xf>
    <xf xfId="0" fontId="8" numFmtId="0" fillId="0" borderId="23" applyFont="1" applyNumberFormat="0" applyFill="0" applyBorder="1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2" fillId="0" borderId="0" applyFont="1" applyNumberFormat="1" applyFill="0" applyBorder="0" applyAlignment="1">
      <alignment horizontal="center" vertical="bottom" textRotation="0" wrapText="false" shrinkToFit="false"/>
    </xf>
    <xf xfId="0" fontId="0" numFmtId="0" fillId="0" borderId="12" applyFont="0" applyNumberFormat="0" applyFill="0" applyBorder="1" applyAlignment="1">
      <alignment horizontal="center" vertical="bottom" textRotation="0" wrapText="false" shrinkToFit="false"/>
    </xf>
    <xf xfId="0" fontId="0" numFmtId="0" fillId="0" borderId="13" applyFont="0" applyNumberFormat="0" applyFill="0" applyBorder="1" applyAlignment="1">
      <alignment horizontal="center" vertical="bottom" textRotation="0" wrapText="false" shrinkToFit="false"/>
    </xf>
    <xf xfId="0" fontId="0" numFmtId="0" fillId="0" borderId="14" applyFont="0" applyNumberFormat="0" applyFill="0" applyBorder="1" applyAlignment="1">
      <alignment horizontal="center" vertical="bottom" textRotation="0" wrapText="false" shrinkToFit="false"/>
    </xf>
    <xf xfId="0" fontId="1" numFmtId="2" fillId="3" borderId="2" applyFont="1" applyNumberFormat="1" applyFill="1" applyBorder="1" applyAlignment="1">
      <alignment horizontal="center" vertical="bottom" textRotation="0" wrapText="false" shrinkToFit="false"/>
    </xf>
    <xf xfId="0" fontId="1" numFmtId="0" fillId="2" borderId="2" applyFont="1" applyNumberFormat="0" applyFill="1" applyBorder="1" applyAlignment="1">
      <alignment horizontal="center" vertical="bottom" textRotation="0" wrapText="false" shrinkToFit="false"/>
    </xf>
    <xf xfId="0" fontId="1" numFmtId="0" fillId="2" borderId="3" applyFont="1" applyNumberFormat="0" applyFill="1" applyBorder="1" applyAlignment="1">
      <alignment horizontal="center" vertical="bottom" textRotation="0" wrapText="false" shrinkToFit="false"/>
    </xf>
    <xf xfId="0" fontId="1" numFmtId="2" fillId="3" borderId="0" applyFont="1" applyNumberFormat="1" applyFill="1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5" numFmtId="164" fillId="0" borderId="17" applyFont="1" applyNumberFormat="1" applyFill="0" applyBorder="1" applyAlignment="1">
      <alignment horizontal="center" vertical="bottom" textRotation="0" wrapText="true" shrinkToFit="false"/>
    </xf>
    <xf xfId="0" fontId="5" numFmtId="164" fillId="0" borderId="24" applyFont="1" applyNumberFormat="1" applyFill="0" applyBorder="1" applyAlignment="1">
      <alignment horizontal="center" vertical="bottom" textRotation="0" wrapText="true" shrinkToFit="false"/>
    </xf>
    <xf xfId="0" fontId="5" numFmtId="0" fillId="0" borderId="17" applyFont="1" applyNumberFormat="0" applyFill="0" applyBorder="1" applyAlignment="1">
      <alignment horizontal="center" vertical="top" textRotation="0" wrapText="true" shrinkToFit="false"/>
    </xf>
    <xf xfId="0" fontId="5" numFmtId="0" fillId="0" borderId="24" applyFont="1" applyNumberFormat="0" applyFill="0" applyBorder="1" applyAlignment="1">
      <alignment horizontal="center" vertical="top" textRotation="0" wrapText="true" shrinkToFit="false"/>
    </xf>
    <xf xfId="0" fontId="8" numFmtId="0" fillId="0" borderId="22" applyFont="1" applyNumberFormat="0" applyFill="0" applyBorder="1" applyAlignment="1">
      <alignment horizontal="center" vertical="bottom" textRotation="0" wrapText="false" shrinkToFit="false"/>
    </xf>
    <xf xfId="0" fontId="8" numFmtId="0" fillId="0" borderId="20" applyFont="1" applyNumberFormat="0" applyFill="0" applyBorder="1" applyAlignment="1">
      <alignment horizontal="center" vertical="bottom" textRotation="0" wrapText="false" shrinkToFit="false"/>
    </xf>
    <xf xfId="0" fontId="8" numFmtId="0" fillId="0" borderId="21" applyFont="1" applyNumberFormat="0" applyFill="0" applyBorder="1" applyAlignment="1">
      <alignment horizontal="center" vertical="bottom" textRotation="0" wrapText="false" shrinkToFit="false"/>
    </xf>
    <xf xfId="0" fontId="8" numFmtId="0" fillId="0" borderId="16" applyFont="1" applyNumberFormat="0" applyFill="0" applyBorder="1" applyAlignment="1">
      <alignment horizontal="center" vertical="bottom" textRotation="0" wrapText="false" shrinkToFit="false"/>
    </xf>
    <xf xfId="0" fontId="5" numFmtId="0" fillId="0" borderId="22" applyFont="1" applyNumberFormat="0" applyFill="0" applyBorder="1" applyAlignment="1">
      <alignment horizontal="center" vertical="bottom" textRotation="0" wrapText="false" shrinkToFit="false"/>
    </xf>
    <xf xfId="0" fontId="5" numFmtId="0" fillId="0" borderId="20" applyFont="1" applyNumberFormat="0" applyFill="0" applyBorder="1" applyAlignment="1">
      <alignment horizontal="center" vertical="bottom" textRotation="0" wrapText="false" shrinkToFit="false"/>
    </xf>
    <xf xfId="0" fontId="5" numFmtId="0" fillId="0" borderId="21" applyFont="1" applyNumberFormat="0" applyFill="0" applyBorder="1" applyAlignment="1">
      <alignment horizontal="center" vertical="bottom" textRotation="0" wrapText="false" shrinkToFit="false"/>
    </xf>
    <xf xfId="0" fontId="5" numFmtId="0" fillId="0" borderId="23" applyFont="1" applyNumberFormat="0" applyFill="0" applyBorder="1" applyAlignment="1">
      <alignment horizontal="center" vertical="bottom" textRotation="0" wrapText="false" shrinkToFit="false"/>
    </xf>
    <xf xfId="0" fontId="5" numFmtId="0" fillId="0" borderId="0" applyFont="1" applyNumberFormat="0" applyFill="0" applyBorder="0" applyAlignment="1">
      <alignment horizontal="center" vertical="bottom" textRotation="0" wrapText="false" shrinkToFit="false"/>
    </xf>
    <xf xfId="0" fontId="5" numFmtId="0" fillId="0" borderId="16" applyFont="1" applyNumberFormat="0" applyFill="0" applyBorder="1" applyAlignment="1">
      <alignment horizontal="center" vertical="bottom" textRotation="0" wrapText="false" shrinkToFit="false"/>
    </xf>
    <xf xfId="0" fontId="5" numFmtId="0" fillId="0" borderId="17" applyFont="1" applyNumberFormat="0" applyFill="0" applyBorder="1" applyAlignment="1">
      <alignment horizontal="center" vertical="bottom" textRotation="0" wrapText="true" shrinkToFit="false"/>
    </xf>
    <xf xfId="0" fontId="5" numFmtId="0" fillId="0" borderId="24" applyFont="1" applyNumberFormat="0" applyFill="0" applyBorder="1" applyAlignment="1">
      <alignment horizontal="center" vertical="bottom" textRotation="0" wrapText="true" shrinkToFit="false"/>
    </xf>
    <xf xfId="0" fontId="5" numFmtId="0" fillId="0" borderId="11" applyFont="1" applyNumberFormat="0" applyFill="0" applyBorder="1" applyAlignment="1">
      <alignment horizontal="center" vertical="bottom" textRotation="0" wrapText="true" shrinkToFit="false"/>
    </xf>
    <xf xfId="0" fontId="5" numFmtId="165" fillId="0" borderId="17" applyFont="1" applyNumberFormat="1" applyFill="0" applyBorder="1" applyAlignment="1">
      <alignment horizontal="center" vertical="bottom" textRotation="0" wrapText="true" shrinkToFit="false"/>
    </xf>
    <xf xfId="0" fontId="5" numFmtId="165" fillId="0" borderId="24" applyFont="1" applyNumberFormat="1" applyFill="0" applyBorder="1" applyAlignment="1">
      <alignment horizontal="center" vertical="bottom" textRotation="0" wrapText="true" shrinkToFit="false"/>
    </xf>
    <xf xfId="0" fontId="5" numFmtId="165" fillId="0" borderId="11" applyFont="1" applyNumberFormat="1" applyFill="0" applyBorder="1" applyAlignment="1">
      <alignment horizontal="center" vertical="bottom" textRotation="0" wrapText="true" shrinkToFit="false"/>
    </xf>
    <xf xfId="0" fontId="5" numFmtId="2" fillId="0" borderId="17" applyFont="1" applyNumberFormat="1" applyFill="0" applyBorder="1" applyAlignment="1">
      <alignment horizontal="center" vertical="bottom" textRotation="0" wrapText="true" shrinkToFit="false"/>
    </xf>
    <xf xfId="0" fontId="5" numFmtId="2" fillId="0" borderId="24" applyFont="1" applyNumberFormat="1" applyFill="0" applyBorder="1" applyAlignment="1">
      <alignment horizontal="center" vertical="bottom" textRotation="0" wrapText="true" shrinkToFit="false"/>
    </xf>
    <xf xfId="0" fontId="5" numFmtId="0" fillId="0" borderId="16" applyFont="1" applyNumberFormat="0" applyFill="0" applyBorder="1" applyAlignment="1">
      <alignment horizontal="center" vertical="bottom" textRotation="0" wrapText="true" shrinkToFit="false"/>
    </xf>
    <xf xfId="0" fontId="5" numFmtId="0" fillId="0" borderId="25" applyFont="1" applyNumberFormat="0" applyFill="0" applyBorder="1" applyAlignment="1">
      <alignment horizontal="center" vertical="bottom" textRotation="0" wrapText="true" shrinkToFit="false"/>
    </xf>
    <xf xfId="0" fontId="5" numFmtId="0" fillId="0" borderId="26" applyFont="1" applyNumberFormat="0" applyFill="0" applyBorder="1" applyAlignment="1">
      <alignment horizontal="center" vertical="bottom" textRotation="0" wrapText="false" shrinkToFit="false"/>
    </xf>
    <xf xfId="0" fontId="1" numFmtId="2" fillId="23" borderId="0" applyFont="1" applyNumberFormat="1" applyFill="1" applyBorder="0" applyAlignment="1">
      <alignment horizontal="center" vertical="bottom" textRotation="0" wrapText="false" shrinkToFit="false"/>
    </xf>
    <xf xfId="0" fontId="5" numFmtId="49" fillId="0" borderId="26" applyFont="1" applyNumberFormat="1" applyFill="0" applyBorder="1" applyAlignment="1">
      <alignment horizontal="center" vertical="bottom" textRotation="0" wrapText="true" shrinkToFit="false"/>
    </xf>
    <xf xfId="0" fontId="5" numFmtId="0" fillId="0" borderId="26" applyFont="1" applyNumberFormat="0" applyFill="0" applyBorder="1" applyAlignment="1">
      <alignment horizontal="center" vertical="bottom" textRotation="0" wrapText="true" shrinkToFit="false"/>
    </xf>
    <xf xfId="0" fontId="5" numFmtId="49" fillId="0" borderId="26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5" numFmtId="0" fillId="0" borderId="21" applyFont="1" applyNumberFormat="0" applyFill="0" applyBorder="1" applyAlignment="1">
      <alignment horizontal="center" vertical="bottom" textRotation="0" wrapText="true" shrinkToFit="false"/>
    </xf>
    <xf xfId="0" fontId="13" numFmtId="0" fillId="4" borderId="0" applyFont="1" applyNumberFormat="0" applyFill="1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10">
    <dxf>
      <font/>
      <fill>
        <patternFill patternType="solid">
          <fgColor rgb="FF000000"/>
          <bgColor rgb="FF548135"/>
        </patternFill>
      </fill>
      <alignment/>
      <border/>
    </dxf>
    <dxf>
      <font/>
      <fill>
        <patternFill patternType="solid">
          <fgColor rgb="FF000000"/>
          <bgColor rgb="FF66FF33"/>
        </patternFill>
      </fill>
      <alignment/>
      <border/>
    </dxf>
    <dxf>
      <font/>
      <fill>
        <patternFill patternType="solid">
          <fgColor rgb="FF000000"/>
          <bgColor rgb="FFBDD6EE"/>
        </patternFill>
      </fill>
      <alignment/>
      <border/>
    </dxf>
    <dxf>
      <font/>
      <fill>
        <patternFill patternType="solid">
          <fgColor rgb="FF000000"/>
          <bgColor rgb="FFFFCC99"/>
        </patternFill>
      </fill>
      <alignment/>
      <border/>
    </dxf>
    <dxf>
      <font/>
      <fill>
        <patternFill patternType="solid">
          <fgColor rgb="FF000000"/>
          <bgColor rgb="FFCC99FF"/>
        </patternFill>
      </fill>
      <alignment/>
      <border/>
    </dxf>
    <dxf>
      <font>
        <b val="1"/>
        <i val="0"/>
        <sz val="10"/>
        <color rgb="FFFF0000"/>
        <name val="Calibri"/>
      </font>
      <alignment/>
      <border/>
    </dxf>
    <dxf>
      <font>
        <sz val="10"/>
        <color rgb="FF9C0006"/>
        <name val="Calibri"/>
      </font>
      <fill>
        <patternFill patternType="solid">
          <fgColor rgb="FF000000"/>
          <bgColor rgb="FFFFC7CE"/>
        </patternFill>
      </fill>
      <alignment/>
      <border/>
    </dxf>
    <dxf>
      <font/>
      <fill>
        <patternFill patternType="solid">
          <fgColor rgb="FF000000"/>
          <bgColor rgb="FF66FF33"/>
        </patternFill>
      </fill>
      <alignment/>
      <border/>
    </dxf>
    <dxf>
      <font>
        <sz val="10"/>
        <color rgb="FF006100"/>
        <name val="Calibri"/>
      </font>
      <fill>
        <patternFill patternType="solid">
          <fgColor rgb="FF000000"/>
          <bgColor rgb="FFC6EFCE"/>
        </patternFill>
      </fill>
      <alignment/>
      <border/>
    </dxf>
    <dxf>
      <font>
        <sz val="10"/>
        <color rgb="FF9C0006"/>
        <name val="Calibri"/>
      </font>
      <fill>
        <patternFill patternType="solid">
          <fgColor rgb="FF000000"/>
          <bgColor rgb="FFFFC7CE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R611"/>
  <sheetViews>
    <sheetView tabSelected="1" workbookViewId="0" zoomScale="85" zoomScaleNormal="85" showGridLines="true" showRowColHeaders="1">
      <selection activeCell="CH101" sqref="CH101"/>
    </sheetView>
  </sheetViews>
  <sheetFormatPr defaultRowHeight="14.4" defaultColWidth="16" outlineLevelRow="0" outlineLevelCol="0"/>
  <cols>
    <col min="1" max="1" width="9.5703125" customWidth="true" style="0"/>
    <col min="2" max="2" width="35.7109375" customWidth="true" style="0"/>
    <col min="3" max="3" width="17" customWidth="true" style="0"/>
    <col min="4" max="4" width="10.7109375" customWidth="true" style="0"/>
    <col min="5" max="5" width="8.140625" customWidth="true" style="0"/>
    <col min="6" max="6" width="8" customWidth="true" style="0"/>
    <col min="7" max="7" width="8" customWidth="true" style="0"/>
    <col min="8" max="8" width="8" customWidth="true" style="0"/>
    <col min="9" max="9" width="8" customWidth="true" style="0"/>
    <col min="10" max="10" width="8" customWidth="true" style="0"/>
    <col min="11" max="11" width="6.85546875" customWidth="true" style="0"/>
    <col min="12" max="12" width="12.7109375" customWidth="true" style="0"/>
    <col min="13" max="13" width="6.85546875" customWidth="true" style="0"/>
    <col min="14" max="14" width="6.85546875" customWidth="true" style="0"/>
    <col min="15" max="15" width="6.85546875" customWidth="true" style="0"/>
    <col min="16" max="16" width="6.85546875" customWidth="true" style="0"/>
    <col min="17" max="17" width="6.85546875" customWidth="true" style="0"/>
    <col min="18" max="18" width="8.28515625" customWidth="true" style="61"/>
    <col min="19" max="19" width="9.5703125" customWidth="true" style="0"/>
    <col min="20" max="20" width="13" customWidth="true" style="0"/>
    <col min="21" max="21" width="11.140625" customWidth="true" style="0"/>
    <col min="22" max="22" width="19.5703125" customWidth="true" style="0"/>
    <col min="23" max="23" width="23.7109375" customWidth="true" style="0"/>
    <col min="24" max="24" width="21.28515625" customWidth="true" style="0"/>
    <col min="25" max="25" width="7.140625" customWidth="true" style="0"/>
    <col min="26" max="26" width="7.140625" customWidth="true" style="0"/>
    <col min="27" max="27" width="7.140625" customWidth="true" style="0"/>
    <col min="28" max="28" width="7.140625" customWidth="true" style="0"/>
    <col min="29" max="29" width="7.140625" customWidth="true" style="0"/>
    <col min="30" max="30" width="8.7109375" customWidth="true" style="0"/>
    <col min="31" max="31" width="8.7109375" customWidth="true" style="0"/>
    <col min="32" max="32" width="8.5703125" customWidth="true" style="0"/>
    <col min="33" max="33" width="8.5703125" customWidth="true" style="0"/>
    <col min="34" max="34" width="8.5703125" customWidth="true" style="0"/>
    <col min="35" max="35" width="6.85546875" customWidth="true" style="0"/>
    <col min="36" max="36" width="11.140625" customWidth="true" style="0"/>
    <col min="37" max="37" width="6.85546875" customWidth="true" style="0"/>
    <col min="38" max="38" width="6.85546875" customWidth="true" style="0"/>
    <col min="39" max="39" width="6.85546875" customWidth="true" style="0"/>
    <col min="40" max="40" width="6.85546875" customWidth="true" style="0"/>
    <col min="41" max="41" width="6.85546875" customWidth="true" style="0"/>
    <col min="42" max="42" width="6.85546875" customWidth="true" style="0"/>
    <col min="43" max="43" width="6.85546875" customWidth="true" style="0"/>
    <col min="44" max="44" width="6.85546875" customWidth="true" style="0"/>
    <col min="45" max="45" width="6.85546875" customWidth="true" style="0"/>
    <col min="46" max="46" width="6.85546875" customWidth="true" style="0"/>
    <col min="47" max="47" width="6.85546875" customWidth="true" style="0"/>
    <col min="48" max="48" width="6.85546875" customWidth="true" style="0"/>
    <col min="49" max="49" width="6.85546875" customWidth="true" style="0"/>
    <col min="50" max="50" width="6.85546875" customWidth="true" style="0"/>
    <col min="51" max="51" width="9.7109375" customWidth="true" style="0"/>
    <col min="52" max="52" width="9.7109375" customWidth="true" style="0"/>
    <col min="53" max="53" width="8" customWidth="true" style="0"/>
    <col min="54" max="54" width="8" customWidth="true" style="0"/>
    <col min="55" max="55" width="8" customWidth="true" style="0"/>
    <col min="56" max="56" width="8" customWidth="true" style="0"/>
    <col min="57" max="57" width="8" customWidth="true" style="0"/>
    <col min="58" max="58" width="8" customWidth="true" style="0"/>
    <col min="59" max="59" width="8" customWidth="true" style="0"/>
    <col min="60" max="60" width="8" customWidth="true" style="0"/>
    <col min="61" max="61" width="11.42578125" customWidth="true" style="0"/>
    <col min="62" max="62" width="8" customWidth="true" style="0"/>
    <col min="63" max="63" width="8" customWidth="true" style="0"/>
    <col min="64" max="64" width="8" customWidth="true" style="0"/>
    <col min="65" max="65" width="8" customWidth="true" style="0"/>
    <col min="66" max="66" width="8" customWidth="true" style="0"/>
    <col min="67" max="67" width="8" customWidth="true" style="0"/>
    <col min="68" max="68" width="8" customWidth="true" style="0"/>
    <col min="69" max="69" width="8" customWidth="true" style="0"/>
    <col min="70" max="70" width="8" customWidth="true" style="0"/>
    <col min="71" max="71" width="8" customWidth="true" style="0"/>
    <col min="72" max="72" width="13" customWidth="true" style="0"/>
    <col min="74" max="74" width="7.28515625" customWidth="true" style="0"/>
    <col min="75" max="75" width="7.28515625" customWidth="true" style="0"/>
    <col min="76" max="76" width="7.28515625" customWidth="true" style="0"/>
    <col min="77" max="77" width="10" customWidth="true" style="0"/>
    <col min="78" max="78" width="10" customWidth="true" style="0"/>
    <col min="79" max="79" width="9.5703125" customWidth="true" style="0"/>
    <col min="80" max="80" width="9.5703125" customWidth="true" style="0"/>
    <col min="81" max="81" width="9.5703125" customWidth="true" style="0"/>
    <col min="82" max="82" width="9.5703125" customWidth="true" style="0"/>
    <col min="83" max="83" width="9.5703125" customWidth="true" style="0"/>
    <col min="84" max="84" width="8.5703125" customWidth="true" style="0"/>
    <col min="85" max="85" width="8.5703125" customWidth="true" style="0"/>
    <col min="95" max="95" width="7.28515625" customWidth="true" style="0"/>
    <col min="96" max="96" width="7.28515625" customWidth="true" style="0"/>
    <col min="97" max="97" width="7.28515625" customWidth="true" style="0"/>
    <col min="98" max="98" width="7.28515625" customWidth="true" style="0"/>
    <col min="99" max="99" width="7.28515625" customWidth="true" style="0"/>
    <col min="100" max="100" width="7.28515625" customWidth="true" style="0"/>
    <col min="101" max="101" width="7.28515625" customWidth="true" style="0"/>
    <col min="102" max="102" width="7.28515625" customWidth="true" style="0"/>
    <col min="103" max="103" width="10" customWidth="true" style="0"/>
    <col min="104" max="104" width="10" customWidth="true" style="0"/>
    <col min="105" max="105" width="7.28515625" customWidth="true" style="0"/>
    <col min="106" max="106" width="7.28515625" customWidth="true" style="0"/>
  </cols>
  <sheetData>
    <row r="1" spans="1:122" customHeight="1" ht="15.75">
      <c r="A1" s="67">
        <v>4</v>
      </c>
      <c r="B1" s="61" t="str">
        <f>W1&amp;" - "&amp;X1</f>
        <v>Torino - Udinese</v>
      </c>
      <c r="D1" s="68" t="s">
        <v>0</v>
      </c>
      <c r="E1" t="s">
        <v>1</v>
      </c>
      <c r="F1" t="s">
        <v>2</v>
      </c>
      <c r="G1" t="s">
        <v>3</v>
      </c>
      <c r="H1" t="s">
        <v>4</v>
      </c>
      <c r="L1" s="284" t="s">
        <v>5</v>
      </c>
      <c r="M1" s="285"/>
      <c r="N1" s="285"/>
      <c r="O1" s="286"/>
      <c r="U1" s="69"/>
      <c r="V1" s="70" t="s">
        <v>6</v>
      </c>
      <c r="W1" s="71" t="s">
        <v>7</v>
      </c>
      <c r="X1" s="71" t="s">
        <v>8</v>
      </c>
      <c r="Y1" s="70" t="s">
        <v>9</v>
      </c>
      <c r="Z1" s="70" t="s">
        <v>10</v>
      </c>
      <c r="AA1" s="70" t="s">
        <v>11</v>
      </c>
      <c r="AB1" s="72" t="s">
        <v>12</v>
      </c>
      <c r="AC1" t="s">
        <v>13</v>
      </c>
      <c r="AD1" t="s">
        <v>13</v>
      </c>
      <c r="AE1" t="s">
        <v>14</v>
      </c>
      <c r="AF1" t="s">
        <v>15</v>
      </c>
      <c r="AG1" s="4" t="s">
        <v>16</v>
      </c>
      <c r="AH1" s="73">
        <v>1</v>
      </c>
      <c r="AI1" s="73">
        <v>0</v>
      </c>
      <c r="AJ1" s="73">
        <v>2</v>
      </c>
      <c r="AK1" s="5" t="s">
        <v>16</v>
      </c>
      <c r="AL1" s="73">
        <v>1</v>
      </c>
      <c r="AM1" s="73">
        <v>0</v>
      </c>
      <c r="AN1" s="73">
        <v>2</v>
      </c>
      <c r="AO1" s="5"/>
      <c r="AP1" s="5"/>
      <c r="AQ1" s="5"/>
      <c r="AR1" s="6"/>
      <c r="AS1" s="5"/>
      <c r="AT1" s="5"/>
      <c r="AU1" s="5"/>
      <c r="AV1" s="5"/>
      <c r="AW1" s="5"/>
      <c r="AX1" s="6"/>
      <c r="AZ1" s="74"/>
      <c r="BA1" s="4" t="s">
        <v>17</v>
      </c>
      <c r="BB1" s="73">
        <v>1</v>
      </c>
      <c r="BC1" s="73">
        <v>0</v>
      </c>
      <c r="BD1" s="73">
        <v>2</v>
      </c>
      <c r="BE1" s="5" t="s">
        <v>17</v>
      </c>
      <c r="BF1" s="73">
        <v>1</v>
      </c>
      <c r="BG1" s="73">
        <v>0</v>
      </c>
      <c r="BH1" s="73">
        <v>2</v>
      </c>
      <c r="BI1" s="5"/>
      <c r="BJ1" s="5"/>
      <c r="BK1" s="5"/>
      <c r="BL1" s="5"/>
      <c r="BM1" s="5"/>
      <c r="BN1" s="75" t="s">
        <v>18</v>
      </c>
      <c r="BO1" s="76">
        <f>BA27</f>
        <v>1</v>
      </c>
      <c r="BP1" s="77" t="str">
        <f>IFERROR(VLOOKUP(BA27,#REF!,5),"")</f>
        <v/>
      </c>
      <c r="BQ1" s="77" t="str">
        <f>IFERROR(VLOOKUP(BA27,#REF!,6),"")</f>
        <v/>
      </c>
      <c r="BR1" s="78" t="str">
        <f>IFERROR(VLOOKUP(BA27,#REF!,7),"")</f>
        <v/>
      </c>
      <c r="BU1" s="79" t="s">
        <v>19</v>
      </c>
      <c r="CP1" s="79" t="s">
        <v>19</v>
      </c>
    </row>
    <row r="2" spans="1:122" customHeight="1" ht="15.75">
      <c r="B2" s="67" t="str">
        <f>B1</f>
        <v>Torino - Udinese</v>
      </c>
      <c r="C2" t="str">
        <f>IF(B1=B2,"OK","ERROR")</f>
        <v>OK</v>
      </c>
      <c r="E2">
        <v>15</v>
      </c>
      <c r="F2">
        <v>14</v>
      </c>
      <c r="G2" s="80">
        <f>E2-F2</f>
        <v>1</v>
      </c>
      <c r="H2" s="80" t="str">
        <f>IF(I2="","",IF(LEN(I2)&lt;=2,IF(I2="X1","1X",IF(I2="21","12",IF(I2="2X","X2",IF(I2="11","1",IF(I2="XX","X",IF(I2="22","2",I2)))))),CONCATENATE(IF(IFERROR(FIND("1",I2,1),0)&lt;&gt;0,"1",""),IF(IFERROR(FIND("X",I2,1),0)&lt;&gt;0,"X",""),IF(IFERROR(FIND("2",I2,1),0)&lt;&gt;0,"2",""))))</f>
        <v>X2</v>
      </c>
      <c r="I2" s="65" t="str">
        <f>IF(OR(G2="",G2="*"),"",(TRIM(CONCATENATE(IF(G2&gt;=3,"2",""),IF(G2&lt;3,IF(G2&gt;=1,"X2",""),""),IF(G2&gt;-3,IF(G2&lt;=-1,"1X",""),""),IF(G2&gt;-1,IF(G2&lt;1,"X",""),""),IF(G2&gt;-30,IF(G2&lt;=-3,"1",""),"")))))</f>
        <v>X2</v>
      </c>
      <c r="L2" s="81" t="str">
        <f>IFERROR(VLOOKUP(A1,IN!$B$12:$AU$12,34),"")</f>
        <v>1:0</v>
      </c>
      <c r="M2" s="82" t="str">
        <f>IFERROR(VLOOKUP(A1,IN!$B$12:$AU$12,35),"")</f>
        <v>10</v>
      </c>
      <c r="N2" s="82">
        <f>IFERROR(VLOOKUP(A1,IN!$B$12:$AU$12,39),"")</f>
        <v>1</v>
      </c>
      <c r="O2" s="83">
        <f>IFERROR(VLOOKUP(A1,IN!$B$12:$AU$12,40),"")</f>
        <v>1</v>
      </c>
      <c r="Q2" s="61"/>
      <c r="U2" s="84">
        <v>1</v>
      </c>
      <c r="V2" t="s">
        <v>20</v>
      </c>
      <c r="W2" t="s">
        <v>21</v>
      </c>
      <c r="X2" t="s">
        <v>22</v>
      </c>
      <c r="Y2" s="9">
        <v>1</v>
      </c>
      <c r="Z2" s="9">
        <v>1</v>
      </c>
      <c r="AA2" s="10">
        <v>1</v>
      </c>
      <c r="AB2" s="10">
        <v>1</v>
      </c>
      <c r="AC2" s="85">
        <f>Y2+Z2</f>
        <v>2</v>
      </c>
      <c r="AD2" s="85">
        <f>AA2+AB2</f>
        <v>2</v>
      </c>
      <c r="AE2" s="61">
        <f>IF(AND(Y2="M",Z2="M"),0,(IF(AND(Y2="M",Z2&lt;&gt;"M"),1,(IF(AND(Y2&lt;&gt;"M",Z2="M"),2,(IF(Y2=Z2,0,(IF(Y2&gt;Z2,1,2)))))))))</f>
        <v>0</v>
      </c>
      <c r="AF2" s="61">
        <f>IF(AND(AA2="M",AB2="M"),0,(IF(AND(AA2="M",AB2&lt;&gt;"M"),1,(IF(AND(AA2&lt;&gt;"M",AB2="M"),2,(IF(AA2=AB2,0,(IF(AA2&gt;AB2,1,2)))))))))</f>
        <v>0</v>
      </c>
      <c r="AG2" s="8">
        <v>1</v>
      </c>
      <c r="AH2">
        <f>IF(OR(AF2="",AE2=""),-1,IF(IFERROR(FIND(AH1,AE2,1),0)&gt;0,1,0))</f>
        <v>0</v>
      </c>
      <c r="AI2">
        <f>IF(OR(AF2="",AE2=""),-1,IF(IFERROR(FIND(AI1,AE2,1),0)&gt;0,1,0))</f>
        <v>0</v>
      </c>
      <c r="AJ2">
        <f>IF(OR(AF2="",AE2=""),-1,IF(IFERROR(FIND(AJ1,AE2,1),0)&gt;0,1,0))</f>
        <v>0</v>
      </c>
      <c r="AK2" s="74">
        <v>20</v>
      </c>
      <c r="AL2">
        <f>IFERROR(VLOOKUP(AK2,AG2:AJ21,2),"")</f>
        <v>0</v>
      </c>
      <c r="AM2">
        <f>IFERROR(VLOOKUP(AK2,AG2:AJ21,3),"")</f>
        <v>0</v>
      </c>
      <c r="AN2">
        <f>IFERROR(VLOOKUP(AK2,AG2:AJ21,4),"")</f>
        <v>0</v>
      </c>
      <c r="AP2" s="86">
        <f>IF(AL2=1,1,0)</f>
        <v>0</v>
      </c>
      <c r="AQ2" s="86">
        <f>IF(AM2=1,1,0)</f>
        <v>0</v>
      </c>
      <c r="AR2" s="87">
        <f>IF(AN2=1,1,0)</f>
        <v>0</v>
      </c>
      <c r="AX2" s="11"/>
      <c r="BA2" s="8">
        <v>1</v>
      </c>
      <c r="BB2">
        <f>IF(OR(AF2="",AE2=""),-1,IF(IFERROR(FIND(BB1,AF2,1),0)&gt;0,1,0))</f>
        <v>0</v>
      </c>
      <c r="BC2">
        <f>IF(OR(AF2="",AE2=""),-1,IF(IFERROR(FIND(BC1,AF2,1),0)&gt;0,1,0))</f>
        <v>0</v>
      </c>
      <c r="BD2">
        <f>IF(OR(AF2="",AE2=""),-1,IF(IFERROR(FIND(BD1,AF2,1),0)&gt;0,1,0))</f>
        <v>0</v>
      </c>
      <c r="BE2" s="74">
        <v>20</v>
      </c>
      <c r="BF2">
        <f>IFERROR(VLOOKUP(BE2,BA2:BD21,2),"")</f>
        <v>0</v>
      </c>
      <c r="BG2">
        <f>IFERROR(VLOOKUP(BE2,BA2:BD21,3),"")</f>
        <v>0</v>
      </c>
      <c r="BH2">
        <f>IFERROR(VLOOKUP(BE2,BA2:BD21,4),"")</f>
        <v>0</v>
      </c>
      <c r="BJ2" s="86">
        <f>IF(BF2=1,1,0)</f>
        <v>0</v>
      </c>
      <c r="BK2" s="86">
        <f>IF(BG2=1,1,0)</f>
        <v>0</v>
      </c>
      <c r="BL2" s="86">
        <f>IF(BH2=1,1,0)</f>
        <v>0</v>
      </c>
      <c r="BR2" s="11"/>
      <c r="BV2">
        <v>1</v>
      </c>
      <c r="BW2">
        <v>5</v>
      </c>
      <c r="BX2">
        <v>81</v>
      </c>
      <c r="BY2" t="str">
        <f>V23</f>
        <v>Torino-Udinese</v>
      </c>
      <c r="CA2" t="str">
        <f>V24</f>
        <v>Torino</v>
      </c>
      <c r="CC2">
        <v>1</v>
      </c>
      <c r="CD2">
        <v>5</v>
      </c>
      <c r="CQ2">
        <v>1</v>
      </c>
      <c r="CR2">
        <v>5</v>
      </c>
      <c r="CS2">
        <v>81</v>
      </c>
      <c r="CT2">
        <f>AM1</f>
        <v>0</v>
      </c>
      <c r="CV2">
        <f>AM2</f>
        <v>0</v>
      </c>
      <c r="CX2">
        <v>1</v>
      </c>
      <c r="CY2">
        <v>5</v>
      </c>
      <c r="DH2" s="88" t="s">
        <v>23</v>
      </c>
      <c r="DI2" s="89"/>
      <c r="DJ2" s="90" t="s">
        <v>24</v>
      </c>
      <c r="DP2" s="88" t="s">
        <v>23</v>
      </c>
      <c r="DQ2" s="89"/>
      <c r="DR2" s="90" t="s">
        <v>24</v>
      </c>
    </row>
    <row r="3" spans="1:122">
      <c r="E3" s="61"/>
      <c r="F3" s="61"/>
      <c r="G3" s="61"/>
      <c r="H3" s="61"/>
      <c r="I3" s="91"/>
      <c r="J3" s="61"/>
      <c r="K3" s="61"/>
      <c r="L3" s="61"/>
      <c r="M3" s="61"/>
      <c r="U3" s="84">
        <f>U2+1</f>
        <v>2</v>
      </c>
      <c r="V3" t="s">
        <v>25</v>
      </c>
      <c r="W3" t="s">
        <v>26</v>
      </c>
      <c r="X3" t="s">
        <v>27</v>
      </c>
      <c r="Y3" s="10">
        <v>1</v>
      </c>
      <c r="Z3" s="10">
        <v>3</v>
      </c>
      <c r="AA3" s="10">
        <v>1</v>
      </c>
      <c r="AB3" s="10">
        <v>1</v>
      </c>
      <c r="AC3" s="85">
        <f>Y3+Z3</f>
        <v>4</v>
      </c>
      <c r="AD3" s="85">
        <f>AA3+AB3</f>
        <v>2</v>
      </c>
      <c r="AE3" s="61">
        <f>IF(AND(Y3="M",Z3="M"),0,(IF(AND(Y3="M",Z3&lt;&gt;"M"),1,(IF(AND(Y3&lt;&gt;"M",Z3="M"),2,(IF(Y3=Z3,0,(IF(Y3&gt;Z3,1,2)))))))))</f>
        <v>2</v>
      </c>
      <c r="AF3" s="61">
        <f>IF(AND(AA3="M",AB3="M"),0,(IF(AND(AA3="M",AB3&lt;&gt;"M"),1,(IF(AND(AA3&lt;&gt;"M",AB3="M"),2,(IF(AA3=AB3,0,(IF(AA3&gt;AB3,1,2)))))))))</f>
        <v>0</v>
      </c>
      <c r="AG3" s="8">
        <f>AG2+1</f>
        <v>2</v>
      </c>
      <c r="AH3">
        <f>IF(OR(AF3="",AE3=""),-1,IF(IFERROR(FIND(AH1,AE3,1),0)&gt;0,1,0))</f>
        <v>0</v>
      </c>
      <c r="AI3">
        <f>IF(OR(AF3="",AE3=""),-1,IF(IFERROR(FIND(AI1,AE3,1),0)&gt;0,1,0))</f>
        <v>0</v>
      </c>
      <c r="AJ3">
        <f>IF(OR(AF3="",AE3=""),-1,IF(IFERROR(FIND(AJ1,AE3,1),0)&gt;0,1,0))</f>
        <v>0</v>
      </c>
      <c r="AK3" s="74">
        <f>AK2-1</f>
        <v>19</v>
      </c>
      <c r="AL3">
        <f>IFERROR(VLOOKUP(AK3,AG2:AJ21,2),"")</f>
        <v>0</v>
      </c>
      <c r="AM3">
        <f>IFERROR(VLOOKUP(AK3,AG2:AJ21,3),"")</f>
        <v>0</v>
      </c>
      <c r="AN3">
        <f>IFERROR(VLOOKUP(AK3,AG2:AJ21,4),"")</f>
        <v>0</v>
      </c>
      <c r="AP3" s="86">
        <f>IF(AL3=-1,AP2,IF(AL3=0,0,IF(AL3=1,AP2+1)))</f>
        <v>0</v>
      </c>
      <c r="AQ3" s="86">
        <f>IF(AM3=-1,AQ2,IF(AM3=0,0,IF(AM3=1,AQ2+1)))</f>
        <v>0</v>
      </c>
      <c r="AR3" s="87">
        <f>IF(AN3=-1,AR2,IF(AN3=0,0,IF(AN3=1,AR2+1)))</f>
        <v>0</v>
      </c>
      <c r="AV3" s="92" t="s">
        <v>28</v>
      </c>
      <c r="AW3" s="93"/>
      <c r="AX3" s="94" t="s">
        <v>29</v>
      </c>
      <c r="BA3" s="8">
        <f>BA2+1</f>
        <v>2</v>
      </c>
      <c r="BB3">
        <f>IF(OR(AF3="",AE3=""),-1,IF(IFERROR(FIND(BB1,AF3,1),0)&gt;0,1,0))</f>
        <v>0</v>
      </c>
      <c r="BC3">
        <f>IF(OR(AF3="",AE3=""),-1,IF(IFERROR(FIND(BC1,AF3,1),0)&gt;0,1,0))</f>
        <v>0</v>
      </c>
      <c r="BD3">
        <f>IF(OR(AF3="",AE3=""),-1,IF(IFERROR(FIND(BD1,AF3,1),0)&gt;0,1,0))</f>
        <v>0</v>
      </c>
      <c r="BE3" s="74">
        <f>BE2-1</f>
        <v>19</v>
      </c>
      <c r="BF3">
        <f>IFERROR(VLOOKUP(BE3,BA2:BD21,2),"")</f>
        <v>0</v>
      </c>
      <c r="BG3">
        <f>IFERROR(VLOOKUP(BE3,BA2:BD21,3),"")</f>
        <v>0</v>
      </c>
      <c r="BH3">
        <f>IFERROR(VLOOKUP(BE3,BA2:BD21,4),"")</f>
        <v>0</v>
      </c>
      <c r="BJ3" s="86">
        <f>IF(BF3=-1,BJ2,IF(BF3=0,0,IF(BF3=1,BJ2+1)))</f>
        <v>0</v>
      </c>
      <c r="BK3" s="86">
        <f>IF(BG3=-1,BK2,IF(BG3=0,0,IF(BG3=1,BK2+1)))</f>
        <v>0</v>
      </c>
      <c r="BL3" s="86">
        <f>IF(BH3=-1,BL2,IF(BH3=0,0,IF(BH3=1,BL2+1)))</f>
        <v>0</v>
      </c>
      <c r="BP3" s="95" t="s">
        <v>28</v>
      </c>
      <c r="BQ3" s="93"/>
      <c r="BR3" s="94" t="s">
        <v>29</v>
      </c>
      <c r="BU3" t="s">
        <v>30</v>
      </c>
      <c r="BW3" t="str">
        <f>AA1</f>
        <v>Vt1</v>
      </c>
      <c r="BX3" t="str">
        <f>Z1</f>
        <v>Hm2</v>
      </c>
      <c r="BY3" s="85" t="str">
        <f>W1</f>
        <v>Torino</v>
      </c>
      <c r="BZ3" s="85" t="str">
        <f>X1</f>
        <v>Udinese</v>
      </c>
      <c r="CA3" t="s">
        <v>31</v>
      </c>
      <c r="CB3" t="s">
        <v>32</v>
      </c>
      <c r="CC3" t="s">
        <v>33</v>
      </c>
      <c r="CF3" s="85"/>
      <c r="CG3" s="85"/>
      <c r="CP3" t="s">
        <v>30</v>
      </c>
      <c r="CR3">
        <f>AV1</f>
        <v/>
      </c>
      <c r="CS3">
        <f>AU1</f>
        <v/>
      </c>
      <c r="CT3" s="85">
        <f>AR1</f>
        <v/>
      </c>
      <c r="CU3" s="85">
        <f>AS1</f>
        <v/>
      </c>
      <c r="CX3" t="s">
        <v>33</v>
      </c>
      <c r="DA3" s="85"/>
      <c r="DB3" s="85"/>
      <c r="DD3" s="96">
        <v>1</v>
      </c>
      <c r="DE3" s="61">
        <f>RANK(DJ3,DJ3:DJ11)+COUNTIF(DJ3:DJ11,DJ3)-1</f>
        <v>3</v>
      </c>
      <c r="DF3" s="61">
        <f>RANK(DJ3,DJ3:DJ11)</f>
        <v>3</v>
      </c>
      <c r="DG3">
        <f>IF(DJ3="","",RANK(DJ3,DJ3:DJ11))</f>
        <v>3</v>
      </c>
      <c r="DH3" s="84">
        <f>IF(CR29="","",CR29)</f>
        <v>4</v>
      </c>
      <c r="DI3" s="61">
        <f>IF(DH3="","",COUNTIF(CR28:DG28,DH3))</f>
        <v>4</v>
      </c>
      <c r="DJ3" s="97">
        <f>IF(DI3="","",(DI3/16)*100)</f>
        <v>25</v>
      </c>
      <c r="DL3" s="96">
        <v>1</v>
      </c>
      <c r="DM3" s="60">
        <f>RANK(DR3,DR3:DR11)+COUNTIF(DR3:DR11,DR3)-1</f>
        <v>2</v>
      </c>
      <c r="DN3" s="60">
        <f>RANK(DR3,DR3:DR11)</f>
        <v>1</v>
      </c>
      <c r="DO3" s="59">
        <f>IF(DR3="","",RANK(DR3,DR3:DR11))</f>
        <v>1</v>
      </c>
      <c r="DP3" s="98">
        <f>IF(CR32="","",CR32)</f>
        <v>4</v>
      </c>
      <c r="DQ3" s="60">
        <f>IF(DP3="","",COUNTIF(CQ31:CY31,DP3))</f>
        <v>3</v>
      </c>
      <c r="DR3" s="97">
        <f>IF(DQ3="","",(DQ3/8)*100)</f>
        <v>37.5</v>
      </c>
    </row>
    <row r="4" spans="1:122" customHeight="1" ht="15.75">
      <c r="E4" s="61"/>
      <c r="F4" s="61"/>
      <c r="G4" s="61"/>
      <c r="H4" s="61"/>
      <c r="I4" s="61"/>
      <c r="J4" s="61"/>
      <c r="K4" s="61"/>
      <c r="L4" s="61"/>
      <c r="M4" s="61"/>
      <c r="U4" s="84">
        <f>U3+1</f>
        <v>3</v>
      </c>
      <c r="V4" t="s">
        <v>34</v>
      </c>
      <c r="W4" t="s">
        <v>35</v>
      </c>
      <c r="X4" t="s">
        <v>21</v>
      </c>
      <c r="Y4" s="9">
        <v>0</v>
      </c>
      <c r="Z4" s="9">
        <v>7</v>
      </c>
      <c r="AA4" s="9">
        <v>2</v>
      </c>
      <c r="AB4" s="9">
        <v>0</v>
      </c>
      <c r="AC4" s="85">
        <f>Y4+Z4</f>
        <v>7</v>
      </c>
      <c r="AD4" s="85">
        <f>AA4+AB4</f>
        <v>2</v>
      </c>
      <c r="AE4" s="61">
        <f>IF(AND(Y4="M",Z4="M"),0,(IF(AND(Y4="M",Z4&lt;&gt;"M"),1,(IF(AND(Y4&lt;&gt;"M",Z4="M"),2,(IF(Y4=Z4,0,(IF(Y4&gt;Z4,1,2)))))))))</f>
        <v>2</v>
      </c>
      <c r="AF4" s="61">
        <f>IF(AND(AA4="M",AB4="M"),0,(IF(AND(AA4="M",AB4&lt;&gt;"M"),1,(IF(AND(AA4&lt;&gt;"M",AB4="M"),2,(IF(AA4=AB4,0,(IF(AA4&gt;AB4,1,2)))))))))</f>
        <v>1</v>
      </c>
      <c r="AG4" s="8">
        <f>AG3+1</f>
        <v>3</v>
      </c>
      <c r="AH4">
        <f>IF(OR(AF4="",AE4=""),-1,IF(IFERROR(FIND(AH1,AE4,1),0)&gt;0,1,0))</f>
        <v>0</v>
      </c>
      <c r="AI4">
        <f>IF(OR(AF4="",AE4=""),-1,IF(IFERROR(FIND(AI1,AE4,1),0)&gt;0,1,0))</f>
        <v>0</v>
      </c>
      <c r="AJ4">
        <f>IF(OR(AF4="",AE4=""),-1,IF(IFERROR(FIND(AJ1,AE4,1),0)&gt;0,1,0))</f>
        <v>0</v>
      </c>
      <c r="AK4" s="74">
        <f>AK3-1</f>
        <v>18</v>
      </c>
      <c r="AL4">
        <f>IFERROR(VLOOKUP(AK4,AG2:AJ21,2),"")</f>
        <v>0</v>
      </c>
      <c r="AM4">
        <f>IFERROR(VLOOKUP(AK4,AG2:AJ21,3),"")</f>
        <v>0</v>
      </c>
      <c r="AN4">
        <f>IFERROR(VLOOKUP(AK4,AG2:AJ21,4),"")</f>
        <v>0</v>
      </c>
      <c r="AP4" s="86">
        <f>IF(AL4=-1,AP3,IF(AL4=0,0,IF(AL4=1,AP3+1)))</f>
        <v>0</v>
      </c>
      <c r="AQ4" s="86">
        <f>IF(AM4=-1,AQ3,IF(AM4=0,0,IF(AM4=1,AQ3+1)))</f>
        <v>0</v>
      </c>
      <c r="AR4" s="87">
        <f>IF(AN4=-1,AR3,IF(AN4=0,0,IF(AN4=1,AR3+1)))</f>
        <v>0</v>
      </c>
      <c r="AS4" s="61">
        <f>COUNTIF(AE2:AE21,AT4)</f>
        <v>9</v>
      </c>
      <c r="AT4" s="61">
        <v>1</v>
      </c>
      <c r="AU4" s="61">
        <f>MAX(AP2:AP21)</f>
        <v>0</v>
      </c>
      <c r="AV4" s="61">
        <v>1</v>
      </c>
      <c r="AW4" s="99">
        <f>AU4</f>
        <v>0</v>
      </c>
      <c r="AX4" s="100">
        <f>AP21</f>
        <v>0</v>
      </c>
      <c r="BA4" s="8">
        <f>BA3+1</f>
        <v>3</v>
      </c>
      <c r="BB4">
        <f>IF(OR(AF4="",AE4=""),-1,IF(IFERROR(FIND(BB1,AF4,1),0)&gt;0,1,0))</f>
        <v>0</v>
      </c>
      <c r="BC4">
        <f>IF(OR(AF4="",AE4=""),-1,IF(IFERROR(FIND(BC1,AF4,1),0)&gt;0,1,0))</f>
        <v>0</v>
      </c>
      <c r="BD4">
        <f>IF(OR(AF4="",AE4=""),-1,IF(IFERROR(FIND(BD1,AF4,1),0)&gt;0,1,0))</f>
        <v>0</v>
      </c>
      <c r="BE4" s="74">
        <f>BE3-1</f>
        <v>18</v>
      </c>
      <c r="BF4">
        <f>IFERROR(VLOOKUP(BE4,BA2:BD21,2),"")</f>
        <v>0</v>
      </c>
      <c r="BG4">
        <f>IFERROR(VLOOKUP(BE4,BA2:BD21,3),"")</f>
        <v>0</v>
      </c>
      <c r="BH4">
        <f>IFERROR(VLOOKUP(BE4,BA2:BD21,4),"")</f>
        <v>0</v>
      </c>
      <c r="BJ4" s="86">
        <f>IF(BF4=-1,BJ3,IF(BF4=0,0,IF(BF4=1,BJ3+1)))</f>
        <v>0</v>
      </c>
      <c r="BK4" s="86">
        <f>IF(BG4=-1,BK3,IF(BG4=0,0,IF(BG4=1,BK3+1)))</f>
        <v>0</v>
      </c>
      <c r="BL4" s="86">
        <f>IF(BH4=-1,BL3,IF(BH4=0,0,IF(BH4=1,BL3+1)))</f>
        <v>0</v>
      </c>
      <c r="BM4" s="61">
        <f>COUNTIF(AF2:AF21,BN4)</f>
        <v>12</v>
      </c>
      <c r="BN4" s="61">
        <v>1</v>
      </c>
      <c r="BO4" s="61">
        <f>MAX(BJ1:BJ21)</f>
        <v>0</v>
      </c>
      <c r="BP4" s="61">
        <v>1</v>
      </c>
      <c r="BQ4" s="99">
        <f>BO4</f>
        <v>0</v>
      </c>
      <c r="BR4" s="100">
        <f>BJ21</f>
        <v>0</v>
      </c>
      <c r="BV4">
        <v>20</v>
      </c>
      <c r="BW4">
        <f>AA2</f>
        <v>1</v>
      </c>
      <c r="BX4">
        <f>Z2</f>
        <v>1</v>
      </c>
      <c r="BY4" s="85">
        <f>BW23</f>
        <v>2</v>
      </c>
      <c r="BZ4" s="85">
        <f>BX23</f>
        <v>2</v>
      </c>
      <c r="CA4" s="61">
        <f>IF((BW4&gt;=3),"M",BW4)</f>
        <v>1</v>
      </c>
      <c r="CB4" s="61">
        <f>IF((BX4&gt;=3),"M",BX4)</f>
        <v>1</v>
      </c>
      <c r="CC4">
        <v>20</v>
      </c>
      <c r="CD4">
        <f>BW4</f>
        <v>1</v>
      </c>
      <c r="CE4">
        <f>BX4</f>
        <v>1</v>
      </c>
      <c r="CF4" s="85">
        <f>CD23</f>
        <v>2</v>
      </c>
      <c r="CG4" s="85">
        <f>CE23</f>
        <v>2</v>
      </c>
      <c r="CQ4">
        <v>20</v>
      </c>
      <c r="CR4">
        <f>AC2</f>
        <v>2</v>
      </c>
      <c r="CS4">
        <f>AD2</f>
        <v>2</v>
      </c>
      <c r="CT4" s="85">
        <f>CR23</f>
        <v>5</v>
      </c>
      <c r="CU4" s="85">
        <f>CS23</f>
        <v>2</v>
      </c>
      <c r="CV4" s="61"/>
      <c r="CW4" s="61"/>
      <c r="CX4">
        <v>20</v>
      </c>
      <c r="CY4">
        <f>CR4</f>
        <v>2</v>
      </c>
      <c r="CZ4">
        <f>CS4</f>
        <v>2</v>
      </c>
      <c r="DA4" s="85">
        <f>CY23</f>
        <v>5</v>
      </c>
      <c r="DB4" s="85">
        <f>CZ23</f>
        <v>2</v>
      </c>
      <c r="DD4" s="96">
        <v>2</v>
      </c>
      <c r="DE4" s="61">
        <f>IF(DJ4="","",RANK(DJ4,DJ3:DJ11)+COUNTIF(DJ4:DJ11,DJ4)-1)</f>
        <v>1</v>
      </c>
      <c r="DF4" s="61">
        <f>IF(DJ4="","",RANK(DJ4,DJ3:DJ11))</f>
        <v>1</v>
      </c>
      <c r="DG4">
        <f>IF(DJ4="","",RANK(DJ4,DJ3:DJ11))</f>
        <v>1</v>
      </c>
      <c r="DH4" s="84">
        <f>IF(CS29="","",CS29)</f>
        <v>3</v>
      </c>
      <c r="DI4" s="61">
        <f>IF(DH4="","",COUNTIF(CR28:DG28,DH4))</f>
        <v>6</v>
      </c>
      <c r="DJ4" s="97">
        <f>IF(DI4="","",(DI4/16)*100)</f>
        <v>37.5</v>
      </c>
      <c r="DL4" s="96">
        <v>2</v>
      </c>
      <c r="DM4" s="60">
        <f>IF(DR4="","",RANK(DR4,DR3:DR11)+COUNTIF(DR4:DR11,DR4)-1)</f>
        <v>1</v>
      </c>
      <c r="DN4" s="60">
        <f>IF(DR4="","",RANK(DR4,DR3:DR11))</f>
        <v>1</v>
      </c>
      <c r="DO4" s="59">
        <f>IF(DR4="","",RANK(DR4,DR3:DR11))</f>
        <v>1</v>
      </c>
      <c r="DP4" s="98">
        <f>IF(CS32="","",CS32)</f>
        <v>3</v>
      </c>
      <c r="DQ4" s="60">
        <f>IF(DP4="","",COUNTIF(CR31:CY31,DP4))</f>
        <v>3</v>
      </c>
      <c r="DR4" s="97">
        <f>IF(DQ4="","",(DQ4/8)*100)</f>
        <v>37.5</v>
      </c>
    </row>
    <row r="5" spans="1:122">
      <c r="A5" s="101"/>
      <c r="B5" s="102" t="s">
        <v>36</v>
      </c>
      <c r="C5" s="103" t="s">
        <v>37</v>
      </c>
      <c r="D5" s="287" t="s">
        <v>38</v>
      </c>
      <c r="E5" s="287"/>
      <c r="F5" s="288" t="s">
        <v>39</v>
      </c>
      <c r="G5" s="288"/>
      <c r="H5" s="288"/>
      <c r="I5" s="288"/>
      <c r="J5" s="288"/>
      <c r="K5" s="288"/>
      <c r="L5" s="288"/>
      <c r="M5" s="288"/>
      <c r="N5" s="288"/>
      <c r="O5" s="288"/>
      <c r="P5" s="288"/>
      <c r="Q5" s="288"/>
      <c r="R5" s="288"/>
      <c r="S5" s="289"/>
      <c r="U5" s="84">
        <f>U4+1</f>
        <v>4</v>
      </c>
      <c r="V5" t="s">
        <v>40</v>
      </c>
      <c r="W5" t="s">
        <v>22</v>
      </c>
      <c r="X5" t="s">
        <v>41</v>
      </c>
      <c r="Y5" s="9">
        <v>1</v>
      </c>
      <c r="Z5" s="9">
        <v>0</v>
      </c>
      <c r="AA5" s="9">
        <v>3</v>
      </c>
      <c r="AB5" s="9">
        <v>2</v>
      </c>
      <c r="AC5" s="85">
        <f>Y5+Z5</f>
        <v>1</v>
      </c>
      <c r="AD5" s="85">
        <f>AA5+AB5</f>
        <v>5</v>
      </c>
      <c r="AE5" s="61">
        <f>IF(AND(Y5="M",Z5="M"),0,(IF(AND(Y5="M",Z5&lt;&gt;"M"),1,(IF(AND(Y5&lt;&gt;"M",Z5="M"),2,(IF(Y5=Z5,0,(IF(Y5&gt;Z5,1,2)))))))))</f>
        <v>1</v>
      </c>
      <c r="AF5" s="61">
        <f>IF(AND(AA5="M",AB5="M"),0,(IF(AND(AA5="M",AB5&lt;&gt;"M"),1,(IF(AND(AA5&lt;&gt;"M",AB5="M"),2,(IF(AA5=AB5,0,(IF(AA5&gt;AB5,1,2)))))))))</f>
        <v>1</v>
      </c>
      <c r="AG5" s="8">
        <f>AG4+1</f>
        <v>4</v>
      </c>
      <c r="AH5">
        <f>IF(OR(AF5="",AE5=""),-1,IF(IFERROR(FIND(AH1,AE5,1),0)&gt;0,1,0))</f>
        <v>0</v>
      </c>
      <c r="AI5">
        <f>IF(OR(AF5="",AE5=""),-1,IF(IFERROR(FIND(AI1,AE5,1),0)&gt;0,1,0))</f>
        <v>0</v>
      </c>
      <c r="AJ5">
        <f>IF(OR(AF5="",AE5=""),-1,IF(IFERROR(FIND(AJ1,AE5,1),0)&gt;0,1,0))</f>
        <v>0</v>
      </c>
      <c r="AK5" s="74">
        <f>AK4-1</f>
        <v>17</v>
      </c>
      <c r="AL5">
        <f>IFERROR(VLOOKUP(AK5,AG2:AJ21,2),"")</f>
        <v>0</v>
      </c>
      <c r="AM5">
        <f>IFERROR(VLOOKUP(AK5,AG2:AJ21,3),"")</f>
        <v>0</v>
      </c>
      <c r="AN5">
        <f>IFERROR(VLOOKUP(AK5,AG2:AJ21,4),"")</f>
        <v>0</v>
      </c>
      <c r="AP5" s="86">
        <f>IF(AL5=-1,AP4,IF(AL5=0,0,IF(AL5=1,AP4+1)))</f>
        <v>0</v>
      </c>
      <c r="AQ5" s="86">
        <f>IF(AM5=-1,AQ4,IF(AM5=0,0,IF(AM5=1,AQ4+1)))</f>
        <v>0</v>
      </c>
      <c r="AR5" s="87">
        <f>IF(AN5=-1,AR4,IF(AN5=0,0,IF(AN5=1,AR4+1)))</f>
        <v>0</v>
      </c>
      <c r="AS5" s="61">
        <f>COUNTIF(AE2:AE21,AT5)</f>
        <v>4</v>
      </c>
      <c r="AT5" s="61">
        <v>0</v>
      </c>
      <c r="AU5" s="61">
        <f>MAX(AQ2:AQ21)</f>
        <v>0</v>
      </c>
      <c r="AV5" s="61" t="s">
        <v>42</v>
      </c>
      <c r="AW5" s="99">
        <f>AU5</f>
        <v>0</v>
      </c>
      <c r="AX5" s="100">
        <f>AQ21</f>
        <v>0</v>
      </c>
      <c r="BA5" s="8">
        <f>BA4+1</f>
        <v>4</v>
      </c>
      <c r="BB5">
        <f>IF(OR(AF5="",AE5=""),-1,IF(IFERROR(FIND(BB1,AF5,1),0)&gt;0,1,0))</f>
        <v>0</v>
      </c>
      <c r="BC5">
        <f>IF(OR(AF5="",AE5=""),-1,IF(IFERROR(FIND(BC1,AF5,1),0)&gt;0,1,0))</f>
        <v>0</v>
      </c>
      <c r="BD5">
        <f>IF(OR(AF5="",AE5=""),-1,IF(IFERROR(FIND(BD1,AF5,1),0)&gt;0,1,0))</f>
        <v>0</v>
      </c>
      <c r="BE5" s="74">
        <f>BE4-1</f>
        <v>17</v>
      </c>
      <c r="BF5">
        <f>IFERROR(VLOOKUP(BE5,BA2:BD21,2),"")</f>
        <v>0</v>
      </c>
      <c r="BG5">
        <f>IFERROR(VLOOKUP(BE5,BA2:BD21,3),"")</f>
        <v>0</v>
      </c>
      <c r="BH5">
        <f>IFERROR(VLOOKUP(BE5,BA2:BD21,4),"")</f>
        <v>0</v>
      </c>
      <c r="BJ5" s="86">
        <f>IF(BF5=-1,BJ4,IF(BF5=0,0,IF(BF5=1,BJ4+1)))</f>
        <v>0</v>
      </c>
      <c r="BK5" s="86">
        <f>IF(BG5=-1,BK4,IF(BG5=0,0,IF(BG5=1,BK4+1)))</f>
        <v>0</v>
      </c>
      <c r="BL5" s="86">
        <f>IF(BH5=-1,BL4,IF(BH5=0,0,IF(BH5=1,BL4+1)))</f>
        <v>0</v>
      </c>
      <c r="BM5" s="61">
        <f>COUNTIF(AF2:AF21,BN5)</f>
        <v>3</v>
      </c>
      <c r="BN5" s="61">
        <v>0</v>
      </c>
      <c r="BO5" s="61">
        <f>MAX(BK2:BK21)</f>
        <v>0</v>
      </c>
      <c r="BP5" s="61" t="s">
        <v>42</v>
      </c>
      <c r="BQ5" s="99">
        <f>BO5</f>
        <v>0</v>
      </c>
      <c r="BR5" s="100">
        <f>BK21</f>
        <v>0</v>
      </c>
      <c r="BV5">
        <v>19</v>
      </c>
      <c r="BW5">
        <f>AA3</f>
        <v>1</v>
      </c>
      <c r="BX5">
        <f>Z3</f>
        <v>3</v>
      </c>
      <c r="BY5" s="85">
        <f>BW22</f>
        <v>2</v>
      </c>
      <c r="BZ5" s="85">
        <f>BX22</f>
        <v>1</v>
      </c>
      <c r="CA5" s="61">
        <f>IF((BW5&gt;=3),"M",BW5)</f>
        <v>1</v>
      </c>
      <c r="CB5" s="61" t="str">
        <f>IF((BX5&gt;=3),"M",BX5)</f>
        <v>M</v>
      </c>
      <c r="CC5">
        <v>19</v>
      </c>
      <c r="CD5">
        <f>BW5</f>
        <v>1</v>
      </c>
      <c r="CE5">
        <f>BX5</f>
        <v>3</v>
      </c>
      <c r="CF5" s="85">
        <f>CD22</f>
        <v>2</v>
      </c>
      <c r="CG5" s="85">
        <f>CE22</f>
        <v>1</v>
      </c>
      <c r="CQ5">
        <v>19</v>
      </c>
      <c r="CR5">
        <f>AC3</f>
        <v>4</v>
      </c>
      <c r="CS5">
        <f>AD3</f>
        <v>2</v>
      </c>
      <c r="CT5" s="85">
        <f>CR22</f>
        <v>4</v>
      </c>
      <c r="CU5" s="85">
        <f>CS22</f>
        <v>2</v>
      </c>
      <c r="CV5" s="61"/>
      <c r="CW5" s="61"/>
      <c r="CX5">
        <v>19</v>
      </c>
      <c r="CY5">
        <f>CR5</f>
        <v>4</v>
      </c>
      <c r="CZ5">
        <f>CS5</f>
        <v>2</v>
      </c>
      <c r="DA5" s="85">
        <f>CY22</f>
        <v>4</v>
      </c>
      <c r="DB5" s="85">
        <f>CZ22</f>
        <v>2</v>
      </c>
      <c r="DD5" s="96">
        <v>3</v>
      </c>
      <c r="DE5" s="61">
        <f>IF(DJ5="","",RANK(DJ5,DJ3:DJ11)+COUNTIF(DJ5:DJ11,DJ5)-1)</f>
        <v>2</v>
      </c>
      <c r="DF5" s="61">
        <f>IF(DJ5="","",RANK(DJ5,DJ3:DJ11))</f>
        <v>2</v>
      </c>
      <c r="DG5">
        <f>IF(DJ5="","",RANK(DJ5,DJ3:DJ11))</f>
        <v>2</v>
      </c>
      <c r="DH5" s="84">
        <f>IF(CT29="","",CT29)</f>
        <v>2</v>
      </c>
      <c r="DI5" s="61">
        <f>IF(DH5="","",COUNTIF(CR28:DG28,DH5))</f>
        <v>5</v>
      </c>
      <c r="DJ5" s="97">
        <f>IF(DI5="","",(DI5/16)*100)</f>
        <v>31.25</v>
      </c>
      <c r="DL5" s="96">
        <v>3</v>
      </c>
      <c r="DM5" s="60">
        <f>IF(DR5="","",RANK(DR5,DR3:DR11)+COUNTIF(DR5:DR11,DR5)-1)</f>
        <v>4</v>
      </c>
      <c r="DN5" s="60">
        <f>IF(DR5="","",RANK(DR5,DR3:DR11))</f>
        <v>3</v>
      </c>
      <c r="DO5" s="59">
        <f>IF(DR5="","",RANK(DR5,DR3:DR11))</f>
        <v>3</v>
      </c>
      <c r="DP5" s="98">
        <f>IF(CT32="","",CT32)</f>
        <v>2</v>
      </c>
      <c r="DQ5" s="60">
        <f>IF(DP5="","",COUNTIF(CR31:CY31,DP5))</f>
        <v>1</v>
      </c>
      <c r="DR5" s="97">
        <f>IF(DQ5="","",(DQ5/8)*100)</f>
        <v>12.5</v>
      </c>
    </row>
    <row r="6" spans="1:122">
      <c r="A6" s="104" t="s">
        <v>43</v>
      </c>
      <c r="B6" s="105" t="s">
        <v>44</v>
      </c>
      <c r="C6" s="106" t="s">
        <v>45</v>
      </c>
      <c r="D6" s="107" t="s">
        <v>46</v>
      </c>
      <c r="E6" s="107" t="s">
        <v>47</v>
      </c>
      <c r="F6" s="108" t="str">
        <f>Z38</f>
        <v>O1.5</v>
      </c>
      <c r="G6" s="109" t="str">
        <f>AA38</f>
        <v>O2.5</v>
      </c>
      <c r="H6" s="109" t="str">
        <f>AB38</f>
        <v>CS3</v>
      </c>
      <c r="I6" s="109" t="str">
        <f>AC38</f>
        <v>CS4</v>
      </c>
      <c r="J6" s="109" t="str">
        <f>AD38</f>
        <v>Scrd</v>
      </c>
      <c r="K6" s="80" t="str">
        <f>AE38</f>
        <v>Concd</v>
      </c>
      <c r="L6" s="80" t="str">
        <f>AF38</f>
        <v>BTS</v>
      </c>
      <c r="M6" s="109" t="str">
        <f>AH38</f>
        <v>SG_3</v>
      </c>
      <c r="N6" s="109" t="str">
        <f>AI38</f>
        <v>SG_2</v>
      </c>
      <c r="O6" s="110" t="s">
        <v>48</v>
      </c>
      <c r="P6" s="110" t="s">
        <v>49</v>
      </c>
      <c r="Q6" s="110" t="s">
        <v>50</v>
      </c>
      <c r="R6" s="111" t="str">
        <f>"+2,5"</f>
        <v>+2,5</v>
      </c>
      <c r="S6" s="112" t="s">
        <v>23</v>
      </c>
      <c r="U6" s="84">
        <f>U5+1</f>
        <v>5</v>
      </c>
      <c r="V6" s="12" t="s">
        <v>51</v>
      </c>
      <c r="W6" t="s">
        <v>52</v>
      </c>
      <c r="X6" t="s">
        <v>53</v>
      </c>
      <c r="Y6" s="9">
        <v>1</v>
      </c>
      <c r="Z6" s="9">
        <v>1</v>
      </c>
      <c r="AA6" s="9">
        <v>4</v>
      </c>
      <c r="AB6" s="9">
        <v>0</v>
      </c>
      <c r="AC6" s="85">
        <f>Y6+Z6</f>
        <v>2</v>
      </c>
      <c r="AD6" s="85">
        <f>AA6+AB6</f>
        <v>4</v>
      </c>
      <c r="AE6" s="61">
        <f>IF(AND(Y6="M",Z6="M"),0,(IF(AND(Y6="M",Z6&lt;&gt;"M"),1,(IF(AND(Y6&lt;&gt;"M",Z6="M"),2,(IF(Y6=Z6,0,(IF(Y6&gt;Z6,1,2)))))))))</f>
        <v>0</v>
      </c>
      <c r="AF6" s="61">
        <f>IF(AND(AA6="M",AB6="M"),0,(IF(AND(AA6="M",AB6&lt;&gt;"M"),1,(IF(AND(AA6&lt;&gt;"M",AB6="M"),2,(IF(AA6=AB6,0,(IF(AA6&gt;AB6,1,2)))))))))</f>
        <v>1</v>
      </c>
      <c r="AG6" s="8">
        <f>AG5+1</f>
        <v>5</v>
      </c>
      <c r="AH6">
        <f>IF(OR(AF6="",AE6=""),-1,IF(IFERROR(FIND(AH1,AE6,1),0)&gt;0,1,0))</f>
        <v>0</v>
      </c>
      <c r="AI6">
        <f>IF(OR(AF6="",AE6=""),-1,IF(IFERROR(FIND(AI1,AE6,1),0)&gt;0,1,0))</f>
        <v>0</v>
      </c>
      <c r="AJ6">
        <f>IF(OR(AF6="",AE6=""),-1,IF(IFERROR(FIND(AJ1,AE6,1),0)&gt;0,1,0))</f>
        <v>0</v>
      </c>
      <c r="AK6" s="74">
        <f>AK5-1</f>
        <v>16</v>
      </c>
      <c r="AL6">
        <f>IFERROR(VLOOKUP(AK6,AG2:AJ21,2),"")</f>
        <v>0</v>
      </c>
      <c r="AM6">
        <f>IFERROR(VLOOKUP(AK6,AG2:AJ21,3),"")</f>
        <v>0</v>
      </c>
      <c r="AN6">
        <f>IFERROR(VLOOKUP(AK6,AG2:AJ21,4),"")</f>
        <v>0</v>
      </c>
      <c r="AP6" s="86">
        <f>IF(AL6=-1,AP5,IF(AL6=0,0,IF(AL6=1,AP5+1)))</f>
        <v>0</v>
      </c>
      <c r="AQ6" s="86">
        <f>IF(AM6=-1,AQ5,IF(AM6=0,0,IF(AM6=1,AQ5+1)))</f>
        <v>0</v>
      </c>
      <c r="AR6" s="87">
        <f>IF(AN6=-1,AR5,IF(AN6=0,0,IF(AN6=1,AR5+1)))</f>
        <v>0</v>
      </c>
      <c r="AS6" s="61">
        <f>COUNTIF(AE2:AE21,AT6)</f>
        <v>7</v>
      </c>
      <c r="AT6" s="61">
        <v>2</v>
      </c>
      <c r="AU6" s="61">
        <f>MAX(AR2:AR21)</f>
        <v>0</v>
      </c>
      <c r="AV6" s="61">
        <v>2</v>
      </c>
      <c r="AW6" s="99">
        <f>AU6</f>
        <v>0</v>
      </c>
      <c r="AX6" s="100">
        <f>AR21</f>
        <v>0</v>
      </c>
      <c r="BA6" s="8">
        <f>BA5+1</f>
        <v>5</v>
      </c>
      <c r="BB6">
        <f>IF(OR(AF6="",AE6=""),-1,IF(IFERROR(FIND(BB1,AF6,1),0)&gt;0,1,0))</f>
        <v>0</v>
      </c>
      <c r="BC6">
        <f>IF(OR(AF6="",AE6=""),-1,IF(IFERROR(FIND(BC1,AF6,1),0)&gt;0,1,0))</f>
        <v>0</v>
      </c>
      <c r="BD6">
        <f>IF(OR(AF6="",AE6=""),-1,IF(IFERROR(FIND(BD1,AF6,1),0)&gt;0,1,0))</f>
        <v>0</v>
      </c>
      <c r="BE6" s="74">
        <f>BE5-1</f>
        <v>16</v>
      </c>
      <c r="BF6">
        <f>IFERROR(VLOOKUP(BE6,BA2:BD21,2),"")</f>
        <v>0</v>
      </c>
      <c r="BG6">
        <f>IFERROR(VLOOKUP(BE6,BA2:BD21,3),"")</f>
        <v>0</v>
      </c>
      <c r="BH6">
        <f>IFERROR(VLOOKUP(BE6,BA2:BD21,4),"")</f>
        <v>0</v>
      </c>
      <c r="BJ6" s="86">
        <f>IF(BF6=-1,BJ5,IF(BF6=0,0,IF(BF6=1,BJ5+1)))</f>
        <v>0</v>
      </c>
      <c r="BK6" s="86">
        <f>IF(BG6=-1,BK5,IF(BG6=0,0,IF(BG6=1,BK5+1)))</f>
        <v>0</v>
      </c>
      <c r="BL6" s="86">
        <f>IF(BH6=-1,BL5,IF(BH6=0,0,IF(BH6=1,BL5+1)))</f>
        <v>0</v>
      </c>
      <c r="BM6" s="61">
        <f>COUNTIF(AF2:AF21,BN6)</f>
        <v>5</v>
      </c>
      <c r="BN6" s="61">
        <v>2</v>
      </c>
      <c r="BO6" s="61">
        <f>MAX(BL2:BL21)</f>
        <v>0</v>
      </c>
      <c r="BP6" s="61">
        <v>2</v>
      </c>
      <c r="BQ6" s="99">
        <f>BO6</f>
        <v>0</v>
      </c>
      <c r="BR6" s="100">
        <f>BL21</f>
        <v>0</v>
      </c>
      <c r="BV6">
        <v>18</v>
      </c>
      <c r="BW6">
        <f>AA4</f>
        <v>2</v>
      </c>
      <c r="BX6">
        <f>Z4</f>
        <v>7</v>
      </c>
      <c r="BY6" s="85">
        <f>BW21</f>
        <v>1</v>
      </c>
      <c r="BZ6" s="85">
        <f>BX21</f>
        <v>2</v>
      </c>
      <c r="CA6" s="61">
        <f>IF((BW6&gt;=3),"M",BW6)</f>
        <v>2</v>
      </c>
      <c r="CB6" s="61" t="str">
        <f>IF((BX6&gt;=3),"M",BX6)</f>
        <v>M</v>
      </c>
      <c r="CC6">
        <v>18</v>
      </c>
      <c r="CD6">
        <f>BW6</f>
        <v>2</v>
      </c>
      <c r="CE6">
        <f>BX6</f>
        <v>7</v>
      </c>
      <c r="CF6" s="85">
        <f>CD21</f>
        <v>1</v>
      </c>
      <c r="CG6" s="85">
        <f>CE21</f>
        <v>2</v>
      </c>
      <c r="CQ6">
        <v>18</v>
      </c>
      <c r="CR6">
        <f>AC4</f>
        <v>7</v>
      </c>
      <c r="CS6">
        <f>AD4</f>
        <v>2</v>
      </c>
      <c r="CT6" s="85">
        <f>CR21</f>
        <v>5</v>
      </c>
      <c r="CU6" s="85">
        <f>CS21</f>
        <v>4</v>
      </c>
      <c r="CV6" s="61"/>
      <c r="CW6" s="61"/>
      <c r="CX6">
        <v>18</v>
      </c>
      <c r="CY6">
        <f>CR6</f>
        <v>7</v>
      </c>
      <c r="CZ6">
        <f>CS6</f>
        <v>2</v>
      </c>
      <c r="DA6" s="85">
        <f>CY21</f>
        <v>5</v>
      </c>
      <c r="DB6" s="85">
        <f>CZ21</f>
        <v>4</v>
      </c>
      <c r="DD6" s="96">
        <v>4</v>
      </c>
      <c r="DE6" s="61" t="str">
        <f>IF(DJ6="","",RANK(DJ6,DJ4:DJ12)+COUNTIF(DJ6:DJ12,DJ6)-1)</f>
        <v/>
      </c>
      <c r="DF6" s="61" t="str">
        <f>IF(DJ6="","",RANK(DJ6,DJ4:DJ12))</f>
        <v/>
      </c>
      <c r="DG6" t="str">
        <f>IF(DJ6="","",RANK(DJ6,DJ4:DJ12))</f>
        <v/>
      </c>
      <c r="DH6" s="84" t="str">
        <f>IF(CT30="","",CT30)</f>
        <v/>
      </c>
      <c r="DI6" s="61" t="str">
        <f>IF(DH6="","",COUNTIF(CR29:DG29,DH6))</f>
        <v/>
      </c>
      <c r="DJ6" s="97" t="str">
        <f>IF(DI6="","",(DI6/16)*100)</f>
        <v/>
      </c>
      <c r="DL6" s="96">
        <v>4</v>
      </c>
      <c r="DM6" s="60">
        <f>IF(DR6="","",RANK(DR6,DR3:DR11)+COUNTIF(DR6:DR11,DR6)-1)</f>
        <v>3</v>
      </c>
      <c r="DN6" s="60">
        <f>IF(DR6="","",RANK(DR6,DR3:DR11))</f>
        <v>3</v>
      </c>
      <c r="DO6" s="59">
        <f>IF(DR6="","",RANK(DR6,DR3:DR11))</f>
        <v>3</v>
      </c>
      <c r="DP6" s="98">
        <f>IF(CU32="","",CU32)</f>
        <v>5</v>
      </c>
      <c r="DQ6" s="60">
        <f>IF(DP6="","",COUNTIF(CR31:CY31,DP6))</f>
        <v>1</v>
      </c>
      <c r="DR6" s="97">
        <f>IF(DQ6="","",(DQ6/8)*100)</f>
        <v>12.5</v>
      </c>
    </row>
    <row r="7" spans="1:122" customHeight="1" ht="15.75">
      <c r="A7" s="113">
        <f>A1</f>
        <v>4</v>
      </c>
      <c r="B7" s="114" t="str">
        <f>B1</f>
        <v>Torino - Udinese</v>
      </c>
      <c r="C7" s="114">
        <f>Y41</f>
        <v>0.375</v>
      </c>
      <c r="D7" s="114" t="str">
        <f>BH36</f>
        <v>2</v>
      </c>
      <c r="E7" s="114" t="str">
        <f>BI36</f>
        <v>1X2</v>
      </c>
      <c r="F7" s="114">
        <f>Z41</f>
        <v>43.75</v>
      </c>
      <c r="G7" s="114">
        <f>AA41</f>
        <v>31.25</v>
      </c>
      <c r="H7" s="114">
        <f>AB41</f>
        <v>31.25</v>
      </c>
      <c r="I7" s="114">
        <f>AC41</f>
        <v>12.5</v>
      </c>
      <c r="J7" s="114">
        <f>AD41</f>
        <v>81.25</v>
      </c>
      <c r="K7" s="114">
        <f>AE41</f>
        <v>18.75</v>
      </c>
      <c r="L7" s="115">
        <f>AF39</f>
        <v>62.5</v>
      </c>
      <c r="M7" s="114">
        <f>AH39</f>
        <v>37.5</v>
      </c>
      <c r="N7" s="114">
        <f>AI39</f>
        <v>31.25</v>
      </c>
      <c r="O7" s="116">
        <f>C22</f>
        <v>22</v>
      </c>
      <c r="P7" s="117" t="str">
        <f>E22</f>
        <v>0M</v>
      </c>
      <c r="Q7" s="116" t="str">
        <f>G22</f>
        <v>1M</v>
      </c>
      <c r="R7" s="116">
        <f>D26</f>
        <v>37.5</v>
      </c>
      <c r="S7" s="118">
        <f>E26</f>
        <v>3</v>
      </c>
      <c r="U7" s="84">
        <f>U6+1</f>
        <v>6</v>
      </c>
      <c r="V7" t="s">
        <v>54</v>
      </c>
      <c r="W7" t="s">
        <v>55</v>
      </c>
      <c r="X7" t="s">
        <v>56</v>
      </c>
      <c r="Y7" s="9">
        <v>1</v>
      </c>
      <c r="Z7" s="9">
        <v>2</v>
      </c>
      <c r="AA7" s="9">
        <v>0</v>
      </c>
      <c r="AB7" s="9">
        <v>1</v>
      </c>
      <c r="AC7" s="85">
        <f>Y7+Z7</f>
        <v>3</v>
      </c>
      <c r="AD7" s="85">
        <f>AA7+AB7</f>
        <v>1</v>
      </c>
      <c r="AE7" s="61">
        <f>IF(AND(Y7="M",Z7="M"),0,(IF(AND(Y7="M",Z7&lt;&gt;"M"),1,(IF(AND(Y7&lt;&gt;"M",Z7="M"),2,(IF(Y7=Z7,0,(IF(Y7&gt;Z7,1,2)))))))))</f>
        <v>2</v>
      </c>
      <c r="AF7" s="61">
        <f>IF(AND(AA7="M",AB7="M"),0,(IF(AND(AA7="M",AB7&lt;&gt;"M"),1,(IF(AND(AA7&lt;&gt;"M",AB7="M"),2,(IF(AA7=AB7,0,(IF(AA7&gt;AB7,1,2)))))))))</f>
        <v>2</v>
      </c>
      <c r="AG7" s="8">
        <f>AG6+1</f>
        <v>6</v>
      </c>
      <c r="AH7">
        <f>IF(OR(AF7="",AE7=""),-1,IF(IFERROR(FIND(AH1,AE7,1),0)&gt;0,1,0))</f>
        <v>0</v>
      </c>
      <c r="AI7">
        <f>IF(OR(AF7="",AE7=""),-1,IF(IFERROR(FIND(AI1,AE7,1),0)&gt;0,1,0))</f>
        <v>0</v>
      </c>
      <c r="AJ7">
        <f>IF(OR(AF7="",AE7=""),-1,IF(IFERROR(FIND(AJ1,AE7,1),0)&gt;0,1,0))</f>
        <v>0</v>
      </c>
      <c r="AK7" s="74">
        <f>AK6-1</f>
        <v>15</v>
      </c>
      <c r="AL7">
        <f>IFERROR(VLOOKUP(AK7,AG2:AJ21,2),"")</f>
        <v>0</v>
      </c>
      <c r="AM7">
        <f>IFERROR(VLOOKUP(AK7,AG2:AJ21,3),"")</f>
        <v>0</v>
      </c>
      <c r="AN7">
        <f>IFERROR(VLOOKUP(AK7,AG2:AJ21,4),"")</f>
        <v>0</v>
      </c>
      <c r="AP7" s="86">
        <f>IF(AL7=-1,AP6,IF(AL7=0,0,IF(AL7=1,AP6+1)))</f>
        <v>0</v>
      </c>
      <c r="AQ7" s="86">
        <f>IF(AM7=-1,AQ6,IF(AM7=0,0,IF(AM7=1,AQ6+1)))</f>
        <v>0</v>
      </c>
      <c r="AR7" s="87">
        <f>IF(AN7=-1,AR6,IF(AN7=0,0,IF(AN7=1,AR6+1)))</f>
        <v>0</v>
      </c>
      <c r="AS7" s="61">
        <f>SUM(AS4:AS6)</f>
        <v>20</v>
      </c>
      <c r="AT7" s="61"/>
      <c r="AU7" s="61"/>
      <c r="AV7" s="61"/>
      <c r="AW7" s="61"/>
      <c r="AX7" s="11"/>
      <c r="BA7" s="8">
        <f>BA6+1</f>
        <v>6</v>
      </c>
      <c r="BB7">
        <f>IF(OR(AF7="",AE7=""),-1,IF(IFERROR(FIND(BB1,AF7,1),0)&gt;0,1,0))</f>
        <v>0</v>
      </c>
      <c r="BC7">
        <f>IF(OR(AF7="",AE7=""),-1,IF(IFERROR(FIND(BC1,AF7,1),0)&gt;0,1,0))</f>
        <v>0</v>
      </c>
      <c r="BD7">
        <f>IF(OR(AF7="",AE7=""),-1,IF(IFERROR(FIND(BD1,AF7,1),0)&gt;0,1,0))</f>
        <v>0</v>
      </c>
      <c r="BE7" s="74">
        <f>BE6-1</f>
        <v>15</v>
      </c>
      <c r="BF7">
        <f>IFERROR(VLOOKUP(BE7,BA2:BD21,2),"")</f>
        <v>0</v>
      </c>
      <c r="BG7">
        <f>IFERROR(VLOOKUP(BE7,BA2:BD21,3),"")</f>
        <v>0</v>
      </c>
      <c r="BH7">
        <f>IFERROR(VLOOKUP(BE7,BA2:BD21,4),"")</f>
        <v>0</v>
      </c>
      <c r="BJ7" s="86">
        <f>IF(BF7=-1,BJ6,IF(BF7=0,0,IF(BF7=1,BJ6+1)))</f>
        <v>0</v>
      </c>
      <c r="BK7" s="86">
        <f>IF(BG7=-1,BK6,IF(BG7=0,0,IF(BG7=1,BK6+1)))</f>
        <v>0</v>
      </c>
      <c r="BL7" s="86">
        <f>IF(BH7=-1,BL6,IF(BH7=0,0,IF(BH7=1,BL6+1)))</f>
        <v>0</v>
      </c>
      <c r="BM7" s="61">
        <f>SUM(BM4:BM6)</f>
        <v>20</v>
      </c>
      <c r="BN7" s="61"/>
      <c r="BO7" s="61"/>
      <c r="BP7" s="61"/>
      <c r="BQ7" s="61"/>
      <c r="BR7" s="11"/>
      <c r="BV7">
        <v>17</v>
      </c>
      <c r="BW7">
        <f>AA5</f>
        <v>3</v>
      </c>
      <c r="BX7">
        <f>Z5</f>
        <v>0</v>
      </c>
      <c r="BY7" s="85">
        <f>BW20</f>
        <v>1</v>
      </c>
      <c r="BZ7" s="85">
        <f>BX20</f>
        <v>0</v>
      </c>
      <c r="CA7" s="61" t="str">
        <f>IF((BW7&gt;=3),"M",BW7)</f>
        <v>M</v>
      </c>
      <c r="CB7" s="61">
        <f>IF((BX7&gt;=3),"M",BX7)</f>
        <v>0</v>
      </c>
      <c r="CC7">
        <v>17</v>
      </c>
      <c r="CD7">
        <f>BW7</f>
        <v>3</v>
      </c>
      <c r="CE7">
        <f>BX7</f>
        <v>0</v>
      </c>
      <c r="CF7" s="85">
        <f>CD20</f>
        <v>1</v>
      </c>
      <c r="CG7" s="85">
        <f>CE20</f>
        <v>0</v>
      </c>
      <c r="CQ7">
        <v>17</v>
      </c>
      <c r="CR7">
        <f>AC5</f>
        <v>1</v>
      </c>
      <c r="CS7">
        <f>AD5</f>
        <v>5</v>
      </c>
      <c r="CT7" s="85">
        <f>CR20</f>
        <v>3</v>
      </c>
      <c r="CU7" s="85">
        <f>CS20</f>
        <v>3</v>
      </c>
      <c r="CV7" s="61"/>
      <c r="CW7" s="61"/>
      <c r="CX7">
        <v>17</v>
      </c>
      <c r="CY7">
        <f>CR7</f>
        <v>1</v>
      </c>
      <c r="CZ7">
        <f>CS7</f>
        <v>5</v>
      </c>
      <c r="DA7" s="85">
        <f>CY20</f>
        <v>3</v>
      </c>
      <c r="DB7" s="85">
        <f>CZ20</f>
        <v>3</v>
      </c>
      <c r="DD7" s="96">
        <v>5</v>
      </c>
      <c r="DE7" s="61" t="str">
        <f>IF(DJ7="","",RANK(DJ7,DJ3:DJ11)+COUNTIF(DJ7:DJ11,DJ7)-1)</f>
        <v/>
      </c>
      <c r="DF7" s="61" t="str">
        <f>IF(DJ7="","",RANK(DJ7,DJ3:DJ11))</f>
        <v/>
      </c>
      <c r="DG7" t="str">
        <f>IF(DH7="","",RANK(DH7,DH3:DH11))</f>
        <v/>
      </c>
      <c r="DH7" s="84" t="str">
        <f>IF(CW29="","",CW29)</f>
        <v/>
      </c>
      <c r="DI7" s="61" t="str">
        <f>IF(DH7="","",COUNTIF(CR28:DG28,DH7))</f>
        <v/>
      </c>
      <c r="DJ7" s="97" t="str">
        <f>IF(DI7="","",(DI7/16)*100)</f>
        <v/>
      </c>
      <c r="DK7" t="str">
        <f>IF(DP7="","",RANK(DP7,DP3:DP11))</f>
        <v/>
      </c>
      <c r="DL7" s="96">
        <v>5</v>
      </c>
      <c r="DM7" s="60" t="str">
        <f>IF(DR7="","",RANK(DR7,DR3:DR11)+COUNTIF(DR7:DR11,DR7)-1)</f>
        <v/>
      </c>
      <c r="DN7" s="60" t="str">
        <f>IF(DR7="","",RANK(DR7,DR3:DR11))</f>
        <v/>
      </c>
      <c r="DO7" s="59" t="str">
        <f>IF(DP7="","",RANK(DP7,DP3:DP11))</f>
        <v/>
      </c>
      <c r="DP7" s="98" t="str">
        <f>IF(CV32="","",CV32)</f>
        <v/>
      </c>
      <c r="DQ7" s="60" t="str">
        <f>IF(DP7="","",COUNTIF(CR31:CY31,DP7))</f>
        <v/>
      </c>
      <c r="DR7" s="97" t="str">
        <f>IF(DQ7="","",(DQ7/8)*100)</f>
        <v/>
      </c>
    </row>
    <row r="8" spans="1:122">
      <c r="A8" s="69"/>
      <c r="B8" s="70"/>
      <c r="C8" s="70"/>
      <c r="D8" s="70"/>
      <c r="E8" s="119"/>
      <c r="F8" s="119"/>
      <c r="G8" s="119"/>
      <c r="H8" s="119"/>
      <c r="I8" s="119"/>
      <c r="J8" s="119"/>
      <c r="K8" s="119"/>
      <c r="L8" s="61"/>
      <c r="M8" s="61"/>
      <c r="U8" s="84">
        <f>U7+1</f>
        <v>7</v>
      </c>
      <c r="V8" t="s">
        <v>57</v>
      </c>
      <c r="W8" t="s">
        <v>58</v>
      </c>
      <c r="X8" t="s">
        <v>53</v>
      </c>
      <c r="Y8" s="9">
        <v>2</v>
      </c>
      <c r="Z8" s="9">
        <v>1</v>
      </c>
      <c r="AA8" s="9">
        <v>3</v>
      </c>
      <c r="AB8" s="9">
        <v>1</v>
      </c>
      <c r="AC8" s="85">
        <f>Y8+Z8</f>
        <v>3</v>
      </c>
      <c r="AD8" s="85">
        <f>AA8+AB8</f>
        <v>4</v>
      </c>
      <c r="AE8" s="61">
        <f>IF(AND(Y8="M",Z8="M"),0,(IF(AND(Y8="M",Z8&lt;&gt;"M"),1,(IF(AND(Y8&lt;&gt;"M",Z8="M"),2,(IF(Y8=Z8,0,(IF(Y8&gt;Z8,1,2)))))))))</f>
        <v>1</v>
      </c>
      <c r="AF8" s="61">
        <f>IF(AND(AA8="M",AB8="M"),0,(IF(AND(AA8="M",AB8&lt;&gt;"M"),1,(IF(AND(AA8&lt;&gt;"M",AB8="M"),2,(IF(AA8=AB8,0,(IF(AA8&gt;AB8,1,2)))))))))</f>
        <v>1</v>
      </c>
      <c r="AG8" s="8">
        <f>AG7+1</f>
        <v>7</v>
      </c>
      <c r="AH8">
        <f>IF(OR(AF8="",AE8=""),-1,IF(IFERROR(FIND(AH1,AE8,1),0)&gt;0,1,0))</f>
        <v>0</v>
      </c>
      <c r="AI8">
        <f>IF(OR(AF8="",AE8=""),-1,IF(IFERROR(FIND(AI1,AE8,1),0)&gt;0,1,0))</f>
        <v>0</v>
      </c>
      <c r="AJ8">
        <f>IF(OR(AF8="",AE8=""),-1,IF(IFERROR(FIND(AJ1,AE8,1),0)&gt;0,1,0))</f>
        <v>0</v>
      </c>
      <c r="AK8" s="74">
        <f>AK7-1</f>
        <v>14</v>
      </c>
      <c r="AL8">
        <f>IFERROR(VLOOKUP(AK8,AG2:AJ21,2),"")</f>
        <v>0</v>
      </c>
      <c r="AM8">
        <f>IFERROR(VLOOKUP(AK8,AG2:AJ21,3),"")</f>
        <v>0</v>
      </c>
      <c r="AN8">
        <f>IFERROR(VLOOKUP(AK8,AG2:AJ21,4),"")</f>
        <v>0</v>
      </c>
      <c r="AP8" s="86">
        <f>IF(AL8=-1,AP7,IF(AL8=0,0,IF(AL8=1,AP7+1)))</f>
        <v>0</v>
      </c>
      <c r="AQ8" s="86">
        <f>IF(AM8=-1,AQ7,IF(AM8=0,0,IF(AM8=1,AQ7+1)))</f>
        <v>0</v>
      </c>
      <c r="AR8" s="87">
        <f>IF(AN8=-1,AR7,IF(AN8=0,0,IF(AN8=1,AR7+1)))</f>
        <v>0</v>
      </c>
      <c r="AS8" s="95">
        <v>1</v>
      </c>
      <c r="AT8" s="95" t="s">
        <v>42</v>
      </c>
      <c r="AU8" s="95">
        <v>2</v>
      </c>
      <c r="AV8" t="s">
        <v>59</v>
      </c>
      <c r="AW8" s="93" t="s">
        <v>46</v>
      </c>
      <c r="AX8" s="120" t="s">
        <v>47</v>
      </c>
      <c r="BA8" s="8">
        <f>BA7+1</f>
        <v>7</v>
      </c>
      <c r="BB8">
        <f>IF(OR(AF8="",AE8=""),-1,IF(IFERROR(FIND(BB1,AF8,1),0)&gt;0,1,0))</f>
        <v>0</v>
      </c>
      <c r="BC8">
        <f>IF(OR(AF8="",AE8=""),-1,IF(IFERROR(FIND(BC1,AF8,1),0)&gt;0,1,0))</f>
        <v>0</v>
      </c>
      <c r="BD8">
        <f>IF(OR(AF8="",AE8=""),-1,IF(IFERROR(FIND(BD1,AF8,1),0)&gt;0,1,0))</f>
        <v>0</v>
      </c>
      <c r="BE8" s="74">
        <f>BE7-1</f>
        <v>14</v>
      </c>
      <c r="BF8">
        <f>IFERROR(VLOOKUP(BE8,BA2:BD21,2),"")</f>
        <v>0</v>
      </c>
      <c r="BG8">
        <f>IFERROR(VLOOKUP(BE8,BA2:BD21,3),"")</f>
        <v>0</v>
      </c>
      <c r="BH8">
        <f>IFERROR(VLOOKUP(BE8,BA2:BD21,4),"")</f>
        <v>0</v>
      </c>
      <c r="BJ8" s="86">
        <f>IF(BF8=-1,BJ7,IF(BF8=0,0,IF(BF8=1,BJ7+1)))</f>
        <v>0</v>
      </c>
      <c r="BK8" s="86">
        <f>IF(BG8=-1,BK7,IF(BG8=0,0,IF(BG8=1,BK7+1)))</f>
        <v>0</v>
      </c>
      <c r="BL8" s="86">
        <f>IF(BH8=-1,BL7,IF(BH8=0,0,IF(BH8=1,BL7+1)))</f>
        <v>0</v>
      </c>
      <c r="BM8" s="95">
        <v>1</v>
      </c>
      <c r="BN8" s="95" t="s">
        <v>42</v>
      </c>
      <c r="BO8" s="95">
        <v>2</v>
      </c>
      <c r="BP8" t="s">
        <v>59</v>
      </c>
      <c r="BQ8" s="93" t="s">
        <v>46</v>
      </c>
      <c r="BR8" s="120" t="s">
        <v>47</v>
      </c>
      <c r="BV8">
        <v>16</v>
      </c>
      <c r="BW8">
        <f>AA6</f>
        <v>4</v>
      </c>
      <c r="BX8">
        <f>Z6</f>
        <v>1</v>
      </c>
      <c r="BY8" s="85">
        <f>BW19</f>
        <v>4</v>
      </c>
      <c r="BZ8" s="85">
        <f>BX19</f>
        <v>0</v>
      </c>
      <c r="CA8" s="61" t="str">
        <f>IF((BW8&gt;=3),"M",BW8)</f>
        <v>M</v>
      </c>
      <c r="CB8" s="61">
        <f>IF((BX8&gt;=3),"M",BX8)</f>
        <v>1</v>
      </c>
      <c r="CC8">
        <v>16</v>
      </c>
      <c r="CD8">
        <f>BW8</f>
        <v>4</v>
      </c>
      <c r="CE8">
        <f>BX8</f>
        <v>1</v>
      </c>
      <c r="CF8" s="85">
        <f>CD19</f>
        <v>4</v>
      </c>
      <c r="CG8" s="85">
        <f>CE19</f>
        <v>0</v>
      </c>
      <c r="CQ8">
        <v>16</v>
      </c>
      <c r="CR8">
        <f>AC6</f>
        <v>2</v>
      </c>
      <c r="CS8">
        <f>AD6</f>
        <v>4</v>
      </c>
      <c r="CT8" s="85">
        <f>CR19</f>
        <v>5</v>
      </c>
      <c r="CU8" s="85">
        <f>CS19</f>
        <v>5</v>
      </c>
      <c r="CV8" s="61"/>
      <c r="CW8" s="61"/>
      <c r="CX8">
        <v>16</v>
      </c>
      <c r="CY8">
        <f>CR8</f>
        <v>2</v>
      </c>
      <c r="CZ8">
        <f>CS8</f>
        <v>4</v>
      </c>
      <c r="DA8" s="85">
        <f>CY19</f>
        <v>5</v>
      </c>
      <c r="DB8" s="85">
        <f>CZ19</f>
        <v>5</v>
      </c>
      <c r="DD8" s="96">
        <v>6</v>
      </c>
      <c r="DE8" s="61" t="str">
        <f>IF(DJ8="","",RANK(DJ8,DJ3:DJ11)+COUNTIF(DJ8:DJ11,DJ8)-1)</f>
        <v/>
      </c>
      <c r="DF8" s="61" t="str">
        <f>IF(DJ8="","",RANK(DJ8,DJ3:DJ11))</f>
        <v/>
      </c>
      <c r="DG8" t="str">
        <f>IF(DH8="","",RANK(DH8,DH3:DH11))</f>
        <v/>
      </c>
      <c r="DH8" s="84" t="str">
        <f>IF(CX29="","",CX29)</f>
        <v/>
      </c>
      <c r="DI8" s="61" t="str">
        <f>IF(DH8="","",COUNTIF(CR28:DG28,DH8))</f>
        <v/>
      </c>
      <c r="DJ8" s="97" t="str">
        <f>IF(DI8="","",(DI8/16)*100)</f>
        <v/>
      </c>
      <c r="DK8" t="str">
        <f>IF(DP8="","",RANK(DP8,DP3:DP11))</f>
        <v/>
      </c>
      <c r="DL8" s="96">
        <v>6</v>
      </c>
      <c r="DM8" s="60" t="str">
        <f>IF(DR8="","",RANK(DR8,DR3:DR11)+COUNTIF(DR8:DR11,DR8)-1)</f>
        <v/>
      </c>
      <c r="DN8" s="60" t="str">
        <f>IF(DR8="","",RANK(DR8,DR3:DR11))</f>
        <v/>
      </c>
      <c r="DO8" s="59" t="str">
        <f>IF(DP8="","",RANK(DP8,DP3:DP11))</f>
        <v/>
      </c>
      <c r="DP8" s="98" t="str">
        <f>IF(CW32="","",CW32)</f>
        <v/>
      </c>
      <c r="DQ8" s="60" t="str">
        <f>IF(DP8="","",COUNTIF(CR31:CY31,DP8))</f>
        <v/>
      </c>
      <c r="DR8" s="97" t="str">
        <f>IF(DQ8="","",(DQ8/8)*100)</f>
        <v/>
      </c>
    </row>
    <row r="9" spans="1:122">
      <c r="U9" s="84">
        <f>U8+1</f>
        <v>8</v>
      </c>
      <c r="V9" t="s">
        <v>60</v>
      </c>
      <c r="W9" t="s">
        <v>61</v>
      </c>
      <c r="X9" t="s">
        <v>62</v>
      </c>
      <c r="Y9" s="9">
        <v>0</v>
      </c>
      <c r="Z9" s="9">
        <v>3</v>
      </c>
      <c r="AA9" s="9">
        <v>3</v>
      </c>
      <c r="AB9" s="9">
        <v>0</v>
      </c>
      <c r="AC9" s="85">
        <f>Y9+Z9</f>
        <v>3</v>
      </c>
      <c r="AD9" s="85">
        <f>AA9+AB9</f>
        <v>3</v>
      </c>
      <c r="AE9" s="61">
        <f>IF(AND(Y9="M",Z9="M"),0,(IF(AND(Y9="M",Z9&lt;&gt;"M"),1,(IF(AND(Y9&lt;&gt;"M",Z9="M"),2,(IF(Y9=Z9,0,(IF(Y9&gt;Z9,1,2)))))))))</f>
        <v>2</v>
      </c>
      <c r="AF9" s="61">
        <f>IF(AND(AA9="M",AB9="M"),0,(IF(AND(AA9="M",AB9&lt;&gt;"M"),1,(IF(AND(AA9&lt;&gt;"M",AB9="M"),2,(IF(AA9=AB9,0,(IF(AA9&gt;AB9,1,2)))))))))</f>
        <v>1</v>
      </c>
      <c r="AG9" s="8">
        <f>AG8+1</f>
        <v>8</v>
      </c>
      <c r="AH9">
        <f>IF(OR(AF9="",AE9=""),-1,IF(IFERROR(FIND(AH1,AE9,1),0)&gt;0,1,0))</f>
        <v>0</v>
      </c>
      <c r="AI9">
        <f>IF(OR(AF9="",AE9=""),-1,IF(IFERROR(FIND(AI1,AE9,1),0)&gt;0,1,0))</f>
        <v>0</v>
      </c>
      <c r="AJ9">
        <f>IF(OR(AF9="",AE9=""),-1,IF(IFERROR(FIND(AJ1,AE9,1),0)&gt;0,1,0))</f>
        <v>0</v>
      </c>
      <c r="AK9" s="74">
        <f>AK8-1</f>
        <v>13</v>
      </c>
      <c r="AL9">
        <f>IFERROR(VLOOKUP(AK9,AG2:AJ21,2),"")</f>
        <v>0</v>
      </c>
      <c r="AM9">
        <f>IFERROR(VLOOKUP(AK9,AG2:AJ21,3),"")</f>
        <v>0</v>
      </c>
      <c r="AN9">
        <f>IFERROR(VLOOKUP(AK9,AG2:AJ21,4),"")</f>
        <v>0</v>
      </c>
      <c r="AP9" s="86">
        <f>IF(AL9=-1,AP8,IF(AL9=0,0,IF(AL9=1,AP8+1)))</f>
        <v>0</v>
      </c>
      <c r="AQ9" s="86">
        <f>IF(AM9=-1,AQ8,IF(AM9=0,0,IF(AM9=1,AQ8+1)))</f>
        <v>0</v>
      </c>
      <c r="AR9" s="87">
        <f>IF(AN9=-1,AR8,IF(AN9=0,0,IF(AN9=1,AR8+1)))</f>
        <v>0</v>
      </c>
      <c r="AS9" s="99">
        <f>(AS4/AS7)*100</f>
        <v>45</v>
      </c>
      <c r="AT9" s="99">
        <f>(AS5/AS7)*100</f>
        <v>20</v>
      </c>
      <c r="AU9" s="99">
        <f>(AS6/AS7)*100</f>
        <v>35</v>
      </c>
      <c r="AV9" s="115">
        <f>MAX(AS9:AU9)</f>
        <v>45</v>
      </c>
      <c r="AW9" s="121" t="str">
        <f>IF(AND(AS9&gt;AT9,AS9&gt;AU9),"1",IF(AND(AT9&gt;AS9,AT9&gt;AU9),"X",IF(AND(AU9&gt;AS9,AU9&gt;AT9),"2",IF(AND(AS9=AT9,AS9=AU9),"1X2",IF(AND(AS9=AT9,AS9&gt;AU9),"1X",IF(AND(AT9=AU9,AT9&gt;AS9),"X2","1 2"))))))</f>
        <v>1</v>
      </c>
      <c r="AX9" s="122" t="str">
        <f>IF(AND((AS9+AT9)&gt;(AS9+AU9),(AS9+AT9)&gt;(AT9+AU9)),"1X",IF(AND((AS9+AU9)&gt;(AS9+AT9),(AS9+AU9)&gt;(AT9+AU9)),"12",IF(AND((AT9+AU9)&gt;(AS9+AT9),(AT9+AU9)&gt;(AS9+AU9)),"X2",IF(AND((AS9+AT9)=(AS9+AU9),(AS9+AT9)=(AT9+AU9)),"1X2","1X2"))))</f>
        <v>12</v>
      </c>
      <c r="BA9" s="8">
        <f>BA8+1</f>
        <v>8</v>
      </c>
      <c r="BB9">
        <f>IF(OR(AF9="",AE9=""),-1,IF(IFERROR(FIND(BB1,AF9,1),0)&gt;0,1,0))</f>
        <v>0</v>
      </c>
      <c r="BC9">
        <f>IF(OR(AF9="",AE9=""),-1,IF(IFERROR(FIND(BC1,AF9,1),0)&gt;0,1,0))</f>
        <v>0</v>
      </c>
      <c r="BD9">
        <f>IF(OR(AF9="",AE9=""),-1,IF(IFERROR(FIND(BD1,AF9,1),0)&gt;0,1,0))</f>
        <v>0</v>
      </c>
      <c r="BE9" s="74">
        <f>BE8-1</f>
        <v>13</v>
      </c>
      <c r="BF9">
        <f>IFERROR(VLOOKUP(BE9,BA2:BD21,2),"")</f>
        <v>0</v>
      </c>
      <c r="BG9">
        <f>IFERROR(VLOOKUP(BE9,BA2:BD21,3),"")</f>
        <v>0</v>
      </c>
      <c r="BH9">
        <f>IFERROR(VLOOKUP(BE9,BA2:BD21,4),"")</f>
        <v>0</v>
      </c>
      <c r="BJ9" s="86">
        <f>IF(BF9=-1,BJ8,IF(BF9=0,0,IF(BF9=1,BJ8+1)))</f>
        <v>0</v>
      </c>
      <c r="BK9" s="86">
        <f>IF(BG9=-1,BK8,IF(BG9=0,0,IF(BG9=1,BK8+1)))</f>
        <v>0</v>
      </c>
      <c r="BL9" s="86">
        <f>IF(BH9=-1,BL8,IF(BH9=0,0,IF(BH9=1,BL8+1)))</f>
        <v>0</v>
      </c>
      <c r="BM9" s="99">
        <f>(BM4/BM7)*100</f>
        <v>60</v>
      </c>
      <c r="BN9" s="99">
        <f>(BM5/BM7)*100</f>
        <v>15</v>
      </c>
      <c r="BO9" s="99">
        <f>(BM6/BM7)*100</f>
        <v>25</v>
      </c>
      <c r="BP9" s="115">
        <f>MAX(BM9:BO9)</f>
        <v>60</v>
      </c>
      <c r="BQ9" s="121" t="str">
        <f>IF(AND(BM9&gt;BN9,BM9&gt;BO9),"1",IF(AND(BN9&gt;BM9,BN9&gt;BO9),"X",IF(AND(BO9&gt;BM9,BO9&gt;BN9),"2",IF(AND(BM9=BN9,BM9=BO9),"1X2",IF(AND(BM9=BN9,BM9&gt;BO9),"1X",IF(AND(BN9=BO9,BN9&gt;BM9),"X2","1 2"))))))</f>
        <v>1</v>
      </c>
      <c r="BR9" s="122" t="str">
        <f>IF(AND((BM9+BN9)&gt;(BM9+BO9),(BM9+BN9)&gt;(BN9+BO9)),"1X",IF(AND((BM9+BO9)&gt;(BM9+BN9),(BM9+BO9)&gt;(BN9+BO9)),"12",IF(AND((BN9+BO9)&gt;(BM9+BN9),(BN9+BO9)&gt;(BM9+BO9)),"X2",IF(AND((BM9+BN9)=(BM9+BO9),(BM9+BN9)=(BN9+BO9)),"1X2","1X2"))))</f>
        <v>12</v>
      </c>
      <c r="BV9">
        <v>15</v>
      </c>
      <c r="BW9">
        <f>AA7</f>
        <v>0</v>
      </c>
      <c r="BX9">
        <f>Z7</f>
        <v>2</v>
      </c>
      <c r="BY9" s="85">
        <f>BW18</f>
        <v>0</v>
      </c>
      <c r="BZ9" s="85">
        <f>BX18</f>
        <v>3</v>
      </c>
      <c r="CA9" s="61">
        <f>IF((BW9&gt;=3),"M",BW9)</f>
        <v>0</v>
      </c>
      <c r="CB9" s="61">
        <f>IF((BX9&gt;=3),"M",BX9)</f>
        <v>2</v>
      </c>
      <c r="CC9">
        <v>15</v>
      </c>
      <c r="CD9">
        <f>BW9</f>
        <v>0</v>
      </c>
      <c r="CE9">
        <f>BX9</f>
        <v>2</v>
      </c>
      <c r="CF9" s="85">
        <f>CD18</f>
        <v>0</v>
      </c>
      <c r="CG9" s="85">
        <f>CE18</f>
        <v>3</v>
      </c>
      <c r="CQ9">
        <v>15</v>
      </c>
      <c r="CR9">
        <f>AC7</f>
        <v>3</v>
      </c>
      <c r="CS9">
        <f>AD7</f>
        <v>1</v>
      </c>
      <c r="CT9" s="85">
        <f>CR18</f>
        <v>5</v>
      </c>
      <c r="CU9" s="85">
        <f>CS18</f>
        <v>2</v>
      </c>
      <c r="CV9" s="61"/>
      <c r="CW9" s="61"/>
      <c r="CX9">
        <v>15</v>
      </c>
      <c r="CY9">
        <f>CR9</f>
        <v>3</v>
      </c>
      <c r="CZ9">
        <f>CS9</f>
        <v>1</v>
      </c>
      <c r="DA9" s="85">
        <f>CY18</f>
        <v>5</v>
      </c>
      <c r="DB9" s="85">
        <f>CZ18</f>
        <v>2</v>
      </c>
      <c r="DD9" s="96">
        <v>7</v>
      </c>
      <c r="DE9" s="61" t="str">
        <f>IF(DJ9="","",RANK(DJ9,DJ3:DJ11)+COUNTIF(DJ9:DJ11,DJ9)-1)</f>
        <v/>
      </c>
      <c r="DF9" s="61" t="str">
        <f>IF(DJ9="","",RANK(DJ9,DJ3:DJ11))</f>
        <v/>
      </c>
      <c r="DG9" t="str">
        <f>IF(DH9="","",RANK(DH9,DH3:DH11))</f>
        <v/>
      </c>
      <c r="DH9" s="84" t="str">
        <f>IF(CY29="","",CY29)</f>
        <v/>
      </c>
      <c r="DI9" s="61" t="str">
        <f>IF(DH9="","",COUNTIF(CR28:DG28,DH9))</f>
        <v/>
      </c>
      <c r="DJ9" s="97" t="str">
        <f>IF(DI9="","",(DI9/16)*100)</f>
        <v/>
      </c>
      <c r="DK9" t="str">
        <f>IF(DP9="","",RANK(DP9,DP3:DP11))</f>
        <v/>
      </c>
      <c r="DL9" s="96">
        <v>7</v>
      </c>
      <c r="DM9" s="60" t="str">
        <f>IF(DR9="","",RANK(DR9,DR3:DR11)+COUNTIF(DR9:DR11,DR9)-1)</f>
        <v/>
      </c>
      <c r="DN9" s="60" t="str">
        <f>IF(DR9="","",RANK(DR9,DR3:DR11))</f>
        <v/>
      </c>
      <c r="DO9" s="59" t="str">
        <f>IF(DP9="","",RANK(DP9,DP3:DP11))</f>
        <v/>
      </c>
      <c r="DP9" s="98" t="str">
        <f>IF(CX32="","",CX32)</f>
        <v/>
      </c>
      <c r="DQ9" s="60" t="str">
        <f>IF(DP9="","",COUNTIF(CR31:CY31,DP9))</f>
        <v/>
      </c>
      <c r="DR9" s="97" t="str">
        <f>IF(DQ9="","",(DQ9/8)*100)</f>
        <v/>
      </c>
    </row>
    <row r="10" spans="1:122">
      <c r="U10" s="84">
        <f>U9+1</f>
        <v>9</v>
      </c>
      <c r="V10" t="s">
        <v>63</v>
      </c>
      <c r="W10" t="s">
        <v>53</v>
      </c>
      <c r="X10" t="s">
        <v>26</v>
      </c>
      <c r="Y10" s="9">
        <v>0</v>
      </c>
      <c r="Z10" s="9">
        <v>1</v>
      </c>
      <c r="AA10" s="9">
        <v>2</v>
      </c>
      <c r="AB10" s="9">
        <v>1</v>
      </c>
      <c r="AC10" s="85">
        <f>Y10+Z10</f>
        <v>1</v>
      </c>
      <c r="AD10" s="85">
        <f>AA10+AB10</f>
        <v>3</v>
      </c>
      <c r="AE10" s="61">
        <f>IF(AND(Y10="M",Z10="M"),0,(IF(AND(Y10="M",Z10&lt;&gt;"M"),1,(IF(AND(Y10&lt;&gt;"M",Z10="M"),2,(IF(Y10=Z10,0,(IF(Y10&gt;Z10,1,2)))))))))</f>
        <v>2</v>
      </c>
      <c r="AF10" s="61">
        <f>IF(AND(AA10="M",AB10="M"),0,(IF(AND(AA10="M",AB10&lt;&gt;"M"),1,(IF(AND(AA10&lt;&gt;"M",AB10="M"),2,(IF(AA10=AB10,0,(IF(AA10&gt;AB10,1,2)))))))))</f>
        <v>1</v>
      </c>
      <c r="AG10" s="8">
        <f>AG9+1</f>
        <v>9</v>
      </c>
      <c r="AH10">
        <f>IF(OR(AF10="",AE10=""),-1,IF(IFERROR(FIND(AH1,AE10,1),0)&gt;0,1,0))</f>
        <v>0</v>
      </c>
      <c r="AI10">
        <f>IF(OR(AF10="",AE10=""),-1,IF(IFERROR(FIND(AI1,AE10,1),0)&gt;0,1,0))</f>
        <v>0</v>
      </c>
      <c r="AJ10">
        <f>IF(OR(AF10="",AE10=""),-1,IF(IFERROR(FIND(AJ1,AE10,1),0)&gt;0,1,0))</f>
        <v>0</v>
      </c>
      <c r="AK10" s="74">
        <f>AK9-1</f>
        <v>12</v>
      </c>
      <c r="AL10">
        <f>IFERROR(VLOOKUP(AK10,AG2:AJ21,2),"")</f>
        <v>0</v>
      </c>
      <c r="AM10">
        <f>IFERROR(VLOOKUP(AK10,AG2:AJ21,3),"")</f>
        <v>0</v>
      </c>
      <c r="AN10">
        <f>IFERROR(VLOOKUP(AK10,AG2:AJ21,4),"")</f>
        <v>0</v>
      </c>
      <c r="AP10" s="86">
        <f>IF(AL10=-1,AP9,IF(AL10=0,0,IF(AL10=1,AP9+1)))</f>
        <v>0</v>
      </c>
      <c r="AQ10" s="86">
        <f>IF(AM10=-1,AQ9,IF(AM10=0,0,IF(AM10=1,AQ9+1)))</f>
        <v>0</v>
      </c>
      <c r="AR10" s="87">
        <f>IF(AN10=-1,AR9,IF(AN10=0,0,IF(AN10=1,AR9+1)))</f>
        <v>0</v>
      </c>
      <c r="AX10" s="11"/>
      <c r="BA10" s="8">
        <f>BA9+1</f>
        <v>9</v>
      </c>
      <c r="BB10">
        <f>IF(OR(AF10="",AE10=""),-1,IF(IFERROR(FIND(BB1,AF10,1),0)&gt;0,1,0))</f>
        <v>0</v>
      </c>
      <c r="BC10">
        <f>IF(OR(AF10="",AE10=""),-1,IF(IFERROR(FIND(BC1,AF10,1),0)&gt;0,1,0))</f>
        <v>0</v>
      </c>
      <c r="BD10">
        <f>IF(OR(AF10="",AE10=""),-1,IF(IFERROR(FIND(BD1,AF10,1),0)&gt;0,1,0))</f>
        <v>0</v>
      </c>
      <c r="BE10" s="74">
        <f>BE9-1</f>
        <v>12</v>
      </c>
      <c r="BF10">
        <f>IFERROR(VLOOKUP(BE10,BA2:BD21,2),"")</f>
        <v>0</v>
      </c>
      <c r="BG10">
        <f>IFERROR(VLOOKUP(BE10,BA2:BD21,3),"")</f>
        <v>0</v>
      </c>
      <c r="BH10">
        <f>IFERROR(VLOOKUP(BE10,BA2:BD21,4),"")</f>
        <v>0</v>
      </c>
      <c r="BJ10" s="86">
        <f>IF(BF10=-1,BJ9,IF(BF10=0,0,IF(BF10=1,BJ9+1)))</f>
        <v>0</v>
      </c>
      <c r="BK10" s="86">
        <f>IF(BG10=-1,BK9,IF(BG10=0,0,IF(BG10=1,BK9+1)))</f>
        <v>0</v>
      </c>
      <c r="BL10" s="86">
        <f>IF(BH10=-1,BL9,IF(BH10=0,0,IF(BH10=1,BL9+1)))</f>
        <v>0</v>
      </c>
      <c r="BR10" s="11"/>
      <c r="BV10">
        <v>14</v>
      </c>
      <c r="BW10">
        <f>AA8</f>
        <v>3</v>
      </c>
      <c r="BX10">
        <f>Z8</f>
        <v>1</v>
      </c>
      <c r="BY10" s="85">
        <f>BW17</f>
        <v>1</v>
      </c>
      <c r="BZ10" s="85">
        <f>BX17</f>
        <v>1</v>
      </c>
      <c r="CA10" s="61" t="str">
        <f>IF((BW10&gt;=3),"M",BW10)</f>
        <v>M</v>
      </c>
      <c r="CB10" s="61">
        <f>IF((BX10&gt;=3),"M",BX10)</f>
        <v>1</v>
      </c>
      <c r="CC10">
        <v>14</v>
      </c>
      <c r="CD10">
        <f>BW10</f>
        <v>3</v>
      </c>
      <c r="CE10">
        <f>BX10</f>
        <v>1</v>
      </c>
      <c r="CF10" s="85">
        <f>CD17</f>
        <v>1</v>
      </c>
      <c r="CG10" s="85">
        <f>CE17</f>
        <v>1</v>
      </c>
      <c r="CQ10">
        <v>14</v>
      </c>
      <c r="CR10">
        <f>AC8</f>
        <v>3</v>
      </c>
      <c r="CS10">
        <f>AD8</f>
        <v>4</v>
      </c>
      <c r="CT10" s="85">
        <f>CR17</f>
        <v>3</v>
      </c>
      <c r="CU10" s="85">
        <f>CS17</f>
        <v>1</v>
      </c>
      <c r="CV10" s="61"/>
      <c r="CW10" s="61"/>
      <c r="CX10">
        <v>14</v>
      </c>
      <c r="CY10">
        <f>CR10</f>
        <v>3</v>
      </c>
      <c r="CZ10">
        <f>CS10</f>
        <v>4</v>
      </c>
      <c r="DA10" s="85">
        <f>CY17</f>
        <v>3</v>
      </c>
      <c r="DB10" s="85">
        <f>CZ17</f>
        <v>1</v>
      </c>
      <c r="DD10" s="96">
        <v>8</v>
      </c>
      <c r="DE10" s="61" t="str">
        <f>IF(DJ10="","",RANK(DJ10,DJ3:DJ10)+COUNTIF(DJ10,DJ10)-1)</f>
        <v/>
      </c>
      <c r="DF10" s="61" t="str">
        <f>IF(DJ10="","",RANK(DJ10,DJ3:DJ11))</f>
        <v/>
      </c>
      <c r="DG10" t="str">
        <f>IF(DH10="","",RANK(DH10,DH3:DH11))</f>
        <v/>
      </c>
      <c r="DH10" s="84" t="str">
        <f>IF(CZ29="","",CZ29)</f>
        <v/>
      </c>
      <c r="DI10" s="61" t="str">
        <f>IF(DH10="","",COUNTIF(CR28:DG28,DH10))</f>
        <v/>
      </c>
      <c r="DJ10" s="97" t="str">
        <f>IF(DI10="","",(DI10/16)*100)</f>
        <v/>
      </c>
      <c r="DK10" t="str">
        <f>IF(DP10="","",RANK(DP10,DP3:DP11))</f>
        <v/>
      </c>
      <c r="DL10" s="96">
        <v>8</v>
      </c>
      <c r="DM10" s="60" t="str">
        <f>IF(DR10="","",RANK(DR10,DR3:DR10)+COUNTIF(DR10,DR10)-1)</f>
        <v/>
      </c>
      <c r="DN10" s="60" t="str">
        <f>IF(DR10="","",RANK(DR10,DR3:DR11))</f>
        <v/>
      </c>
      <c r="DO10" s="59" t="str">
        <f>IF(DP10="","",RANK(DP10,DP3:DP11))</f>
        <v/>
      </c>
      <c r="DP10" s="98" t="str">
        <f>IF(CY32="","",CY32)</f>
        <v/>
      </c>
      <c r="DQ10" s="60" t="str">
        <f>IF(DP10="","",COUNTIF(CR31:CY31,DP10))</f>
        <v/>
      </c>
      <c r="DR10" s="97" t="str">
        <f>IF(DQ10="","",(DQ10/8)*100)</f>
        <v/>
      </c>
    </row>
    <row r="11" spans="1:122">
      <c r="U11" s="84">
        <f>U10+1</f>
        <v>10</v>
      </c>
      <c r="V11" t="s">
        <v>64</v>
      </c>
      <c r="W11" t="s">
        <v>65</v>
      </c>
      <c r="X11" t="s">
        <v>52</v>
      </c>
      <c r="Y11" s="9">
        <v>1</v>
      </c>
      <c r="Z11" s="9">
        <v>1</v>
      </c>
      <c r="AA11" s="9">
        <v>1</v>
      </c>
      <c r="AB11" s="9">
        <v>3</v>
      </c>
      <c r="AC11" s="85">
        <f>Y11+Z11</f>
        <v>2</v>
      </c>
      <c r="AD11" s="85">
        <f>AA11+AB11</f>
        <v>4</v>
      </c>
      <c r="AE11" s="61">
        <f>IF(AND(Y11="M",Z11="M"),0,(IF(AND(Y11="M",Z11&lt;&gt;"M"),1,(IF(AND(Y11&lt;&gt;"M",Z11="M"),2,(IF(Y11=Z11,0,(IF(Y11&gt;Z11,1,2)))))))))</f>
        <v>0</v>
      </c>
      <c r="AF11" s="61">
        <f>IF(AND(AA11="M",AB11="M"),0,(IF(AND(AA11="M",AB11&lt;&gt;"M"),1,(IF(AND(AA11&lt;&gt;"M",AB11="M"),2,(IF(AA11=AB11,0,(IF(AA11&gt;AB11,1,2)))))))))</f>
        <v>2</v>
      </c>
      <c r="AG11" s="8">
        <f>AG10+1</f>
        <v>10</v>
      </c>
      <c r="AH11">
        <f>IF(OR(AF11="",AE11=""),-1,IF(IFERROR(FIND(AH1,AE11,1),0)&gt;0,1,0))</f>
        <v>0</v>
      </c>
      <c r="AI11">
        <f>IF(OR(AF11="",AE11=""),-1,IF(IFERROR(FIND(AI1,AE11,1),0)&gt;0,1,0))</f>
        <v>0</v>
      </c>
      <c r="AJ11">
        <f>IF(OR(AF11="",AE11=""),-1,IF(IFERROR(FIND(AJ1,AE11,1),0)&gt;0,1,0))</f>
        <v>0</v>
      </c>
      <c r="AK11" s="74">
        <f>AK10-1</f>
        <v>11</v>
      </c>
      <c r="AL11">
        <f>IFERROR(VLOOKUP(AK11,AG2:AJ21,2),"")</f>
        <v>0</v>
      </c>
      <c r="AM11">
        <f>IFERROR(VLOOKUP(AK11,AG2:AJ21,3),"")</f>
        <v>0</v>
      </c>
      <c r="AN11">
        <f>IFERROR(VLOOKUP(AK11,AG2:AJ21,4),"")</f>
        <v>0</v>
      </c>
      <c r="AP11" s="86">
        <f>IF(AL11=-1,AP10,IF(AL11=0,0,IF(AL11=1,AP10+1)))</f>
        <v>0</v>
      </c>
      <c r="AQ11" s="86">
        <f>IF(AM11=-1,AQ10,IF(AM11=0,0,IF(AM11=1,AQ10+1)))</f>
        <v>0</v>
      </c>
      <c r="AR11" s="87">
        <f>IF(AN11=-1,AR10,IF(AN11=0,0,IF(AN11=1,AR10+1)))</f>
        <v>0</v>
      </c>
      <c r="AX11" s="11"/>
      <c r="BA11" s="8">
        <f>BA10+1</f>
        <v>10</v>
      </c>
      <c r="BB11">
        <f>IF(OR(AF11="",AE11=""),-1,IF(IFERROR(FIND(BB1,AF11,1),0)&gt;0,1,0))</f>
        <v>0</v>
      </c>
      <c r="BC11">
        <f>IF(OR(AF11="",AE11=""),-1,IF(IFERROR(FIND(BC1,AF11,1),0)&gt;0,1,0))</f>
        <v>0</v>
      </c>
      <c r="BD11">
        <f>IF(OR(AF11="",AE11=""),-1,IF(IFERROR(FIND(BD1,AF11,1),0)&gt;0,1,0))</f>
        <v>0</v>
      </c>
      <c r="BE11" s="74">
        <f>BE10-1</f>
        <v>11</v>
      </c>
      <c r="BF11">
        <f>IFERROR(VLOOKUP(BE11,BA2:BD21,2),"")</f>
        <v>0</v>
      </c>
      <c r="BG11">
        <f>IFERROR(VLOOKUP(BE11,BA2:BD21,3),"")</f>
        <v>0</v>
      </c>
      <c r="BH11">
        <f>IFERROR(VLOOKUP(BE11,BA2:BD21,4),"")</f>
        <v>0</v>
      </c>
      <c r="BJ11" s="86">
        <f>IF(BF11=-1,BJ10,IF(BF11=0,0,IF(BF11=1,BJ10+1)))</f>
        <v>0</v>
      </c>
      <c r="BK11" s="86">
        <f>IF(BG11=-1,BK10,IF(BG11=0,0,IF(BG11=1,BK10+1)))</f>
        <v>0</v>
      </c>
      <c r="BL11" s="86">
        <f>IF(BH11=-1,BL10,IF(BH11=0,0,IF(BH11=1,BL10+1)))</f>
        <v>0</v>
      </c>
      <c r="BR11" s="11"/>
      <c r="BV11">
        <v>13</v>
      </c>
      <c r="BW11">
        <f>AA9</f>
        <v>3</v>
      </c>
      <c r="BX11">
        <f>Z9</f>
        <v>3</v>
      </c>
      <c r="BY11" s="85">
        <f>BW16</f>
        <v>0</v>
      </c>
      <c r="BZ11" s="85">
        <f>BX16</f>
        <v>2</v>
      </c>
      <c r="CA11" s="61" t="str">
        <f>IF((BW11&gt;=3),"M",BW11)</f>
        <v>M</v>
      </c>
      <c r="CB11" s="61" t="str">
        <f>IF((BX11&gt;=3),"M",BX11)</f>
        <v>M</v>
      </c>
      <c r="CC11">
        <v>13</v>
      </c>
      <c r="CD11">
        <f>BW11</f>
        <v>3</v>
      </c>
      <c r="CE11">
        <f>BX11</f>
        <v>3</v>
      </c>
      <c r="CF11" s="85">
        <f>CD16</f>
        <v>0</v>
      </c>
      <c r="CG11" s="85">
        <f>CE16</f>
        <v>2</v>
      </c>
      <c r="CQ11">
        <v>13</v>
      </c>
      <c r="CR11">
        <f>AC9</f>
        <v>3</v>
      </c>
      <c r="CS11">
        <f>AD9</f>
        <v>3</v>
      </c>
      <c r="CT11" s="85">
        <f>CR16</f>
        <v>3</v>
      </c>
      <c r="CU11" s="85">
        <f>CS16</f>
        <v>0</v>
      </c>
      <c r="CV11" s="61"/>
      <c r="CW11" s="61"/>
      <c r="CX11">
        <v>13</v>
      </c>
      <c r="CY11">
        <f>CR11</f>
        <v>3</v>
      </c>
      <c r="CZ11">
        <f>CS11</f>
        <v>3</v>
      </c>
      <c r="DA11" s="85">
        <f>CY16</f>
        <v>3</v>
      </c>
      <c r="DB11" s="85">
        <f>CZ16</f>
        <v>0</v>
      </c>
      <c r="DD11" s="96">
        <v>9</v>
      </c>
      <c r="DE11" s="61" t="str">
        <f>IF(DJ11="","",RANK(DJ11,DJ3:DJ11)+COUNTIF(DJ11,DJ11)-1)</f>
        <v/>
      </c>
      <c r="DF11" s="61" t="str">
        <f>IF(DJ11="","",RANK(DJ11,DJ3:DJ11))</f>
        <v/>
      </c>
      <c r="DG11" t="str">
        <f>IF(DH11="","",RANK(DH11,DH3:DH11))</f>
        <v/>
      </c>
      <c r="DH11" s="84" t="str">
        <f>IF(DA29="","",DA29)</f>
        <v/>
      </c>
      <c r="DI11" s="61" t="str">
        <f>IF(DH11="","",COUNTIF(CR28:DG28,DH11))</f>
        <v/>
      </c>
      <c r="DJ11" s="97"/>
      <c r="DK11" t="str">
        <f>IF(DP11="","",RANK(DP11,DP3:DP11))</f>
        <v/>
      </c>
      <c r="DL11" s="96">
        <v>9</v>
      </c>
      <c r="DM11" s="60" t="str">
        <f>IF(DR11="","",RANK(DR11,DR3:DR11)+COUNTIF(DR11,DR11)-1)</f>
        <v/>
      </c>
      <c r="DN11" s="60" t="str">
        <f>IF(DR11="","",RANK(DR11,DR3:DR11))</f>
        <v/>
      </c>
      <c r="DO11" s="59" t="str">
        <f>IF(DP11="","",RANK(DP11,DP3:DP11))</f>
        <v/>
      </c>
      <c r="DP11" s="98" t="str">
        <f>IF(DE29="","",DE29)</f>
        <v/>
      </c>
      <c r="DQ11" s="60" t="str">
        <f>IF(DP11="","",COUNTIF(CR31:CY31,DP11))</f>
        <v/>
      </c>
      <c r="DR11" s="97" t="str">
        <f>IF(DQ11="","",(DQ11/8)*100)</f>
        <v/>
      </c>
    </row>
    <row r="12" spans="1:122" customHeight="1" ht="15.75">
      <c r="M12" s="61"/>
      <c r="U12" s="84">
        <f>U11+1</f>
        <v>11</v>
      </c>
      <c r="V12" t="s">
        <v>66</v>
      </c>
      <c r="W12" t="s">
        <v>67</v>
      </c>
      <c r="X12" t="s">
        <v>35</v>
      </c>
      <c r="Y12" s="9">
        <v>0</v>
      </c>
      <c r="Z12" s="9">
        <v>0</v>
      </c>
      <c r="AA12" s="9">
        <v>7</v>
      </c>
      <c r="AB12" s="9">
        <v>1</v>
      </c>
      <c r="AC12" s="85">
        <f>Y12+Z12</f>
        <v>0</v>
      </c>
      <c r="AD12" s="85">
        <f>AA12+AB12</f>
        <v>8</v>
      </c>
      <c r="AE12" s="61">
        <f>IF(AND(Y12="M",Z12="M"),0,(IF(AND(Y12="M",Z12&lt;&gt;"M"),1,(IF(AND(Y12&lt;&gt;"M",Z12="M"),2,(IF(Y12=Z12,0,(IF(Y12&gt;Z12,1,2)))))))))</f>
        <v>0</v>
      </c>
      <c r="AF12" s="61">
        <f>IF(AND(AA12="M",AB12="M"),0,(IF(AND(AA12="M",AB12&lt;&gt;"M"),1,(IF(AND(AA12&lt;&gt;"M",AB12="M"),2,(IF(AA12=AB12,0,(IF(AA12&gt;AB12,1,2)))))))))</f>
        <v>1</v>
      </c>
      <c r="AG12" s="8">
        <f>AG11+1</f>
        <v>11</v>
      </c>
      <c r="AH12">
        <f>IF(OR(AF12="",AE12=""),-1,IF(IFERROR(FIND(AH1,AE12,1),0)&gt;0,1,0))</f>
        <v>0</v>
      </c>
      <c r="AI12">
        <f>IF(OR(AF12="",AE12=""),-1,IF(IFERROR(FIND(AI1,AE12,1),0)&gt;0,1,0))</f>
        <v>0</v>
      </c>
      <c r="AJ12">
        <f>IF(OR(AF12="",AE12=""),-1,IF(IFERROR(FIND(AJ1,AE12,1),0)&gt;0,1,0))</f>
        <v>0</v>
      </c>
      <c r="AK12" s="74">
        <f>AK11-1</f>
        <v>10</v>
      </c>
      <c r="AL12">
        <f>IFERROR(VLOOKUP(AK12,AG2:AJ21,2),"")</f>
        <v>0</v>
      </c>
      <c r="AM12">
        <f>IFERROR(VLOOKUP(AK12,AG2:AJ21,3),"")</f>
        <v>0</v>
      </c>
      <c r="AN12">
        <f>IFERROR(VLOOKUP(AK12,AG2:AJ21,4),"")</f>
        <v>0</v>
      </c>
      <c r="AP12" s="86">
        <f>IF(AL12=-1,AP11,IF(AL12=0,0,IF(AL12=1,AP11+1)))</f>
        <v>0</v>
      </c>
      <c r="AQ12" s="86">
        <f>IF(AM12=-1,AQ11,IF(AM12=0,0,IF(AM12=1,AQ11+1)))</f>
        <v>0</v>
      </c>
      <c r="AR12" s="87">
        <f>IF(AN12=-1,AR11,IF(AN12=0,0,IF(AN12=1,AR11+1)))</f>
        <v>0</v>
      </c>
      <c r="AX12" s="11"/>
      <c r="BA12" s="8">
        <f>BA11+1</f>
        <v>11</v>
      </c>
      <c r="BB12">
        <f>IF(OR(AF12="",AE12=""),-1,IF(IFERROR(FIND(BB1,AF12,1),0)&gt;0,1,0))</f>
        <v>0</v>
      </c>
      <c r="BC12">
        <f>IF(OR(AF12="",AE12=""),-1,IF(IFERROR(FIND(BC1,AF12,1),0)&gt;0,1,0))</f>
        <v>0</v>
      </c>
      <c r="BD12">
        <f>IF(OR(AF12="",AE12=""),-1,IF(IFERROR(FIND(BD1,AF12,1),0)&gt;0,1,0))</f>
        <v>0</v>
      </c>
      <c r="BE12" s="74">
        <f>BE11-1</f>
        <v>10</v>
      </c>
      <c r="BF12">
        <f>IFERROR(VLOOKUP(BE12,BA2:BD21,2),"")</f>
        <v>0</v>
      </c>
      <c r="BG12">
        <f>IFERROR(VLOOKUP(BE12,BA2:BD21,3),"")</f>
        <v>0</v>
      </c>
      <c r="BH12">
        <f>IFERROR(VLOOKUP(BE12,BA2:BD21,4),"")</f>
        <v>0</v>
      </c>
      <c r="BJ12" s="86">
        <f>IF(BF12=-1,BJ11,IF(BF12=0,0,IF(BF12=1,BJ11+1)))</f>
        <v>0</v>
      </c>
      <c r="BK12" s="86">
        <f>IF(BG12=-1,BK11,IF(BG12=0,0,IF(BG12=1,BK11+1)))</f>
        <v>0</v>
      </c>
      <c r="BL12" s="86">
        <f>IF(BH12=-1,BL11,IF(BH12=0,0,IF(BH12=1,BL11+1)))</f>
        <v>0</v>
      </c>
      <c r="BR12" s="11"/>
      <c r="BV12">
        <v>12</v>
      </c>
      <c r="BW12">
        <f>AA10</f>
        <v>2</v>
      </c>
      <c r="BX12">
        <f>Z10</f>
        <v>1</v>
      </c>
      <c r="BY12" s="85">
        <f>BW15</f>
        <v>1</v>
      </c>
      <c r="BZ12" s="85">
        <f>BX15</f>
        <v>1</v>
      </c>
      <c r="CA12" s="61">
        <f>IF((BW12&gt;=3),"M",BW12)</f>
        <v>2</v>
      </c>
      <c r="CB12" s="61">
        <f>IF((BX12&gt;=3),"M",BX12)</f>
        <v>1</v>
      </c>
      <c r="CC12">
        <v>12</v>
      </c>
      <c r="CD12">
        <f>BW12</f>
        <v>2</v>
      </c>
      <c r="CE12">
        <f>BX12</f>
        <v>1</v>
      </c>
      <c r="CF12" s="85">
        <f>CD15</f>
        <v>1</v>
      </c>
      <c r="CG12" s="85">
        <f>CE15</f>
        <v>1</v>
      </c>
      <c r="CQ12">
        <v>12</v>
      </c>
      <c r="CR12">
        <f>AC10</f>
        <v>1</v>
      </c>
      <c r="CS12">
        <f>AD10</f>
        <v>3</v>
      </c>
      <c r="CT12" s="85">
        <f>CR15</f>
        <v>3</v>
      </c>
      <c r="CU12" s="85">
        <f>CS15</f>
        <v>1</v>
      </c>
      <c r="CV12" s="61"/>
      <c r="CW12" s="61"/>
      <c r="CX12">
        <v>12</v>
      </c>
      <c r="CY12">
        <f>CR12</f>
        <v>1</v>
      </c>
      <c r="CZ12">
        <f>CS12</f>
        <v>3</v>
      </c>
      <c r="DA12" s="85">
        <f>CY15</f>
        <v>3</v>
      </c>
      <c r="DB12" s="85">
        <f>CZ15</f>
        <v>1</v>
      </c>
      <c r="DE12" s="59"/>
      <c r="DF12" s="59"/>
      <c r="DG12" s="59"/>
      <c r="DH12" s="123"/>
      <c r="DI12" s="124"/>
      <c r="DJ12" s="125"/>
      <c r="DP12" s="126"/>
      <c r="DQ12" s="127"/>
      <c r="DR12" s="128"/>
    </row>
    <row r="13" spans="1:122" customHeight="1" ht="15.75">
      <c r="M13" s="61"/>
      <c r="U13" s="84">
        <f>U12+1</f>
        <v>12</v>
      </c>
      <c r="V13" t="s">
        <v>68</v>
      </c>
      <c r="W13" t="s">
        <v>41</v>
      </c>
      <c r="X13" t="s">
        <v>58</v>
      </c>
      <c r="Y13" s="9">
        <v>2</v>
      </c>
      <c r="Z13" s="9">
        <v>1</v>
      </c>
      <c r="AA13" s="9">
        <v>1</v>
      </c>
      <c r="AB13" s="9">
        <v>0</v>
      </c>
      <c r="AC13" s="85">
        <f>Y13+Z13</f>
        <v>3</v>
      </c>
      <c r="AD13" s="85">
        <f>AA13+AB13</f>
        <v>1</v>
      </c>
      <c r="AE13" s="61">
        <f>IF(AND(Y13="M",Z13="M"),0,(IF(AND(Y13="M",Z13&lt;&gt;"M"),1,(IF(AND(Y13&lt;&gt;"M",Z13="M"),2,(IF(Y13=Z13,0,(IF(Y13&gt;Z13,1,2)))))))))</f>
        <v>1</v>
      </c>
      <c r="AF13" s="61">
        <f>IF(AND(AA13="M",AB13="M"),0,(IF(AND(AA13="M",AB13&lt;&gt;"M"),1,(IF(AND(AA13&lt;&gt;"M",AB13="M"),2,(IF(AA13=AB13,0,(IF(AA13&gt;AB13,1,2)))))))))</f>
        <v>1</v>
      </c>
      <c r="AG13" s="8">
        <f>AG12+1</f>
        <v>12</v>
      </c>
      <c r="AH13">
        <f>IF(OR(AF13="",AE13=""),-1,IF(IFERROR(FIND(AH1,AE13,1),0)&gt;0,1,0))</f>
        <v>0</v>
      </c>
      <c r="AI13">
        <f>IF(OR(AF13="",AE13=""),-1,IF(IFERROR(FIND(AI1,AE13,1),0)&gt;0,1,0))</f>
        <v>0</v>
      </c>
      <c r="AJ13">
        <f>IF(OR(AF13="",AE13=""),-1,IF(IFERROR(FIND(AJ1,AE13,1),0)&gt;0,1,0))</f>
        <v>0</v>
      </c>
      <c r="AK13" s="74">
        <f>AK12-1</f>
        <v>9</v>
      </c>
      <c r="AL13">
        <f>IFERROR(VLOOKUP(AK13,AG2:AJ21,2),"")</f>
        <v>0</v>
      </c>
      <c r="AM13">
        <f>IFERROR(VLOOKUP(AK13,AG2:AJ21,3),"")</f>
        <v>0</v>
      </c>
      <c r="AN13">
        <f>IFERROR(VLOOKUP(AK13,AG2:AJ21,4),"")</f>
        <v>0</v>
      </c>
      <c r="AP13" s="86">
        <f>IF(AL13=-1,AP12,IF(AL13=0,0,IF(AL13=1,AP12+1)))</f>
        <v>0</v>
      </c>
      <c r="AQ13" s="86">
        <f>IF(AM13=-1,AQ12,IF(AM13=0,0,IF(AM13=1,AQ12+1)))</f>
        <v>0</v>
      </c>
      <c r="AR13" s="87">
        <f>IF(AN13=-1,AR12,IF(AN13=0,0,IF(AN13=1,AR12+1)))</f>
        <v>0</v>
      </c>
      <c r="AX13" s="11"/>
      <c r="BA13" s="8">
        <f>BA12+1</f>
        <v>12</v>
      </c>
      <c r="BB13">
        <f>IF(OR(AF13="",AE13=""),-1,IF(IFERROR(FIND(BB1,AF13,1),0)&gt;0,1,0))</f>
        <v>0</v>
      </c>
      <c r="BC13">
        <f>IF(OR(AF13="",AE13=""),-1,IF(IFERROR(FIND(BC1,AF13,1),0)&gt;0,1,0))</f>
        <v>0</v>
      </c>
      <c r="BD13">
        <f>IF(OR(AF13="",AE13=""),-1,IF(IFERROR(FIND(BD1,AF13,1),0)&gt;0,1,0))</f>
        <v>0</v>
      </c>
      <c r="BE13" s="74">
        <f>BE12-1</f>
        <v>9</v>
      </c>
      <c r="BF13">
        <f>IFERROR(VLOOKUP(BE13,BA2:BD21,2),"")</f>
        <v>0</v>
      </c>
      <c r="BG13">
        <f>IFERROR(VLOOKUP(BE13,BA2:BD21,3),"")</f>
        <v>0</v>
      </c>
      <c r="BH13">
        <f>IFERROR(VLOOKUP(BE13,BA2:BD21,4),"")</f>
        <v>0</v>
      </c>
      <c r="BJ13" s="86">
        <f>IF(BF13=-1,BJ12,IF(BF13=0,0,IF(BF13=1,BJ12+1)))</f>
        <v>0</v>
      </c>
      <c r="BK13" s="86">
        <f>IF(BG13=-1,BK12,IF(BG13=0,0,IF(BG13=1,BK12+1)))</f>
        <v>0</v>
      </c>
      <c r="BL13" s="86">
        <f>IF(BH13=-1,BL12,IF(BH13=0,0,IF(BH13=1,BL12+1)))</f>
        <v>0</v>
      </c>
      <c r="BR13" s="11"/>
      <c r="BV13">
        <v>11</v>
      </c>
      <c r="BW13">
        <f>AA11</f>
        <v>1</v>
      </c>
      <c r="BX13">
        <f>Z11</f>
        <v>1</v>
      </c>
      <c r="BY13" s="85">
        <f>BW14</f>
        <v>7</v>
      </c>
      <c r="BZ13" s="85">
        <f>BX14</f>
        <v>0</v>
      </c>
      <c r="CA13" s="61">
        <f>IF((BW13&gt;=3),"M",BW13)</f>
        <v>1</v>
      </c>
      <c r="CB13" s="61">
        <f>IF((BX13&gt;=3),"M",BX13)</f>
        <v>1</v>
      </c>
      <c r="CC13">
        <v>11</v>
      </c>
      <c r="CD13">
        <f>BW13</f>
        <v>1</v>
      </c>
      <c r="CE13">
        <f>BX13</f>
        <v>1</v>
      </c>
      <c r="CF13" s="85">
        <f>CD14</f>
        <v>7</v>
      </c>
      <c r="CG13" s="85">
        <f>CE14</f>
        <v>0</v>
      </c>
      <c r="CQ13">
        <v>11</v>
      </c>
      <c r="CR13">
        <f>AC11</f>
        <v>2</v>
      </c>
      <c r="CS13">
        <f>AD11</f>
        <v>4</v>
      </c>
      <c r="CT13" s="85">
        <f>CR14</f>
        <v>0</v>
      </c>
      <c r="CU13" s="85">
        <f>CS14</f>
        <v>8</v>
      </c>
      <c r="CV13" s="61"/>
      <c r="CW13" s="61"/>
      <c r="CX13">
        <v>11</v>
      </c>
      <c r="CY13">
        <f>CR13</f>
        <v>2</v>
      </c>
      <c r="CZ13">
        <f>CS13</f>
        <v>4</v>
      </c>
      <c r="DA13" s="85">
        <f>CY14</f>
        <v>0</v>
      </c>
      <c r="DB13" s="85">
        <f>CZ14</f>
        <v>8</v>
      </c>
    </row>
    <row r="14" spans="1:122" customHeight="1" ht="15.75">
      <c r="M14" s="129">
        <f>BC35</f>
        <v>1</v>
      </c>
      <c r="N14" s="129" t="str">
        <f>BD35</f>
        <v>X</v>
      </c>
      <c r="O14" s="129">
        <f>BE35</f>
        <v>2</v>
      </c>
      <c r="U14" s="84">
        <f>U13+1</f>
        <v>13</v>
      </c>
      <c r="V14" t="s">
        <v>69</v>
      </c>
      <c r="W14" t="s">
        <v>56</v>
      </c>
      <c r="X14" t="s">
        <v>70</v>
      </c>
      <c r="Y14" s="9">
        <v>1</v>
      </c>
      <c r="Z14" s="9">
        <v>2</v>
      </c>
      <c r="AA14" s="9">
        <v>0</v>
      </c>
      <c r="AB14" s="9">
        <v>0</v>
      </c>
      <c r="AC14" s="85">
        <f>Y14+Z14</f>
        <v>3</v>
      </c>
      <c r="AD14" s="85">
        <f>AA14+AB14</f>
        <v>0</v>
      </c>
      <c r="AE14" s="61">
        <f>IF(AND(Y14="M",Z14="M"),0,(IF(AND(Y14="M",Z14&lt;&gt;"M"),1,(IF(AND(Y14&lt;&gt;"M",Z14="M"),2,(IF(Y14=Z14,0,(IF(Y14&gt;Z14,1,2)))))))))</f>
        <v>2</v>
      </c>
      <c r="AF14" s="61">
        <f>IF(AND(AA14="M",AB14="M"),0,(IF(AND(AA14="M",AB14&lt;&gt;"M"),1,(IF(AND(AA14&lt;&gt;"M",AB14="M"),2,(IF(AA14=AB14,0,(IF(AA14&gt;AB14,1,2)))))))))</f>
        <v>0</v>
      </c>
      <c r="AG14" s="8">
        <f>AG13+1</f>
        <v>13</v>
      </c>
      <c r="AH14">
        <f>IF(OR(AF14="",AE14=""),-1,IF(IFERROR(FIND(AH1,AE14,1),0)&gt;0,1,0))</f>
        <v>0</v>
      </c>
      <c r="AI14">
        <f>IF(OR(AF14="",AE14=""),-1,IF(IFERROR(FIND(AI1,AE14,1),0)&gt;0,1,0))</f>
        <v>0</v>
      </c>
      <c r="AJ14">
        <f>IF(OR(AF14="",AE14=""),-1,IF(IFERROR(FIND(AJ1,AE14,1),0)&gt;0,1,0))</f>
        <v>0</v>
      </c>
      <c r="AK14" s="74">
        <f>AK13-1</f>
        <v>8</v>
      </c>
      <c r="AL14">
        <f>IFERROR(VLOOKUP(AK14,AG2:AJ21,2),"")</f>
        <v>0</v>
      </c>
      <c r="AM14">
        <f>IFERROR(VLOOKUP(AK14,AG2:AJ21,3),"")</f>
        <v>0</v>
      </c>
      <c r="AN14">
        <f>IFERROR(VLOOKUP(AK14,AG2:AJ21,4),"")</f>
        <v>0</v>
      </c>
      <c r="AP14" s="86">
        <f>IF(AL14=-1,AP13,IF(AL14=0,0,IF(AL14=1,AP13+1)))</f>
        <v>0</v>
      </c>
      <c r="AQ14" s="86">
        <f>IF(AM14=-1,AQ13,IF(AM14=0,0,IF(AM14=1,AQ13+1)))</f>
        <v>0</v>
      </c>
      <c r="AR14" s="87">
        <f>IF(AN14=-1,AR13,IF(AN14=0,0,IF(AN14=1,AR13+1)))</f>
        <v>0</v>
      </c>
      <c r="AX14" s="11"/>
      <c r="BA14" s="8">
        <f>BA13+1</f>
        <v>13</v>
      </c>
      <c r="BB14">
        <f>IF(OR(AF14="",AE14=""),-1,IF(IFERROR(FIND(BB1,AF14,1),0)&gt;0,1,0))</f>
        <v>0</v>
      </c>
      <c r="BC14">
        <f>IF(OR(AF14="",AE14=""),-1,IF(IFERROR(FIND(BC1,AF14,1),0)&gt;0,1,0))</f>
        <v>0</v>
      </c>
      <c r="BD14">
        <f>IF(OR(AF14="",AE14=""),-1,IF(IFERROR(FIND(BD1,AF14,1),0)&gt;0,1,0))</f>
        <v>0</v>
      </c>
      <c r="BE14" s="74">
        <f>BE13-1</f>
        <v>8</v>
      </c>
      <c r="BF14">
        <f>IFERROR(VLOOKUP(BE14,BA2:BD21,2),"")</f>
        <v>0</v>
      </c>
      <c r="BG14">
        <f>IFERROR(VLOOKUP(BE14,BA2:BD21,3),"")</f>
        <v>0</v>
      </c>
      <c r="BH14">
        <f>IFERROR(VLOOKUP(BE14,BA2:BD21,4),"")</f>
        <v>0</v>
      </c>
      <c r="BJ14" s="86">
        <f>IF(BF14=-1,BJ13,IF(BF14=0,0,IF(BF14=1,BJ13+1)))</f>
        <v>0</v>
      </c>
      <c r="BK14" s="86">
        <f>IF(BG14=-1,BK13,IF(BG14=0,0,IF(BG14=1,BK13+1)))</f>
        <v>0</v>
      </c>
      <c r="BL14" s="86">
        <f>IF(BH14=-1,BL13,IF(BH14=0,0,IF(BH14=1,BL13+1)))</f>
        <v>0</v>
      </c>
      <c r="BR14" s="11"/>
      <c r="BV14">
        <v>10</v>
      </c>
      <c r="BW14">
        <f>AA12</f>
        <v>7</v>
      </c>
      <c r="BX14">
        <f>Z12</f>
        <v>0</v>
      </c>
      <c r="BY14" s="85">
        <f>BW13</f>
        <v>1</v>
      </c>
      <c r="BZ14" s="85">
        <f>BX13</f>
        <v>1</v>
      </c>
      <c r="CA14" s="61" t="str">
        <f>IF((BW14&gt;=3),"M",BW14)</f>
        <v>M</v>
      </c>
      <c r="CB14" s="61">
        <f>IF((BX14&gt;=3),"M",BX14)</f>
        <v>0</v>
      </c>
      <c r="CC14">
        <v>10</v>
      </c>
      <c r="CD14">
        <f>BW14</f>
        <v>7</v>
      </c>
      <c r="CE14">
        <f>BX14</f>
        <v>0</v>
      </c>
      <c r="CF14" s="85">
        <f>CD13</f>
        <v>1</v>
      </c>
      <c r="CG14" s="85">
        <f>CE13</f>
        <v>1</v>
      </c>
      <c r="CQ14">
        <v>10</v>
      </c>
      <c r="CR14">
        <f>AC12</f>
        <v>0</v>
      </c>
      <c r="CS14">
        <f>AD12</f>
        <v>8</v>
      </c>
      <c r="CT14" s="85">
        <f>CR13</f>
        <v>2</v>
      </c>
      <c r="CU14" s="85">
        <f>CS13</f>
        <v>4</v>
      </c>
      <c r="CV14" s="61"/>
      <c r="CW14" s="61"/>
      <c r="CX14">
        <v>10</v>
      </c>
      <c r="CY14">
        <f>CR14</f>
        <v>0</v>
      </c>
      <c r="CZ14">
        <f>CS14</f>
        <v>8</v>
      </c>
      <c r="DA14" s="85">
        <f>CY13</f>
        <v>2</v>
      </c>
      <c r="DB14" s="85">
        <f>CZ13</f>
        <v>4</v>
      </c>
      <c r="DG14" s="69"/>
      <c r="DH14" s="70">
        <f>MAX(DG3:DG10)</f>
        <v>3</v>
      </c>
      <c r="DI14" s="70">
        <f>IF(DH14=1,"",DH14-1)</f>
        <v>2</v>
      </c>
      <c r="DJ14" s="72">
        <f>IF(DI14=1,"",DI14-1)</f>
        <v>1</v>
      </c>
      <c r="DO14" s="69"/>
      <c r="DP14" s="70">
        <f>MAX(DO3:DO10)</f>
        <v>3</v>
      </c>
      <c r="DQ14" s="70">
        <f>IF(DP14=1,"",DP14-1)</f>
        <v>2</v>
      </c>
      <c r="DR14" s="72">
        <f>IF(DQ14=1,"",DQ14-1)</f>
        <v>1</v>
      </c>
    </row>
    <row r="15" spans="1:122">
      <c r="A15" s="69"/>
      <c r="B15" s="70"/>
      <c r="C15" s="70"/>
      <c r="D15" s="70"/>
      <c r="E15" s="70"/>
      <c r="F15" s="70"/>
      <c r="G15" s="70"/>
      <c r="H15" s="70"/>
      <c r="I15" s="70"/>
      <c r="J15" s="70"/>
      <c r="K15" s="70"/>
      <c r="L15" s="72"/>
      <c r="M15" s="129">
        <f>BC36</f>
        <v>25.001</v>
      </c>
      <c r="N15" s="129">
        <f>BD36</f>
        <v>25.001</v>
      </c>
      <c r="O15" s="129">
        <f>BE36</f>
        <v>50.001</v>
      </c>
      <c r="U15" s="84">
        <f>U14+1</f>
        <v>14</v>
      </c>
      <c r="V15" t="s">
        <v>71</v>
      </c>
      <c r="W15" t="s">
        <v>72</v>
      </c>
      <c r="X15" t="s">
        <v>61</v>
      </c>
      <c r="Y15" s="9">
        <v>2</v>
      </c>
      <c r="Z15" s="9">
        <v>1</v>
      </c>
      <c r="AA15" s="9">
        <v>1</v>
      </c>
      <c r="AB15" s="9">
        <v>0</v>
      </c>
      <c r="AC15" s="85">
        <f>Y15+Z15</f>
        <v>3</v>
      </c>
      <c r="AD15" s="85">
        <f>AA15+AB15</f>
        <v>1</v>
      </c>
      <c r="AE15" s="61">
        <f>IF(AND(Y15="M",Z15="M"),0,(IF(AND(Y15="M",Z15&lt;&gt;"M"),1,(IF(AND(Y15&lt;&gt;"M",Z15="M"),2,(IF(Y15=Z15,0,(IF(Y15&gt;Z15,1,2)))))))))</f>
        <v>1</v>
      </c>
      <c r="AF15" s="61">
        <f>IF(AND(AA15="M",AB15="M"),0,(IF(AND(AA15="M",AB15&lt;&gt;"M"),1,(IF(AND(AA15&lt;&gt;"M",AB15="M"),2,(IF(AA15=AB15,0,(IF(AA15&gt;AB15,1,2)))))))))</f>
        <v>1</v>
      </c>
      <c r="AG15" s="8">
        <f>AG14+1</f>
        <v>14</v>
      </c>
      <c r="AH15">
        <f>IF(OR(AF15="",AE15=""),-1,IF(IFERROR(FIND(AH1,AE15,1),0)&gt;0,1,0))</f>
        <v>0</v>
      </c>
      <c r="AI15">
        <f>IF(OR(AF15="",AE15=""),-1,IF(IFERROR(FIND(AI1,AE15,1),0)&gt;0,1,0))</f>
        <v>0</v>
      </c>
      <c r="AJ15">
        <f>IF(OR(AF15="",AE15=""),-1,IF(IFERROR(FIND(AJ1,AE15,1),0)&gt;0,1,0))</f>
        <v>0</v>
      </c>
      <c r="AK15" s="74">
        <f>AK14-1</f>
        <v>7</v>
      </c>
      <c r="AL15">
        <f>IFERROR(VLOOKUP(AK15,AG2:AJ21,2),"")</f>
        <v>0</v>
      </c>
      <c r="AM15">
        <f>IFERROR(VLOOKUP(AK15,AG2:AJ21,3),"")</f>
        <v>0</v>
      </c>
      <c r="AN15">
        <f>IFERROR(VLOOKUP(AK15,AG2:AJ21,4),"")</f>
        <v>0</v>
      </c>
      <c r="AP15" s="86">
        <f>IF(AL15=-1,AP14,IF(AL15=0,0,IF(AL15=1,AP14+1)))</f>
        <v>0</v>
      </c>
      <c r="AQ15" s="86">
        <f>IF(AM15=-1,AQ14,IF(AM15=0,0,IF(AM15=1,AQ14+1)))</f>
        <v>0</v>
      </c>
      <c r="AR15" s="87">
        <f>IF(AN15=-1,AR14,IF(AN15=0,0,IF(AN15=1,AR14+1)))</f>
        <v>0</v>
      </c>
      <c r="AX15" s="11"/>
      <c r="BA15" s="8">
        <f>BA14+1</f>
        <v>14</v>
      </c>
      <c r="BB15">
        <f>IF(OR(AF15="",AE15=""),-1,IF(IFERROR(FIND(BB1,AF15,1),0)&gt;0,1,0))</f>
        <v>0</v>
      </c>
      <c r="BC15">
        <f>IF(OR(AF15="",AE15=""),-1,IF(IFERROR(FIND(BC1,AF15,1),0)&gt;0,1,0))</f>
        <v>0</v>
      </c>
      <c r="BD15">
        <f>IF(OR(AF15="",AE15=""),-1,IF(IFERROR(FIND(BD1,AF15,1),0)&gt;0,1,0))</f>
        <v>0</v>
      </c>
      <c r="BE15" s="74">
        <f>BE14-1</f>
        <v>7</v>
      </c>
      <c r="BF15">
        <f>IFERROR(VLOOKUP(BE15,BA2:BD21,2),"")</f>
        <v>0</v>
      </c>
      <c r="BG15">
        <f>IFERROR(VLOOKUP(BE15,BA2:BD21,3),"")</f>
        <v>0</v>
      </c>
      <c r="BH15">
        <f>IFERROR(VLOOKUP(BE15,BA2:BD21,4),"")</f>
        <v>0</v>
      </c>
      <c r="BJ15" s="86">
        <f>IF(BF15=-1,BJ14,IF(BF15=0,0,IF(BF15=1,BJ14+1)))</f>
        <v>0</v>
      </c>
      <c r="BK15" s="86">
        <f>IF(BG15=-1,BK14,IF(BG15=0,0,IF(BG15=1,BK14+1)))</f>
        <v>0</v>
      </c>
      <c r="BL15" s="86">
        <f>IF(BH15=-1,BL14,IF(BH15=0,0,IF(BH15=1,BL14+1)))</f>
        <v>0</v>
      </c>
      <c r="BR15" s="11"/>
      <c r="BV15">
        <v>9</v>
      </c>
      <c r="BW15">
        <f>AA13</f>
        <v>1</v>
      </c>
      <c r="BX15">
        <f>Z13</f>
        <v>1</v>
      </c>
      <c r="BY15" s="85">
        <f>BW12</f>
        <v>2</v>
      </c>
      <c r="BZ15" s="85">
        <f>BX12</f>
        <v>1</v>
      </c>
      <c r="CA15" s="61">
        <f>IF((BW15&gt;=3),"M",BW15)</f>
        <v>1</v>
      </c>
      <c r="CB15" s="61">
        <f>IF((BX15&gt;=3),"M",BX15)</f>
        <v>1</v>
      </c>
      <c r="CC15">
        <v>9</v>
      </c>
      <c r="CD15">
        <f>BW15</f>
        <v>1</v>
      </c>
      <c r="CE15">
        <f>BX15</f>
        <v>1</v>
      </c>
      <c r="CF15" s="85">
        <f>CD12</f>
        <v>2</v>
      </c>
      <c r="CG15" s="85">
        <f>CE12</f>
        <v>1</v>
      </c>
      <c r="CI15">
        <f>TREND(BW4:BW23,BX4:BX23,,BW4)</f>
        <v>2.1393442622951</v>
      </c>
      <c r="CQ15">
        <v>9</v>
      </c>
      <c r="CR15">
        <f>AC13</f>
        <v>3</v>
      </c>
      <c r="CS15">
        <f>AD13</f>
        <v>1</v>
      </c>
      <c r="CT15" s="85">
        <f>CR12</f>
        <v>1</v>
      </c>
      <c r="CU15" s="85">
        <f>CS12</f>
        <v>3</v>
      </c>
      <c r="CV15" s="61"/>
      <c r="CW15" s="61"/>
      <c r="CX15">
        <v>9</v>
      </c>
      <c r="CY15">
        <f>CR15</f>
        <v>3</v>
      </c>
      <c r="CZ15">
        <f>CS15</f>
        <v>1</v>
      </c>
      <c r="DA15" s="85">
        <f>CY12</f>
        <v>1</v>
      </c>
      <c r="DB15" s="85">
        <f>CZ12</f>
        <v>3</v>
      </c>
      <c r="DG15" s="130" t="s">
        <v>23</v>
      </c>
      <c r="DH15" s="131">
        <f>VLOOKUP(1,DE3:DJ11,4,FALSE)</f>
        <v>3</v>
      </c>
      <c r="DI15" s="131">
        <f>VLOOKUP(2,DE3:DJ11,4,FALSE)</f>
        <v>2</v>
      </c>
      <c r="DJ15" s="132">
        <f>VLOOKUP(3,DE3:DJ11,4,FALSE)</f>
        <v>4</v>
      </c>
      <c r="DO15" s="130" t="s">
        <v>23</v>
      </c>
      <c r="DP15" s="131">
        <f>VLOOKUP(1,DM3:DR11,4,FALSE)</f>
        <v>3</v>
      </c>
      <c r="DQ15" s="131">
        <f>VLOOKUP(2,DM3:DR11,4,FALSE)</f>
        <v>4</v>
      </c>
      <c r="DR15" s="132">
        <f>IF(DP14&lt;3,"",VLOOKUP(3,DM3:DR11,4,FALSE))</f>
        <v>5</v>
      </c>
    </row>
    <row r="16" spans="1:122" customHeight="1" ht="15.75">
      <c r="A16" s="133"/>
      <c r="B16" s="80" t="s">
        <v>73</v>
      </c>
      <c r="C16" s="106" t="s">
        <v>74</v>
      </c>
      <c r="D16" s="80"/>
      <c r="E16" s="134" t="s">
        <v>38</v>
      </c>
      <c r="F16" s="134"/>
      <c r="G16" s="134"/>
      <c r="H16" s="134"/>
      <c r="I16" s="134"/>
      <c r="J16" s="134"/>
      <c r="K16" s="134"/>
      <c r="L16" s="134"/>
      <c r="M16" s="129">
        <f>BC37</f>
        <v>45</v>
      </c>
      <c r="N16" s="129">
        <f>BD37</f>
        <v>20</v>
      </c>
      <c r="O16" s="129">
        <f>BE37</f>
        <v>35</v>
      </c>
      <c r="U16" s="84">
        <f>U15+1</f>
        <v>15</v>
      </c>
      <c r="V16" t="s">
        <v>75</v>
      </c>
      <c r="W16" t="s">
        <v>76</v>
      </c>
      <c r="X16" t="s">
        <v>77</v>
      </c>
      <c r="Y16" s="9">
        <v>2</v>
      </c>
      <c r="Z16" s="9">
        <v>3</v>
      </c>
      <c r="AA16" s="9">
        <v>0</v>
      </c>
      <c r="AB16" s="9">
        <v>2</v>
      </c>
      <c r="AC16" s="85">
        <f>Y16+Z16</f>
        <v>5</v>
      </c>
      <c r="AD16" s="85">
        <f>AA16+AB16</f>
        <v>2</v>
      </c>
      <c r="AE16" s="61">
        <f>IF(AND(Y16="M",Z16="M"),0,(IF(AND(Y16="M",Z16&lt;&gt;"M"),1,(IF(AND(Y16&lt;&gt;"M",Z16="M"),2,(IF(Y16=Z16,0,(IF(Y16&gt;Z16,1,2)))))))))</f>
        <v>2</v>
      </c>
      <c r="AF16" s="61">
        <f>IF(AND(AA16="M",AB16="M"),0,(IF(AND(AA16="M",AB16&lt;&gt;"M"),1,(IF(AND(AA16&lt;&gt;"M",AB16="M"),2,(IF(AA16=AB16,0,(IF(AA16&gt;AB16,1,2)))))))))</f>
        <v>2</v>
      </c>
      <c r="AG16" s="8">
        <f>AG15+1</f>
        <v>15</v>
      </c>
      <c r="AH16">
        <f>IF(OR(AF16="",AE16=""),-1,IF(IFERROR(FIND(AH1,AE16,1),0)&gt;0,1,0))</f>
        <v>0</v>
      </c>
      <c r="AI16">
        <f>IF(OR(AF16="",AE16=""),-1,IF(IFERROR(FIND(AI1,AE16,1),0)&gt;0,1,0))</f>
        <v>0</v>
      </c>
      <c r="AJ16">
        <f>IF(OR(AF16="",AE16=""),-1,IF(IFERROR(FIND(AJ1,AE16,1),0)&gt;0,1,0))</f>
        <v>0</v>
      </c>
      <c r="AK16" s="74">
        <f>AK15-1</f>
        <v>6</v>
      </c>
      <c r="AL16">
        <f>IFERROR(VLOOKUP(AK16,AG2:AJ21,2),"")</f>
        <v>0</v>
      </c>
      <c r="AM16">
        <f>IFERROR(VLOOKUP(AK16,AG2:AJ21,3),"")</f>
        <v>0</v>
      </c>
      <c r="AN16">
        <f>IFERROR(VLOOKUP(AK16,AG2:AJ21,4),"")</f>
        <v>0</v>
      </c>
      <c r="AP16" s="86">
        <f>IF(AL16=-1,AP15,IF(AL16=0,0,IF(AL16=1,AP15+1)))</f>
        <v>0</v>
      </c>
      <c r="AQ16" s="86">
        <f>IF(AM16=-1,AQ15,IF(AM16=0,0,IF(AM16=1,AQ15+1)))</f>
        <v>0</v>
      </c>
      <c r="AR16" s="87">
        <f>IF(AN16=-1,AR15,IF(AN16=0,0,IF(AN16=1,AR15+1)))</f>
        <v>0</v>
      </c>
      <c r="AX16" s="11"/>
      <c r="BA16" s="8">
        <f>BA15+1</f>
        <v>15</v>
      </c>
      <c r="BB16">
        <f>IF(OR(AF16="",AE16=""),-1,IF(IFERROR(FIND(BB1,AF16,1),0)&gt;0,1,0))</f>
        <v>0</v>
      </c>
      <c r="BC16">
        <f>IF(OR(AF16="",AE16=""),-1,IF(IFERROR(FIND(BC1,AF16,1),0)&gt;0,1,0))</f>
        <v>0</v>
      </c>
      <c r="BD16">
        <f>IF(OR(AF16="",AE16=""),-1,IF(IFERROR(FIND(BD1,AF16,1),0)&gt;0,1,0))</f>
        <v>0</v>
      </c>
      <c r="BE16" s="74">
        <f>BE15-1</f>
        <v>6</v>
      </c>
      <c r="BF16">
        <f>IFERROR(VLOOKUP(BE16,BA2:BD21,2),"")</f>
        <v>0</v>
      </c>
      <c r="BG16">
        <f>IFERROR(VLOOKUP(BE16,BA2:BD21,3),"")</f>
        <v>0</v>
      </c>
      <c r="BH16">
        <f>IFERROR(VLOOKUP(BE16,BA2:BD21,4),"")</f>
        <v>0</v>
      </c>
      <c r="BJ16" s="86">
        <f>IF(BF16=-1,BJ15,IF(BF16=0,0,IF(BF16=1,BJ15+1)))</f>
        <v>0</v>
      </c>
      <c r="BK16" s="86">
        <f>IF(BG16=-1,BK15,IF(BG16=0,0,IF(BG16=1,BK15+1)))</f>
        <v>0</v>
      </c>
      <c r="BL16" s="86">
        <f>IF(BH16=-1,BL15,IF(BH16=0,0,IF(BH16=1,BL15+1)))</f>
        <v>0</v>
      </c>
      <c r="BR16" s="11"/>
      <c r="BV16">
        <v>8</v>
      </c>
      <c r="BW16">
        <f>AA14</f>
        <v>0</v>
      </c>
      <c r="BX16">
        <f>Z14</f>
        <v>2</v>
      </c>
      <c r="BY16" s="85">
        <f>BW11</f>
        <v>3</v>
      </c>
      <c r="BZ16" s="85">
        <f>BX11</f>
        <v>3</v>
      </c>
      <c r="CA16" s="61">
        <f>IF((BW16&gt;=3),"M",BW16)</f>
        <v>0</v>
      </c>
      <c r="CB16" s="61">
        <f>IF((BX16&gt;=3),"M",BX16)</f>
        <v>2</v>
      </c>
      <c r="CC16">
        <v>8</v>
      </c>
      <c r="CD16">
        <f>BW16</f>
        <v>0</v>
      </c>
      <c r="CE16">
        <f>BX16</f>
        <v>2</v>
      </c>
      <c r="CF16" s="85">
        <f>CD11</f>
        <v>3</v>
      </c>
      <c r="CG16" s="85">
        <f>CE11</f>
        <v>3</v>
      </c>
      <c r="CI16">
        <f>TREND(BW4:BW23,BX4:BX23,,BW7)</f>
        <v>2.1393442622951</v>
      </c>
      <c r="CQ16">
        <v>8</v>
      </c>
      <c r="CR16">
        <f>AC14</f>
        <v>3</v>
      </c>
      <c r="CS16">
        <f>AD14</f>
        <v>0</v>
      </c>
      <c r="CT16" s="85">
        <f>CR11</f>
        <v>3</v>
      </c>
      <c r="CU16" s="85">
        <f>CS11</f>
        <v>3</v>
      </c>
      <c r="CV16" s="61"/>
      <c r="CW16" s="61"/>
      <c r="CX16">
        <v>8</v>
      </c>
      <c r="CY16">
        <f>CR16</f>
        <v>3</v>
      </c>
      <c r="CZ16">
        <f>CS16</f>
        <v>0</v>
      </c>
      <c r="DA16" s="85">
        <f>CY11</f>
        <v>3</v>
      </c>
      <c r="DB16" s="85">
        <f>CZ11</f>
        <v>3</v>
      </c>
      <c r="DG16" s="135" t="s">
        <v>78</v>
      </c>
      <c r="DH16" s="136">
        <f>VLOOKUP(1,DE3:DJ11,6,FALSE)</f>
        <v>37.5</v>
      </c>
      <c r="DI16" s="136">
        <f>VLOOKUP(2,DE3:DJ11,6,FALSE)</f>
        <v>31.25</v>
      </c>
      <c r="DJ16" s="137">
        <f>VLOOKUP(3,DE3:DJ11,6,FALSE)</f>
        <v>25</v>
      </c>
      <c r="DO16" s="135" t="s">
        <v>78</v>
      </c>
      <c r="DP16" s="136">
        <f>VLOOKUP(1,DM3:DR11,6,FALSE)</f>
        <v>37.5</v>
      </c>
      <c r="DQ16" s="136">
        <f>VLOOKUP(2,DM3:DR11,6,FALSE)</f>
        <v>37.5</v>
      </c>
      <c r="DR16" s="137">
        <f>IF(DP14&lt;3,"",VLOOKUP(3,DM3:DR11,6,FALSE))</f>
        <v>12.5</v>
      </c>
    </row>
    <row r="17" spans="1:122">
      <c r="A17" s="104" t="s">
        <v>43</v>
      </c>
      <c r="B17" s="105" t="s">
        <v>44</v>
      </c>
      <c r="C17" s="138" t="s">
        <v>79</v>
      </c>
      <c r="D17" s="138" t="s">
        <v>80</v>
      </c>
      <c r="E17" s="139" t="s">
        <v>81</v>
      </c>
      <c r="F17" s="140" t="s">
        <v>79</v>
      </c>
      <c r="G17" s="140" t="s">
        <v>80</v>
      </c>
      <c r="H17" s="140" t="s">
        <v>81</v>
      </c>
      <c r="I17" s="141" t="s">
        <v>46</v>
      </c>
      <c r="J17" s="141" t="s">
        <v>47</v>
      </c>
      <c r="K17" s="142" t="s">
        <v>23</v>
      </c>
      <c r="L17" s="142" t="s">
        <v>82</v>
      </c>
      <c r="M17" s="129">
        <f>BC38</f>
        <v>60</v>
      </c>
      <c r="N17" s="129">
        <f>BD38</f>
        <v>15</v>
      </c>
      <c r="O17" s="129">
        <f>BE38</f>
        <v>25</v>
      </c>
      <c r="U17" s="84">
        <f>U16+1</f>
        <v>16</v>
      </c>
      <c r="V17" t="s">
        <v>83</v>
      </c>
      <c r="W17" t="s">
        <v>84</v>
      </c>
      <c r="X17" t="s">
        <v>85</v>
      </c>
      <c r="Y17" s="9">
        <v>5</v>
      </c>
      <c r="Z17" s="9">
        <v>0</v>
      </c>
      <c r="AA17" s="9">
        <v>4</v>
      </c>
      <c r="AB17" s="9">
        <v>1</v>
      </c>
      <c r="AC17" s="85">
        <f>Y17+Z17</f>
        <v>5</v>
      </c>
      <c r="AD17" s="85">
        <f>AA17+AB17</f>
        <v>5</v>
      </c>
      <c r="AE17" s="61">
        <f>IF(AND(Y17="M",Z17="M"),0,(IF(AND(Y17="M",Z17&lt;&gt;"M"),1,(IF(AND(Y17&lt;&gt;"M",Z17="M"),2,(IF(Y17=Z17,0,(IF(Y17&gt;Z17,1,2)))))))))</f>
        <v>1</v>
      </c>
      <c r="AF17" s="61">
        <f>IF(AND(AA17="M",AB17="M"),0,(IF(AND(AA17="M",AB17&lt;&gt;"M"),1,(IF(AND(AA17&lt;&gt;"M",AB17="M"),2,(IF(AA17=AB17,0,(IF(AA17&gt;AB17,1,2)))))))))</f>
        <v>1</v>
      </c>
      <c r="AG17" s="8">
        <f>AG16+1</f>
        <v>16</v>
      </c>
      <c r="AH17">
        <f>IF(OR(AF17="",AE17=""),-1,IF(IFERROR(FIND(AH1,AE17,1),0)&gt;0,1,0))</f>
        <v>0</v>
      </c>
      <c r="AI17">
        <f>IF(OR(AF17="",AE17=""),-1,IF(IFERROR(FIND(AI1,AE17,1),0)&gt;0,1,0))</f>
        <v>0</v>
      </c>
      <c r="AJ17">
        <f>IF(OR(AF17="",AE17=""),-1,IF(IFERROR(FIND(AJ1,AE17,1),0)&gt;0,1,0))</f>
        <v>0</v>
      </c>
      <c r="AK17" s="74">
        <f>AK16-1</f>
        <v>5</v>
      </c>
      <c r="AL17">
        <f>IFERROR(VLOOKUP(AK17,AG2:AJ21,2),"")</f>
        <v>0</v>
      </c>
      <c r="AM17">
        <f>IFERROR(VLOOKUP(AK17,AG2:AJ21,3),"")</f>
        <v>0</v>
      </c>
      <c r="AN17">
        <f>IFERROR(VLOOKUP(AK17,AG2:AJ21,4),"")</f>
        <v>0</v>
      </c>
      <c r="AP17" s="86">
        <f>IF(AL17=-1,AP16,IF(AL17=0,0,IF(AL17=1,AP16+1)))</f>
        <v>0</v>
      </c>
      <c r="AQ17" s="86">
        <f>IF(AM17=-1,AQ16,IF(AM17=0,0,IF(AM17=1,AQ16+1)))</f>
        <v>0</v>
      </c>
      <c r="AR17" s="87">
        <f>IF(AN17=-1,AR16,IF(AN17=0,0,IF(AN17=1,AR16+1)))</f>
        <v>0</v>
      </c>
      <c r="AX17" s="11"/>
      <c r="BA17" s="8">
        <f>BA16+1</f>
        <v>16</v>
      </c>
      <c r="BB17">
        <f>IF(OR(AF17="",AE17=""),-1,IF(IFERROR(FIND(BB1,AF17,1),0)&gt;0,1,0))</f>
        <v>0</v>
      </c>
      <c r="BC17">
        <f>IF(OR(AF17="",AE17=""),-1,IF(IFERROR(FIND(BC1,AF17,1),0)&gt;0,1,0))</f>
        <v>0</v>
      </c>
      <c r="BD17">
        <f>IF(OR(AF17="",AE17=""),-1,IF(IFERROR(FIND(BD1,AF17,1),0)&gt;0,1,0))</f>
        <v>0</v>
      </c>
      <c r="BE17" s="74">
        <f>BE16-1</f>
        <v>5</v>
      </c>
      <c r="BF17">
        <f>IFERROR(VLOOKUP(BE17,BA2:BD21,2),"")</f>
        <v>0</v>
      </c>
      <c r="BG17">
        <f>IFERROR(VLOOKUP(BE17,BA2:BD21,3),"")</f>
        <v>0</v>
      </c>
      <c r="BH17">
        <f>IFERROR(VLOOKUP(BE17,BA2:BD21,4),"")</f>
        <v>0</v>
      </c>
      <c r="BJ17" s="86">
        <f>IF(BF17=-1,BJ16,IF(BF17=0,0,IF(BF17=1,BJ16+1)))</f>
        <v>0</v>
      </c>
      <c r="BK17" s="86">
        <f>IF(BG17=-1,BK16,IF(BG17=0,0,IF(BG17=1,BK16+1)))</f>
        <v>0</v>
      </c>
      <c r="BL17" s="86">
        <f>IF(BH17=-1,BL16,IF(BH17=0,0,IF(BH17=1,BL16+1)))</f>
        <v>0</v>
      </c>
      <c r="BR17" s="11"/>
      <c r="BV17">
        <v>7</v>
      </c>
      <c r="BW17">
        <f>AA15</f>
        <v>1</v>
      </c>
      <c r="BX17">
        <f>Z15</f>
        <v>1</v>
      </c>
      <c r="BY17" s="85">
        <f>BW10</f>
        <v>3</v>
      </c>
      <c r="BZ17" s="85">
        <f>BX10</f>
        <v>1</v>
      </c>
      <c r="CA17" s="61">
        <f>IF((BW17&gt;=3),"M",BW17)</f>
        <v>1</v>
      </c>
      <c r="CB17" s="61">
        <f>IF((BX17&gt;=3),"M",BX17)</f>
        <v>1</v>
      </c>
      <c r="CC17">
        <v>7</v>
      </c>
      <c r="CD17">
        <f>BW17</f>
        <v>1</v>
      </c>
      <c r="CE17">
        <f>BX17</f>
        <v>1</v>
      </c>
      <c r="CF17" s="85">
        <f>CD10</f>
        <v>3</v>
      </c>
      <c r="CG17" s="85">
        <f>CE10</f>
        <v>1</v>
      </c>
      <c r="CI17">
        <f>TREND(BW4:BW23,BX4:BX23,,BW11)</f>
        <v>2.1393442622951</v>
      </c>
      <c r="CQ17">
        <v>7</v>
      </c>
      <c r="CR17">
        <f>AC15</f>
        <v>3</v>
      </c>
      <c r="CS17">
        <f>AD15</f>
        <v>1</v>
      </c>
      <c r="CT17" s="85">
        <f>CR10</f>
        <v>3</v>
      </c>
      <c r="CU17" s="85">
        <f>CS10</f>
        <v>4</v>
      </c>
      <c r="CV17" s="61"/>
      <c r="CW17" s="61"/>
      <c r="CX17">
        <v>7</v>
      </c>
      <c r="CY17">
        <f>CR17</f>
        <v>3</v>
      </c>
      <c r="CZ17">
        <f>CS17</f>
        <v>1</v>
      </c>
      <c r="DA17" s="85">
        <f>CY10</f>
        <v>3</v>
      </c>
      <c r="DB17" s="85">
        <f>CZ10</f>
        <v>4</v>
      </c>
      <c r="DE17" s="131"/>
      <c r="DF17" s="131"/>
    </row>
    <row r="18" spans="1:122">
      <c r="A18" s="84">
        <f>A1</f>
        <v>4</v>
      </c>
      <c r="B18" s="61" t="str">
        <f>B1</f>
        <v>Torino - Udinese</v>
      </c>
      <c r="C18" s="115">
        <f>W39</f>
        <v>1</v>
      </c>
      <c r="D18" s="143">
        <f>AA68</f>
        <v>-0.042857142857143</v>
      </c>
      <c r="E18">
        <f>Y41</f>
        <v>0.375</v>
      </c>
      <c r="F18" s="115" t="str">
        <f>W41</f>
        <v>X2</v>
      </c>
      <c r="G18" s="115">
        <f>AH68</f>
        <v>2</v>
      </c>
      <c r="H18" s="115" t="str">
        <f>AG39</f>
        <v>X</v>
      </c>
      <c r="I18" s="115" t="str">
        <f>BH36</f>
        <v>2</v>
      </c>
      <c r="J18" s="115" t="str">
        <f>BI36</f>
        <v>1X2</v>
      </c>
      <c r="K18" s="115">
        <f>AF68</f>
        <v>3</v>
      </c>
      <c r="L18" s="115" t="str">
        <f>AG68</f>
        <v>12</v>
      </c>
      <c r="M18" s="129">
        <f>BC39</f>
        <v>43.333666666667</v>
      </c>
      <c r="N18" s="129">
        <f>BD39</f>
        <v>20.000333333333</v>
      </c>
      <c r="O18" s="129">
        <f>BE39</f>
        <v>36.667</v>
      </c>
      <c r="U18" s="84">
        <f>U17+1</f>
        <v>17</v>
      </c>
      <c r="V18" t="s">
        <v>86</v>
      </c>
      <c r="W18" t="s">
        <v>87</v>
      </c>
      <c r="X18" t="s">
        <v>65</v>
      </c>
      <c r="Y18" s="9">
        <v>3</v>
      </c>
      <c r="Z18" s="9">
        <v>0</v>
      </c>
      <c r="AA18" s="9">
        <v>1</v>
      </c>
      <c r="AB18" s="9">
        <v>2</v>
      </c>
      <c r="AC18" s="85">
        <f>Y18+Z18</f>
        <v>3</v>
      </c>
      <c r="AD18" s="85">
        <f>AA18+AB18</f>
        <v>3</v>
      </c>
      <c r="AE18" s="61">
        <f>IF(AND(Y18="M",Z18="M"),0,(IF(AND(Y18="M",Z18&lt;&gt;"M"),1,(IF(AND(Y18&lt;&gt;"M",Z18="M"),2,(IF(Y18=Z18,0,(IF(Y18&gt;Z18,1,2)))))))))</f>
        <v>1</v>
      </c>
      <c r="AF18" s="61">
        <f>IF(AND(AA18="M",AB18="M"),0,(IF(AND(AA18="M",AB18&lt;&gt;"M"),1,(IF(AND(AA18&lt;&gt;"M",AB18="M"),2,(IF(AA18=AB18,0,(IF(AA18&gt;AB18,1,2)))))))))</f>
        <v>2</v>
      </c>
      <c r="AG18" s="8">
        <f>AG17+1</f>
        <v>17</v>
      </c>
      <c r="AH18">
        <f>IF(OR(AF18="",AE18=""),-1,IF(IFERROR(FIND(AH1,AE18,1),0)&gt;0,1,0))</f>
        <v>0</v>
      </c>
      <c r="AI18">
        <f>IF(OR(AF18="",AE18=""),-1,IF(IFERROR(FIND(AI1,AE18,1),0)&gt;0,1,0))</f>
        <v>0</v>
      </c>
      <c r="AJ18">
        <f>IF(OR(AF18="",AE18=""),-1,IF(IFERROR(FIND(AJ1,AE18,1),0)&gt;0,1,0))</f>
        <v>0</v>
      </c>
      <c r="AK18" s="74">
        <f>AK17-1</f>
        <v>4</v>
      </c>
      <c r="AL18">
        <f>IFERROR(VLOOKUP(AK18,AG2:AJ21,2),"")</f>
        <v>0</v>
      </c>
      <c r="AM18">
        <f>IFERROR(VLOOKUP(AK18,AG2:AJ21,3),"")</f>
        <v>0</v>
      </c>
      <c r="AN18">
        <f>IFERROR(VLOOKUP(AK18,AG2:AJ21,4),"")</f>
        <v>0</v>
      </c>
      <c r="AP18" s="86">
        <f>IF(AL18=-1,AP17,IF(AL18=0,0,IF(AL18=1,AP17+1)))</f>
        <v>0</v>
      </c>
      <c r="AQ18" s="86">
        <f>IF(AM18=-1,AQ17,IF(AM18=0,0,IF(AM18=1,AQ17+1)))</f>
        <v>0</v>
      </c>
      <c r="AR18" s="87">
        <f>IF(AN18=-1,AR17,IF(AN18=0,0,IF(AN18=1,AR17+1)))</f>
        <v>0</v>
      </c>
      <c r="AX18" s="11"/>
      <c r="BA18" s="8">
        <f>BA17+1</f>
        <v>17</v>
      </c>
      <c r="BB18">
        <f>IF(OR(AF18="",AE18=""),-1,IF(IFERROR(FIND(BB1,AF18,1),0)&gt;0,1,0))</f>
        <v>0</v>
      </c>
      <c r="BC18">
        <f>IF(OR(AF18="",AE18=""),-1,IF(IFERROR(FIND(BC1,AF18,1),0)&gt;0,1,0))</f>
        <v>0</v>
      </c>
      <c r="BD18">
        <f>IF(OR(AF18="",AE18=""),-1,IF(IFERROR(FIND(BD1,AF18,1),0)&gt;0,1,0))</f>
        <v>0</v>
      </c>
      <c r="BE18" s="74">
        <f>BE17-1</f>
        <v>4</v>
      </c>
      <c r="BF18">
        <f>IFERROR(VLOOKUP(BE18,BA2:BD21,2),"")</f>
        <v>0</v>
      </c>
      <c r="BG18">
        <f>IFERROR(VLOOKUP(BE18,BA2:BD21,3),"")</f>
        <v>0</v>
      </c>
      <c r="BH18">
        <f>IFERROR(VLOOKUP(BE18,BA2:BD21,4),"")</f>
        <v>0</v>
      </c>
      <c r="BJ18" s="86">
        <f>IF(BF18=-1,BJ17,IF(BF18=0,0,IF(BF18=1,BJ17+1)))</f>
        <v>0</v>
      </c>
      <c r="BK18" s="86">
        <f>IF(BG18=-1,BK17,IF(BG18=0,0,IF(BG18=1,BK17+1)))</f>
        <v>0</v>
      </c>
      <c r="BL18" s="86">
        <f>IF(BH18=-1,BL17,IF(BH18=0,0,IF(BH18=1,BL17+1)))</f>
        <v>0</v>
      </c>
      <c r="BR18" s="11"/>
      <c r="BV18">
        <v>6</v>
      </c>
      <c r="BW18">
        <f>AA16</f>
        <v>0</v>
      </c>
      <c r="BX18">
        <f>Z16</f>
        <v>3</v>
      </c>
      <c r="BY18" s="85">
        <f>BW9</f>
        <v>0</v>
      </c>
      <c r="BZ18" s="85">
        <f>BX9</f>
        <v>2</v>
      </c>
      <c r="CA18" s="61">
        <f>IF((BW18&gt;=3),"M",BW18)</f>
        <v>0</v>
      </c>
      <c r="CB18" s="61" t="str">
        <f>IF((BX18&gt;=3),"M",BX18)</f>
        <v>M</v>
      </c>
      <c r="CC18">
        <v>6</v>
      </c>
      <c r="CD18">
        <f>BW18</f>
        <v>0</v>
      </c>
      <c r="CE18">
        <f>BX18</f>
        <v>3</v>
      </c>
      <c r="CF18" s="85">
        <f>CD9</f>
        <v>0</v>
      </c>
      <c r="CG18" s="85">
        <f>CE9</f>
        <v>2</v>
      </c>
      <c r="CI18">
        <f>TREND(BW4:BW23,BX4:BX23,,BW19)</f>
        <v>2.1393442622951</v>
      </c>
      <c r="CQ18">
        <v>6</v>
      </c>
      <c r="CR18">
        <f>AC16</f>
        <v>5</v>
      </c>
      <c r="CS18">
        <f>AD16</f>
        <v>2</v>
      </c>
      <c r="CT18" s="85">
        <f>CR9</f>
        <v>3</v>
      </c>
      <c r="CU18" s="85">
        <f>CS9</f>
        <v>1</v>
      </c>
      <c r="CV18" s="61"/>
      <c r="CW18" s="61"/>
      <c r="CX18">
        <v>6</v>
      </c>
      <c r="CY18">
        <f>CR18</f>
        <v>5</v>
      </c>
      <c r="CZ18">
        <f>CS18</f>
        <v>2</v>
      </c>
      <c r="DA18" s="85">
        <f>CY9</f>
        <v>3</v>
      </c>
      <c r="DB18" s="85">
        <f>CZ9</f>
        <v>1</v>
      </c>
      <c r="DE18" s="131"/>
      <c r="DF18" s="131"/>
    </row>
    <row r="19" spans="1:122">
      <c r="A19" s="84"/>
      <c r="C19" s="115"/>
      <c r="D19" s="61"/>
      <c r="E19" s="115"/>
      <c r="F19" s="61"/>
      <c r="G19" s="61"/>
      <c r="H19" s="61"/>
      <c r="I19" s="61"/>
      <c r="J19" s="61"/>
      <c r="K19" s="61"/>
      <c r="L19" s="144"/>
      <c r="M19" s="61"/>
      <c r="U19" s="84">
        <f>U18+1</f>
        <v>18</v>
      </c>
      <c r="V19" t="s">
        <v>88</v>
      </c>
      <c r="W19" t="s">
        <v>89</v>
      </c>
      <c r="X19" t="s">
        <v>90</v>
      </c>
      <c r="Y19" s="9">
        <v>3</v>
      </c>
      <c r="Z19" s="9">
        <v>2</v>
      </c>
      <c r="AA19" s="9">
        <v>1</v>
      </c>
      <c r="AB19" s="9">
        <v>3</v>
      </c>
      <c r="AC19" s="85">
        <f>Y19+Z19</f>
        <v>5</v>
      </c>
      <c r="AD19" s="85">
        <f>AA19+AB19</f>
        <v>4</v>
      </c>
      <c r="AE19" s="61">
        <f>IF(AND(Y19="M",Z19="M"),0,(IF(AND(Y19="M",Z19&lt;&gt;"M"),1,(IF(AND(Y19&lt;&gt;"M",Z19="M"),2,(IF(Y19=Z19,0,(IF(Y19&gt;Z19,1,2)))))))))</f>
        <v>1</v>
      </c>
      <c r="AF19" s="61">
        <f>IF(AND(AA19="M",AB19="M"),0,(IF(AND(AA19="M",AB19&lt;&gt;"M"),1,(IF(AND(AA19&lt;&gt;"M",AB19="M"),2,(IF(AA19=AB19,0,(IF(AA19&gt;AB19,1,2)))))))))</f>
        <v>2</v>
      </c>
      <c r="AG19" s="8">
        <f>AG18+1</f>
        <v>18</v>
      </c>
      <c r="AH19">
        <f>IF(OR(AF19="",AE19=""),-1,IF(IFERROR(FIND(AH1,AE19,1),0)&gt;0,1,0))</f>
        <v>0</v>
      </c>
      <c r="AI19">
        <f>IF(OR(AF19="",AE19=""),-1,IF(IFERROR(FIND(AI1,AE19,1),0)&gt;0,1,0))</f>
        <v>0</v>
      </c>
      <c r="AJ19">
        <f>IF(OR(AF19="",AE19=""),-1,IF(IFERROR(FIND(AJ1,AE19,1),0)&gt;0,1,0))</f>
        <v>0</v>
      </c>
      <c r="AK19" s="74">
        <f>AK18-1</f>
        <v>3</v>
      </c>
      <c r="AL19">
        <f>IFERROR(VLOOKUP(AK19,AG2:AJ21,2),"")</f>
        <v>0</v>
      </c>
      <c r="AM19">
        <f>IFERROR(VLOOKUP(AK19,AG2:AJ21,3),"")</f>
        <v>0</v>
      </c>
      <c r="AN19">
        <f>IFERROR(VLOOKUP(AK19,AG2:AJ21,4),"")</f>
        <v>0</v>
      </c>
      <c r="AP19" s="86">
        <f>IF(AL19=-1,AP18,IF(AL19=0,0,IF(AL19=1,AP18+1)))</f>
        <v>0</v>
      </c>
      <c r="AQ19" s="86">
        <f>IF(AM19=-1,AQ18,IF(AM19=0,0,IF(AM19=1,AQ18+1)))</f>
        <v>0</v>
      </c>
      <c r="AR19" s="87">
        <f>IF(AN19=-1,AR18,IF(AN19=0,0,IF(AN19=1,AR18+1)))</f>
        <v>0</v>
      </c>
      <c r="AX19" s="11"/>
      <c r="BA19" s="8">
        <f>BA18+1</f>
        <v>18</v>
      </c>
      <c r="BB19">
        <f>IF(OR(AF19="",AE19=""),-1,IF(IFERROR(FIND(BB1,AF19,1),0)&gt;0,1,0))</f>
        <v>0</v>
      </c>
      <c r="BC19">
        <f>IF(OR(AF19="",AE19=""),-1,IF(IFERROR(FIND(BC1,AF19,1),0)&gt;0,1,0))</f>
        <v>0</v>
      </c>
      <c r="BD19">
        <f>IF(OR(AF19="",AE19=""),-1,IF(IFERROR(FIND(BD1,AF19,1),0)&gt;0,1,0))</f>
        <v>0</v>
      </c>
      <c r="BE19" s="74">
        <f>BE18-1</f>
        <v>3</v>
      </c>
      <c r="BF19">
        <f>IFERROR(VLOOKUP(BE19,BA2:BD21,2),"")</f>
        <v>0</v>
      </c>
      <c r="BG19">
        <f>IFERROR(VLOOKUP(BE19,BA2:BD21,3),"")</f>
        <v>0</v>
      </c>
      <c r="BH19">
        <f>IFERROR(VLOOKUP(BE19,BA2:BD21,4),"")</f>
        <v>0</v>
      </c>
      <c r="BJ19" s="86">
        <f>IF(BF19=-1,BJ18,IF(BF19=0,0,IF(BF19=1,BJ18+1)))</f>
        <v>0</v>
      </c>
      <c r="BK19" s="86">
        <f>IF(BG19=-1,BK18,IF(BG19=0,0,IF(BG19=1,BK18+1)))</f>
        <v>0</v>
      </c>
      <c r="BL19" s="86">
        <f>IF(BH19=-1,BL18,IF(BH19=0,0,IF(BH19=1,BL18+1)))</f>
        <v>0</v>
      </c>
      <c r="BR19" s="11"/>
      <c r="BV19">
        <v>5</v>
      </c>
      <c r="BW19">
        <f>AA17</f>
        <v>4</v>
      </c>
      <c r="BX19">
        <f>Z17</f>
        <v>0</v>
      </c>
      <c r="BY19" s="85">
        <f>BW8</f>
        <v>4</v>
      </c>
      <c r="BZ19" s="85">
        <f>BX8</f>
        <v>1</v>
      </c>
      <c r="CA19" s="61" t="str">
        <f>IF((BW19&gt;=3),"M",BW19)</f>
        <v>M</v>
      </c>
      <c r="CB19" s="61">
        <f>IF((BX19&gt;=3),"M",BX19)</f>
        <v>0</v>
      </c>
      <c r="CC19">
        <v>5</v>
      </c>
      <c r="CD19">
        <f>BW19</f>
        <v>4</v>
      </c>
      <c r="CE19">
        <f>BX19</f>
        <v>0</v>
      </c>
      <c r="CF19" s="85">
        <f>CD8</f>
        <v>4</v>
      </c>
      <c r="CG19" s="85">
        <f>CE8</f>
        <v>1</v>
      </c>
      <c r="CQ19">
        <v>5</v>
      </c>
      <c r="CR19">
        <f>AC17</f>
        <v>5</v>
      </c>
      <c r="CS19">
        <f>AD17</f>
        <v>5</v>
      </c>
      <c r="CT19" s="85">
        <f>CR8</f>
        <v>2</v>
      </c>
      <c r="CU19" s="85">
        <f>CS8</f>
        <v>4</v>
      </c>
      <c r="CV19" s="61"/>
      <c r="CW19" s="61"/>
      <c r="CX19">
        <v>5</v>
      </c>
      <c r="CY19">
        <f>CR19</f>
        <v>5</v>
      </c>
      <c r="CZ19">
        <f>CS19</f>
        <v>5</v>
      </c>
      <c r="DA19" s="85">
        <f>CY8</f>
        <v>2</v>
      </c>
      <c r="DB19" s="85">
        <f>CZ8</f>
        <v>4</v>
      </c>
    </row>
    <row r="20" spans="1:122">
      <c r="A20" s="133"/>
      <c r="B20" s="80" t="s">
        <v>91</v>
      </c>
      <c r="C20" s="106" t="s">
        <v>92</v>
      </c>
      <c r="D20" s="80"/>
      <c r="E20" s="106" t="s">
        <v>93</v>
      </c>
      <c r="F20" s="109"/>
      <c r="G20" s="109" t="s">
        <v>94</v>
      </c>
      <c r="H20" s="109"/>
      <c r="I20" s="80" t="s">
        <v>95</v>
      </c>
      <c r="J20" s="109"/>
      <c r="K20" s="61"/>
      <c r="L20" s="144"/>
      <c r="U20" s="84">
        <f>U19+1</f>
        <v>19</v>
      </c>
      <c r="V20" t="s">
        <v>96</v>
      </c>
      <c r="W20" t="s">
        <v>62</v>
      </c>
      <c r="X20" t="s">
        <v>35</v>
      </c>
      <c r="Y20" s="9">
        <v>3</v>
      </c>
      <c r="Z20" s="9">
        <v>1</v>
      </c>
      <c r="AA20" s="9">
        <v>2</v>
      </c>
      <c r="AB20" s="9">
        <v>0</v>
      </c>
      <c r="AC20" s="85">
        <f>Y20+Z20</f>
        <v>4</v>
      </c>
      <c r="AD20" s="85">
        <f>AA20+AB20</f>
        <v>2</v>
      </c>
      <c r="AE20" s="61">
        <f>IF(AND(Y20="M",Z20="M"),0,(IF(AND(Y20="M",Z20&lt;&gt;"M"),1,(IF(AND(Y20&lt;&gt;"M",Z20="M"),2,(IF(Y20=Z20,0,(IF(Y20&gt;Z20,1,2)))))))))</f>
        <v>1</v>
      </c>
      <c r="AF20" s="61">
        <f>IF(AND(AA20="M",AB20="M"),0,(IF(AND(AA20="M",AB20&lt;&gt;"M"),1,(IF(AND(AA20&lt;&gt;"M",AB20="M"),2,(IF(AA20=AB20,0,(IF(AA20&gt;AB20,1,2)))))))))</f>
        <v>1</v>
      </c>
      <c r="AG20" s="8">
        <f>AG19+1</f>
        <v>19</v>
      </c>
      <c r="AH20">
        <f>IF(OR(AF20="",AE20=""),-1,IF(IFERROR(FIND(AH1,AE20,1),0)&gt;0,1,0))</f>
        <v>0</v>
      </c>
      <c r="AI20">
        <f>IF(OR(AF20="",AE20=""),-1,IF(IFERROR(FIND(AI1,AE20,1),0)&gt;0,1,0))</f>
        <v>0</v>
      </c>
      <c r="AJ20">
        <f>IF(OR(AF20="",AE20=""),-1,IF(IFERROR(FIND(AJ1,AE20,1),0)&gt;0,1,0))</f>
        <v>0</v>
      </c>
      <c r="AK20" s="74">
        <f>AK19-1</f>
        <v>2</v>
      </c>
      <c r="AL20">
        <f>IFERROR(VLOOKUP(AK20,AG2:AJ21,2),"")</f>
        <v>0</v>
      </c>
      <c r="AM20">
        <f>IFERROR(VLOOKUP(AK20,AG2:AJ21,3),"")</f>
        <v>0</v>
      </c>
      <c r="AN20">
        <f>IFERROR(VLOOKUP(AK20,AG2:AJ21,4),"")</f>
        <v>0</v>
      </c>
      <c r="AP20" s="86">
        <f>IF(AL20=-1,AP19,IF(AL20=0,0,IF(AL20=1,AP19+1)))</f>
        <v>0</v>
      </c>
      <c r="AQ20" s="86">
        <f>IF(AM20=-1,AQ19,IF(AM20=0,0,IF(AM20=1,AQ19+1)))</f>
        <v>0</v>
      </c>
      <c r="AR20" s="87">
        <f>IF(AN20=-1,AR19,IF(AN20=0,0,IF(AN20=1,AR19+1)))</f>
        <v>0</v>
      </c>
      <c r="AX20" s="11"/>
      <c r="BA20" s="8">
        <f>BA19+1</f>
        <v>19</v>
      </c>
      <c r="BB20">
        <f>IF(OR(AF20="",AE20=""),-1,IF(IFERROR(FIND(BB1,AF20,1),0)&gt;0,1,0))</f>
        <v>0</v>
      </c>
      <c r="BC20">
        <f>IF(OR(AF20="",AE20=""),-1,IF(IFERROR(FIND(BC1,AF20,1),0)&gt;0,1,0))</f>
        <v>0</v>
      </c>
      <c r="BD20">
        <f>IF(OR(AF20="",AE20=""),-1,IF(IFERROR(FIND(BD1,AF20,1),0)&gt;0,1,0))</f>
        <v>0</v>
      </c>
      <c r="BE20" s="74">
        <f>BE19-1</f>
        <v>2</v>
      </c>
      <c r="BF20">
        <f>IFERROR(VLOOKUP(BE20,BA2:BD21,2),"")</f>
        <v>0</v>
      </c>
      <c r="BG20">
        <f>IFERROR(VLOOKUP(BE20,BA2:BD21,3),"")</f>
        <v>0</v>
      </c>
      <c r="BH20">
        <f>IFERROR(VLOOKUP(BE20,BA2:BD21,4),"")</f>
        <v>0</v>
      </c>
      <c r="BJ20" s="86">
        <f>IF(BF20=-1,BJ19,IF(BF20=0,0,IF(BF20=1,BJ19+1)))</f>
        <v>0</v>
      </c>
      <c r="BK20" s="86">
        <f>IF(BG20=-1,BK19,IF(BG20=0,0,IF(BG20=1,BK19+1)))</f>
        <v>0</v>
      </c>
      <c r="BL20" s="86">
        <f>IF(BH20=-1,BL19,IF(BH20=0,0,IF(BH20=1,BL19+1)))</f>
        <v>0</v>
      </c>
      <c r="BR20" s="11"/>
      <c r="BV20">
        <v>4</v>
      </c>
      <c r="BW20">
        <f>AA18</f>
        <v>1</v>
      </c>
      <c r="BX20">
        <f>Z18</f>
        <v>0</v>
      </c>
      <c r="BY20" s="85">
        <f>BW7</f>
        <v>3</v>
      </c>
      <c r="BZ20" s="85">
        <f>BX7</f>
        <v>0</v>
      </c>
      <c r="CA20" s="61">
        <f>IF((BW20&gt;=3),"M",BW20)</f>
        <v>1</v>
      </c>
      <c r="CB20" s="61">
        <f>IF((BX20&gt;=3),"M",BX20)</f>
        <v>0</v>
      </c>
      <c r="CC20">
        <v>4</v>
      </c>
      <c r="CD20">
        <f>BW20</f>
        <v>1</v>
      </c>
      <c r="CE20">
        <f>BX20</f>
        <v>0</v>
      </c>
      <c r="CF20" s="85">
        <f>CD7</f>
        <v>3</v>
      </c>
      <c r="CG20" s="85">
        <f>CE7</f>
        <v>0</v>
      </c>
      <c r="CQ20">
        <v>4</v>
      </c>
      <c r="CR20">
        <f>AC18</f>
        <v>3</v>
      </c>
      <c r="CS20">
        <f>AD18</f>
        <v>3</v>
      </c>
      <c r="CT20" s="85">
        <f>CR7</f>
        <v>1</v>
      </c>
      <c r="CU20" s="85">
        <f>CS7</f>
        <v>5</v>
      </c>
      <c r="CV20" s="61"/>
      <c r="CW20" s="61"/>
      <c r="CX20">
        <v>4</v>
      </c>
      <c r="CY20">
        <f>CR20</f>
        <v>3</v>
      </c>
      <c r="CZ20">
        <f>CS20</f>
        <v>3</v>
      </c>
      <c r="DA20" s="85">
        <f>CY7</f>
        <v>1</v>
      </c>
      <c r="DB20" s="85">
        <f>CZ7</f>
        <v>5</v>
      </c>
    </row>
    <row r="21" spans="1:122" customHeight="1" ht="15.75">
      <c r="A21" s="104" t="s">
        <v>43</v>
      </c>
      <c r="B21" s="105" t="s">
        <v>44</v>
      </c>
      <c r="C21" s="145" t="s">
        <v>82</v>
      </c>
      <c r="D21" s="146" t="s">
        <v>78</v>
      </c>
      <c r="E21" s="147" t="s">
        <v>82</v>
      </c>
      <c r="F21" s="147" t="s">
        <v>78</v>
      </c>
      <c r="G21" s="148" t="s">
        <v>82</v>
      </c>
      <c r="H21" s="148" t="s">
        <v>78</v>
      </c>
      <c r="I21" s="149" t="s">
        <v>82</v>
      </c>
      <c r="J21" s="149" t="s">
        <v>78</v>
      </c>
      <c r="K21" s="150"/>
      <c r="L21" s="144"/>
      <c r="M21" s="129">
        <v>1</v>
      </c>
      <c r="N21" s="129" t="s">
        <v>42</v>
      </c>
      <c r="O21" s="129">
        <v>2</v>
      </c>
      <c r="U21" s="126">
        <f>U20+1</f>
        <v>20</v>
      </c>
      <c r="V21" t="s">
        <v>97</v>
      </c>
      <c r="W21" t="s">
        <v>72</v>
      </c>
      <c r="X21" t="s">
        <v>62</v>
      </c>
      <c r="Y21" s="9">
        <v>3</v>
      </c>
      <c r="Z21" s="9">
        <v>2</v>
      </c>
      <c r="AA21" s="9">
        <v>2</v>
      </c>
      <c r="AB21" s="9">
        <v>0</v>
      </c>
      <c r="AC21" s="85">
        <f>Y21+Z21</f>
        <v>5</v>
      </c>
      <c r="AD21" s="85">
        <f>AA21+AB21</f>
        <v>2</v>
      </c>
      <c r="AE21" s="61">
        <f>IF(AND(Y21="M",Z21="M"),0,(IF(AND(Y21="M",Z21&lt;&gt;"M"),1,(IF(AND(Y21&lt;&gt;"M",Z21="M"),2,(IF(Y21=Z21,0,(IF(Y21&gt;Z21,1,2)))))))))</f>
        <v>1</v>
      </c>
      <c r="AF21" s="61">
        <f>IF(AND(AA21="M",AB21="M"),0,(IF(AND(AA21="M",AB21&lt;&gt;"M"),1,(IF(AND(AA21&lt;&gt;"M",AB21="M"),2,(IF(AA21=AB21,0,(IF(AA21&gt;AB21,1,2)))))))))</f>
        <v>1</v>
      </c>
      <c r="AG21" s="16">
        <f>AG20+1</f>
        <v>20</v>
      </c>
      <c r="AH21" s="17">
        <f>IF(OR(AF21="",AE21=""),-1,IF(IFERROR(FIND(AH1,AE21,1),0)&gt;0,1,0))</f>
        <v>0</v>
      </c>
      <c r="AI21" s="17">
        <f>IF(OR(AF21="",AE21=""),-1,IF(IFERROR(FIND(AI1,AE21,1),0)&gt;0,1,0))</f>
        <v>0</v>
      </c>
      <c r="AJ21" s="17">
        <f>IF(OR(AF21="",AE21=""),-1,IF(IFERROR(FIND(AJ1,AE21,1),0)&gt;0,1,0))</f>
        <v>0</v>
      </c>
      <c r="AK21" s="151">
        <f>AK20-1</f>
        <v>1</v>
      </c>
      <c r="AL21" s="17">
        <f>IFERROR(VLOOKUP(AK21,AG2:AJ21,2),"")</f>
        <v>0</v>
      </c>
      <c r="AM21" s="17">
        <f>IFERROR(VLOOKUP(AK21,AG2:AJ21,3),"")</f>
        <v>0</v>
      </c>
      <c r="AN21" s="17">
        <f>IFERROR(VLOOKUP(AK21,AG2:AJ21,4),"")</f>
        <v>0</v>
      </c>
      <c r="AO21" s="17"/>
      <c r="AP21" s="152">
        <f>IF(AL21=-1,AP20,IF(AL21=0,0,IF(AL21=1,AP20+1)))</f>
        <v>0</v>
      </c>
      <c r="AQ21" s="152">
        <f>IF(AM21=-1,AQ20,IF(AM21=0,0,IF(AM21=1,AQ20+1)))</f>
        <v>0</v>
      </c>
      <c r="AR21" s="153">
        <f>IF(AN21=-1,AR20,IF(AN21=0,0,IF(AN21=1,AR20+1)))</f>
        <v>0</v>
      </c>
      <c r="AS21" s="17"/>
      <c r="AT21" s="17"/>
      <c r="AU21" s="17"/>
      <c r="AV21" s="17"/>
      <c r="AW21" s="17"/>
      <c r="AX21" s="18"/>
      <c r="BA21" s="16">
        <f>BA20+1</f>
        <v>20</v>
      </c>
      <c r="BB21" s="17">
        <f>IF(OR(AF21="",AE21=""),-1,IF(IFERROR(FIND(BB1,AF21,1),0)&gt;0,1,0))</f>
        <v>0</v>
      </c>
      <c r="BC21" s="17">
        <f>IF(OR(AF21="",AE21=""),-1,IF(IFERROR(FIND(BC1,AF21,1),0)&gt;0,1,0))</f>
        <v>0</v>
      </c>
      <c r="BD21" s="17">
        <f>IF(OR(AF21="",AE21=""),-1,IF(IFERROR(FIND(BD1,AF21,1),0)&gt;0,1,0))</f>
        <v>0</v>
      </c>
      <c r="BE21" s="151">
        <f>BE20-1</f>
        <v>1</v>
      </c>
      <c r="BF21" s="17">
        <f>IFERROR(VLOOKUP(BE21,BA2:BD21,2),"")</f>
        <v>0</v>
      </c>
      <c r="BG21" s="17">
        <f>IFERROR(VLOOKUP(BE21,BA2:BD21,3),"")</f>
        <v>0</v>
      </c>
      <c r="BH21" s="17">
        <f>IFERROR(VLOOKUP(BE21,BA2:BD21,4),"")</f>
        <v>0</v>
      </c>
      <c r="BI21" s="17"/>
      <c r="BJ21" s="152">
        <f>IF(BF21=-1,BJ20,IF(BF21=0,0,IF(BF21=1,BJ20+1)))</f>
        <v>0</v>
      </c>
      <c r="BK21" s="152">
        <f>IF(BG21=-1,BK20,IF(BG21=0,0,IF(BG21=1,BK20+1)))</f>
        <v>0</v>
      </c>
      <c r="BL21" s="152">
        <f>IF(BH21=-1,BL20,IF(BH21=0,0,IF(BH21=1,BL20+1)))</f>
        <v>0</v>
      </c>
      <c r="BM21" s="17"/>
      <c r="BN21" s="17"/>
      <c r="BO21" s="17"/>
      <c r="BP21" s="17"/>
      <c r="BQ21" s="17"/>
      <c r="BR21" s="18"/>
      <c r="BV21">
        <v>3</v>
      </c>
      <c r="BW21">
        <f>AA19</f>
        <v>1</v>
      </c>
      <c r="BX21">
        <f>Z19</f>
        <v>2</v>
      </c>
      <c r="BY21" s="85">
        <f>BW6</f>
        <v>2</v>
      </c>
      <c r="BZ21" s="85">
        <f>BX6</f>
        <v>7</v>
      </c>
      <c r="CA21" s="61">
        <f>IF((BW21&gt;=3),"M",BW21)</f>
        <v>1</v>
      </c>
      <c r="CB21" s="61">
        <f>IF((BX21&gt;=3),"M",BX21)</f>
        <v>2</v>
      </c>
      <c r="CC21">
        <v>3</v>
      </c>
      <c r="CD21">
        <f>BW21</f>
        <v>1</v>
      </c>
      <c r="CE21">
        <f>BX21</f>
        <v>2</v>
      </c>
      <c r="CF21" s="85">
        <f>CD6</f>
        <v>2</v>
      </c>
      <c r="CG21" s="85">
        <f>CE6</f>
        <v>7</v>
      </c>
      <c r="CQ21">
        <v>3</v>
      </c>
      <c r="CR21">
        <f>AC19</f>
        <v>5</v>
      </c>
      <c r="CS21">
        <f>AD19</f>
        <v>4</v>
      </c>
      <c r="CT21" s="85">
        <f>CR6</f>
        <v>7</v>
      </c>
      <c r="CU21" s="85">
        <f>CS6</f>
        <v>2</v>
      </c>
      <c r="CV21" s="61"/>
      <c r="CW21" s="61"/>
      <c r="CX21">
        <v>3</v>
      </c>
      <c r="CY21">
        <f>CR21</f>
        <v>5</v>
      </c>
      <c r="CZ21">
        <f>CS21</f>
        <v>4</v>
      </c>
      <c r="DA21" s="85">
        <f>CY6</f>
        <v>7</v>
      </c>
      <c r="DB21" s="85">
        <f>CZ6</f>
        <v>2</v>
      </c>
    </row>
    <row r="22" spans="1:122" customHeight="1" ht="15.75">
      <c r="A22" s="84">
        <f>A1</f>
        <v>4</v>
      </c>
      <c r="B22" s="61" t="str">
        <f>B1</f>
        <v>Torino - Udinese</v>
      </c>
      <c r="C22" s="115">
        <f>BF42</f>
        <v>22</v>
      </c>
      <c r="D22" s="61">
        <f>BF43</f>
        <v>25.01</v>
      </c>
      <c r="E22" s="154" t="str">
        <f>BG42</f>
        <v>0M</v>
      </c>
      <c r="F22" s="115">
        <f>BG43</f>
        <v>12.51</v>
      </c>
      <c r="G22" s="115" t="str">
        <f>BH42</f>
        <v>1M</v>
      </c>
      <c r="H22" s="61">
        <f>BH43</f>
        <v>12.51</v>
      </c>
      <c r="I22" s="115" t="str">
        <f>BI42</f>
        <v>2M</v>
      </c>
      <c r="J22" s="155">
        <f>BI43</f>
        <v>12.51</v>
      </c>
      <c r="K22" s="61"/>
      <c r="L22" s="144"/>
      <c r="M22" s="129">
        <f>BC36</f>
        <v>25.001</v>
      </c>
      <c r="N22" s="129">
        <f>BD36</f>
        <v>25.001</v>
      </c>
      <c r="O22" s="129">
        <f>BE36</f>
        <v>50.001</v>
      </c>
      <c r="V22" s="12"/>
      <c r="AE22" s="61"/>
      <c r="AF22" s="61"/>
      <c r="AS22" s="127"/>
      <c r="AT22" s="127"/>
      <c r="AU22" s="127"/>
      <c r="AV22" s="127"/>
      <c r="AW22" s="127"/>
      <c r="AX22" s="128"/>
      <c r="BV22">
        <v>2</v>
      </c>
      <c r="BW22">
        <f>AA20</f>
        <v>2</v>
      </c>
      <c r="BX22">
        <f>Z20</f>
        <v>1</v>
      </c>
      <c r="BY22" s="85">
        <f>BW5</f>
        <v>1</v>
      </c>
      <c r="BZ22" s="85">
        <f>BX5</f>
        <v>3</v>
      </c>
      <c r="CA22" s="61">
        <f>IF((BW22&gt;=3),"M",BW22)</f>
        <v>2</v>
      </c>
      <c r="CB22" s="61">
        <f>IF((BX22&gt;=3),"M",BX22)</f>
        <v>1</v>
      </c>
      <c r="CC22">
        <v>2</v>
      </c>
      <c r="CD22">
        <f>BW22</f>
        <v>2</v>
      </c>
      <c r="CE22">
        <f>BX22</f>
        <v>1</v>
      </c>
      <c r="CF22" s="85">
        <f>CD5</f>
        <v>1</v>
      </c>
      <c r="CG22" s="85">
        <f>CE5</f>
        <v>3</v>
      </c>
      <c r="CQ22">
        <v>2</v>
      </c>
      <c r="CR22">
        <f>AC20</f>
        <v>4</v>
      </c>
      <c r="CS22">
        <f>AD20</f>
        <v>2</v>
      </c>
      <c r="CT22" s="85">
        <f>CR5</f>
        <v>4</v>
      </c>
      <c r="CU22" s="85">
        <f>CS5</f>
        <v>2</v>
      </c>
      <c r="CV22" s="61"/>
      <c r="CW22" s="61"/>
      <c r="CX22">
        <v>2</v>
      </c>
      <c r="CY22">
        <f>CR22</f>
        <v>4</v>
      </c>
      <c r="CZ22">
        <f>CS22</f>
        <v>2</v>
      </c>
      <c r="DA22" s="85">
        <f>CY5</f>
        <v>4</v>
      </c>
      <c r="DB22" s="85">
        <f>CZ5</f>
        <v>2</v>
      </c>
    </row>
    <row r="23" spans="1:122">
      <c r="A23" s="84"/>
      <c r="E23" s="61"/>
      <c r="F23" s="61"/>
      <c r="G23" s="61"/>
      <c r="H23" s="61"/>
      <c r="I23" s="61"/>
      <c r="J23" s="61"/>
      <c r="K23" s="61"/>
      <c r="L23" s="144"/>
      <c r="M23" s="61"/>
      <c r="V23" s="85" t="str">
        <f>W1&amp;"-"&amp;X1</f>
        <v>Torino-Udinese</v>
      </c>
      <c r="W23" s="156" t="s">
        <v>98</v>
      </c>
      <c r="X23" s="157" t="str">
        <f>"MAXIMA DE VICTORIA SEGUIDAS COMO LOCAL  DE "&amp;W1&amp;"  A  "&amp;AW4&amp;"  Y CONTANDO CON  "&amp;AX4&amp;"VICTORIA SEGUIDOS"&amp;X28</f>
        <v>MAXIMA DE VICTORIA SEGUIDAS COMO LOCAL  DE Torino  A  0  Y CONTANDO CON  0VICTORIA SEGUIDOSHAY POCA MARGIN PARA ANTICIPAR OTRA VICTORIA DE LOCAL</v>
      </c>
      <c r="Y23" s="70"/>
      <c r="Z23" s="70" t="s">
        <v>1</v>
      </c>
      <c r="AA23" s="70">
        <f>IF(AA2&gt;0,1,0)</f>
        <v>1</v>
      </c>
      <c r="AB23" s="70">
        <f>IF(AA3&gt;0,1,0)</f>
        <v>1</v>
      </c>
      <c r="AC23" s="70">
        <f>IF(AA4&gt;0,1,0)</f>
        <v>1</v>
      </c>
      <c r="AD23" s="70">
        <f>IF(AA5&gt;0,1,0)</f>
        <v>1</v>
      </c>
      <c r="AE23" s="119">
        <f>IF(AA6&gt;0,1,0)</f>
        <v>1</v>
      </c>
      <c r="AF23" s="119">
        <f>IF(AA7&gt;0,1,0)</f>
        <v>0</v>
      </c>
      <c r="AG23" s="70">
        <f>IF(AA8&gt;0,1,0)</f>
        <v>1</v>
      </c>
      <c r="AH23" s="70">
        <f>IF(AA9&gt;0,1,0)</f>
        <v>1</v>
      </c>
      <c r="AI23" s="70">
        <f>IF(AA10&gt;0,1,0)</f>
        <v>1</v>
      </c>
      <c r="AJ23" s="70">
        <f>IF(AA11&gt;0,1,0)</f>
        <v>1</v>
      </c>
      <c r="AK23" s="70">
        <f>IF(AA12&gt;0,1,0)</f>
        <v>1</v>
      </c>
      <c r="AL23" s="70">
        <f>IF(AA13&gt;0,1,0)</f>
        <v>1</v>
      </c>
      <c r="AM23" s="70">
        <f>IF(AA14&gt;0,1,0)</f>
        <v>0</v>
      </c>
      <c r="AN23" s="70">
        <f>IF(AA15&gt;0,1,0)</f>
        <v>1</v>
      </c>
      <c r="AO23" s="70">
        <f>IF(AA16&gt;0,1,0)</f>
        <v>0</v>
      </c>
      <c r="AP23" s="70">
        <f>IF(AA17&gt;0,1,0)</f>
        <v>1</v>
      </c>
      <c r="AQ23" s="71"/>
      <c r="AR23" s="158"/>
      <c r="AS23" s="70" t="s">
        <v>99</v>
      </c>
      <c r="AT23" s="70" t="s">
        <v>100</v>
      </c>
      <c r="AU23" s="70" t="s">
        <v>101</v>
      </c>
      <c r="AV23" s="70"/>
      <c r="AW23" s="70"/>
      <c r="AY23" s="95">
        <v>1</v>
      </c>
      <c r="AZ23" s="95" t="s">
        <v>42</v>
      </c>
      <c r="BA23" s="95">
        <v>2</v>
      </c>
      <c r="BB23" t="s">
        <v>59</v>
      </c>
      <c r="BC23" s="93" t="s">
        <v>46</v>
      </c>
      <c r="BD23" s="95" t="s">
        <v>47</v>
      </c>
      <c r="BV23">
        <v>1</v>
      </c>
      <c r="BW23">
        <f>AA21</f>
        <v>2</v>
      </c>
      <c r="BX23">
        <f>Z21</f>
        <v>2</v>
      </c>
      <c r="BY23" s="85">
        <f>BW4</f>
        <v>1</v>
      </c>
      <c r="BZ23" s="85">
        <f>BX4</f>
        <v>1</v>
      </c>
      <c r="CA23" s="61">
        <f>IF((BW23&gt;=3),"M",BW23)</f>
        <v>2</v>
      </c>
      <c r="CB23" s="61">
        <f>IF((BX23&gt;=3),"M",BX23)</f>
        <v>2</v>
      </c>
      <c r="CC23">
        <v>1</v>
      </c>
      <c r="CD23">
        <f>BW23</f>
        <v>2</v>
      </c>
      <c r="CE23">
        <f>BX23</f>
        <v>2</v>
      </c>
      <c r="CF23" s="85">
        <f>CD4</f>
        <v>1</v>
      </c>
      <c r="CG23" s="85">
        <f>CE4</f>
        <v>1</v>
      </c>
      <c r="CQ23">
        <v>1</v>
      </c>
      <c r="CR23">
        <f>AC21</f>
        <v>5</v>
      </c>
      <c r="CS23">
        <f>AD21</f>
        <v>2</v>
      </c>
      <c r="CT23" s="85">
        <f>CR4</f>
        <v>2</v>
      </c>
      <c r="CU23" s="85">
        <f>CS4</f>
        <v>2</v>
      </c>
      <c r="CV23" s="61"/>
      <c r="CW23" s="61"/>
      <c r="CX23">
        <v>1</v>
      </c>
      <c r="CY23">
        <f>CR23</f>
        <v>5</v>
      </c>
      <c r="CZ23">
        <f>CS23</f>
        <v>2</v>
      </c>
      <c r="DA23" s="85">
        <f>CY4</f>
        <v>2</v>
      </c>
      <c r="DB23" s="85">
        <f>CZ4</f>
        <v>2</v>
      </c>
    </row>
    <row r="24" spans="1:122">
      <c r="A24" s="133"/>
      <c r="B24" s="80" t="s">
        <v>102</v>
      </c>
      <c r="C24" s="106" t="s">
        <v>37</v>
      </c>
      <c r="D24" s="80"/>
      <c r="E24" s="106" t="s">
        <v>92</v>
      </c>
      <c r="F24" s="80"/>
      <c r="G24" s="106" t="s">
        <v>93</v>
      </c>
      <c r="H24" s="109"/>
      <c r="I24" s="109" t="s">
        <v>94</v>
      </c>
      <c r="J24" s="109"/>
      <c r="K24" s="61"/>
      <c r="L24" s="144"/>
      <c r="M24" s="61"/>
      <c r="V24" s="85" t="str">
        <f>W1</f>
        <v>Torino</v>
      </c>
      <c r="W24" s="84" t="s">
        <v>98</v>
      </c>
      <c r="X24" s="159" t="str">
        <f>"MAXIMA DE VICTORIA SEGUIDAS COMO VISITANTE DE "&amp;X1&amp;"  A  "&amp;BQ4&amp;"  Y CONTANDO CON  "&amp;BR4&amp;"   VICTORIA SEGUIDOS"&amp;X28</f>
        <v>MAXIMA DE VICTORIA SEGUIDAS COMO VISITANTE DE Udinese  A  0  Y CONTANDO CON  0   VICTORIA SEGUIDOSHAY POCA MARGIN PARA ANTICIPAR OTRA VICTORIA DE LOCAL</v>
      </c>
      <c r="Z24" t="s">
        <v>2</v>
      </c>
      <c r="AA24">
        <f>IF(Z2&gt;0,1,0)</f>
        <v>1</v>
      </c>
      <c r="AB24">
        <f>IF(Z3&gt;0,1,0)</f>
        <v>1</v>
      </c>
      <c r="AC24">
        <f>IF(Z4&gt;0,1,0)</f>
        <v>1</v>
      </c>
      <c r="AD24">
        <f>IF(Z5&gt;0,1,0)</f>
        <v>0</v>
      </c>
      <c r="AE24" s="61">
        <f>IF(Z6&gt;0,1,0)</f>
        <v>1</v>
      </c>
      <c r="AF24" s="61">
        <f>IF(Z7&gt;0,1,0)</f>
        <v>1</v>
      </c>
      <c r="AG24">
        <f>IF(Z8&gt;0,1,0)</f>
        <v>1</v>
      </c>
      <c r="AH24">
        <f>IF(Z9&gt;0,1,0)</f>
        <v>1</v>
      </c>
      <c r="AI24">
        <f>IF(Z10&gt;0,1,0)</f>
        <v>1</v>
      </c>
      <c r="AJ24">
        <f>IF(Z11&gt;0,1,0)</f>
        <v>1</v>
      </c>
      <c r="AK24">
        <f>IF(Z12&gt;0,1,0)</f>
        <v>0</v>
      </c>
      <c r="AL24">
        <f>IF(Z13&gt;0,1,0)</f>
        <v>1</v>
      </c>
      <c r="AM24">
        <f>IF(Z14&gt;0,1,0)</f>
        <v>1</v>
      </c>
      <c r="AN24">
        <f>IF(Z15&gt;0,1,0)</f>
        <v>1</v>
      </c>
      <c r="AO24">
        <f>IF(Z16&gt;0,1,0)</f>
        <v>1</v>
      </c>
      <c r="AP24">
        <f>IF(Z17&gt;0,1,0)</f>
        <v>0</v>
      </c>
      <c r="AQ24" s="74"/>
      <c r="AR24" s="160"/>
      <c r="AS24" s="131">
        <v>0</v>
      </c>
      <c r="AT24">
        <f>COUNTIF($AA$2:$AA$17,AS24)</f>
        <v>3</v>
      </c>
      <c r="AU24">
        <f>COUNTIF($Z$2:$Z$17,AS24)</f>
        <v>3</v>
      </c>
      <c r="AX24" s="161" t="str">
        <f>V23</f>
        <v>Torino-Udinese</v>
      </c>
      <c r="AY24" s="162">
        <f>((AS9+BM9)/(AS9+AT9+AU9+BM9+BN9+BO9))*100</f>
        <v>52.5</v>
      </c>
      <c r="AZ24" s="162">
        <f>((AT9+BN9)/(AS9+AT9+AU9+BM9+BN9+BO9))*100</f>
        <v>17.5</v>
      </c>
      <c r="BA24" s="162">
        <f>((AU9+BO9)/(AS9+AT9+AU9+BM9+BN9+BO9))*100</f>
        <v>30</v>
      </c>
      <c r="BB24" s="121" t="str">
        <f>IF(AND(AY24&gt;AZ24,AY24&gt;BA24),"1",IF(AND(AZ24&gt;AY24,AZ24&gt;BA24),"X",IF(AND(BA24&gt;AY24,BA24&gt;AZ24),"2",IF(AND(AY24=AZ24,AY24=BA24),"1X2",IF(AND(AY24=AZ24,AY24&gt;BA24),"1X",IF(AND(AZ24=BA24,AZ24&gt;AY24),"X2","1 2"))))))</f>
        <v>1</v>
      </c>
      <c r="BC24" s="163" t="str">
        <f>IF(AND((AY24+AZ24)&gt;(AY24+BA24),(AY24+AZ24)&gt;(AZ24+BA24)),"1X",IF(AND((AY24+BA24)&gt;(AY24+AZ24),(AY24+BA24)&gt;(AZ24+BA24)),"12",IF(AND((AZ24+BA24)&gt;(AY24+AZ24),(AZ24+BA24)&gt;(AY24+BA24)),"X2",IF(AND((AY24+AZ24)=(AY24+BA24),(AY24+AZ24)=(AZ24+BA24)),"1X2","1X2"))))</f>
        <v>12</v>
      </c>
      <c r="BV24" s="85">
        <v>21</v>
      </c>
      <c r="BW24">
        <f>IF(FORECAST(BW4,BW4:BW23,BX4:BX23)&lt;=0,0,FORECAST(BW4,BW4:BW23,BX4:BX23))</f>
        <v>2.1393442622951</v>
      </c>
      <c r="BX24">
        <f>IF(FORECAST(BX4,BX4:BX23,BW4:BW23)&lt;=0,0,FORECAST(BX4,BX4:BX23,BW4:BW23))</f>
        <v>1.8662420382166</v>
      </c>
      <c r="BY24">
        <f>ROUND(BW24,0)</f>
        <v>2</v>
      </c>
      <c r="BZ24">
        <f>ROUND(BX24,0)</f>
        <v>2</v>
      </c>
      <c r="CA24" s="61">
        <f>IF((BY24&gt;=3),"M",BY24)</f>
        <v>2</v>
      </c>
      <c r="CB24" s="61">
        <f>IF((BZ24&gt;=3),"M",BZ24)</f>
        <v>2</v>
      </c>
      <c r="CC24" s="85">
        <v>21</v>
      </c>
      <c r="CD24" s="164">
        <f>IF(FORECAST(CC24,CD4:CD23,CC4:CC23)&lt;=0,0,FORECAST(CC24,CD4:CD23,CC4:CC23))</f>
        <v>2.1947368421053</v>
      </c>
      <c r="CE24" s="164">
        <f>IF(FORECAST(CC24,CE4:CE23,CC4:CC23)&lt;=0,0,FORECAST(CC24,CE4:CE23,CC4:CC23))</f>
        <v>2.3736842105263</v>
      </c>
      <c r="CF24">
        <f>ROUND(CD24,0)</f>
        <v>2</v>
      </c>
      <c r="CG24">
        <f>ROUND(CE24,0)</f>
        <v>2</v>
      </c>
      <c r="CH24" s="61">
        <f>IF((CF24&gt;=3),"M",CF24)</f>
        <v>2</v>
      </c>
      <c r="CI24" s="61">
        <f>IF((CG24&gt;=3),"M",CG24)</f>
        <v>2</v>
      </c>
      <c r="CQ24" s="85">
        <v>21</v>
      </c>
      <c r="CR24">
        <f>IF(FORECAST(CR4,CR4:CR23,CS4:CS23)&lt;=0,0,FORECAST(CR4,CR4:CR23,CS4:CS23))</f>
        <v>3.5329153605016</v>
      </c>
      <c r="CS24">
        <f>IF(FORECAST(CS4,CS4:CS23,CR4:CR23)&lt;=0,0,FORECAST(CS4,CS4:CS23,CR4:CR23))</f>
        <v>3.4323308270677</v>
      </c>
      <c r="CT24">
        <f>ROUND(CR24,0)</f>
        <v>4</v>
      </c>
      <c r="CU24">
        <f>ROUND(CS24,0)</f>
        <v>3</v>
      </c>
      <c r="CV24" s="61"/>
      <c r="CW24" s="61"/>
      <c r="CX24" s="85">
        <v>21</v>
      </c>
      <c r="CY24" s="164">
        <f>IF(FORECAST(CX24,CY4:CY23,CX4:CX23)&lt;=0,0,FORECAST(CX24,CY4:CY23,CX4:CX23))</f>
        <v>2.3473684210526</v>
      </c>
      <c r="CZ24" s="164">
        <f>IF(FORECAST(CX24,CZ4:CZ23,CX4:CX23)&lt;=0,0,FORECAST(CX24,CZ4:CZ23,CX4:CX23))</f>
        <v>3.0105263157895</v>
      </c>
      <c r="DA24">
        <f>ROUND(CY24,0)</f>
        <v>2</v>
      </c>
      <c r="DB24">
        <f>ROUND(CZ24,0)</f>
        <v>3</v>
      </c>
    </row>
    <row r="25" spans="1:122">
      <c r="A25" s="104" t="s">
        <v>43</v>
      </c>
      <c r="B25" s="105" t="s">
        <v>44</v>
      </c>
      <c r="C25" s="145" t="str">
        <f>"+2,5"</f>
        <v>+2,5</v>
      </c>
      <c r="D25" s="146" t="s">
        <v>78</v>
      </c>
      <c r="E25" s="142" t="s">
        <v>92</v>
      </c>
      <c r="F25" s="142" t="s">
        <v>78</v>
      </c>
      <c r="G25" s="148" t="s">
        <v>93</v>
      </c>
      <c r="H25" s="148" t="s">
        <v>78</v>
      </c>
      <c r="I25" s="149" t="s">
        <v>94</v>
      </c>
      <c r="J25" s="149" t="s">
        <v>78</v>
      </c>
      <c r="K25" s="61"/>
      <c r="L25" s="144"/>
      <c r="M25" s="61"/>
      <c r="V25" s="85" t="str">
        <f>V1</f>
        <v>Main→</v>
      </c>
      <c r="W25" s="165" t="s">
        <v>103</v>
      </c>
      <c r="X25" t="s">
        <v>104</v>
      </c>
      <c r="Y25" s="20" t="s">
        <v>105</v>
      </c>
      <c r="Z25" t="s">
        <v>106</v>
      </c>
      <c r="AA25">
        <f>IF(OR(AA23=0,AA24=0),0,1)</f>
        <v>1</v>
      </c>
      <c r="AB25">
        <f>IF(OR(AB23=0,AB24=0),0,1)</f>
        <v>1</v>
      </c>
      <c r="AC25">
        <f>IF(OR(AC23=0,AC24=0),0,1)</f>
        <v>1</v>
      </c>
      <c r="AD25">
        <f>IF(OR(AD23=0,AD24=0),0,1)</f>
        <v>0</v>
      </c>
      <c r="AE25">
        <f>IF(OR(AE23=0,AE24=0),0,1)</f>
        <v>1</v>
      </c>
      <c r="AF25">
        <f>IF(OR(AF23=0,AF24=0),0,1)</f>
        <v>0</v>
      </c>
      <c r="AG25">
        <f>IF(OR(AG23=0,AG24=0),0,1)</f>
        <v>1</v>
      </c>
      <c r="AH25">
        <f>IF(OR(AH23=0,AH24=0),0,1)</f>
        <v>1</v>
      </c>
      <c r="AI25">
        <f>IF(OR(AI23=0,AI24=0),0,1)</f>
        <v>1</v>
      </c>
      <c r="AJ25">
        <f>IF(OR(AJ23=0,AJ24=0),0,1)</f>
        <v>1</v>
      </c>
      <c r="AK25">
        <f>IF(OR(AK23=0,AK24=0),0,1)</f>
        <v>0</v>
      </c>
      <c r="AL25">
        <f>IF(OR(AL23=0,AL24=0),0,1)</f>
        <v>1</v>
      </c>
      <c r="AM25">
        <f>IF(OR(AM23=0,AM24=0),0,1)</f>
        <v>0</v>
      </c>
      <c r="AN25">
        <f>IF(OR(AN23=0,AN24=0),0,1)</f>
        <v>1</v>
      </c>
      <c r="AO25">
        <f>IF(OR(AO23=0,AO24=0),0,1)</f>
        <v>0</v>
      </c>
      <c r="AP25">
        <f>IF(OR(AP23=0,AP24=0),0,1)</f>
        <v>0</v>
      </c>
      <c r="AR25" s="166"/>
      <c r="AS25" s="131">
        <v>1</v>
      </c>
      <c r="AT25">
        <f>COUNTIF($AA$2:$AA$17,AS25)</f>
        <v>5</v>
      </c>
      <c r="AU25">
        <f>COUNTIF($Z$2:$Z$17,AS25)</f>
        <v>7</v>
      </c>
      <c r="BW25">
        <f>IF(FORECAST(BW7,BW4:BW23,BX4:BX23)&lt;=0,0,FORECAST(BW7,BW4:BW23,BX4:BX23))</f>
        <v>1.5081967213115</v>
      </c>
      <c r="BX25">
        <f>IF(FORECAST(BX5,BX5:BX24,BW5:BW24)&lt;=0,0,FORECAST(BX5,BX5:BX24,BW5:BW24))</f>
        <v>1.3497516944638</v>
      </c>
      <c r="BY25">
        <f>ROUND(BW25,0)</f>
        <v>2</v>
      </c>
      <c r="BZ25">
        <f>ROUND(BX25,0)</f>
        <v>1</v>
      </c>
      <c r="CA25" s="61">
        <f>IF((BY25&gt;=3),"M",BY25)</f>
        <v>2</v>
      </c>
      <c r="CB25" s="61">
        <f>IF((BZ25&gt;=3),"M",BZ25)</f>
        <v>1</v>
      </c>
      <c r="CD25" s="164">
        <f>IF(FORECAST(CC24,CD4:CD19,CC4:CC19)&lt;=0,0,FORECAST(CC24,CD4:CD19,CC4:CC19))</f>
        <v>2.05</v>
      </c>
      <c r="CE25" s="164">
        <f>IF(FORECAST(CC24,CE4:CE19,CC4:CC19)&lt;=0,0,FORECAST(CC24,CE4:CE19,CC4:CC19))</f>
        <v>2.625</v>
      </c>
      <c r="CF25">
        <f>ROUND(CD25,0)</f>
        <v>2</v>
      </c>
      <c r="CG25">
        <f>ROUND(CE25,0)</f>
        <v>3</v>
      </c>
      <c r="CH25" s="61">
        <f>IF((CF25&gt;=3),"M",CF25)</f>
        <v>2</v>
      </c>
      <c r="CI25" s="61" t="str">
        <f>IF((CG25&gt;=3),"M",CG25)</f>
        <v>M</v>
      </c>
      <c r="CR25">
        <f>IF(FORECAST(CR7,CR4:CR23,CS4:CS23)&lt;=0,0,FORECAST(CR7,CR4:CR23,CS4:CS23))</f>
        <v>3.9028213166144</v>
      </c>
      <c r="CS25">
        <f>IF(FORECAST(CS7,CS4:CS23,CR4:CR23)&lt;=0,0,FORECAST(CS7,CS4:CS23,CR4:CR23))</f>
        <v>2.1015037593985</v>
      </c>
      <c r="CT25">
        <f>ROUND(CR25,0)</f>
        <v>4</v>
      </c>
      <c r="CU25">
        <f>ROUND(CS25,0)</f>
        <v>2</v>
      </c>
      <c r="CV25" s="61"/>
      <c r="CW25" s="61"/>
      <c r="CY25" s="164">
        <f>IF(FORECAST(CX24,CY4:CY19,CX4:CX19)&lt;=0,0,FORECAST(CX24,CY4:CY19,CX4:CX19))</f>
        <v>2.7</v>
      </c>
      <c r="CZ25" s="164">
        <f>IF(FORECAST(CX24,CZ4:CZ19,CX4:CX19)&lt;=0,0,FORECAST(CX24,CZ4:CZ19,CX4:CX19))</f>
        <v>2.9</v>
      </c>
      <c r="DA25">
        <f>ROUND(CY25,0)</f>
        <v>3</v>
      </c>
      <c r="DB25">
        <f>ROUND(CZ25,0)</f>
        <v>3</v>
      </c>
    </row>
    <row r="26" spans="1:122">
      <c r="A26" s="84">
        <f>A1</f>
        <v>4</v>
      </c>
      <c r="B26" s="61" t="str">
        <f>B1</f>
        <v>Torino - Udinese</v>
      </c>
      <c r="C26" s="115" t="str">
        <f>"+2,5"</f>
        <v>+2,5</v>
      </c>
      <c r="D26">
        <f>BR46</f>
        <v>37.5</v>
      </c>
      <c r="E26" s="115">
        <f>BF45</f>
        <v>3</v>
      </c>
      <c r="F26" s="115">
        <f>BF46</f>
        <v>37.5</v>
      </c>
      <c r="G26" s="115">
        <f>BG45</f>
        <v>2</v>
      </c>
      <c r="H26" s="61">
        <f>BG46</f>
        <v>31.25</v>
      </c>
      <c r="I26" s="115">
        <f>BH45</f>
        <v>4</v>
      </c>
      <c r="J26" s="155">
        <f>BH46</f>
        <v>25</v>
      </c>
      <c r="K26" s="61"/>
      <c r="L26" s="144"/>
      <c r="M26" s="61"/>
      <c r="V26" s="12"/>
      <c r="W26" s="84"/>
      <c r="Y26" t="str">
        <f>Y2&amp;"-"&amp;Z2</f>
        <v>1-1</v>
      </c>
      <c r="Z26" t="str">
        <f>Y3&amp;"-"&amp;Z3</f>
        <v>1-3</v>
      </c>
      <c r="AA26" t="str">
        <f>Y4&amp;"-"&amp;Z4</f>
        <v>0-7</v>
      </c>
      <c r="AB26" t="str">
        <f>Y5&amp;"-"&amp;Z5</f>
        <v>1-0</v>
      </c>
      <c r="AC26" t="str">
        <f>Y6&amp;"-"&amp;Z6</f>
        <v>1-1</v>
      </c>
      <c r="AD26" t="str">
        <f>Y7&amp;"-"&amp;Z7</f>
        <v>1-2</v>
      </c>
      <c r="AE26" t="str">
        <f>Y8&amp;"-"&amp;Z8</f>
        <v>2-1</v>
      </c>
      <c r="AF26" t="str">
        <f>Y9&amp;"-"&amp;Z9</f>
        <v>0-3</v>
      </c>
      <c r="AG26" t="str">
        <f>Y10&amp;"-"&amp;Z10</f>
        <v>0-1</v>
      </c>
      <c r="AH26" t="str">
        <f>Y11&amp;"-"&amp;Z11</f>
        <v>1-1</v>
      </c>
      <c r="AR26" s="166"/>
      <c r="AS26" s="131">
        <v>2</v>
      </c>
      <c r="AT26">
        <f>COUNTIF($AA$2:$AA$17,AS26)</f>
        <v>2</v>
      </c>
      <c r="AU26">
        <f>COUNTIF($Z$2:$Z$17,AS26)</f>
        <v>2</v>
      </c>
      <c r="BW26">
        <f>IF(FORECAST(BW11,BW4:BW23,BX4:BX23)&lt;=0,0,FORECAST(BW11,BW4:BW23,BX4:BX23))</f>
        <v>1.5081967213115</v>
      </c>
      <c r="BX26">
        <f>IF(FORECAST(BX6,BX6:BX25,BW6:BW25)&lt;=0,0,FORECAST(BX6,BX6:BX25,BW6:BW25))</f>
        <v>0.21585059253665</v>
      </c>
      <c r="BY26">
        <f>ROUND(BW26,0)</f>
        <v>2</v>
      </c>
      <c r="BZ26">
        <f>ROUND(BX26,0)</f>
        <v>0</v>
      </c>
      <c r="CA26" s="61">
        <f>IF((BY26&gt;=3),"M",BY26)</f>
        <v>2</v>
      </c>
      <c r="CB26" s="61">
        <f>IF((BZ26&gt;=3),"M",BZ26)</f>
        <v>0</v>
      </c>
      <c r="CD26" s="164">
        <f>IF(FORECAST(CC24,CD4:CD11,CC4:CC11)&lt;=0,0,FORECAST(CC24,CD4:CD11,CC4:CC11))</f>
        <v>1.1071428571429</v>
      </c>
      <c r="CE26" s="164">
        <f>IF(FORECAST(CC24,CE4:CE11,CC4:CC11)&lt;=0,0,FORECAST(CC24,CE4:CE11,CC4:CC11))</f>
        <v>2.7857142857143</v>
      </c>
      <c r="CF26">
        <f>ROUND(CD26,0)</f>
        <v>1</v>
      </c>
      <c r="CG26">
        <f>ROUND(CE26,0)</f>
        <v>3</v>
      </c>
      <c r="CH26" s="61">
        <f>IF((CF26&gt;=3),"M",CF26)</f>
        <v>1</v>
      </c>
      <c r="CI26" s="61" t="str">
        <f>IF((CG26&gt;=3),"M",CG26)</f>
        <v>M</v>
      </c>
      <c r="CR26">
        <f>IF(FORECAST(CR11,CR4:CR23,CS4:CS23)&lt;=0,0,FORECAST(CR11,CR4:CR23,CS4:CS23))</f>
        <v>3.1630094043887</v>
      </c>
      <c r="CS26">
        <f>IF(FORECAST(CS11,CS4:CS23,CR4:CR23)&lt;=0,0,FORECAST(CS11,CS4:CS23,CR4:CR23))</f>
        <v>2.9887218045113</v>
      </c>
      <c r="CT26">
        <f>ROUND(CR26,0)</f>
        <v>3</v>
      </c>
      <c r="CU26">
        <f>ROUND(CS26,0)</f>
        <v>3</v>
      </c>
      <c r="CV26" s="61"/>
      <c r="CW26" s="61"/>
      <c r="CY26" s="164">
        <f>IF(FORECAST(CX24,CY4:CY11,CX4:CX11)&lt;=0,0,FORECAST(CX24,CY4:CY11,CX4:CX11))</f>
        <v>3.6071428571429</v>
      </c>
      <c r="CZ26" s="164">
        <f>IF(FORECAST(CX24,CZ4:CZ11,CX4:CX11)&lt;=0,0,FORECAST(CX24,CZ4:CZ11,CX4:CX11))</f>
        <v>2.1785714285714</v>
      </c>
      <c r="DA26">
        <f>ROUND(CY26,0)</f>
        <v>4</v>
      </c>
      <c r="DB26">
        <f>ROUND(CZ26,0)</f>
        <v>2</v>
      </c>
    </row>
    <row r="27" spans="1:122" customHeight="1" ht="15.75">
      <c r="A27" s="84"/>
      <c r="C27" s="115"/>
      <c r="D27" s="61"/>
      <c r="E27" s="115"/>
      <c r="F27" s="61"/>
      <c r="G27" s="115"/>
      <c r="H27" s="61"/>
      <c r="I27" s="115"/>
      <c r="J27" s="61"/>
      <c r="K27" s="61"/>
      <c r="L27" s="144"/>
      <c r="M27" s="61"/>
      <c r="V27" s="12"/>
      <c r="W27" s="165" t="s">
        <v>103</v>
      </c>
      <c r="X27" t="str">
        <f>W1</f>
        <v>Torino</v>
      </c>
      <c r="Y27" s="167" t="str">
        <f>IF(AND(Y2="M",Z2="M"),"D",(IF(AND(Y2="M",Z2&lt;&gt;"M"),"W",(IF(AND(Y2&lt;&gt;"M",Z2="M"),"lL",(IF(Y2=Z2,"D",(IF(Y2&gt;Z2,"W","L")))))))))</f>
        <v>D</v>
      </c>
      <c r="Z27" s="167" t="str">
        <f>IF(AND(Y3="M",Z3="M"),"D",(IF(AND(Y3="M",Z3&lt;&gt;"M"),"W",(IF(AND(Y3&lt;&gt;"M",Z3="M"),"lL",(IF(Y3=Z3,"D",(IF(Y3&gt;Z3,"W","L")))))))))</f>
        <v>L</v>
      </c>
      <c r="AA27" s="167" t="str">
        <f>IF(AND(Y4="M",Z4="M"),"D",(IF(AND(Y4="M",Z4&lt;&gt;"M"),"W",(IF(AND(Y4&lt;&gt;"M",Z4="M"),"lL",(IF(Y4=Z4,"D",(IF(Y4&gt;Z4,"W","L")))))))))</f>
        <v>L</v>
      </c>
      <c r="AB27" s="167" t="str">
        <f>IF(AND(Y5="M",Z5="M"),"D",(IF(AND(Y5="M",Z5&lt;&gt;"M"),"W",(IF(AND(Y5&lt;&gt;"M",Z5="M"),"lL",(IF(Y5=Z5,"D",(IF(Y5&gt;Z5,"W","L")))))))))</f>
        <v>W</v>
      </c>
      <c r="AC27" s="167" t="str">
        <f>IF(AND(Y6="M",Z6="M"),"D",(IF(AND(Y6="M",Z6&lt;&gt;"M"),"W",(IF(AND(Y6&lt;&gt;"M",Z6="M"),"lL",(IF(Y6=Z6,"D",(IF(Y6&gt;Z6,"W","L")))))))))</f>
        <v>D</v>
      </c>
      <c r="AD27" s="167" t="str">
        <f>IF(AND(Y7="M",Z7="M"),"D",(IF(AND(Y7="M",Z7&lt;&gt;"M"),"W",(IF(AND(Y7&lt;&gt;"M",Z7="M"),"lL",(IF(Y7=Z7,"D",(IF(Y7&gt;Z7,"W","L")))))))))</f>
        <v>L</v>
      </c>
      <c r="AE27" s="167" t="str">
        <f>IF(AND(Y8="M",Z8="M"),"D",(IF(AND(Y8="M",Z8&lt;&gt;"M"),"W",(IF(AND(Y8&lt;&gt;"M",Z8="M"),"lL",(IF(Y8=Z8,"D",(IF(Y8&gt;Z8,"W","L")))))))))</f>
        <v>W</v>
      </c>
      <c r="AF27" s="167" t="str">
        <f>IF(AND(Y9="M",Z9="M"),"D",(IF(AND(Y9="M",Z9&lt;&gt;"M"),"W",(IF(AND(Y9&lt;&gt;"M",Z9="M"),"lL",(IF(Y9=Z9,"D",(IF(Y9&gt;Z9,"W","L")))))))))</f>
        <v>L</v>
      </c>
      <c r="AG27" s="167" t="str">
        <f>IF(AND(Y10="M",Z10="M"),"D",(IF(AND(Y10="M",Z10&lt;&gt;"M"),"W",(IF(AND(Y10&lt;&gt;"M",Z10="M"),"lL",(IF(Y10=Z10,"D",(IF(Y10&gt;Z10,"W","L")))))))))</f>
        <v>L</v>
      </c>
      <c r="AH27" s="167" t="str">
        <f>IF(AND(Y11="M",Z11="M"),"D",(IF(AND(Y11="M",Z11&lt;&gt;"M"),"W",(IF(AND(Y11&lt;&gt;"M",Z11="M"),"lL",(IF(Y11=Z11,"D",(IF(Y11&gt;Z11,"W","L")))))))))</f>
        <v>D</v>
      </c>
      <c r="AI27" s="167" t="str">
        <f>IF(AND(Y12="M",Z12="M"),"D",(IF(AND(Y12="M",Z12&lt;&gt;"M"),"W",(IF(AND(Y12&lt;&gt;"M",Z12="M"),"lL",(IF(Y12=Z12,"D",(IF(Y12&gt;Z12,"W","L")))))))))</f>
        <v>D</v>
      </c>
      <c r="AJ27" s="167" t="str">
        <f>IF(AND(Y13="M",Z13="M"),"D",(IF(AND(Y13="M",Z13&lt;&gt;"M"),"W",(IF(AND(Y13&lt;&gt;"M",Z13="M"),"lL",(IF(Y13=Z13,"D",(IF(Y13&gt;Z13,"W","L")))))))))</f>
        <v>W</v>
      </c>
      <c r="AK27" s="167" t="str">
        <f>IF(AND(Y14="M",Z14="M"),"D",(IF(AND(Y14="M",Z14&lt;&gt;"M"),"W",(IF(AND(Y14&lt;&gt;"M",Z14="M"),"lL",(IF(Y14=Z14,"D",(IF(Y14&gt;Z14,"W","L")))))))))</f>
        <v>L</v>
      </c>
      <c r="AL27" s="167" t="str">
        <f>IF(AND(Y15="M",Z15="M"),"D",(IF(AND(Y15="M",Z15&lt;&gt;"M"),"W",(IF(AND(Y15&lt;&gt;"M",Z15="M"),"lL",(IF(Y15=Z15,"D",(IF(Y15&gt;Z15,"W","L")))))))))</f>
        <v>W</v>
      </c>
      <c r="AM27" s="167" t="str">
        <f>IF(AND(Y16="M",Z16="M"),"D",(IF(AND(Y16="M",Z16&lt;&gt;"M"),"W",(IF(AND(Y16&lt;&gt;"M",Z16="M"),"lL",(IF(Y16=Z16,"D",(IF(Y16&gt;Z16,"W","L")))))))))</f>
        <v>L</v>
      </c>
      <c r="AN27" s="167" t="str">
        <f>IF(AND(Y17="M",Z17="M"),"D",(IF(AND(Y17="M",Z17&lt;&gt;"M"),"W",(IF(AND(Y17&lt;&gt;"M",Z17="M"),"lL",(IF(Y17=Z17,"D",(IF(Y17&gt;Z17,"W","L")))))))))</f>
        <v>W</v>
      </c>
      <c r="AO27" s="167" t="str">
        <f>IF(AND(Y18="M",Z18="M"),"D",(IF(AND(Y18="M",Z18&lt;&gt;"M"),"W",(IF(AND(Y18&lt;&gt;"M",Z18="M"),"lL",(IF(Y18=Z18,"D",(IF(Y18&gt;Z18,"W","L")))))))))</f>
        <v>W</v>
      </c>
      <c r="AP27" s="167" t="str">
        <f>IF(AND(Y19="M",Z19="M"),"D",(IF(AND(Y19="M",Z19&lt;&gt;"M"),"W",(IF(AND(Y19&lt;&gt;"M",Z19="M"),"lL",(IF(Y19=Z19,"D",(IF(Y19&gt;Z19,"W","L")))))))))</f>
        <v>W</v>
      </c>
      <c r="AQ27" s="167" t="str">
        <f>IF(AND(Y20="M",Z20="M"),"D",(IF(AND(Y20="M",Z20&lt;&gt;"M"),"W",(IF(AND(Y20&lt;&gt;"M",Z20="M"),"lL",(IF(Y20=Z20,"D",(IF(Y20&gt;Z20,"W","L")))))))))</f>
        <v>W</v>
      </c>
      <c r="AR27" s="168" t="str">
        <f>IF(AND(Y21="M",Z21="M"),"D",(IF(AND(Y21="M",Z21&lt;&gt;"M"),"W",(IF(AND(Y21&lt;&gt;"M",Z21="M"),"lL",(IF(Y21=Z21,"D",(IF(Y21&gt;Z21,"W","L")))))))))</f>
        <v>W</v>
      </c>
      <c r="AS27" s="131">
        <v>3</v>
      </c>
      <c r="AT27">
        <f>COUNTIF($AA$2:$AA$17,AS27)</f>
        <v>3</v>
      </c>
      <c r="AU27">
        <f>COUNTIF($Z$2:$Z$17,AS27)</f>
        <v>3</v>
      </c>
      <c r="BA27" s="169">
        <v>1</v>
      </c>
      <c r="BC27" s="86"/>
      <c r="BG27" s="170" t="s">
        <v>107</v>
      </c>
      <c r="BK27" s="74"/>
      <c r="BN27" s="74"/>
      <c r="BO27" s="74"/>
      <c r="BP27" s="74"/>
      <c r="BQ27" s="74"/>
      <c r="BW27">
        <f>IF(FORECAST(BW19,BW4:BW23,BX4:BX23)&lt;=0,0,FORECAST(BW19,BW4:BW23,BX4:BX23))</f>
        <v>1.1926229508197</v>
      </c>
      <c r="BX27">
        <f>IF(FORECAST(BX7,BX7:BX26,BW7:BW26)&lt;=0,0,FORECAST(BX7,BX7:BX26,BW7:BW26))</f>
        <v>1.7357233188276</v>
      </c>
      <c r="BY27">
        <f>ROUND(BW27,0)</f>
        <v>1</v>
      </c>
      <c r="BZ27">
        <f>ROUND(BX27,0)</f>
        <v>2</v>
      </c>
      <c r="CA27" s="61">
        <f>IF((BY27&gt;=3),"M",BY27)</f>
        <v>1</v>
      </c>
      <c r="CB27" s="61">
        <f>IF((BZ27&gt;=3),"M",BZ27)</f>
        <v>2</v>
      </c>
      <c r="CD27" s="164">
        <f>IF(FORECAST(CC24,CD4:CD7,CC4:CC7)&lt;=0,0,FORECAST(CC24,CD4:CD7,CC4:CC7))</f>
        <v>0</v>
      </c>
      <c r="CE27" s="164">
        <f>IF(FORECAST(CC24,CE4:CE7,CC4:CC7)&lt;=0,0,FORECAST(CC24,CE4:CE7,CC4:CC7))</f>
        <v>2.5</v>
      </c>
      <c r="CF27">
        <f>ROUND(CD27,0)</f>
        <v>0</v>
      </c>
      <c r="CG27">
        <f>ROUND(CE27,0)</f>
        <v>3</v>
      </c>
      <c r="CH27" s="61">
        <f>IF((CF27&gt;=3),"M",CF27)</f>
        <v>0</v>
      </c>
      <c r="CI27" s="61" t="str">
        <f>IF((CG27&gt;=3),"M",CG27)</f>
        <v>M</v>
      </c>
      <c r="CR27">
        <f>IF(FORECAST(CR19,CR4:CR23,CS4:CS23)&lt;=0,0,FORECAST(CR19,CR4:CR23,CS4:CS23))</f>
        <v>2.423197492163</v>
      </c>
      <c r="CS27">
        <f>IF(FORECAST(CS19,CS4:CS23,CR4:CR23)&lt;=0,0,FORECAST(CS19,CS4:CS23,CR4:CR23))</f>
        <v>2.1015037593985</v>
      </c>
      <c r="CT27">
        <f>ROUND(CR27,0)</f>
        <v>2</v>
      </c>
      <c r="CU27">
        <f>ROUND(CS27,0)</f>
        <v>2</v>
      </c>
      <c r="CV27" s="61"/>
      <c r="CW27" s="61"/>
      <c r="CY27" s="164">
        <f>IF(FORECAST(CX24,CY4:CY7,CX4:CX7)&lt;=0,0,FORECAST(CX24,CY4:CY7,CX4:CX7))</f>
        <v>3.5</v>
      </c>
      <c r="CZ27" s="164">
        <f>IF(FORECAST(CX24,CZ4:CZ7,CX4:CX7)&lt;=0,0,FORECAST(CX24,CZ4:CZ7,CX4:CX7))</f>
        <v>0.5</v>
      </c>
      <c r="DA27">
        <f>ROUND(CY27,0)</f>
        <v>4</v>
      </c>
      <c r="DB27">
        <f>ROUND(CZ27,0)</f>
        <v>1</v>
      </c>
    </row>
    <row r="28" spans="1:122" customHeight="1" ht="15.75">
      <c r="A28" s="133"/>
      <c r="B28" s="80" t="s">
        <v>108</v>
      </c>
      <c r="C28" s="106" t="s">
        <v>37</v>
      </c>
      <c r="D28" s="80"/>
      <c r="E28" s="106" t="s">
        <v>92</v>
      </c>
      <c r="F28" s="80"/>
      <c r="G28" s="106" t="s">
        <v>93</v>
      </c>
      <c r="H28" s="109"/>
      <c r="I28" s="109" t="s">
        <v>94</v>
      </c>
      <c r="J28" s="109"/>
      <c r="K28" s="109" t="s">
        <v>95</v>
      </c>
      <c r="L28" s="171"/>
      <c r="M28" s="61"/>
      <c r="V28" s="12"/>
      <c r="W28" s="172"/>
      <c r="X28" s="111" t="str">
        <f>IF(AW4&lt;AX4," AUN HAY MARGIN DE PRUDENCIA PARA ANTICIPAR OTRA VICTORIA DE LOCAL","HAY POCA MARGIN PARA ANTICIPAR OTRA VICTORIA DE LOCAL")</f>
        <v>HAY POCA MARGIN PARA ANTICIPAR OTRA VICTORIA DE LOCAL</v>
      </c>
      <c r="AR28" s="166"/>
      <c r="AS28" s="131">
        <v>4</v>
      </c>
      <c r="AT28">
        <f>COUNTIF($AA$2:$AA$17,AS28)</f>
        <v>2</v>
      </c>
      <c r="AU28">
        <f>COUNTIF($Z$2:$Z$17,AS28)</f>
        <v>0</v>
      </c>
      <c r="BB28">
        <f>BR31</f>
        <v>0</v>
      </c>
      <c r="BC28" t="str">
        <f>Z23&amp;" ( "&amp;W35&amp;")  vrs  "&amp;Z24&amp;" ( "&amp;W36&amp;" )"</f>
        <v>HM ( 15)  vrs  AW ( 14 )</v>
      </c>
      <c r="BD28" s="173">
        <f>W35</f>
        <v>15</v>
      </c>
      <c r="BE28" s="174">
        <f>W36</f>
        <v>14</v>
      </c>
      <c r="BF28" s="85">
        <f>BE28-BD28</f>
        <v>-1</v>
      </c>
      <c r="BG28" s="65" t="str">
        <f>IF(OR(BF28="",BF28="*"),"",(TRIM(CONCATENATE(IF(BF28&gt;=-20,"1",""),IF(BF28&lt;-2,IF(BF28&gt;=-5,"1X",""),""),IF(BF28&gt;5,IF(BF28&lt;=2,"X2",""),""),IF(BF28&gt;-2,IF(BF28&lt;2,"X",""),""),IF(BF28&gt;5,IF(BF28&lt;=19,"2",""),"")))))</f>
        <v>1X</v>
      </c>
      <c r="BK28" s="175"/>
      <c r="BL28" s="176"/>
      <c r="BM28" s="155"/>
      <c r="BN28" s="74"/>
      <c r="BO28" s="74"/>
      <c r="BP28" s="74"/>
      <c r="BQ28" s="74"/>
      <c r="BV28" s="9" t="str">
        <f>$V$23</f>
        <v>Torino-Udinese</v>
      </c>
      <c r="BW28" s="61" t="str">
        <f>CONCATENATE(CA24,CB24)</f>
        <v>22</v>
      </c>
      <c r="BX28" t="str">
        <f>CONCATENATE(CA25,CB25)</f>
        <v>21</v>
      </c>
      <c r="BY28" s="61" t="str">
        <f>CONCATENATE(CA26,CB26)</f>
        <v>20</v>
      </c>
      <c r="BZ28" s="61" t="str">
        <f>CONCATENATE(CA27,CB27)</f>
        <v>12</v>
      </c>
      <c r="CC28" s="61"/>
      <c r="CD28" s="61" t="str">
        <f>CONCATENATE(CH24,CI24)</f>
        <v>22</v>
      </c>
      <c r="CE28" s="61" t="str">
        <f>CONCATENATE(CH25,CI25)</f>
        <v>2M</v>
      </c>
      <c r="CF28" s="61" t="str">
        <f>CONCATENATE(CH26,CI26)</f>
        <v>1M</v>
      </c>
      <c r="CG28" s="61" t="str">
        <f>CONCATENATE(CH27,CI27)</f>
        <v>0M</v>
      </c>
      <c r="CQ28" s="177" t="s">
        <v>109</v>
      </c>
      <c r="CR28" s="178">
        <f>CT24</f>
        <v>4</v>
      </c>
      <c r="CS28" s="178">
        <f>CT25</f>
        <v>4</v>
      </c>
      <c r="CT28" s="178">
        <f>CT26</f>
        <v>3</v>
      </c>
      <c r="CU28" s="178">
        <f>CT27</f>
        <v>2</v>
      </c>
      <c r="CV28" s="179">
        <f>CU24</f>
        <v>3</v>
      </c>
      <c r="CW28" s="179">
        <f>CU25</f>
        <v>2</v>
      </c>
      <c r="CX28" s="179">
        <f>CU26</f>
        <v>3</v>
      </c>
      <c r="CY28" s="179">
        <f>CU27</f>
        <v>2</v>
      </c>
      <c r="CZ28" s="179">
        <f>DA24</f>
        <v>2</v>
      </c>
      <c r="DA28" s="179">
        <f>DA25</f>
        <v>3</v>
      </c>
      <c r="DB28" s="179">
        <f>DA26</f>
        <v>4</v>
      </c>
      <c r="DC28" s="179">
        <f>DA27</f>
        <v>4</v>
      </c>
      <c r="DD28" s="179">
        <f>DB24</f>
        <v>3</v>
      </c>
      <c r="DE28" s="179">
        <f>DB25</f>
        <v>3</v>
      </c>
      <c r="DF28" s="179">
        <f>DB26</f>
        <v>2</v>
      </c>
      <c r="DG28" s="180">
        <f>DB27</f>
        <v>1</v>
      </c>
    </row>
    <row r="29" spans="1:122" customHeight="1" ht="15.75">
      <c r="A29" s="104" t="s">
        <v>43</v>
      </c>
      <c r="B29" s="105" t="s">
        <v>44</v>
      </c>
      <c r="C29" s="145" t="s">
        <v>79</v>
      </c>
      <c r="D29" s="140" t="s">
        <v>110</v>
      </c>
      <c r="E29" s="142" t="s">
        <v>92</v>
      </c>
      <c r="F29" s="142" t="s">
        <v>78</v>
      </c>
      <c r="G29" s="148" t="s">
        <v>93</v>
      </c>
      <c r="H29" s="148" t="s">
        <v>78</v>
      </c>
      <c r="I29" s="149" t="s">
        <v>94</v>
      </c>
      <c r="J29" s="149" t="s">
        <v>78</v>
      </c>
      <c r="K29" s="141" t="s">
        <v>95</v>
      </c>
      <c r="L29" s="181" t="s">
        <v>78</v>
      </c>
      <c r="M29" s="61"/>
      <c r="V29" s="12"/>
      <c r="W29" s="182"/>
      <c r="X29" t="s">
        <v>104</v>
      </c>
      <c r="Y29" s="20" t="s">
        <v>105</v>
      </c>
      <c r="AR29" s="166"/>
      <c r="AS29" s="131">
        <v>5</v>
      </c>
      <c r="AT29">
        <f>COUNTIF($AA$2:$AA$17,AS29)</f>
        <v>0</v>
      </c>
      <c r="AU29">
        <f>COUNTIF($Z$2:$Z$17,AS29)</f>
        <v>0</v>
      </c>
      <c r="BA29" s="115"/>
      <c r="BB29" s="115"/>
      <c r="BC29" s="115"/>
      <c r="BD29" s="115"/>
      <c r="BE29" s="115"/>
      <c r="BF29" s="115"/>
      <c r="BG29" s="115"/>
      <c r="BH29" s="115"/>
      <c r="BI29" s="115"/>
      <c r="BJ29" s="115"/>
      <c r="BK29" s="115"/>
      <c r="BL29" s="115"/>
      <c r="BM29" s="115"/>
      <c r="BN29" s="115"/>
      <c r="BO29" s="115"/>
      <c r="BP29" s="115"/>
      <c r="BQ29" s="115"/>
      <c r="BV29" s="9" t="str">
        <f>$V$23</f>
        <v>Torino-Udinese</v>
      </c>
      <c r="BW29" s="61" t="str">
        <f>CONCATENATE(BY24,BZ24)</f>
        <v>22</v>
      </c>
      <c r="BX29" t="str">
        <f>CONCATENATE(CA25,CB25)</f>
        <v>21</v>
      </c>
      <c r="BY29" s="61" t="str">
        <f>CONCATENATE(BY26,BZ26)</f>
        <v>20</v>
      </c>
      <c r="BZ29" s="61" t="str">
        <f>CONCATENATE(BY27,BZ27)</f>
        <v>12</v>
      </c>
      <c r="CB29" s="61"/>
      <c r="CC29" s="61"/>
      <c r="CD29" s="61" t="str">
        <f>CONCATENATE(CF24,CG24)</f>
        <v>22</v>
      </c>
      <c r="CE29" s="61" t="str">
        <f>CONCATENATE(CF25,CG25)</f>
        <v>23</v>
      </c>
      <c r="CF29" s="61" t="str">
        <f>CONCATENATE(CF26,CG26)</f>
        <v>13</v>
      </c>
      <c r="CG29" s="61" t="str">
        <f>CONCATENATE(CF27,CG27)</f>
        <v>03</v>
      </c>
      <c r="CI29" s="61"/>
      <c r="CR29" s="183">
        <v>4.0</v>
      </c>
      <c r="CS29" s="184">
        <v>3.0</v>
      </c>
      <c r="CT29" s="184">
        <v>2.0</v>
      </c>
      <c r="CU29" s="184">
        <v>1.0</v>
      </c>
      <c r="CV29" s="184"/>
      <c r="CW29" s="184"/>
      <c r="CX29" s="184"/>
      <c r="CY29" s="184"/>
      <c r="CZ29" s="184"/>
      <c r="DA29" s="184"/>
      <c r="DB29" s="184"/>
      <c r="DC29" s="184"/>
      <c r="DD29" s="184"/>
      <c r="DE29" s="184"/>
      <c r="DF29" s="184"/>
      <c r="DG29" s="185"/>
    </row>
    <row r="30" spans="1:122" customHeight="1" ht="15.75">
      <c r="A30" s="84">
        <f>A1</f>
        <v>4</v>
      </c>
      <c r="B30" s="61" t="str">
        <f>B1</f>
        <v>Torino - Udinese</v>
      </c>
      <c r="C30" s="186">
        <f>W39</f>
        <v>1</v>
      </c>
      <c r="D30" s="115" t="str">
        <f>W41</f>
        <v>X2</v>
      </c>
      <c r="E30" s="61" t="str">
        <f>BH36</f>
        <v>2</v>
      </c>
      <c r="F30" s="61" t="str">
        <f>BI36</f>
        <v>1X2</v>
      </c>
      <c r="G30" s="61" t="str">
        <f>BH37</f>
        <v>1</v>
      </c>
      <c r="H30" s="61" t="str">
        <f>BI37</f>
        <v>12</v>
      </c>
      <c r="I30" s="61" t="str">
        <f>BH38</f>
        <v>1</v>
      </c>
      <c r="J30" s="61" t="str">
        <f>BI38</f>
        <v>12</v>
      </c>
      <c r="K30" s="61" t="str">
        <f>BH39</f>
        <v>1</v>
      </c>
      <c r="L30" s="144" t="str">
        <f>BI39</f>
        <v>12</v>
      </c>
      <c r="M30" s="61"/>
      <c r="V30" s="12"/>
      <c r="W30" s="182"/>
      <c r="Y30" t="str">
        <f>AA2&amp;"-"&amp;AB2</f>
        <v>1-1</v>
      </c>
      <c r="Z30" t="str">
        <f>AA3&amp;"-"&amp;AB3</f>
        <v>1-1</v>
      </c>
      <c r="AA30" t="str">
        <f>AA4&amp;"-"&amp;AB4</f>
        <v>2-0</v>
      </c>
      <c r="AB30" t="str">
        <f>AA5&amp;"-"&amp;AB5</f>
        <v>3-2</v>
      </c>
      <c r="AC30" t="str">
        <f>AA6&amp;"-"&amp;AB6</f>
        <v>4-0</v>
      </c>
      <c r="AD30" t="str">
        <f>AA7&amp;"-"&amp;AB7</f>
        <v>0-1</v>
      </c>
      <c r="AE30" t="str">
        <f>AA8&amp;"-"&amp;AB8</f>
        <v>3-1</v>
      </c>
      <c r="AF30" t="str">
        <f>AA9&amp;"-"&amp;AB9</f>
        <v>3-0</v>
      </c>
      <c r="AG30" t="str">
        <f>AA10&amp;"-"&amp;AB10</f>
        <v>2-1</v>
      </c>
      <c r="AH30" t="str">
        <f>AA11&amp;"-"&amp;AB11</f>
        <v>1-3</v>
      </c>
      <c r="AR30" s="166"/>
      <c r="AS30" s="131">
        <v>6</v>
      </c>
      <c r="AT30">
        <f>COUNTIF($AA$2:$AA$17,AS30)</f>
        <v>0</v>
      </c>
      <c r="AU30">
        <f>COUNTIF($Z$2:$Z$17,AS30)</f>
        <v>0</v>
      </c>
      <c r="BC30" t="s">
        <v>111</v>
      </c>
      <c r="BF30" t="s">
        <v>112</v>
      </c>
      <c r="BK30" s="115"/>
      <c r="BL30" s="115"/>
      <c r="BM30" s="115"/>
      <c r="BN30" s="115"/>
      <c r="BO30" s="115"/>
      <c r="BP30" s="115"/>
      <c r="BQ30" s="115"/>
      <c r="BU30" s="9" t="str">
        <f>$V$23</f>
        <v>Torino-Udinese</v>
      </c>
      <c r="BV30" t="s">
        <v>82</v>
      </c>
      <c r="BW30" t="str">
        <f>BW28</f>
        <v>22</v>
      </c>
      <c r="BX30">
        <f>IF(FORECAST(BX10,BX10:BX29,BW10:BW29)&lt;=0,0,FORECAST(BX10,BX10:BX29,BW10:BW29))</f>
        <v>1.5047557720324</v>
      </c>
      <c r="BY30" t="str">
        <f>BY28</f>
        <v>20</v>
      </c>
      <c r="BZ30" t="str">
        <f>BZ28</f>
        <v>12</v>
      </c>
      <c r="CA30" t="str">
        <f>CD28</f>
        <v>22</v>
      </c>
      <c r="CB30" t="str">
        <f>CE28</f>
        <v>2M</v>
      </c>
      <c r="CC30" t="str">
        <f>CF28</f>
        <v>1M</v>
      </c>
      <c r="CD30" t="str">
        <f>CG28</f>
        <v>0M</v>
      </c>
      <c r="CE30" s="21"/>
      <c r="CF30" s="187">
        <v>22</v>
      </c>
      <c r="CG30" s="187">
        <v>1.5047557720324</v>
      </c>
      <c r="CH30" s="187">
        <v>20</v>
      </c>
      <c r="CI30" s="187">
        <v>12</v>
      </c>
      <c r="CJ30" s="187" t="s">
        <v>113</v>
      </c>
      <c r="CK30" s="187" t="s">
        <v>114</v>
      </c>
      <c r="CL30" s="187" t="s">
        <v>115</v>
      </c>
      <c r="CM30" s="187"/>
    </row>
    <row r="31" spans="1:122" customHeight="1" ht="15.75">
      <c r="A31" s="126"/>
      <c r="B31" s="127"/>
      <c r="C31" s="127"/>
      <c r="D31" s="127"/>
      <c r="E31" s="127"/>
      <c r="F31" s="127"/>
      <c r="G31" s="127"/>
      <c r="H31" s="127"/>
      <c r="I31" s="127"/>
      <c r="J31" s="127"/>
      <c r="K31" s="127"/>
      <c r="L31" s="128"/>
      <c r="W31" s="182"/>
      <c r="X31" t="str">
        <f>X1</f>
        <v>Udinese</v>
      </c>
      <c r="Y31" s="167" t="str">
        <f>IF(AND(AA2="M",AB2="M"),"D",(IF(AND(AA2="M",AB2&lt;&gt;"M"),"L",(IF(AND(AA2&lt;&gt;"M",AB2="M"),"W",(IF(AA2=AB2,"D",(IF(AA2&gt;AB2,"L","W")))))))))</f>
        <v>D</v>
      </c>
      <c r="Z31" s="167" t="str">
        <f>IF(AND(AA3="M",AB3="M"),"D",(IF(AND(AA3="M",AB3&lt;&gt;"M"),"L",(IF(AND(AA3&lt;&gt;"M",AB3="M"),"W",(IF(AA3=AB3,"D",(IF(AA3&gt;AB3,"L","W")))))))))</f>
        <v>D</v>
      </c>
      <c r="AA31" s="167" t="str">
        <f>IF(AND(AA4="M",AB4="M"),"D",(IF(AND(AA4="M",AB4&lt;&gt;"M"),"L",(IF(AND(AA4&lt;&gt;"M",AB4="M"),"W",(IF(AA4=AB4,"D",(IF(AA4&gt;AB4,"L","W")))))))))</f>
        <v>L</v>
      </c>
      <c r="AB31" s="167" t="str">
        <f>IF(AND(AA5="M",AB5="M"),"D",(IF(AND(AA5="M",AB5&lt;&gt;"M"),"L",(IF(AND(AA5&lt;&gt;"M",AB5="M"),"W",(IF(AA5=AB5,"D",(IF(AA5&gt;AB5,"L","W")))))))))</f>
        <v>L</v>
      </c>
      <c r="AC31" s="167" t="str">
        <f>IF(AND(AA6="M",AB6="M"),"D",(IF(AND(AA6="M",AB6&lt;&gt;"M"),"L",(IF(AND(AA6&lt;&gt;"M",AB6="M"),"W",(IF(AA6=AB6,"D",(IF(AA6&gt;AB6,"L","W")))))))))</f>
        <v>L</v>
      </c>
      <c r="AD31" s="167" t="str">
        <f>IF(AND(AA7="M",AB7="M"),"D",(IF(AND(AA7="M",AB7&lt;&gt;"M"),"L",(IF(AND(AA7&lt;&gt;"M",AB7="M"),"W",(IF(AA7=AB7,"D",(IF(AA7&gt;AB7,"L","W")))))))))</f>
        <v>W</v>
      </c>
      <c r="AE31" s="167" t="str">
        <f>IF(AND(AA8="M",AB8="M"),"D",(IF(AND(AA8="M",AB8&lt;&gt;"M"),"L",(IF(AND(AA8&lt;&gt;"M",AB8="M"),"W",(IF(AA8=AB8,"D",(IF(AA8&gt;AB8,"L","W")))))))))</f>
        <v>L</v>
      </c>
      <c r="AF31" s="167" t="str">
        <f>IF(AND(AA9="M",AB9="M"),"D",(IF(AND(AA9="M",AB9&lt;&gt;"M"),"L",(IF(AND(AA9&lt;&gt;"M",AB9="M"),"W",(IF(AA9=AB9,"D",(IF(AA9&gt;AB9,"L","W")))))))))</f>
        <v>L</v>
      </c>
      <c r="AG31" s="167" t="str">
        <f>IF(AND(AA10="M",AB10="M"),"D",(IF(AND(AA10="M",AB10&lt;&gt;"M"),"L",(IF(AND(AA10&lt;&gt;"M",AB10="M"),"W",(IF(AA10=AB10,"D",(IF(AA10&gt;AB10,"L","W")))))))))</f>
        <v>L</v>
      </c>
      <c r="AH31" s="167" t="str">
        <f>IF(AND(AA11="M",AB11="M"),"D",(IF(AND(AA11="M",AB11&lt;&gt;"M"),"L",(IF(AND(AA11&lt;&gt;"M",AB11="M"),"W",(IF(AA11=AB11,"D",(IF(AA11&gt;AB11,"L","W")))))))))</f>
        <v>W</v>
      </c>
      <c r="AI31" s="167" t="str">
        <f>IF(AND(AA12="M",AB12="M"),"D",(IF(AND(AA12="M",AB12&lt;&gt;"M"),"L",(IF(AND(AA12&lt;&gt;"M",AB12="M"),"W",(IF(AA12=AB12,"D",(IF(AA12&gt;AB12,"L","W")))))))))</f>
        <v>L</v>
      </c>
      <c r="AJ31" s="167" t="str">
        <f>IF(AND(AA13="M",AB13="M"),"D",(IF(AND(AA13="M",AB13&lt;&gt;"M"),"L",(IF(AND(AA13&lt;&gt;"M",AB13="M"),"W",(IF(AA13=AB13,"D",(IF(AA13&gt;AB13,"L","W")))))))))</f>
        <v>L</v>
      </c>
      <c r="AK31" s="167" t="str">
        <f>IF(AND(AA14="M",AB14="M"),"D",(IF(AND(AA14="M",AB14&lt;&gt;"M"),"L",(IF(AND(AA14&lt;&gt;"M",AB14="M"),"W",(IF(AA14=AB14,"D",(IF(AA14&gt;AB14,"L","W")))))))))</f>
        <v>D</v>
      </c>
      <c r="AL31" s="167" t="str">
        <f>IF(AND(AA15="M",AB15="M"),"D",(IF(AND(AA15="M",AB15&lt;&gt;"M"),"L",(IF(AND(AA15&lt;&gt;"M",AB15="M"),"W",(IF(AA15=AB15,"D",(IF(AA15&gt;AB15,"L","W")))))))))</f>
        <v>L</v>
      </c>
      <c r="AM31" s="167" t="str">
        <f>IF(AND(AA16="M",AB16="M"),"D",(IF(AND(AA16="M",AB16&lt;&gt;"M"),"L",(IF(AND(AA16&lt;&gt;"M",AB16="M"),"W",(IF(AA16=AB16,"D",(IF(AA16&gt;AB16,"L","W")))))))))</f>
        <v>W</v>
      </c>
      <c r="AN31" s="167" t="str">
        <f>IF(AND(AA17="M",AB17="M"),"D",(IF(AND(AA17="M",AB17&lt;&gt;"M"),"L",(IF(AND(AA17&lt;&gt;"M",AB17="M"),"W",(IF(AA17=AB17,"D",(IF(AA17&gt;AB17,"L","W")))))))))</f>
        <v>L</v>
      </c>
      <c r="AO31" s="167" t="str">
        <f>IF(AND(AA18="M",AB18="M"),"D",(IF(AND(AA18="M",AB18&lt;&gt;"M"),"L",(IF(AND(AA18&lt;&gt;"M",AB18="M"),"W",(IF(AA18=AB18,"D",(IF(AA18&gt;AB18,"L","W")))))))))</f>
        <v>W</v>
      </c>
      <c r="AP31" s="167" t="str">
        <f>IF(AND(AA19="M",AB19="M"),"D",(IF(AND(AA19="M",AB19&lt;&gt;"M"),"L",(IF(AND(AA19&lt;&gt;"M",AB19="M"),"W",(IF(AA19=AB19,"D",(IF(AA19&gt;AB19,"L","W")))))))))</f>
        <v>W</v>
      </c>
      <c r="AQ31" s="167" t="str">
        <f>IF(AND(AA20="M",AB20="M"),"D",(IF(AND(AA20="M",AB20&lt;&gt;"M"),"L",(IF(AND(AA20&lt;&gt;"M",AB20="M"),"W",(IF(AA20=AB20,"D",(IF(AA20&gt;AB20,"L","W")))))))))</f>
        <v>L</v>
      </c>
      <c r="AR31" s="168" t="str">
        <f>IF(AND(AA21="M",AB21="M"),"D",(IF(AND(AA21="M",AB21&lt;&gt;"M"),"L",(IF(AND(AA21&lt;&gt;"M",AB21="M"),"W",(IF(AA21=AB21,"D",(IF(AA21&gt;AB21,"L","W")))))))))</f>
        <v>L</v>
      </c>
      <c r="AS31" s="131">
        <v>7</v>
      </c>
      <c r="AT31">
        <f>COUNTIF($AA$2:$AA$17,AS31)</f>
        <v>1</v>
      </c>
      <c r="AU31">
        <f>COUNTIF($Z$2:$Z$17,AS31)</f>
        <v>1</v>
      </c>
      <c r="BC31" s="95">
        <v>1</v>
      </c>
      <c r="BD31" s="95" t="s">
        <v>42</v>
      </c>
      <c r="BE31" s="95">
        <v>2</v>
      </c>
      <c r="BF31" s="95">
        <v>1</v>
      </c>
      <c r="BG31" s="95" t="s">
        <v>42</v>
      </c>
      <c r="BH31" s="95">
        <v>2</v>
      </c>
      <c r="BK31" s="115"/>
      <c r="BL31" s="115"/>
      <c r="BM31" s="115"/>
      <c r="BN31" s="115"/>
      <c r="BO31" s="115"/>
      <c r="BP31" s="115"/>
      <c r="BQ31" s="115"/>
      <c r="BV31" t="str">
        <f>V23</f>
        <v>Torino-Udinese</v>
      </c>
      <c r="BW31" s="188" t="str">
        <f>"CD1-Forcast RES 1X2→ "&amp;BX33&amp;"::"&amp;BY33&amp;"::"&amp;BZ33&amp;"::"&amp;CA33&amp;":::"&amp;" GolRange ofmnmx→ "&amp;(MIN(BX34:CA34))&amp;"-"&amp;(MAX(BX34:CA34))&amp;"; and ResuExact of →"&amp;BW29&amp;"::"&amp;BX29&amp;"::"&amp;BY29&amp;"::"&amp;BZ29&amp;":::; and ResuSigno of →"&amp;BW28&amp;"::"&amp;BX28&amp;"::"&amp;BY28&amp;"::"&amp;BZ28&amp;"; and nº of goles→ "&amp;BW34&amp;"::"&amp;BX34&amp;"::"&amp;BY34&amp;"::"&amp;BZ34</f>
        <v>CD1-Forcast RES 1X2→ X::1::1::2::: GolRange ofmnmx→ 2-4; and ResuExact of →22::21::20::12:::; and ResuSigno of →22::21::20::12; and nº of goles→ ::4::3::2</v>
      </c>
      <c r="CD31" s="189" t="str">
        <f>"CD2-Forcast RES 1X2→ "&amp;CE33&amp;"::"&amp;CF33&amp;"::"&amp;CG33&amp;"::"&amp;CH33&amp;":::"&amp;" GolRange ofmnmx→ "&amp;(MIN(CE34:CH34))&amp;"-"&amp;(MAX(CE34:CH34))&amp;"; and ResuExact of →"&amp;CD29&amp;"::"&amp;CE29&amp;"::"&amp;CF29&amp;"::"&amp;CG29&amp;":::; and ResuSigno of →"&amp;CD28&amp;"::"&amp;CE28&amp;"::"&amp;CF28&amp;"::"&amp;CG28&amp;"; and nº of goles→ "&amp;CD34&amp;"::"&amp;CE34&amp;"::"&amp;CF34&amp;"::"&amp;CG34</f>
        <v>CD2-Forcast RES 1X2→ X::2::2::2::: GolRange ofmnmx→ 3-5; and ResuExact of →22::23::13::03:::; and ResuSigno of →22::2M::1M::0M; and nº of goles→ ::4::5::4</v>
      </c>
      <c r="CQ31" s="177" t="s">
        <v>109</v>
      </c>
      <c r="CR31" s="178">
        <f>BX38</f>
        <v>4</v>
      </c>
      <c r="CS31" s="178">
        <f>BY38</f>
        <v>3</v>
      </c>
      <c r="CT31" s="178">
        <f>BZ38</f>
        <v>2</v>
      </c>
      <c r="CU31" s="178">
        <f>CA38</f>
        <v>3</v>
      </c>
      <c r="CV31" s="178">
        <f>CB38</f>
        <v>4</v>
      </c>
      <c r="CW31" s="178">
        <f>CC38</f>
        <v>5</v>
      </c>
      <c r="CX31" s="178">
        <f>CD38</f>
        <v>4</v>
      </c>
      <c r="CY31" s="190">
        <f>CE38</f>
        <v>3</v>
      </c>
    </row>
    <row r="32" spans="1:122" customHeight="1" ht="15.75">
      <c r="A32" s="191" t="s">
        <v>116</v>
      </c>
      <c r="B32" s="61" t="s">
        <v>117</v>
      </c>
      <c r="C32" s="61" t="s">
        <v>118</v>
      </c>
      <c r="D32" s="61" t="s">
        <v>119</v>
      </c>
      <c r="E32" s="61" t="s">
        <v>120</v>
      </c>
      <c r="F32" s="61" t="s">
        <v>121</v>
      </c>
      <c r="G32" s="192" t="s">
        <v>122</v>
      </c>
      <c r="H32" s="193" t="s">
        <v>123</v>
      </c>
      <c r="I32" s="115" t="s">
        <v>124</v>
      </c>
      <c r="J32" s="115" t="s">
        <v>121</v>
      </c>
      <c r="K32" s="115" t="s">
        <v>125</v>
      </c>
      <c r="L32" s="194" t="s">
        <v>126</v>
      </c>
      <c r="W32" s="182"/>
      <c r="X32" s="111" t="str">
        <f>IF(BQ4&lt;BR4," AUN HAY MARGIN DE PRUDENCIA PARA ANTICIPAR OTRA VICTORIA DE LOCAL","HAY POCA MARGIN PARA ANTICIPAR OTRA VICTORIA DE VISITANTE")</f>
        <v>HAY POCA MARGIN PARA ANTICIPAR OTRA VICTORIA DE VISITANTE</v>
      </c>
      <c r="Z32" s="74"/>
      <c r="AA32" s="74"/>
      <c r="AB32" s="74"/>
      <c r="AC32" s="74"/>
      <c r="AD32" s="74"/>
      <c r="AR32" s="166"/>
      <c r="AS32" s="131">
        <v>8</v>
      </c>
      <c r="AT32">
        <f>COUNTIF($AA$2:$AA$17,AS32)</f>
        <v>0</v>
      </c>
      <c r="AU32">
        <f>COUNTIF($Z$2:$Z$17,AS32)</f>
        <v>0</v>
      </c>
      <c r="BB32" t="s">
        <v>127</v>
      </c>
      <c r="BC32" s="99">
        <f>AW4</f>
        <v>0</v>
      </c>
      <c r="BD32" s="99">
        <f>AW5</f>
        <v>0</v>
      </c>
      <c r="BE32" s="99">
        <f>AW6</f>
        <v>0</v>
      </c>
      <c r="BF32" s="99">
        <f>AX4</f>
        <v>0</v>
      </c>
      <c r="BG32" s="99">
        <f>AX5</f>
        <v>0</v>
      </c>
      <c r="BH32" s="99">
        <f>AX6</f>
        <v>0</v>
      </c>
      <c r="BK32" s="115"/>
      <c r="BL32" s="115"/>
      <c r="BM32" s="115"/>
      <c r="BN32" s="115"/>
      <c r="BO32" s="115"/>
      <c r="BP32" s="115"/>
      <c r="BQ32" s="115"/>
      <c r="CR32" s="183">
        <v>4.0</v>
      </c>
      <c r="CS32" s="184">
        <v>3.0</v>
      </c>
      <c r="CT32" s="184">
        <v>2.0</v>
      </c>
      <c r="CU32" s="184">
        <v>5.0</v>
      </c>
      <c r="CV32" s="184"/>
      <c r="CW32" s="184"/>
      <c r="CX32" s="184"/>
      <c r="CY32" s="185"/>
      <c r="CZ32" s="131"/>
    </row>
    <row r="33" spans="1:122" customHeight="1" ht="15.75">
      <c r="A33" s="195">
        <v>1</v>
      </c>
      <c r="B33" s="64">
        <v>1</v>
      </c>
      <c r="C33" t="s">
        <v>53</v>
      </c>
      <c r="D33" s="9">
        <v>27</v>
      </c>
      <c r="E33" s="9">
        <v>21</v>
      </c>
      <c r="F33" s="9">
        <v>3</v>
      </c>
      <c r="G33" s="9">
        <v>3</v>
      </c>
      <c r="H33" s="9">
        <v>52</v>
      </c>
      <c r="I33" s="9">
        <v>24</v>
      </c>
      <c r="J33" s="9">
        <v>28</v>
      </c>
      <c r="K33" s="9">
        <v>66</v>
      </c>
      <c r="L33" s="196" t="s">
        <v>128</v>
      </c>
      <c r="U33" s="63"/>
      <c r="V33" s="63"/>
      <c r="W33" s="84"/>
      <c r="X33" s="197" t="s">
        <v>129</v>
      </c>
      <c r="AG33" s="198" t="s">
        <v>130</v>
      </c>
      <c r="AH33" s="198"/>
      <c r="AI33" s="198"/>
      <c r="AJ33" s="198"/>
      <c r="AK33" s="198"/>
      <c r="AL33" s="198"/>
      <c r="AM33" s="198"/>
      <c r="AN33" s="198"/>
      <c r="AR33" s="166"/>
      <c r="AS33" s="131">
        <v>9</v>
      </c>
      <c r="AT33">
        <f>COUNTIF($AA$2:$AA$17,AS33)</f>
        <v>0</v>
      </c>
      <c r="AU33">
        <f>COUNTIF($Z$2:$Z$17,AS33)</f>
        <v>0</v>
      </c>
      <c r="AV33" s="74"/>
      <c r="AW33" s="74"/>
      <c r="AX33" s="155"/>
      <c r="BB33" t="s">
        <v>127</v>
      </c>
      <c r="BC33" s="99">
        <f>BQ4</f>
        <v>0</v>
      </c>
      <c r="BD33" s="99">
        <f>BQ5</f>
        <v>0</v>
      </c>
      <c r="BE33" s="99">
        <f>BQ6</f>
        <v>0</v>
      </c>
      <c r="BF33" s="99">
        <f>BR4</f>
        <v>0</v>
      </c>
      <c r="BG33" s="99">
        <f>BR5</f>
        <v>0</v>
      </c>
      <c r="BH33" s="99">
        <f>BR6</f>
        <v>0</v>
      </c>
      <c r="BJ33" s="74"/>
      <c r="BW33" s="61">
        <f>BV3</f>
        <v>0</v>
      </c>
      <c r="BX33" s="199" t="str">
        <f>IF(AND(CA24="M",CB24="M"),"X",(IF(AND(CA24="M",CB24&lt;&gt;"M"),1,(IF(AND(CA24&lt;&gt;"M",CB24="M"),2,(IF(CA24=CB24,"X",(IF(CA24&gt;CB24,1,2)))))))))</f>
        <v>X</v>
      </c>
      <c r="BY33" s="199">
        <f>IF(AND(CA25="M",CB25="M"),"X",(IF(AND(CA25="M",CB25&lt;&gt;"M"),1,(IF(AND(CA25&lt;&gt;"M",CB25="M"),2,(IF(CA25=CB25,"X",(IF(CA25&gt;CB25,1,2)))))))))</f>
        <v>1</v>
      </c>
      <c r="BZ33" s="199">
        <f>IF(AND(CA26="M",CB26="M"),"X",(IF(AND(CA26="M",CB26&lt;&gt;"M"),1,(IF(AND(CA26&lt;&gt;"M",CB26="M"),2,(IF(CA26=CB26,"X",(IF(CA26&gt;CB26,1,2)))))))))</f>
        <v>1</v>
      </c>
      <c r="CA33" s="199">
        <f>IF(AND(CA27="M",CB27="M"),"X",(IF(AND(CA27="M",CB27&lt;&gt;"M"),1,(IF(AND(CA27&lt;&gt;"M",CB27="M"),2,(IF(CA27=CB27,"X",(IF(CA27&gt;CB27,1,2)))))))))</f>
        <v>2</v>
      </c>
      <c r="CD33" s="61" t="str">
        <f>V23</f>
        <v>Torino-Udinese</v>
      </c>
      <c r="CE33" s="199" t="str">
        <f>IF(AND(CH24="M",CI24="M"),"X",(IF(AND(CH24="M",CI24&lt;&gt;"M"),1,(IF(AND(CH24&lt;&gt;"M",CI24="M"),2,(IF(CH24=CI24,"X",(IF(CH24&gt;CI24,1,2)))))))))</f>
        <v>X</v>
      </c>
      <c r="CF33" s="199">
        <f>IF(AND(CH25="M",CI25="M"),"X",(IF(AND(CH25="M",CI25&lt;&gt;"M"),1,(IF(AND(CH25&lt;&gt;"M",CI25="M"),2,(IF(CH25=CI25,"X",(IF(CH25&gt;CI25,1,2)))))))))</f>
        <v>2</v>
      </c>
      <c r="CG33" s="199">
        <f>IF(AND(CH26="M",CI26="M"),"X",(IF(AND(CH26="M",CI26&lt;&gt;"M"),1,(IF(AND(CH26&lt;&gt;"M",CI26="M"),2,(IF(CH26=CI26,"X",(IF(CH26&gt;CI26,1,2)))))))))</f>
        <v>2</v>
      </c>
      <c r="CH33" s="199">
        <f>IF(AND(CH27="M",CI27="M"),"X",(IF(AND(CH27="M",CI27&lt;&gt;"M"),1,(IF(AND(CH27&lt;&gt;"M",CI27="M"),2,(IF(CH27=CI27,"X",(IF(CH27&gt;CI27,1,2)))))))))</f>
        <v>2</v>
      </c>
      <c r="DA33" s="131"/>
      <c r="DB33" s="131"/>
      <c r="DC33" s="131"/>
      <c r="DD33" s="131"/>
      <c r="DE33" s="131"/>
      <c r="DF33" s="131"/>
      <c r="DG33" s="131"/>
    </row>
    <row r="34" spans="1:122">
      <c r="A34" s="195">
        <v>2</v>
      </c>
      <c r="B34" s="64">
        <v>2</v>
      </c>
      <c r="C34" t="s">
        <v>62</v>
      </c>
      <c r="D34" s="9">
        <v>26</v>
      </c>
      <c r="E34" s="9">
        <v>19</v>
      </c>
      <c r="F34" s="9">
        <v>5</v>
      </c>
      <c r="G34" s="9">
        <v>2</v>
      </c>
      <c r="H34" s="9">
        <v>60</v>
      </c>
      <c r="I34" s="9">
        <v>23</v>
      </c>
      <c r="J34" s="9">
        <v>37</v>
      </c>
      <c r="K34" s="9">
        <v>62</v>
      </c>
      <c r="L34" s="196" t="s">
        <v>131</v>
      </c>
      <c r="U34" s="74"/>
      <c r="V34" s="74"/>
      <c r="W34" s="200" t="s">
        <v>116</v>
      </c>
      <c r="X34" t="s">
        <v>118</v>
      </c>
      <c r="Y34" t="s">
        <v>119</v>
      </c>
      <c r="Z34" t="s">
        <v>120</v>
      </c>
      <c r="AA34" t="s">
        <v>121</v>
      </c>
      <c r="AB34" t="s">
        <v>122</v>
      </c>
      <c r="AC34" t="s">
        <v>123</v>
      </c>
      <c r="AD34" t="s">
        <v>124</v>
      </c>
      <c r="AE34" t="s">
        <v>121</v>
      </c>
      <c r="AF34" t="s">
        <v>125</v>
      </c>
      <c r="AG34" t="s">
        <v>126</v>
      </c>
      <c r="AR34" s="166"/>
      <c r="AU34" s="74"/>
      <c r="AV34" s="74"/>
      <c r="AW34" s="74"/>
      <c r="AX34" s="155"/>
      <c r="BJ34" s="74"/>
      <c r="BM34" s="155"/>
      <c r="BX34" s="61">
        <f>BY24+BZ24</f>
        <v>4</v>
      </c>
      <c r="BY34" s="61">
        <f>BY25+BZ25</f>
        <v>3</v>
      </c>
      <c r="BZ34" s="61">
        <f>BY26+BZ26</f>
        <v>2</v>
      </c>
      <c r="CA34" s="61">
        <f>BY27+BZ27</f>
        <v>3</v>
      </c>
      <c r="CE34" s="61">
        <f>CF24+CG24</f>
        <v>4</v>
      </c>
      <c r="CF34" s="61">
        <f>CF25+CG25</f>
        <v>5</v>
      </c>
      <c r="CG34" s="61">
        <f>CF26+CG26</f>
        <v>4</v>
      </c>
      <c r="CH34" s="61">
        <f>CF27+CG27</f>
        <v>3</v>
      </c>
    </row>
    <row r="35" spans="1:122" customHeight="1" ht="15.75">
      <c r="A35" s="195">
        <v>3</v>
      </c>
      <c r="B35" s="64">
        <v>3</v>
      </c>
      <c r="C35" t="s">
        <v>132</v>
      </c>
      <c r="D35" s="9">
        <v>26</v>
      </c>
      <c r="E35" s="9">
        <v>17</v>
      </c>
      <c r="F35" s="9">
        <v>6</v>
      </c>
      <c r="G35" s="9">
        <v>3</v>
      </c>
      <c r="H35" s="9">
        <v>51</v>
      </c>
      <c r="I35" s="9">
        <v>25</v>
      </c>
      <c r="J35" s="9">
        <v>26</v>
      </c>
      <c r="K35" s="9">
        <v>57</v>
      </c>
      <c r="L35" s="196" t="s">
        <v>133</v>
      </c>
      <c r="U35" s="74"/>
      <c r="W35" s="201">
        <v>15</v>
      </c>
      <c r="X35" s="85" t="s">
        <v>7</v>
      </c>
      <c r="Y35" s="85">
        <v>26</v>
      </c>
      <c r="Z35" s="85">
        <v>8</v>
      </c>
      <c r="AA35" s="85">
        <v>4</v>
      </c>
      <c r="AB35" s="85">
        <v>14</v>
      </c>
      <c r="AC35" s="85">
        <v>29</v>
      </c>
      <c r="AD35" s="85">
        <v>46</v>
      </c>
      <c r="AE35" s="85">
        <v>-17</v>
      </c>
      <c r="AF35" s="85">
        <v>28</v>
      </c>
      <c r="AG35" t="s">
        <v>134</v>
      </c>
      <c r="AJ35" s="167" t="str">
        <f>AC27</f>
        <v>D</v>
      </c>
      <c r="AK35" s="167" t="str">
        <f>AB27</f>
        <v>W</v>
      </c>
      <c r="AL35" s="167" t="str">
        <f>AA27</f>
        <v>L</v>
      </c>
      <c r="AM35" s="167" t="str">
        <f>Z27</f>
        <v>L</v>
      </c>
      <c r="AN35" s="167" t="str">
        <f>Y27</f>
        <v>D</v>
      </c>
      <c r="AR35" s="166"/>
      <c r="AU35" s="74"/>
      <c r="AV35" s="74"/>
      <c r="AW35" s="74"/>
      <c r="AX35" s="155"/>
      <c r="BA35" t="s">
        <v>135</v>
      </c>
      <c r="BC35" s="95">
        <v>1</v>
      </c>
      <c r="BD35" s="95" t="s">
        <v>42</v>
      </c>
      <c r="BE35" s="95">
        <v>2</v>
      </c>
      <c r="BF35" s="74"/>
      <c r="BG35" s="74"/>
      <c r="BH35" s="74"/>
      <c r="BI35" s="74"/>
      <c r="BL35" s="176"/>
      <c r="BM35" s="155"/>
      <c r="BW35" s="9" t="str">
        <f>BU3&amp;"_Cscore"</f>
        <v>CD_Cscore</v>
      </c>
      <c r="BX35" t="str">
        <f>BW28</f>
        <v>22</v>
      </c>
      <c r="BY35" t="str">
        <f>BX28</f>
        <v>21</v>
      </c>
      <c r="BZ35" t="str">
        <f>BY28</f>
        <v>20</v>
      </c>
      <c r="CA35" t="str">
        <f>BZ28</f>
        <v>12</v>
      </c>
      <c r="CB35" t="str">
        <f>CD28</f>
        <v>22</v>
      </c>
      <c r="CC35" t="str">
        <f>CE28</f>
        <v>2M</v>
      </c>
      <c r="CD35" t="str">
        <f>CF28</f>
        <v>1M</v>
      </c>
      <c r="CE35" t="str">
        <f>CG28</f>
        <v>0M</v>
      </c>
      <c r="CG35" s="187">
        <v>22</v>
      </c>
      <c r="CH35" s="187">
        <v>21</v>
      </c>
      <c r="CI35" s="187">
        <v>20</v>
      </c>
      <c r="CJ35" s="187">
        <v>12</v>
      </c>
      <c r="CK35" s="187" t="s">
        <v>113</v>
      </c>
      <c r="CL35" s="187" t="s">
        <v>114</v>
      </c>
      <c r="CM35" s="187" t="s">
        <v>115</v>
      </c>
      <c r="CN35" s="187"/>
    </row>
    <row r="36" spans="1:122" customHeight="1" ht="15.75">
      <c r="A36" s="195">
        <v>4</v>
      </c>
      <c r="B36" s="64">
        <v>4</v>
      </c>
      <c r="C36" t="s">
        <v>35</v>
      </c>
      <c r="D36" s="9">
        <v>26</v>
      </c>
      <c r="E36" s="9">
        <v>15</v>
      </c>
      <c r="F36" s="9">
        <v>6</v>
      </c>
      <c r="G36" s="9">
        <v>5</v>
      </c>
      <c r="H36" s="9">
        <v>74</v>
      </c>
      <c r="I36" s="9">
        <v>35</v>
      </c>
      <c r="J36" s="9">
        <v>39</v>
      </c>
      <c r="K36" s="9">
        <v>51</v>
      </c>
      <c r="L36" s="196" t="s">
        <v>131</v>
      </c>
      <c r="U36" s="74"/>
      <c r="W36" s="202">
        <v>14</v>
      </c>
      <c r="X36" s="203" t="s">
        <v>8</v>
      </c>
      <c r="Y36" s="203">
        <v>26</v>
      </c>
      <c r="Z36" s="203">
        <v>7</v>
      </c>
      <c r="AA36" s="203">
        <v>7</v>
      </c>
      <c r="AB36" s="203">
        <v>12</v>
      </c>
      <c r="AC36" s="203">
        <v>21</v>
      </c>
      <c r="AD36" s="203">
        <v>37</v>
      </c>
      <c r="AE36" s="203">
        <v>-16</v>
      </c>
      <c r="AF36" s="203">
        <v>28</v>
      </c>
      <c r="AG36" s="203" t="s">
        <v>136</v>
      </c>
      <c r="AH36" s="127"/>
      <c r="AI36" s="127"/>
      <c r="AJ36" s="204" t="str">
        <f>AC31</f>
        <v>L</v>
      </c>
      <c r="AK36" s="204" t="str">
        <f>AB31</f>
        <v>L</v>
      </c>
      <c r="AL36" s="204" t="str">
        <f>AA31</f>
        <v>L</v>
      </c>
      <c r="AM36" s="204" t="str">
        <f>Z31</f>
        <v>D</v>
      </c>
      <c r="AN36" s="204" t="str">
        <f>Y31</f>
        <v>D</v>
      </c>
      <c r="AO36" s="127"/>
      <c r="AP36" s="127"/>
      <c r="AQ36" s="127"/>
      <c r="AR36" s="128"/>
      <c r="AU36" s="74"/>
      <c r="AV36" s="74"/>
      <c r="AW36" s="74"/>
      <c r="AX36" s="155"/>
      <c r="BA36" s="205">
        <f>BA27</f>
        <v>1</v>
      </c>
      <c r="BB36" s="206" t="str">
        <f>V23</f>
        <v>Torino-Udinese</v>
      </c>
      <c r="BC36">
        <f>CG37</f>
        <v>25.001</v>
      </c>
      <c r="BD36">
        <f>CH37</f>
        <v>25.001</v>
      </c>
      <c r="BE36">
        <f>CI37</f>
        <v>50.001</v>
      </c>
      <c r="BF36" s="207" t="str">
        <f>IFERROR(VLOOKUP(BA36,IN!$B$12:$AU$12,39),"")</f>
        <v/>
      </c>
      <c r="BG36" s="208" t="str">
        <f>IFERROR(VLOOKUP(BA36,IN!$B$12:$AU$12,35),"")</f>
        <v/>
      </c>
      <c r="BH36" s="121" t="str">
        <f>IF(AND(BC36&gt;BD36,BC36&gt;BE36),"1",IF(AND(BD36&gt;BC36,BD36&gt;BE36),"X",IF(AND(BE36&gt;BC36,BE36&gt;BD36),"2",IF(AND(BC36=BD36,BC36=BE36),"1X2",IF(AND(BC36=BD36,BC36&gt;BE36),"1X",IF(AND(BD36=BE36,BD36&gt;BC36),"X2","1 2"))))))</f>
        <v>2</v>
      </c>
      <c r="BI36" s="163" t="str">
        <f>IF(AND((BC36+BD36)&gt;(BC36+BE36),(BC36+BD36)&gt;(BD36+BE36)),"1X",IF(AND((BC36+BE36)&gt;(BC36+BD36),(BC36+BE36)&gt;(BD36+BE36)),"12",IF(AND((BD36+BE36)&gt;(BC36+BD36),(BD36+BE36)&gt;(BC36+BE36)),"X2",IF(AND((BC36+BD36)=(BC36+BE36),(BC36+BD36)=(BD36+BE36)),"1X2","1X2"))))</f>
        <v>1X2</v>
      </c>
      <c r="BK36">
        <f>H101</f>
        <v>1.64</v>
      </c>
      <c r="BL36">
        <f>I101</f>
        <v>2.1</v>
      </c>
      <c r="BM36">
        <f>J101</f>
        <v>1.96</v>
      </c>
      <c r="BN36" s="61" t="str">
        <f>IFERROR(VLOOKUP(BI36,IN!J12:BC12,39),"")</f>
        <v/>
      </c>
      <c r="BO36" s="61" t="str">
        <f>IFERROR(VLOOKUP(BI36,IN!J12:BC12,35),"")</f>
        <v/>
      </c>
      <c r="BP36" s="121" t="str">
        <f>IF(AND(BK36&gt;BL36,BK36&gt;BM36),"1",IF(AND(BL36&gt;BK36,BL36&gt;BM36),"X",IF(AND(BM36&gt;BK36,BM36&gt;BL36),"2",IF(AND(BK36=BL36,BK36=BM36),"1X2",IF(AND(BK36=BL36,BK36&gt;BM36),"1X",IF(AND(BL36=BM36,BL36&gt;BK36),"X2","1 2"))))))</f>
        <v>X</v>
      </c>
      <c r="BQ36" s="163" t="str">
        <f>IF(AND((BK36+BL36)&gt;(BK36+BM36),(BK36+BL36)&gt;(BL36+BM36)),"1X",IF(AND((BK36+BM36)&gt;(BK36+BL36),(BK36+BM36)&gt;(BL36+BM36)),"12",IF(AND((BL36+BM36)&gt;(BK36+BL36),(BL36+BM36)&gt;(BK36+BM36)),"X2",IF(AND((BK36+BL36)=(BK36+BM36),(BK36+BL36)=(BL36+BM36)),"1X2","1X2"))))</f>
        <v>X2</v>
      </c>
      <c r="BW36" s="61" t="str">
        <f>BU3&amp;"_Pron1x2"</f>
        <v>CD_Pron1x2</v>
      </c>
      <c r="BX36" s="61" t="str">
        <f>BX33</f>
        <v>X</v>
      </c>
      <c r="BY36" s="61">
        <f>BY33</f>
        <v>1</v>
      </c>
      <c r="BZ36" s="61">
        <f>BZ33</f>
        <v>1</v>
      </c>
      <c r="CA36" s="61">
        <f>CA33</f>
        <v>2</v>
      </c>
      <c r="CB36" s="61" t="str">
        <f>CE33</f>
        <v>X</v>
      </c>
      <c r="CC36" s="61">
        <f>CF33</f>
        <v>2</v>
      </c>
      <c r="CD36" s="61">
        <f>CG33</f>
        <v>2</v>
      </c>
      <c r="CE36" s="61">
        <f>CH33</f>
        <v>2</v>
      </c>
      <c r="CG36" s="95">
        <v>1</v>
      </c>
      <c r="CH36" s="95" t="s">
        <v>42</v>
      </c>
      <c r="CI36" s="95">
        <v>2</v>
      </c>
      <c r="CJ36" t="str">
        <f>"csPr=#"&amp;CF30&amp;","&amp;CG30&amp;","&amp;CH30&amp;","&amp;CI30&amp;","&amp;CJ30&amp;","&amp;CK30&amp;","&amp;CL30&amp;","&amp;CM30&amp;"#"&amp;$BP$1</f>
        <v>csPr=#22,1.5047557720324,20,12,2M,1M,0M,#</v>
      </c>
    </row>
    <row r="37" spans="1:122" customHeight="1" ht="15.75">
      <c r="A37" s="195">
        <v>5</v>
      </c>
      <c r="B37" s="64">
        <v>5</v>
      </c>
      <c r="C37" t="s">
        <v>137</v>
      </c>
      <c r="D37" s="9">
        <v>26</v>
      </c>
      <c r="E37" s="9">
        <v>13</v>
      </c>
      <c r="F37" s="9">
        <v>6</v>
      </c>
      <c r="G37" s="9">
        <v>7</v>
      </c>
      <c r="H37" s="9">
        <v>51</v>
      </c>
      <c r="I37" s="9">
        <v>35</v>
      </c>
      <c r="J37" s="9">
        <v>16</v>
      </c>
      <c r="K37" s="9">
        <v>45</v>
      </c>
      <c r="L37" s="196" t="s">
        <v>138</v>
      </c>
      <c r="U37" s="74"/>
      <c r="W37" s="209" t="s">
        <v>0</v>
      </c>
      <c r="AU37" s="74"/>
      <c r="AV37" s="74"/>
      <c r="AW37" s="74"/>
      <c r="AX37" s="155"/>
      <c r="BA37" s="205">
        <f>BA27</f>
        <v>1</v>
      </c>
      <c r="BB37" s="206" t="str">
        <f>V23</f>
        <v>Torino-Udinese</v>
      </c>
      <c r="BC37" s="210">
        <f>AS9</f>
        <v>45</v>
      </c>
      <c r="BD37" s="210">
        <f>AT9</f>
        <v>20</v>
      </c>
      <c r="BE37" s="210">
        <f>AU9</f>
        <v>35</v>
      </c>
      <c r="BF37" s="211" t="str">
        <f>IFERROR(VLOOKUP(BA37,IN!$B$12:$AU$12,39),"")</f>
        <v/>
      </c>
      <c r="BG37" s="212" t="str">
        <f>IFERROR(VLOOKUP(BA37,IN!$B$12:$AU$12,35),"")</f>
        <v/>
      </c>
      <c r="BH37" s="121" t="str">
        <f>IF(AND(BC37&gt;BD37,BC37&gt;BE37),"1",IF(AND(BD37&gt;BC37,BD37&gt;BE37),"X",IF(AND(BE37&gt;BC37,BE37&gt;BD37),"2",IF(AND(BC37=BD37,BC37=BE37),"1X2",IF(AND(BC37=BD37,BC37&gt;BE37),"1X",IF(AND(BD37=BE37,BD37&gt;BC37),"X2","1 2"))))))</f>
        <v>1</v>
      </c>
      <c r="BI37" s="163" t="str">
        <f>IF(AND((BC37+BD37)&gt;(BC37+BE37),(BC37+BD37)&gt;(BD37+BE37)),"1X",IF(AND((BC37+BE37)&gt;(BC37+BD37),(BC37+BE37)&gt;(BD37+BE37)),"12",IF(AND((BD37+BE37)&gt;(BC37+BD37),(BD37+BE37)&gt;(BC37+BE37)),"X2",IF(AND((BC37+BD37)=(BC37+BE37),(BC37+BD37)=(BD37+BE37)),"1X2","1X2"))))</f>
        <v>12</v>
      </c>
      <c r="BK37">
        <f>IF(BK36="","",(((100)*(1/BK36))/((1/BK36)+(1/BL36)+(1/BM36)))+0.01)</f>
        <v>38.211663201663</v>
      </c>
      <c r="BL37">
        <f>IF(BL36="","",(((100)*(1/BL36))/((1/BL36)+(1/BL36)+(1/BM36)))+0.01)</f>
        <v>32.568139534884</v>
      </c>
      <c r="BM37">
        <f>IF(BM36="","",(((100)*(1/BM36))/((1/BM36)+(1/BL36)+(1/BM36)))+0.01)</f>
        <v>34.100909090909</v>
      </c>
      <c r="BP37" s="121" t="str">
        <f>IF(AND(BK37&gt;BL37,BK37&gt;BM37),"1",IF(AND(BL37&gt;BK37,BL37&gt;BM37),"X",IF(AND(BM37&gt;BK37,BM37&gt;BL37),"2",IF(AND(BK37=BL37,BK37=BM37),"1X2",IF(AND(BK37=BL37,BK37&gt;BM37),"1X",IF(AND(BL37=BM37,BL37&gt;BK37),"X2","1 2"))))))</f>
        <v>1</v>
      </c>
      <c r="BQ37" s="163" t="str">
        <f>IF(AND((BK37+BL37)&gt;(BK37+BM37),(BK37+BL37)&gt;(BL37+BM37)),"1X",IF(AND((BK37+BM37)&gt;(BK37+BL37),(BK37+BM37)&gt;(BL37+BM37)),"12",IF(AND((BL37+BM37)&gt;(BK37+BL37),(BL37+BM37)&gt;(BK37+BM37)),"X2",IF(AND((BK37+BL37)=(BK37+BM37),(BK37+BL37)=(BL37+BM37)),"1X2","1X2"))))</f>
        <v>12</v>
      </c>
      <c r="BV37" s="161" t="str">
        <f>"Pr3_"&amp;BU3</f>
        <v>Pr3_CD</v>
      </c>
      <c r="BW37" s="162" t="str">
        <f>V23</f>
        <v>Torino-Udinese</v>
      </c>
      <c r="BX37" s="99" t="str">
        <f>BX33</f>
        <v>X</v>
      </c>
      <c r="BY37" s="99">
        <f>BY33</f>
        <v>1</v>
      </c>
      <c r="BZ37" s="99">
        <f>BZ33</f>
        <v>1</v>
      </c>
      <c r="CA37" s="99">
        <f>CA33</f>
        <v>2</v>
      </c>
      <c r="CB37" s="99" t="str">
        <f>CE33</f>
        <v>X</v>
      </c>
      <c r="CC37" s="99">
        <f>CF33</f>
        <v>2</v>
      </c>
      <c r="CD37" s="99">
        <f>CG33</f>
        <v>2</v>
      </c>
      <c r="CE37" s="99">
        <f>CH33</f>
        <v>2</v>
      </c>
      <c r="CG37" s="99">
        <f>(((COUNTIF(BX37:CE37,1))/8)*100)+0.001</f>
        <v>25.001</v>
      </c>
      <c r="CH37" s="99">
        <f>(((COUNTIF(BX37:CE37,"X"))/8)*100)+0.001</f>
        <v>25.001</v>
      </c>
      <c r="CI37" s="99">
        <f>(((COUNTIF(BX37:CE37,2))/8)*100)+0.001</f>
        <v>50.001</v>
      </c>
    </row>
    <row r="38" spans="1:122" customHeight="1" ht="15.75">
      <c r="A38" s="195">
        <v>6</v>
      </c>
      <c r="B38" s="64">
        <v>6</v>
      </c>
      <c r="C38" t="s">
        <v>67</v>
      </c>
      <c r="D38" s="9">
        <v>26</v>
      </c>
      <c r="E38" s="9">
        <v>11</v>
      </c>
      <c r="F38" s="9">
        <v>6</v>
      </c>
      <c r="G38" s="9">
        <v>9</v>
      </c>
      <c r="H38" s="9">
        <v>41</v>
      </c>
      <c r="I38" s="9">
        <v>36</v>
      </c>
      <c r="J38" s="9">
        <v>5</v>
      </c>
      <c r="K38" s="9">
        <v>39</v>
      </c>
      <c r="L38" s="196" t="s">
        <v>139</v>
      </c>
      <c r="W38" s="213" t="s">
        <v>3</v>
      </c>
      <c r="Y38" s="197" t="s">
        <v>140</v>
      </c>
      <c r="Z38" t="s">
        <v>141</v>
      </c>
      <c r="AA38" t="s">
        <v>142</v>
      </c>
      <c r="AB38" t="s">
        <v>143</v>
      </c>
      <c r="AC38" t="s">
        <v>144</v>
      </c>
      <c r="AD38" t="s">
        <v>145</v>
      </c>
      <c r="AE38" t="s">
        <v>146</v>
      </c>
      <c r="AF38" t="s">
        <v>147</v>
      </c>
      <c r="AG38" s="86" t="s">
        <v>148</v>
      </c>
      <c r="AH38" t="str">
        <f>"SG_"&amp;BF45</f>
        <v>SG_3</v>
      </c>
      <c r="AI38" t="str">
        <f>"SG_"&amp;BG45</f>
        <v>SG_2</v>
      </c>
      <c r="AJ38" t="str">
        <f>"SG_"&amp;BH45</f>
        <v>SG_4</v>
      </c>
      <c r="AL38" t="str">
        <f>"SG_"&amp;BJ45</f>
        <v>SG_3</v>
      </c>
      <c r="AM38" t="str">
        <f>"SG_"&amp;BK45</f>
        <v>SG_4</v>
      </c>
      <c r="AN38" t="str">
        <f>"SG_"&amp;BL45</f>
        <v>SG_5</v>
      </c>
      <c r="AU38" s="74"/>
      <c r="AV38" s="74"/>
      <c r="AW38" s="74"/>
      <c r="AX38" s="155"/>
      <c r="BA38" s="205">
        <f>BA27</f>
        <v>1</v>
      </c>
      <c r="BB38" s="206" t="str">
        <f>V23</f>
        <v>Torino-Udinese</v>
      </c>
      <c r="BC38">
        <f>BM9</f>
        <v>60</v>
      </c>
      <c r="BD38">
        <f>BN9</f>
        <v>15</v>
      </c>
      <c r="BE38">
        <f>BO9</f>
        <v>25</v>
      </c>
      <c r="BF38" s="211" t="str">
        <f>IFERROR(VLOOKUP(BA38,IN!$B$12:$AU$12,39),"")</f>
        <v/>
      </c>
      <c r="BG38" s="212" t="str">
        <f>IFERROR(VLOOKUP(BA38,IN!$B$12:$AU$12,35),"")</f>
        <v/>
      </c>
      <c r="BH38" s="121" t="str">
        <f>IF(AND(BC38&gt;BD38,BC38&gt;BE38),"1",IF(AND(BD38&gt;BC38,BD38&gt;BE38),"X",IF(AND(BE38&gt;BC38,BE38&gt;BD38),"2",IF(AND(BC38=BD38,BC38=BE38),"1X2",IF(AND(BC38=BD38,BC38&gt;BE38),"1X",IF(AND(BD38=BE38,BD38&gt;BC38),"X2","1 2"))))))</f>
        <v>1</v>
      </c>
      <c r="BI38" s="163" t="str">
        <f>IF(AND((BC38+BD38)&gt;(BC38+BE38),(BC38+BD38)&gt;(BD38+BE38)),"1X",IF(AND((BC38+BE38)&gt;(BC38+BD38),(BC38+BE38)&gt;(BD38+BE38)),"12",IF(AND((BD38+BE38)&gt;(BC38+BD38),(BD38+BE38)&gt;(BC38+BE38)),"X2",IF(AND((BC38+BD38)=(BC38+BE38),(BC38+BD38)=(BD38+BE38)),"1X2","1X2"))))</f>
        <v>12</v>
      </c>
      <c r="BV38" s="161" t="str">
        <f>"Gpr3_"&amp;BU3</f>
        <v>Gpr3_CD</v>
      </c>
      <c r="BW38" s="162" t="str">
        <f>V23</f>
        <v>Torino-Udinese</v>
      </c>
      <c r="BX38" s="99">
        <f>BX34</f>
        <v>4</v>
      </c>
      <c r="BY38" s="99">
        <f>BY34</f>
        <v>3</v>
      </c>
      <c r="BZ38" s="99">
        <f>BZ34</f>
        <v>2</v>
      </c>
      <c r="CA38" s="99">
        <f>CA34</f>
        <v>3</v>
      </c>
      <c r="CB38" s="99">
        <f>CE34</f>
        <v>4</v>
      </c>
      <c r="CC38" s="99">
        <f>CF34</f>
        <v>5</v>
      </c>
      <c r="CD38" s="99">
        <f>CG34</f>
        <v>4</v>
      </c>
      <c r="CE38" s="99">
        <f>CH34</f>
        <v>3</v>
      </c>
    </row>
    <row r="39" spans="1:122" customHeight="1" ht="15.75">
      <c r="A39" s="195">
        <v>7</v>
      </c>
      <c r="B39" s="64">
        <v>7</v>
      </c>
      <c r="C39" t="s">
        <v>149</v>
      </c>
      <c r="D39" s="9">
        <v>27</v>
      </c>
      <c r="E39" s="9">
        <v>11</v>
      </c>
      <c r="F39" s="9">
        <v>6</v>
      </c>
      <c r="G39" s="9">
        <v>10</v>
      </c>
      <c r="H39" s="9">
        <v>32</v>
      </c>
      <c r="I39" s="9">
        <v>35</v>
      </c>
      <c r="J39" s="9">
        <v>-3</v>
      </c>
      <c r="K39" s="9">
        <v>39</v>
      </c>
      <c r="L39" s="196" t="s">
        <v>150</v>
      </c>
      <c r="W39" s="214">
        <f>W35-W36</f>
        <v>1</v>
      </c>
      <c r="X39" t="s">
        <v>1</v>
      </c>
      <c r="Y39">
        <f>SUM(AA2:AA17)/16</f>
        <v>2.0625</v>
      </c>
      <c r="Z39">
        <f>((SUM(AT26:AT33))/16)*100</f>
        <v>50</v>
      </c>
      <c r="AA39">
        <f>((SUM(AT27:AT33))/16)*100</f>
        <v>37.5</v>
      </c>
      <c r="AB39">
        <f>((SUM(AT27:AT33))/16)*100</f>
        <v>37.5</v>
      </c>
      <c r="AC39">
        <f>((SUM(AT28:AT33))/16)*100</f>
        <v>18.75</v>
      </c>
      <c r="AD39">
        <f>(((COUNTIF(AA23:AP23,1)/16)*100))</f>
        <v>81.25</v>
      </c>
      <c r="AE39">
        <f>(((COUNTIF(AA23:AP23,0)/16)*100))</f>
        <v>18.75</v>
      </c>
      <c r="AF39">
        <f>((COUNTIF(AA25:AP25,1)/16)*100)</f>
        <v>62.5</v>
      </c>
      <c r="AG39" s="215" t="str">
        <f>IF(OR(Y41="",Y41="*"),"",(TRIM(CONCATENATE(IF(Y41&gt;=1,"1",""),IF(Y41&lt;1,IF(Y41&gt;=0.5,"1X",""),""),IF(Y41&gt;-1,IF(Y41&lt;=-0.5,"X2",""),""),IF(Y41&gt;-0.5,IF(Y41&lt;0.5,"X",""),""),IF(Y41&gt;-10,IF(Y41&lt;=-1,"2",""),"")))))</f>
        <v>X</v>
      </c>
      <c r="AH39">
        <f>BF46</f>
        <v>37.5</v>
      </c>
      <c r="AI39">
        <f>BG46</f>
        <v>31.25</v>
      </c>
      <c r="AJ39">
        <f>BH46</f>
        <v>25</v>
      </c>
      <c r="AL39">
        <f>BJ46</f>
        <v>37.5</v>
      </c>
      <c r="AM39">
        <f>BK46</f>
        <v>37.5</v>
      </c>
      <c r="AN39">
        <f>BL46</f>
        <v>12.5</v>
      </c>
      <c r="AU39" s="74"/>
      <c r="AV39" s="74"/>
      <c r="AW39" s="74"/>
      <c r="AX39" s="155"/>
      <c r="BA39" s="205">
        <f>BA27</f>
        <v>1</v>
      </c>
      <c r="BB39" s="206" t="str">
        <f>V23</f>
        <v>Torino-Udinese</v>
      </c>
      <c r="BC39">
        <f>(BC36+BC37+BC38)/3</f>
        <v>43.333666666667</v>
      </c>
      <c r="BD39">
        <f>(BD36+BD37+BD38)/3</f>
        <v>20.000333333333</v>
      </c>
      <c r="BE39">
        <f>(BE36+BE37+BE38)/3</f>
        <v>36.667</v>
      </c>
      <c r="BF39" s="216" t="str">
        <f>IFERROR(VLOOKUP(BA39,IN!$B$12:$AU$12,39),"")</f>
        <v/>
      </c>
      <c r="BG39" s="217" t="str">
        <f>IFERROR(VLOOKUP(BA39,IN!$B$12:$AU$12,35),"")</f>
        <v/>
      </c>
      <c r="BH39" s="121" t="str">
        <f>IF(AND(BC39&gt;BD39,BC39&gt;BE39),"1",IF(AND(BD39&gt;BC39,BD39&gt;BE39),"X",IF(AND(BE39&gt;BC39,BE39&gt;BD39),"2",IF(AND(BC39=BD39,BC39=BE39),"1X2",IF(AND(BC39=BD39,BC39&gt;BE39),"1X",IF(AND(BD39=BE39,BD39&gt;BC39),"X2","1 2"))))))</f>
        <v>1</v>
      </c>
      <c r="BI39" s="163" t="str">
        <f>IF(AND((BC39+BD39)&gt;(BC39+BE39),(BC39+BD39)&gt;(BD39+BE39)),"1X",IF(AND((BC39+BE39)&gt;(BC39+BD39),(BC39+BE39)&gt;(BD39+BE39)),"12",IF(AND((BD39+BE39)&gt;(BC39+BD39),(BD39+BE39)&gt;(BC39+BE39)),"X2",IF(AND((BC39+BD39)=(BC39+BE39),(BC39+BD39)=(BD39+BE39)),"1X2","1X2"))))</f>
        <v>12</v>
      </c>
    </row>
    <row r="40" spans="1:122">
      <c r="A40" s="195">
        <v>8</v>
      </c>
      <c r="B40" s="64">
        <v>8</v>
      </c>
      <c r="C40" t="s">
        <v>151</v>
      </c>
      <c r="D40" s="9">
        <v>26</v>
      </c>
      <c r="E40" s="9">
        <v>10</v>
      </c>
      <c r="F40" s="9">
        <v>8</v>
      </c>
      <c r="G40" s="9">
        <v>8</v>
      </c>
      <c r="H40" s="9">
        <v>31</v>
      </c>
      <c r="I40" s="9">
        <v>27</v>
      </c>
      <c r="J40" s="9">
        <v>4</v>
      </c>
      <c r="K40" s="9">
        <v>38</v>
      </c>
      <c r="L40" s="196" t="s">
        <v>152</v>
      </c>
      <c r="V40" s="159"/>
      <c r="W40" s="66" t="str">
        <f>IF(OR(W39="",W39="*"),"",(TRIM(CONCATENATE(IF(W39&gt;=3,"2",""),IF(W39&lt;3,IF(W39&gt;=1,"X2",""),""),IF(W39&gt;-3,IF(W39&lt;=-1,"1X",""),""),IF(W39&gt;-1,IF(W39&lt;1,"X",""),""),IF(W39&gt;-30,IF(W39&lt;=-3,"1",""),"")))))</f>
        <v>X2</v>
      </c>
      <c r="X40" t="s">
        <v>2</v>
      </c>
      <c r="Y40">
        <f>SUM(Z2:Z17)/16</f>
        <v>1.6875</v>
      </c>
      <c r="Z40">
        <f>((SUM(AU26:AU33))/16)*100</f>
        <v>37.5</v>
      </c>
      <c r="AA40">
        <f>((SUM(AU27:AU33))/16)*100</f>
        <v>25</v>
      </c>
      <c r="AB40">
        <f>((SUM(AU27:AU33))/16)*100</f>
        <v>25</v>
      </c>
      <c r="AC40">
        <f>((SUM(AU28:AU33))/16)*100</f>
        <v>6.25</v>
      </c>
      <c r="AD40">
        <f>(((COUNTIF(AA24:AP24,1)/16)*100))</f>
        <v>81.25</v>
      </c>
      <c r="AE40">
        <f>(((COUNTIF(AA24:AP24,0)/16)*100))</f>
        <v>18.75</v>
      </c>
      <c r="AS40" s="86"/>
      <c r="AU40" s="74"/>
      <c r="AV40" s="74"/>
      <c r="AW40" s="74"/>
      <c r="AX40" s="155"/>
    </row>
    <row r="41" spans="1:122" customHeight="1" ht="15.75">
      <c r="A41" s="195">
        <v>9</v>
      </c>
      <c r="B41" s="64">
        <v>9</v>
      </c>
      <c r="C41" t="s">
        <v>21</v>
      </c>
      <c r="D41" s="9">
        <v>26</v>
      </c>
      <c r="E41" s="9">
        <v>10</v>
      </c>
      <c r="F41" s="9">
        <v>6</v>
      </c>
      <c r="G41" s="9">
        <v>10</v>
      </c>
      <c r="H41" s="9">
        <v>33</v>
      </c>
      <c r="I41" s="9">
        <v>32</v>
      </c>
      <c r="J41" s="9">
        <v>1</v>
      </c>
      <c r="K41" s="9">
        <v>36</v>
      </c>
      <c r="L41" s="196" t="s">
        <v>153</v>
      </c>
      <c r="W41" s="218" t="str">
        <f>IF(W40="","",IF(LEN(W40)&lt;=2,IF(W40="X1","1X",IF(W40="21","12",IF(W40="2X","X2",IF(W40="11","1",IF(W40="XX","X",IF(W40="22","2",W40)))))),CONCATENATE(IF(IFERROR(FIND("1",W40,1),0)&lt;&gt;0,"1",""),IF(IFERROR(FIND("X",W40,1),0)&lt;&gt;0,"X",""),IF(IFERROR(FIND("2",W40,1),0)&lt;&gt;0,"2",""))))</f>
        <v>X2</v>
      </c>
      <c r="X41" t="s">
        <v>154</v>
      </c>
      <c r="Y41" s="219">
        <f>Y39-Y40</f>
        <v>0.375</v>
      </c>
      <c r="Z41" s="220">
        <f>(Z39+Z40)/2</f>
        <v>43.75</v>
      </c>
      <c r="AA41" s="220">
        <f>(AA39+AA40)/2</f>
        <v>31.25</v>
      </c>
      <c r="AB41" s="220">
        <f>(AB39+AB40)/2</f>
        <v>31.25</v>
      </c>
      <c r="AC41" s="220">
        <f>(AC39+AC40)/2</f>
        <v>12.5</v>
      </c>
      <c r="AD41" s="220">
        <f>(AD39+AD40)/2</f>
        <v>81.25</v>
      </c>
      <c r="AE41" s="220">
        <f>(AE39+AE40)/2</f>
        <v>18.75</v>
      </c>
      <c r="AU41" s="74"/>
      <c r="AV41" s="74"/>
      <c r="AW41" s="74"/>
      <c r="AX41" s="155"/>
      <c r="BB41" t="s">
        <v>82</v>
      </c>
    </row>
    <row r="42" spans="1:122" customHeight="1" ht="15.75">
      <c r="A42" s="195">
        <v>10</v>
      </c>
      <c r="B42" s="64">
        <v>10</v>
      </c>
      <c r="C42" t="s">
        <v>22</v>
      </c>
      <c r="D42" s="9">
        <v>27</v>
      </c>
      <c r="E42" s="9">
        <v>9</v>
      </c>
      <c r="F42" s="9">
        <v>7</v>
      </c>
      <c r="G42" s="9">
        <v>11</v>
      </c>
      <c r="H42" s="9">
        <v>38</v>
      </c>
      <c r="I42" s="9">
        <v>44</v>
      </c>
      <c r="J42" s="9">
        <v>-6</v>
      </c>
      <c r="K42" s="9">
        <v>34</v>
      </c>
      <c r="L42" s="196" t="s">
        <v>155</v>
      </c>
      <c r="Y42">
        <f>(SUM(AA2:AA17)/16)-(SUM(Z2:Z17)/16)</f>
        <v>0.375</v>
      </c>
      <c r="AU42" s="74"/>
      <c r="AV42" s="74"/>
      <c r="AW42" s="74"/>
      <c r="AX42" s="155"/>
      <c r="BA42" s="205">
        <f>BA27</f>
        <v>1</v>
      </c>
      <c r="BB42" s="206" t="str">
        <f>V23</f>
        <v>Torino-Udinese</v>
      </c>
      <c r="BC42" s="22" t="str">
        <f>IFERROR(VLOOKUP(BA42,#REF!,5),"")</f>
        <v/>
      </c>
      <c r="BD42" s="61" t="str">
        <f>IFERROR(VLOOKUP(BA42,#REF!,6),"")</f>
        <v/>
      </c>
      <c r="BE42" s="61" t="str">
        <f>IFERROR(VLOOKUP(BA42,#REF!,7),"")</f>
        <v/>
      </c>
      <c r="BF42" s="221">
        <f>VLOOKUP(1,BC55:BF70,4,FALSE)</f>
        <v>22</v>
      </c>
      <c r="BG42" s="222" t="str">
        <f>VLOOKUP(2,BC55:BF70,4,FALSE)</f>
        <v>0M</v>
      </c>
      <c r="BH42" s="222" t="str">
        <f>VLOOKUP(3,BC55:BF70,4,FALSE)</f>
        <v>1M</v>
      </c>
      <c r="BI42" s="222" t="str">
        <f>VLOOKUP(4,BC55:BF70,4,FALSE)</f>
        <v>2M</v>
      </c>
      <c r="BJ42" s="222">
        <f>VLOOKUP(5,BC55:BF70,4,FALSE)</f>
        <v>12</v>
      </c>
      <c r="BK42" s="222">
        <f>VLOOKUP(6,BC55:BF70,4,FALSE)</f>
        <v>20</v>
      </c>
      <c r="BL42" s="222">
        <f>VLOOKUP(7,BC55:BF70,4,FALSE)</f>
        <v>21</v>
      </c>
      <c r="BM42" s="222">
        <f>VLOOKUP(8,BC55:BF70,4,FALSE)</f>
        <v>0</v>
      </c>
      <c r="BN42" s="178">
        <f>VLOOKUP(9,BC55:BF70,4,FALSE)</f>
        <v>0</v>
      </c>
      <c r="BO42" s="178">
        <f>VLOOKUP(10,BC55:BF70,4,FALSE)</f>
        <v>0</v>
      </c>
      <c r="BP42" s="190"/>
    </row>
    <row r="43" spans="1:122">
      <c r="A43" s="195">
        <v>11</v>
      </c>
      <c r="B43" s="64">
        <v>12</v>
      </c>
      <c r="C43" t="s">
        <v>65</v>
      </c>
      <c r="D43" s="9">
        <v>26</v>
      </c>
      <c r="E43" s="9">
        <v>8</v>
      </c>
      <c r="F43" s="9">
        <v>8</v>
      </c>
      <c r="G43" s="9">
        <v>10</v>
      </c>
      <c r="H43" s="9">
        <v>42</v>
      </c>
      <c r="I43" s="9">
        <v>42</v>
      </c>
      <c r="J43" s="9">
        <v>0</v>
      </c>
      <c r="K43" s="9">
        <v>32</v>
      </c>
      <c r="L43" s="196" t="s">
        <v>156</v>
      </c>
      <c r="BF43">
        <f>VLOOKUP(1,BC55:BF70,3,FALSE)</f>
        <v>25.01</v>
      </c>
      <c r="BG43">
        <f>VLOOKUP(2,BC55:BF70,3,FALSE)</f>
        <v>12.51</v>
      </c>
      <c r="BH43">
        <f>VLOOKUP(3,BC55:BF70,3,FALSE)</f>
        <v>12.51</v>
      </c>
      <c r="BI43">
        <f>VLOOKUP(4,BC55:BF70,3,FALSE)</f>
        <v>12.51</v>
      </c>
    </row>
    <row r="44" spans="1:122" customHeight="1" ht="15.75">
      <c r="A44" s="195">
        <v>12</v>
      </c>
      <c r="B44" s="64">
        <v>11</v>
      </c>
      <c r="C44" t="s">
        <v>72</v>
      </c>
      <c r="D44" s="9">
        <v>26</v>
      </c>
      <c r="E44" s="9">
        <v>9</v>
      </c>
      <c r="F44" s="9">
        <v>5</v>
      </c>
      <c r="G44" s="9">
        <v>12</v>
      </c>
      <c r="H44" s="9">
        <v>42</v>
      </c>
      <c r="I44" s="9">
        <v>43</v>
      </c>
      <c r="J44" s="9">
        <v>-1</v>
      </c>
      <c r="K44" s="9">
        <v>32</v>
      </c>
      <c r="L44" s="196" t="s">
        <v>157</v>
      </c>
      <c r="BB44" t="s">
        <v>23</v>
      </c>
    </row>
    <row r="45" spans="1:122" customHeight="1" ht="15.75">
      <c r="A45" s="195">
        <v>13</v>
      </c>
      <c r="B45" s="64">
        <v>13</v>
      </c>
      <c r="C45" t="s">
        <v>58</v>
      </c>
      <c r="D45" s="9">
        <v>27</v>
      </c>
      <c r="E45" s="9">
        <v>7</v>
      </c>
      <c r="F45" s="9">
        <v>10</v>
      </c>
      <c r="G45" s="9">
        <v>10</v>
      </c>
      <c r="H45" s="9">
        <v>33</v>
      </c>
      <c r="I45" s="9">
        <v>37</v>
      </c>
      <c r="J45" s="9">
        <v>-4</v>
      </c>
      <c r="K45" s="9">
        <v>31</v>
      </c>
      <c r="L45" s="196" t="s">
        <v>158</v>
      </c>
      <c r="BA45" s="205">
        <f>BA27</f>
        <v>1</v>
      </c>
      <c r="BB45" s="206" t="str">
        <f>V23</f>
        <v>Torino-Udinese</v>
      </c>
      <c r="BC45" s="22" t="str">
        <f>IFERROR(VLOOKUP(BA45,#REF!,5),"")</f>
        <v/>
      </c>
      <c r="BD45" s="61" t="str">
        <f>IFERROR(VLOOKUP(BA45,#REF!,6),"")</f>
        <v/>
      </c>
      <c r="BE45" s="61" t="str">
        <f>IFERROR(VLOOKUP(BA45,#REF!,7),"")</f>
        <v/>
      </c>
      <c r="BF45" s="221">
        <f>DH15</f>
        <v>3</v>
      </c>
      <c r="BG45" s="221">
        <f>DI15</f>
        <v>2</v>
      </c>
      <c r="BH45" s="221">
        <f>DJ15</f>
        <v>4</v>
      </c>
      <c r="BI45" s="222"/>
      <c r="BJ45" s="222">
        <f>DP15</f>
        <v>3</v>
      </c>
      <c r="BK45" s="222">
        <f>DQ15</f>
        <v>4</v>
      </c>
      <c r="BL45" s="222">
        <f>DR15</f>
        <v>5</v>
      </c>
      <c r="BM45" s="222">
        <f>VLOOKUP(8,BC55:BF70,4,FALSE)</f>
        <v>0</v>
      </c>
      <c r="BN45" s="178">
        <f>VLOOKUP(9,BC55:BF70,4,FALSE)</f>
        <v>0</v>
      </c>
      <c r="BO45" s="178">
        <f>VLOOKUP(10,BC55:BF70,4,FALSE)</f>
        <v>0</v>
      </c>
      <c r="BP45" s="190"/>
      <c r="BR45" s="68" t="str">
        <f>"+2,5g"</f>
        <v>+2,5g</v>
      </c>
    </row>
    <row r="46" spans="1:122" customHeight="1" ht="15.75">
      <c r="A46" s="195">
        <v>14</v>
      </c>
      <c r="B46" s="64">
        <v>14</v>
      </c>
      <c r="C46" t="s">
        <v>8</v>
      </c>
      <c r="D46" s="9">
        <v>26</v>
      </c>
      <c r="E46" s="9">
        <v>7</v>
      </c>
      <c r="F46" s="9">
        <v>7</v>
      </c>
      <c r="G46" s="9">
        <v>12</v>
      </c>
      <c r="H46" s="9">
        <v>21</v>
      </c>
      <c r="I46" s="9">
        <v>37</v>
      </c>
      <c r="J46" s="9">
        <v>-16</v>
      </c>
      <c r="K46" s="9">
        <v>28</v>
      </c>
      <c r="L46" s="196" t="s">
        <v>136</v>
      </c>
      <c r="Y46" s="69" t="str">
        <f>AA1</f>
        <v>Vt1</v>
      </c>
      <c r="Z46" s="70" t="str">
        <f>Z1</f>
        <v>Hm2</v>
      </c>
      <c r="AA46" s="72" t="s">
        <v>14</v>
      </c>
      <c r="BF46">
        <f>DH16</f>
        <v>37.5</v>
      </c>
      <c r="BG46">
        <f>DI16</f>
        <v>31.25</v>
      </c>
      <c r="BH46">
        <f>DJ16</f>
        <v>25</v>
      </c>
      <c r="BJ46">
        <f>DP16</f>
        <v>37.5</v>
      </c>
      <c r="BK46">
        <f>DQ16</f>
        <v>37.5</v>
      </c>
      <c r="BL46">
        <f>DR16</f>
        <v>12.5</v>
      </c>
      <c r="BR46" s="68">
        <f>(BF46+BJ46)/2</f>
        <v>37.5</v>
      </c>
    </row>
    <row r="47" spans="1:122">
      <c r="A47" s="195">
        <v>15</v>
      </c>
      <c r="B47" s="64">
        <v>15</v>
      </c>
      <c r="C47" t="s">
        <v>7</v>
      </c>
      <c r="D47" s="9">
        <v>26</v>
      </c>
      <c r="E47" s="9">
        <v>8</v>
      </c>
      <c r="F47" s="9">
        <v>4</v>
      </c>
      <c r="G47" s="9">
        <v>14</v>
      </c>
      <c r="H47" s="9">
        <v>29</v>
      </c>
      <c r="I47" s="9">
        <v>46</v>
      </c>
      <c r="J47" s="9">
        <v>-17</v>
      </c>
      <c r="K47" s="9">
        <v>28</v>
      </c>
      <c r="L47" s="196" t="s">
        <v>134</v>
      </c>
      <c r="X47">
        <v>1</v>
      </c>
      <c r="Y47" s="84">
        <f>AA21</f>
        <v>2</v>
      </c>
      <c r="Z47">
        <f>Z21</f>
        <v>2</v>
      </c>
      <c r="AA47" s="166">
        <f>IF(AND(AA2="M",Z2="M"),0,(IF(AND(AA2="M",Z2&lt;&gt;"M"),1,(IF(AND(AA2&lt;&gt;"M",Z2="M"),-1,(IF(AA2=Z2,0,(IF(AA2&gt;Z2,1,-1)))))))))</f>
        <v>0</v>
      </c>
      <c r="BA47" s="205">
        <f>BA27</f>
        <v>1</v>
      </c>
      <c r="BB47" s="206" t="str">
        <f>V23</f>
        <v>Torino-Udinese</v>
      </c>
      <c r="BC47" s="223" t="str">
        <f>BW28</f>
        <v>22</v>
      </c>
      <c r="BD47" s="223" t="str">
        <f>BX28</f>
        <v>21</v>
      </c>
      <c r="BE47" s="223" t="str">
        <f>BY28</f>
        <v>20</v>
      </c>
      <c r="BF47" s="223" t="str">
        <f>BZ28</f>
        <v>12</v>
      </c>
      <c r="BG47" s="223" t="str">
        <f>CD28</f>
        <v>22</v>
      </c>
      <c r="BH47" s="223" t="str">
        <f>CE28</f>
        <v>2M</v>
      </c>
      <c r="BI47" s="223" t="str">
        <f>CF28</f>
        <v>1M</v>
      </c>
      <c r="BJ47" s="223" t="str">
        <f>CG28</f>
        <v>0M</v>
      </c>
    </row>
    <row r="48" spans="1:122" customHeight="1" ht="15.75">
      <c r="A48" s="195">
        <v>16</v>
      </c>
      <c r="B48" s="64">
        <v>16</v>
      </c>
      <c r="C48" t="s">
        <v>26</v>
      </c>
      <c r="D48" s="9">
        <v>26</v>
      </c>
      <c r="E48" s="9">
        <v>7</v>
      </c>
      <c r="F48" s="9">
        <v>5</v>
      </c>
      <c r="G48" s="9">
        <v>14</v>
      </c>
      <c r="H48" s="9">
        <v>29</v>
      </c>
      <c r="I48" s="9">
        <v>46</v>
      </c>
      <c r="J48" s="9">
        <v>-17</v>
      </c>
      <c r="K48" s="9">
        <v>26</v>
      </c>
      <c r="L48" s="196" t="s">
        <v>159</v>
      </c>
      <c r="X48">
        <v>2</v>
      </c>
      <c r="Y48" s="84">
        <f>AA20</f>
        <v>2</v>
      </c>
      <c r="Z48">
        <f>Z20</f>
        <v>1</v>
      </c>
      <c r="AA48" s="166">
        <f>IF(AND(AA3="M",Z3="M"),0,(IF(AND(AA3="M",Z3&lt;&gt;"M"),1,(IF(AND(AA3&lt;&gt;"M",Z3="M"),-1,(IF(AA3=Z3,0,(IF(AA3&gt;Z3,1,-1)))))))))</f>
        <v>-1</v>
      </c>
      <c r="BC48">
        <v>1</v>
      </c>
      <c r="BD48">
        <v>2</v>
      </c>
      <c r="BE48">
        <v>3</v>
      </c>
      <c r="BF48">
        <v>4</v>
      </c>
      <c r="BG48">
        <v>5</v>
      </c>
      <c r="BH48">
        <v>6</v>
      </c>
      <c r="BI48">
        <v>7</v>
      </c>
      <c r="BJ48">
        <v>8</v>
      </c>
      <c r="BK48">
        <v>9</v>
      </c>
      <c r="BL48">
        <v>10</v>
      </c>
      <c r="BM48">
        <v>11</v>
      </c>
      <c r="BN48">
        <v>12</v>
      </c>
      <c r="BO48">
        <v>13</v>
      </c>
      <c r="BP48">
        <v>14</v>
      </c>
      <c r="BQ48">
        <v>15</v>
      </c>
      <c r="BR48">
        <v>16</v>
      </c>
    </row>
    <row r="49" spans="1:122">
      <c r="A49" s="195">
        <v>17</v>
      </c>
      <c r="B49" s="64">
        <v>17</v>
      </c>
      <c r="C49" t="s">
        <v>52</v>
      </c>
      <c r="D49" s="9">
        <v>26</v>
      </c>
      <c r="E49" s="9">
        <v>6</v>
      </c>
      <c r="F49" s="9">
        <v>7</v>
      </c>
      <c r="G49" s="9">
        <v>13</v>
      </c>
      <c r="H49" s="9">
        <v>31</v>
      </c>
      <c r="I49" s="9">
        <v>47</v>
      </c>
      <c r="J49" s="9">
        <v>-16</v>
      </c>
      <c r="K49" s="9">
        <v>25</v>
      </c>
      <c r="L49" s="196" t="s">
        <v>160</v>
      </c>
      <c r="X49">
        <v>3</v>
      </c>
      <c r="Y49" s="84">
        <f>AA19</f>
        <v>1</v>
      </c>
      <c r="Z49">
        <f>Z19</f>
        <v>2</v>
      </c>
      <c r="AA49" s="166">
        <f>IF(AND(AA4="M",Z4="M"),0,(IF(AND(AA4="M",Z4&lt;&gt;"M"),1,(IF(AND(AA4&lt;&gt;"M",Z4="M"),-1,(IF(AA4=Z4,0,(IF(AA4&gt;Z4,1,-1)))))))))</f>
        <v>-1</v>
      </c>
      <c r="BA49" s="205">
        <f>BA27</f>
        <v>1</v>
      </c>
      <c r="BB49" s="206" t="str">
        <f>V23</f>
        <v>Torino-Udinese</v>
      </c>
      <c r="BC49" s="224">
        <v>22</v>
      </c>
      <c r="BD49" s="224">
        <v>21</v>
      </c>
      <c r="BE49" s="224">
        <v>20</v>
      </c>
      <c r="BF49" s="224">
        <v>12</v>
      </c>
      <c r="BG49" s="224" t="s">
        <v>113</v>
      </c>
      <c r="BH49" s="224" t="s">
        <v>114</v>
      </c>
      <c r="BI49" s="224" t="s">
        <v>115</v>
      </c>
      <c r="BJ49" s="224"/>
      <c r="BK49" s="224"/>
      <c r="BL49" s="224"/>
      <c r="BM49" s="224"/>
      <c r="BN49" s="224"/>
      <c r="BO49" s="224"/>
      <c r="BP49" s="224"/>
      <c r="BQ49" s="224"/>
      <c r="BR49" s="224"/>
    </row>
    <row r="50" spans="1:122">
      <c r="A50" s="64">
        <v>18</v>
      </c>
      <c r="B50" s="64">
        <v>18</v>
      </c>
      <c r="C50" t="s">
        <v>56</v>
      </c>
      <c r="D50" s="9">
        <v>27</v>
      </c>
      <c r="E50" s="9">
        <v>6</v>
      </c>
      <c r="F50" s="9">
        <v>7</v>
      </c>
      <c r="G50" s="9">
        <v>14</v>
      </c>
      <c r="H50" s="9">
        <v>35</v>
      </c>
      <c r="I50" s="9">
        <v>60</v>
      </c>
      <c r="J50" s="9">
        <v>-25</v>
      </c>
      <c r="K50" s="9">
        <v>25</v>
      </c>
      <c r="L50" s="196" t="s">
        <v>161</v>
      </c>
      <c r="M50" s="150"/>
      <c r="N50" s="150"/>
      <c r="O50" s="150"/>
      <c r="P50" s="150"/>
      <c r="Q50" s="150"/>
      <c r="R50" s="150"/>
      <c r="S50" s="150"/>
      <c r="X50">
        <v>4</v>
      </c>
      <c r="Y50" s="84">
        <f>AA18</f>
        <v>1</v>
      </c>
      <c r="Z50">
        <f>Z18</f>
        <v>0</v>
      </c>
      <c r="AA50" s="166">
        <f>IF(AND(AA5="M",Z5="M"),0,(IF(AND(AA5="M",Z5&lt;&gt;"M"),1,(IF(AND(AA5&lt;&gt;"M",Z5="M"),-1,(IF(AA5=Z5,0,(IF(AA5&gt;Z5,1,-1)))))))))</f>
        <v>1</v>
      </c>
    </row>
    <row r="51" spans="1:122">
      <c r="A51" s="64">
        <v>19</v>
      </c>
      <c r="B51" s="64">
        <v>19</v>
      </c>
      <c r="C51" t="s">
        <v>162</v>
      </c>
      <c r="D51" s="9">
        <v>26</v>
      </c>
      <c r="E51" s="9">
        <v>5</v>
      </c>
      <c r="F51" s="9">
        <v>3</v>
      </c>
      <c r="G51" s="9">
        <v>18</v>
      </c>
      <c r="H51" s="9">
        <v>20</v>
      </c>
      <c r="I51" s="9">
        <v>44</v>
      </c>
      <c r="J51" s="9">
        <v>-24</v>
      </c>
      <c r="K51" s="9">
        <v>18</v>
      </c>
      <c r="L51" s="196" t="s">
        <v>163</v>
      </c>
      <c r="X51">
        <v>5</v>
      </c>
      <c r="Y51" s="84">
        <f>AA17</f>
        <v>4</v>
      </c>
      <c r="Z51">
        <f>Z17</f>
        <v>0</v>
      </c>
      <c r="AA51" s="166">
        <f>IF(AND(AA6="M",Z6="M"),0,(IF(AND(AA6="M",Z6&lt;&gt;"M"),1,(IF(AND(AA6&lt;&gt;"M",Z6="M"),-1,(IF(AA6=Z6,0,(IF(AA6&gt;Z6,1,-1)))))))))</f>
        <v>1</v>
      </c>
      <c r="BC51">
        <f>IF(BC49="",0.01,((BC53/BS53)*100))</f>
        <v>25</v>
      </c>
      <c r="BD51">
        <f>IF(BD49="",0.01,((BD53/BS53)*100))</f>
        <v>12.5</v>
      </c>
      <c r="BE51">
        <f>IF(BE49="",0.01,((BE53/BS53)*100))</f>
        <v>12.5</v>
      </c>
      <c r="BF51">
        <f>IF(BF49="",0.01,((BF53/BS53)*100))</f>
        <v>12.5</v>
      </c>
      <c r="BG51">
        <f>IF(BG49="",0.01,((BG53/BS53)*100))</f>
        <v>12.5</v>
      </c>
      <c r="BH51">
        <f>IF(BH49="",0.01,((BH53/BS53)*100))</f>
        <v>12.5</v>
      </c>
      <c r="BI51">
        <f>IF(BI49="",0.01,((BI53/BS53)*100))</f>
        <v>12.5</v>
      </c>
      <c r="BJ51">
        <f>IF(BJ49="",0.01,((BJ53/BS53)*100))</f>
        <v>0.01</v>
      </c>
      <c r="BK51">
        <f>IF(BK49="",0.01,((BK53/BS53)*100))</f>
        <v>0.01</v>
      </c>
      <c r="BL51">
        <f>IF(BL49="",0.01,((BL53/BS53)*100))</f>
        <v>0.01</v>
      </c>
      <c r="BM51">
        <f>IF(BM49="",0.01,((BM53/BS53)*100))</f>
        <v>0.01</v>
      </c>
      <c r="BN51">
        <f>IF(BN49="",0.01,((BN53/BS53)*100))</f>
        <v>0.01</v>
      </c>
      <c r="BO51">
        <f>IF(BO49="",0.01,((BO53/BS53)*100))</f>
        <v>0.01</v>
      </c>
      <c r="BP51">
        <f>IF(BP49="",0.01,((BP53/BS53)*100))</f>
        <v>0.01</v>
      </c>
      <c r="BQ51">
        <f>IF(BQ49="",0.01,((BQ53/BS53)*100))</f>
        <v>0.01</v>
      </c>
      <c r="BR51">
        <f>IF(BR49="",0.01,((BR53/BS53)*100))</f>
        <v>0.01</v>
      </c>
    </row>
    <row r="52" spans="1:122">
      <c r="A52" s="64">
        <v>20</v>
      </c>
      <c r="B52" s="64">
        <v>20</v>
      </c>
      <c r="C52" t="s">
        <v>27</v>
      </c>
      <c r="D52" s="9">
        <v>27</v>
      </c>
      <c r="E52" s="9">
        <v>4</v>
      </c>
      <c r="F52" s="9">
        <v>5</v>
      </c>
      <c r="G52" s="9">
        <v>18</v>
      </c>
      <c r="H52" s="9">
        <v>23</v>
      </c>
      <c r="I52" s="9">
        <v>50</v>
      </c>
      <c r="J52" s="9">
        <v>-27</v>
      </c>
      <c r="K52" s="9">
        <v>17</v>
      </c>
      <c r="L52" s="196" t="s">
        <v>164</v>
      </c>
      <c r="X52">
        <v>6</v>
      </c>
      <c r="Y52" s="84">
        <f>AA16</f>
        <v>0</v>
      </c>
      <c r="Z52">
        <f>Z16</f>
        <v>3</v>
      </c>
      <c r="AA52" s="166">
        <f>IF(AND(AA7="M",Z7="M"),0,(IF(AND(AA7="M",Z7&lt;&gt;"M"),1,(IF(AND(AA7&lt;&gt;"M",Z7="M"),-1,(IF(AA7=Z7,0,(IF(AA7&gt;Z7,1,-1)))))))))</f>
        <v>-1</v>
      </c>
    </row>
    <row r="53" spans="1:122">
      <c r="A53" s="61"/>
      <c r="B53" s="61"/>
      <c r="D53" s="9"/>
      <c r="E53" s="9"/>
      <c r="F53" s="9"/>
      <c r="G53" s="9"/>
      <c r="H53" s="9"/>
      <c r="I53" s="9"/>
      <c r="J53" s="9"/>
      <c r="K53" s="9"/>
      <c r="L53" s="196"/>
      <c r="X53">
        <v>7</v>
      </c>
      <c r="Y53" s="84">
        <f>AA15</f>
        <v>1</v>
      </c>
      <c r="Z53">
        <f>Z15</f>
        <v>1</v>
      </c>
      <c r="AA53" s="166">
        <f>IF(AND(AA8="M",Z8="M"),0,(IF(AND(AA8="M",Z8&lt;&gt;"M"),1,(IF(AND(AA8&lt;&gt;"M",Z8="M"),-1,(IF(AA8=Z8,0,(IF(AA8&gt;Z8,1,-1)))))))))</f>
        <v>1</v>
      </c>
      <c r="BC53" s="74">
        <f>IF(BC49="","",COUNTIF(BC47:BJ47,BC49))</f>
        <v>2</v>
      </c>
      <c r="BD53" s="74">
        <f>IF(BD49="","",COUNTIF(BC47:BJ47,BD49))</f>
        <v>1</v>
      </c>
      <c r="BE53" s="74">
        <f>IF(BE49="","",COUNTIF(BC47:BJ47,BE49))</f>
        <v>1</v>
      </c>
      <c r="BF53" s="74">
        <f>IF(BF49="","",COUNTIF(BC47:BJ47,BF49))</f>
        <v>1</v>
      </c>
      <c r="BG53" s="74">
        <f>IF(BG49="","",COUNTIF(BC47:BJ47,BG49))</f>
        <v>1</v>
      </c>
      <c r="BH53" s="74">
        <f>IF(BH49="","",COUNTIF(BC47:BJ47,BH49))</f>
        <v>1</v>
      </c>
      <c r="BI53" s="74">
        <f>IF(BI49="","",COUNTIF(BC47:BJ47,BI49))</f>
        <v>1</v>
      </c>
      <c r="BJ53" s="74" t="str">
        <f>IF(BJ49="","",COUNTIF(BC47:BJ47,BJ49))</f>
        <v/>
      </c>
      <c r="BK53" s="74" t="str">
        <f>IF(BK49="","",COUNTIF(BC47:BJ47,BK49))</f>
        <v/>
      </c>
      <c r="BL53" s="74" t="str">
        <f>IF(BL49="","",COUNTIF(BC47:BJ47,BL49))</f>
        <v/>
      </c>
      <c r="BM53" s="74" t="str">
        <f>IF(BM49="","",COUNTIF(BC47:BJ47,BM49))</f>
        <v/>
      </c>
      <c r="BN53" s="74" t="str">
        <f>IF(BN49="","",COUNTIF(BC47:BJ47,BN49))</f>
        <v/>
      </c>
      <c r="BO53" s="74" t="str">
        <f>IF(BO49="","",COUNTIF(BC47:BJ47,BO49))</f>
        <v/>
      </c>
      <c r="BP53" s="74" t="str">
        <f>IF(BP49="","",COUNTIF(BC47:BJ47,BP49))</f>
        <v/>
      </c>
      <c r="BQ53" s="74" t="str">
        <f>IF(BQ49="","",COUNTIF(BC47:BJ47,BQ49))</f>
        <v/>
      </c>
      <c r="BR53" s="74" t="str">
        <f>IF(BR49="","",COUNTIF(BC47:BJ47,BR49))</f>
        <v/>
      </c>
      <c r="BS53" s="225">
        <f>SUM(BC53:BR53)</f>
        <v>8</v>
      </c>
    </row>
    <row r="54" spans="1:122">
      <c r="A54" s="61"/>
      <c r="B54" s="61"/>
      <c r="D54" s="9"/>
      <c r="E54" s="9"/>
      <c r="F54" s="9"/>
      <c r="G54" s="9"/>
      <c r="H54" s="9"/>
      <c r="I54" s="9"/>
      <c r="J54" s="9"/>
      <c r="K54" s="9"/>
      <c r="L54" s="196"/>
      <c r="X54">
        <v>8</v>
      </c>
      <c r="Y54" s="84">
        <f>AA14</f>
        <v>0</v>
      </c>
      <c r="Z54">
        <f>Z14</f>
        <v>2</v>
      </c>
      <c r="AA54" s="166">
        <f>IF(AND(AA9="M",Z9="M"),0,(IF(AND(AA9="M",Z9&lt;&gt;"M"),1,(IF(AND(AA9&lt;&gt;"M",Z9="M"),-1,(IF(AA9=Z9,0,(IF(AA9&gt;Z9,1,-1)))))))))</f>
        <v>0</v>
      </c>
      <c r="BB54" s="96" t="s">
        <v>165</v>
      </c>
      <c r="BC54" t="s">
        <v>166</v>
      </c>
      <c r="BD54" s="226" t="s">
        <v>167</v>
      </c>
      <c r="BE54" t="s">
        <v>168</v>
      </c>
      <c r="BF54" t="s">
        <v>169</v>
      </c>
    </row>
    <row r="55" spans="1:122">
      <c r="A55" s="61"/>
      <c r="B55" s="61"/>
      <c r="D55" s="9"/>
      <c r="E55" s="9"/>
      <c r="F55" s="9"/>
      <c r="G55" s="9"/>
      <c r="H55" s="9"/>
      <c r="I55" s="9"/>
      <c r="J55" s="9"/>
      <c r="K55" s="9"/>
      <c r="L55" s="196"/>
      <c r="M55" s="61"/>
      <c r="N55" s="61"/>
      <c r="O55" s="61"/>
      <c r="P55" s="61"/>
      <c r="Q55" s="61"/>
      <c r="S55" s="61"/>
      <c r="X55">
        <v>9</v>
      </c>
      <c r="Y55" s="84">
        <f>AA13</f>
        <v>1</v>
      </c>
      <c r="Z55">
        <f>Z13</f>
        <v>1</v>
      </c>
      <c r="AA55" s="166">
        <f>IF(AND(AA10="M",Z10="M"),0,(IF(AND(AA10="M",Z10&lt;&gt;"M"),1,(IF(AND(AA10&lt;&gt;"M",Z10="M"),-1,(IF(AA10=Z10,0,(IF(AA10&gt;Z10,1,-1)))))))))</f>
        <v>1</v>
      </c>
      <c r="BB55" s="96">
        <v>1</v>
      </c>
      <c r="BC55" s="61">
        <f>RANK(BE55,BE55:BE70)+COUNTIF(BE55:BE70,BE55)-1</f>
        <v>1</v>
      </c>
      <c r="BD55" s="61">
        <f>RANK(BE55,BE55:BE70)</f>
        <v>1</v>
      </c>
      <c r="BE55">
        <f>BC51+0.01</f>
        <v>25.01</v>
      </c>
      <c r="BF55" s="227">
        <f>BC49</f>
        <v>22</v>
      </c>
    </row>
    <row r="56" spans="1:122">
      <c r="A56" s="61"/>
      <c r="B56" s="61"/>
      <c r="D56" s="9"/>
      <c r="E56" s="9"/>
      <c r="F56" s="9"/>
      <c r="G56" s="9"/>
      <c r="H56" s="9"/>
      <c r="I56" s="9"/>
      <c r="J56" s="9"/>
      <c r="K56" s="9"/>
      <c r="L56" s="196"/>
      <c r="M56" s="61"/>
      <c r="N56" s="61"/>
      <c r="O56" s="61"/>
      <c r="P56" s="61"/>
      <c r="Q56" s="61"/>
      <c r="S56" s="61"/>
      <c r="T56" s="61"/>
      <c r="X56">
        <v>10</v>
      </c>
      <c r="Y56" s="84">
        <f>AA12</f>
        <v>7</v>
      </c>
      <c r="Z56">
        <f>Z12</f>
        <v>0</v>
      </c>
      <c r="AA56" s="166">
        <f>IF(AND(AA11="M",Z11="M"),0,(IF(AND(AA11="M",Z11&lt;&gt;"M"),1,(IF(AND(AA11&lt;&gt;"M",Z11="M"),-1,(IF(AA11=Z11,0,(IF(AA11&gt;Z11,1,-1)))))))))</f>
        <v>0</v>
      </c>
      <c r="BB56" s="96">
        <v>2</v>
      </c>
      <c r="BC56" s="61">
        <f>RANK(BE56,BE55:BE70)+COUNTIF(BE56:BE70,BE56)-1</f>
        <v>7</v>
      </c>
      <c r="BD56" s="61">
        <f>RANK(BE56,BE55:BE70)</f>
        <v>2</v>
      </c>
      <c r="BE56">
        <f>BD51+0.01</f>
        <v>12.51</v>
      </c>
      <c r="BF56" s="227">
        <f>BD49</f>
        <v>21</v>
      </c>
    </row>
    <row r="57" spans="1:122">
      <c r="A57" s="61"/>
      <c r="B57" s="61"/>
      <c r="D57" s="9"/>
      <c r="E57" s="9"/>
      <c r="F57" s="9"/>
      <c r="G57" s="9"/>
      <c r="H57" s="9"/>
      <c r="I57" s="9"/>
      <c r="J57" s="9"/>
      <c r="K57" s="9"/>
      <c r="L57" s="196"/>
      <c r="T57" s="61"/>
      <c r="X57">
        <v>11</v>
      </c>
      <c r="Y57" s="84">
        <f>AA11</f>
        <v>1</v>
      </c>
      <c r="Z57">
        <f>Z11</f>
        <v>1</v>
      </c>
      <c r="AA57" s="166">
        <f>IF(AND(AA12="M",Z12="M"),0,(IF(AND(AA12="M",Z12&lt;&gt;"M"),1,(IF(AND(AA12&lt;&gt;"M",Z12="M"),-1,(IF(AA12=Z12,0,(IF(AA12&gt;Z12,1,-1)))))))))</f>
        <v>1</v>
      </c>
      <c r="BB57" s="96">
        <v>3</v>
      </c>
      <c r="BC57" s="61">
        <f>RANK(BE57,BE55:BE70)+COUNTIF(BE57:BE70,BE57)-1</f>
        <v>6</v>
      </c>
      <c r="BD57" s="61">
        <f>RANK(BE57,BE55:BE70)</f>
        <v>2</v>
      </c>
      <c r="BE57">
        <f>BE51+0.01</f>
        <v>12.51</v>
      </c>
      <c r="BF57" s="227">
        <f>BE49</f>
        <v>20</v>
      </c>
    </row>
    <row r="58" spans="1:122">
      <c r="A58" s="61"/>
      <c r="B58" s="61"/>
      <c r="D58" s="9"/>
      <c r="E58" s="9"/>
      <c r="F58" s="9"/>
      <c r="G58" s="9"/>
      <c r="H58" s="9"/>
      <c r="I58" s="9"/>
      <c r="J58" s="9"/>
      <c r="K58" s="9"/>
      <c r="L58" s="196"/>
      <c r="M58" s="61"/>
      <c r="N58" s="61"/>
      <c r="O58" s="61"/>
      <c r="P58" s="61"/>
      <c r="Q58" s="61"/>
      <c r="S58" s="61"/>
      <c r="T58" s="61"/>
      <c r="X58">
        <v>12</v>
      </c>
      <c r="Y58" s="84">
        <f>AA10</f>
        <v>2</v>
      </c>
      <c r="Z58">
        <f>Z10</f>
        <v>1</v>
      </c>
      <c r="AA58" s="166">
        <f>IF(AND(AA13="M",Z13="M"),0,(IF(AND(AA13="M",Z13&lt;&gt;"M"),1,(IF(AND(AA13&lt;&gt;"M",Z13="M"),-1,(IF(AA13=Z13,0,(IF(AA13&gt;Z13,1,-1)))))))))</f>
        <v>0</v>
      </c>
      <c r="BB58" s="96">
        <v>4</v>
      </c>
      <c r="BC58" s="61">
        <f>RANK(BE58,BE55:BE70)+COUNTIF(BE58:BE70,BE58)-1</f>
        <v>5</v>
      </c>
      <c r="BD58" s="61">
        <f>RANK(BE58,BE55:BE70)</f>
        <v>2</v>
      </c>
      <c r="BE58">
        <f>BF51+0.01</f>
        <v>12.51</v>
      </c>
      <c r="BF58" s="227">
        <f>BF49</f>
        <v>12</v>
      </c>
    </row>
    <row r="59" spans="1:122" customHeight="1" ht="15.75">
      <c r="A59" s="228"/>
      <c r="B59" s="228"/>
      <c r="C59" s="127"/>
      <c r="D59" s="229"/>
      <c r="E59" s="229"/>
      <c r="F59" s="229"/>
      <c r="G59" s="229"/>
      <c r="H59" s="229"/>
      <c r="I59" s="229"/>
      <c r="J59" s="229"/>
      <c r="K59" s="229"/>
      <c r="L59" s="230"/>
      <c r="T59" s="61"/>
      <c r="X59">
        <v>13</v>
      </c>
      <c r="Y59" s="84">
        <f>AA9</f>
        <v>3</v>
      </c>
      <c r="Z59">
        <f>Z9</f>
        <v>3</v>
      </c>
      <c r="AA59" s="166">
        <f>IF(AND(AA14="M",Z14="M"),0,(IF(AND(AA14="M",Z14&lt;&gt;"M"),1,(IF(AND(AA14&lt;&gt;"M",Z14="M"),-1,(IF(AA14=Z14,0,(IF(AA14&gt;Z14,1,-1)))))))))</f>
        <v>-1</v>
      </c>
      <c r="BB59" s="96">
        <v>5</v>
      </c>
      <c r="BC59" s="61">
        <f>RANK(BE59,BE55:BE70)+COUNTIF(BE59:BE70,BE59)-1</f>
        <v>4</v>
      </c>
      <c r="BD59" s="61">
        <f>RANK(BE59,BE55:BE70)</f>
        <v>2</v>
      </c>
      <c r="BE59">
        <f>BG51+0.01</f>
        <v>12.51</v>
      </c>
      <c r="BF59" s="227" t="str">
        <f>BG49</f>
        <v>2M</v>
      </c>
      <c r="BR59" s="63"/>
      <c r="BS59" s="63"/>
      <c r="BT59" s="63"/>
    </row>
    <row r="60" spans="1:122">
      <c r="H60" s="61"/>
      <c r="I60" s="61"/>
      <c r="J60" s="61"/>
      <c r="K60" s="61"/>
      <c r="L60" s="61"/>
      <c r="M60" s="61"/>
      <c r="N60" s="61"/>
      <c r="O60" s="61"/>
      <c r="P60" s="61"/>
      <c r="Q60" s="61"/>
      <c r="S60" s="61"/>
      <c r="T60" s="61"/>
      <c r="X60">
        <v>14</v>
      </c>
      <c r="Y60" s="84">
        <f>AA8</f>
        <v>3</v>
      </c>
      <c r="Z60">
        <f>Z8</f>
        <v>1</v>
      </c>
      <c r="AA60" s="166">
        <f>IF(AND(AA15="M",Z15="M"),0,(IF(AND(AA15="M",Z15&lt;&gt;"M"),1,(IF(AND(AA15&lt;&gt;"M",Z15="M"),-1,(IF(AA15=Z15,0,(IF(AA15&gt;Z15,1,-1)))))))))</f>
        <v>0</v>
      </c>
      <c r="BB60" s="96">
        <v>6</v>
      </c>
      <c r="BC60" s="61">
        <f>RANK(BE60,BE55:BE70)+COUNTIF(BE60:BE70,BE60)-1</f>
        <v>3</v>
      </c>
      <c r="BD60" s="61">
        <f>RANK(BE60,BE55:BE70)</f>
        <v>2</v>
      </c>
      <c r="BE60">
        <f>BH51+0.01</f>
        <v>12.51</v>
      </c>
      <c r="BF60" s="227" t="str">
        <f>BH49</f>
        <v>1M</v>
      </c>
      <c r="BR60" s="74"/>
      <c r="BS60" s="74"/>
      <c r="BT60" s="74"/>
    </row>
    <row r="61" spans="1:122">
      <c r="T61" s="61"/>
      <c r="X61">
        <v>15</v>
      </c>
      <c r="Y61" s="84">
        <f>AA7</f>
        <v>0</v>
      </c>
      <c r="Z61">
        <f>Z7</f>
        <v>2</v>
      </c>
      <c r="AA61" s="166">
        <f>IF(AND(AA16="M",Z16="M"),0,(IF(AND(AA16="M",Z16&lt;&gt;"M"),1,(IF(AND(AA16&lt;&gt;"M",Z16="M"),-1,(IF(AA16=Z16,0,(IF(AA16&gt;Z16,1,-1)))))))))</f>
        <v>-1</v>
      </c>
      <c r="BB61" s="96">
        <v>7</v>
      </c>
      <c r="BC61" s="61">
        <f>RANK(BE61,BE55:BE70)+COUNTIF(BE61:BE70,BE61)-1</f>
        <v>2</v>
      </c>
      <c r="BD61" s="61">
        <f>RANK(BE61,BE55:BE70)</f>
        <v>2</v>
      </c>
      <c r="BE61">
        <f>BI51+0.01</f>
        <v>12.51</v>
      </c>
      <c r="BF61" s="227" t="str">
        <f>BI49</f>
        <v>0M</v>
      </c>
      <c r="BQ61" s="74"/>
      <c r="BR61" s="231"/>
      <c r="BS61" s="74"/>
      <c r="BT61" s="74"/>
    </row>
    <row r="62" spans="1:122">
      <c r="D62" s="61"/>
      <c r="E62" s="61"/>
      <c r="F62" s="61"/>
      <c r="G62" s="61"/>
      <c r="H62" s="61"/>
      <c r="I62" s="61"/>
      <c r="J62" s="61"/>
      <c r="K62" s="61"/>
      <c r="L62" s="61"/>
      <c r="M62" s="61"/>
      <c r="N62" s="61"/>
      <c r="O62" s="61"/>
      <c r="P62" s="61"/>
      <c r="Q62" s="61"/>
      <c r="S62" s="61"/>
      <c r="T62" s="61"/>
      <c r="X62">
        <v>16</v>
      </c>
      <c r="Y62" s="84">
        <f>AA6</f>
        <v>4</v>
      </c>
      <c r="Z62">
        <f>Z6</f>
        <v>1</v>
      </c>
      <c r="AA62" s="166">
        <f>IF(AND(AA17="M",Z17="M"),0,(IF(AND(AA17="M",Z17&lt;&gt;"M"),1,(IF(AND(AA17&lt;&gt;"M",Z17="M"),-1,(IF(AA17=Z17,0,(IF(AA17&gt;Z17,1,-1)))))))))</f>
        <v>1</v>
      </c>
      <c r="BB62" s="96">
        <v>8</v>
      </c>
      <c r="BC62" s="61">
        <f>RANK(BE62,BE55:BE70)+COUNTIF(BE62:BE70,BE62)-1</f>
        <v>16</v>
      </c>
      <c r="BD62" s="61">
        <f>RANK(BE62,BE55:BE70)</f>
        <v>8</v>
      </c>
      <c r="BE62">
        <f>BJ51+0.01</f>
        <v>0.02</v>
      </c>
      <c r="BF62" s="227">
        <f>BJ49</f>
        <v/>
      </c>
      <c r="BQ62" s="74"/>
      <c r="BR62" s="74"/>
      <c r="BS62" s="74"/>
      <c r="BT62" s="74"/>
    </row>
    <row r="63" spans="1:122">
      <c r="A63" s="232"/>
      <c r="B63" s="150"/>
      <c r="C63" s="233"/>
      <c r="D63" s="283"/>
      <c r="E63" s="283"/>
      <c r="F63" s="291"/>
      <c r="G63" s="291"/>
      <c r="H63" s="291"/>
      <c r="I63" s="291"/>
      <c r="J63" s="291"/>
      <c r="K63" s="291"/>
      <c r="L63" s="291"/>
      <c r="M63" s="291"/>
      <c r="N63" s="291"/>
      <c r="O63" s="291"/>
      <c r="P63" s="291"/>
      <c r="Q63" s="291"/>
      <c r="R63" s="291"/>
      <c r="S63" s="291"/>
      <c r="T63" s="61"/>
      <c r="X63">
        <v>17</v>
      </c>
      <c r="Y63" s="84">
        <f>AA5</f>
        <v>3</v>
      </c>
      <c r="Z63">
        <f>Z5</f>
        <v>0</v>
      </c>
      <c r="AA63" s="166">
        <f>IF(AND(AA18="M",Z18="M"),0,(IF(AND(AA18="M",Z18&lt;&gt;"M"),1,(IF(AND(AA18&lt;&gt;"M",Z18="M"),-1,(IF(AA18=Z18,0,(IF(AA18&gt;Z18,1,-1)))))))))</f>
        <v>1</v>
      </c>
      <c r="BB63" s="96">
        <v>9</v>
      </c>
      <c r="BC63" s="61">
        <f>RANK(BE63,BE55:BE70)+COUNTIF(BE63:BE70,BE63)-1</f>
        <v>15</v>
      </c>
      <c r="BD63" s="61">
        <f>RANK(BE63,BE55:BE70)</f>
        <v>8</v>
      </c>
      <c r="BE63">
        <f>BK51+0.01</f>
        <v>0.02</v>
      </c>
      <c r="BF63" s="227">
        <f>BK49</f>
        <v/>
      </c>
      <c r="BQ63" s="74"/>
      <c r="BR63" s="74"/>
      <c r="BS63" s="74"/>
      <c r="BT63" s="74"/>
    </row>
    <row r="64" spans="1:122">
      <c r="A64" s="232"/>
      <c r="B64" s="150"/>
      <c r="C64" s="233"/>
      <c r="D64" s="115"/>
      <c r="E64" s="115"/>
      <c r="F64" s="234"/>
      <c r="G64" s="235"/>
      <c r="H64" s="235"/>
      <c r="I64" s="235"/>
      <c r="J64" s="235"/>
      <c r="K64" s="150"/>
      <c r="L64" s="150"/>
      <c r="M64" s="235"/>
      <c r="N64" s="235"/>
      <c r="O64" s="236"/>
      <c r="P64" s="236"/>
      <c r="Q64" s="236"/>
      <c r="R64" s="111"/>
      <c r="S64" s="150"/>
      <c r="T64" s="61"/>
      <c r="X64">
        <v>18</v>
      </c>
      <c r="Y64" s="84">
        <f>AA4</f>
        <v>2</v>
      </c>
      <c r="Z64">
        <f>Z4</f>
        <v>7</v>
      </c>
      <c r="AA64" s="166">
        <f>IF(AND(AA19="M",Z19="M"),0,(IF(AND(AA19="M",Z19&lt;&gt;"M"),1,(IF(AND(AA19&lt;&gt;"M",Z19="M"),-1,(IF(AA19=Z19,0,(IF(AA19&gt;Z19,1,-1)))))))))</f>
        <v>-1</v>
      </c>
      <c r="BB64" s="96">
        <v>10</v>
      </c>
      <c r="BC64" s="61">
        <f>RANK(BE64,BE55:BE70)+COUNTIF(BE64:BE70,BE64)-1</f>
        <v>14</v>
      </c>
      <c r="BD64" s="61">
        <f>RANK(BE64,BE55:BE70)</f>
        <v>8</v>
      </c>
      <c r="BE64">
        <f>BL51+0.01</f>
        <v>0.02</v>
      </c>
      <c r="BF64" s="227">
        <f>BL49</f>
        <v/>
      </c>
    </row>
    <row r="65" spans="1:122">
      <c r="A65" s="115"/>
      <c r="B65" s="115"/>
      <c r="C65" s="115"/>
      <c r="D65" s="115"/>
      <c r="E65" s="115"/>
      <c r="F65" s="115"/>
      <c r="G65" s="115"/>
      <c r="H65" s="115"/>
      <c r="I65" s="115"/>
      <c r="J65" s="115"/>
      <c r="K65" s="115"/>
      <c r="L65" s="115"/>
      <c r="M65" s="115"/>
      <c r="N65" s="115"/>
      <c r="O65" s="111"/>
      <c r="P65" s="237"/>
      <c r="Q65" s="111"/>
      <c r="R65" s="111"/>
      <c r="S65" s="115"/>
      <c r="T65" s="61"/>
      <c r="X65">
        <v>19</v>
      </c>
      <c r="Y65" s="84">
        <f>AA3</f>
        <v>1</v>
      </c>
      <c r="Z65">
        <f>Z3</f>
        <v>3</v>
      </c>
      <c r="AA65" s="166">
        <f>IF(AND(AA20="M",Z20="M"),0,(IF(AND(AA20="M",Z20&lt;&gt;"M"),1,(IF(AND(AA20&lt;&gt;"M",Z20="M"),-1,(IF(AA20=Z20,0,(IF(AA20&gt;Z20,1,-1)))))))))</f>
        <v>1</v>
      </c>
      <c r="BB65" s="96">
        <v>11</v>
      </c>
      <c r="BC65" s="61">
        <f>RANK(BE65,BE55:BE70)+COUNTIF(BE65:BE70,BE65)-1</f>
        <v>13</v>
      </c>
      <c r="BD65" s="61">
        <f>RANK(BE65,BE55:BE70)</f>
        <v>8</v>
      </c>
      <c r="BE65">
        <f>BM51+0.01</f>
        <v>0.02</v>
      </c>
      <c r="BF65" s="227">
        <f>BM49</f>
        <v/>
      </c>
    </row>
    <row r="66" spans="1:122" customHeight="1" ht="15.75">
      <c r="E66" s="61"/>
      <c r="F66" s="61"/>
      <c r="G66" s="61"/>
      <c r="H66" s="61"/>
      <c r="I66" s="61"/>
      <c r="J66" s="61"/>
      <c r="K66" s="61"/>
      <c r="L66" s="61"/>
      <c r="M66" s="61"/>
      <c r="T66" s="61"/>
      <c r="U66" s="150"/>
      <c r="V66" s="61"/>
      <c r="X66">
        <v>20</v>
      </c>
      <c r="Y66" s="126">
        <f>AA2</f>
        <v>1</v>
      </c>
      <c r="Z66" s="127">
        <f>Z2</f>
        <v>1</v>
      </c>
      <c r="AA66" s="128">
        <f>IF(AND(AA21="M",Z21="M"),0,(IF(AND(AA21="M",Z21&lt;&gt;"M"),1,(IF(AND(AA21&lt;&gt;"M",Z21="M"),-1,(IF(AA21=Z21,0,(IF(AA21&gt;Z21,1,-1)))))))))</f>
        <v>0</v>
      </c>
      <c r="BB66" s="96">
        <v>12</v>
      </c>
      <c r="BC66" s="61">
        <f>RANK(BE66,BE55:BE70)+COUNTIF(BE66:BE70,BE66)-1</f>
        <v>12</v>
      </c>
      <c r="BD66" s="61">
        <f>RANK(BE66,BE55:BE70)</f>
        <v>8</v>
      </c>
      <c r="BE66">
        <f>BN51+0.01</f>
        <v>0.02</v>
      </c>
      <c r="BF66" s="227">
        <f>BN49</f>
        <v/>
      </c>
    </row>
    <row r="67" spans="1:122" customHeight="1" ht="15.75">
      <c r="A67" s="232"/>
      <c r="B67" s="150"/>
      <c r="C67" s="233"/>
      <c r="D67" s="150"/>
      <c r="E67" s="233"/>
      <c r="F67" s="150"/>
      <c r="G67" s="233"/>
      <c r="H67" s="235"/>
      <c r="I67" s="235"/>
      <c r="J67" s="235"/>
      <c r="K67" s="283"/>
      <c r="L67" s="283"/>
      <c r="M67" s="283"/>
      <c r="T67" s="61"/>
      <c r="U67" s="61"/>
      <c r="V67" s="61"/>
      <c r="AD67" s="61"/>
      <c r="AE67" s="61"/>
      <c r="BB67" s="96">
        <v>13</v>
      </c>
      <c r="BC67" s="61">
        <f>RANK(BE67,BE55:BE70)+COUNTIF(BE67:BE70,BE67)-1</f>
        <v>11</v>
      </c>
      <c r="BD67" s="61">
        <f>RANK(BE67,BE55:BE70)</f>
        <v>8</v>
      </c>
      <c r="BE67">
        <f>BO51+0.01</f>
        <v>0.02</v>
      </c>
      <c r="BF67" s="227">
        <f>BO49</f>
        <v/>
      </c>
    </row>
    <row r="68" spans="1:122" customHeight="1" ht="15.75">
      <c r="A68" s="232"/>
      <c r="B68" s="150"/>
      <c r="E68" s="37"/>
      <c r="F68" s="37"/>
      <c r="G68" s="37"/>
      <c r="H68" s="37"/>
      <c r="I68" s="61"/>
      <c r="J68" s="61"/>
      <c r="K68" s="61"/>
      <c r="L68" s="61"/>
      <c r="M68" s="61"/>
      <c r="T68" s="61"/>
      <c r="U68" s="61"/>
      <c r="Y68" s="238">
        <f>IF(FORECAST(Y62,Y47:Y66,Z47:Z66)&lt;=0,0,FORECAST(Y62,Y47:Y66,Z47:Z66))</f>
        <v>1.1926229508197</v>
      </c>
      <c r="Z68" s="239">
        <f>IF(FORECAST(Z62,Z47:Z66,Y47:Y66)&lt;=0,0,FORECAST(Z62,Z47:Z66,Y47:Y66))</f>
        <v>1.8662420382166</v>
      </c>
      <c r="AA68" s="240">
        <f>IF(FORECAST(X62,AA47:AA66,X47:X66)&lt;=0,0,FORECAST(Z62,AA47:AA66,X47:X66))</f>
        <v>-0.042857142857143</v>
      </c>
      <c r="AB68" s="179">
        <f>ROUND(Y68,0)</f>
        <v>1</v>
      </c>
      <c r="AC68" s="179">
        <f>ROUND(Z68,0)</f>
        <v>2</v>
      </c>
      <c r="AD68" s="178">
        <f>IF((AB68&gt;=3),"M",AB68)</f>
        <v>1</v>
      </c>
      <c r="AE68" s="178">
        <f>IF((AC68&gt;=3),"M",AC68)</f>
        <v>2</v>
      </c>
      <c r="AF68" s="82">
        <f>AB68+AC68</f>
        <v>3</v>
      </c>
      <c r="AG68" s="83" t="str">
        <f>AD68&amp;AE68</f>
        <v>12</v>
      </c>
      <c r="AH68" s="199">
        <f>IF(AND(AD68="M",AE68="M"),"X",(IF(AND(AD68="M",AE68&lt;&gt;"M"),1,(IF(AND(AD68&lt;&gt;"M",AE68="M"),2,(IF(AD68=AE68,"X",(IF(AD68&gt;AE68,1,2)))))))))</f>
        <v>2</v>
      </c>
      <c r="BB68" s="96">
        <v>14</v>
      </c>
      <c r="BC68" s="61">
        <f>RANK(BE68,BE55:BE70)+COUNTIF(BE68:BE70,BE68)-1</f>
        <v>10</v>
      </c>
      <c r="BD68" s="61">
        <f>RANK(BE68,BE55:BE70)</f>
        <v>8</v>
      </c>
      <c r="BE68">
        <f>BP51+0.01</f>
        <v>0.02</v>
      </c>
      <c r="BF68" s="227">
        <f>BP49</f>
        <v/>
      </c>
    </row>
    <row r="69" spans="1:122">
      <c r="B69" s="61"/>
      <c r="E69" s="115"/>
      <c r="F69" s="115"/>
      <c r="G69" s="115"/>
      <c r="H69" s="115"/>
      <c r="I69" s="115"/>
      <c r="J69" s="115"/>
      <c r="K69" s="111"/>
      <c r="L69" s="115"/>
      <c r="M69" s="115"/>
      <c r="T69" s="61"/>
      <c r="U69" s="61"/>
      <c r="BB69" s="96">
        <v>15</v>
      </c>
      <c r="BC69" s="61">
        <f>RANK(BE69,BE55:BE70)+COUNTIF(BE69:BE70,BE69)-1</f>
        <v>9</v>
      </c>
      <c r="BD69" s="61">
        <f>RANK(BE69,BE55:BE70)</f>
        <v>8</v>
      </c>
      <c r="BE69">
        <f>BQ51+0.01</f>
        <v>0.02</v>
      </c>
      <c r="BF69" s="227">
        <f>BQ49</f>
        <v/>
      </c>
    </row>
    <row r="70" spans="1:122">
      <c r="M70" s="61"/>
      <c r="T70" s="61"/>
      <c r="U70" s="61"/>
      <c r="BB70" s="96">
        <v>16</v>
      </c>
      <c r="BC70" s="61">
        <f>RANK(BE70,BE55:BE70)+COUNTIF(BE70:BE70,BE70)-1</f>
        <v>8</v>
      </c>
      <c r="BD70" s="61">
        <f>RANK(BE70,BE55:BE70)</f>
        <v>8</v>
      </c>
      <c r="BE70">
        <f>BR51+0.01</f>
        <v>0.02</v>
      </c>
      <c r="BF70" s="227">
        <f>BR49</f>
        <v/>
      </c>
    </row>
    <row r="71" spans="1:122">
      <c r="M71" s="61"/>
      <c r="T71" s="61"/>
      <c r="U71" s="61"/>
    </row>
    <row r="72" spans="1:122">
      <c r="M72" s="241"/>
      <c r="N72" s="241"/>
      <c r="O72" s="241"/>
      <c r="T72" s="61"/>
      <c r="U72" s="61"/>
    </row>
    <row r="73" spans="1:122">
      <c r="M73" s="241"/>
      <c r="N73" s="241"/>
      <c r="O73" s="241"/>
      <c r="T73" s="61"/>
      <c r="U73" s="61"/>
    </row>
    <row r="74" spans="1:122">
      <c r="A74" s="232"/>
      <c r="B74" s="150"/>
      <c r="C74" s="233"/>
      <c r="D74" s="150"/>
      <c r="E74" s="235"/>
      <c r="F74" s="235"/>
      <c r="G74" s="235"/>
      <c r="H74" s="235"/>
      <c r="I74" s="235"/>
      <c r="J74" s="235"/>
      <c r="K74" s="235"/>
      <c r="L74" s="235"/>
      <c r="M74" s="241"/>
      <c r="N74" s="241"/>
      <c r="O74" s="241"/>
      <c r="T74" s="61"/>
      <c r="U74" s="61"/>
    </row>
    <row r="75" spans="1:122">
      <c r="A75" s="232"/>
      <c r="B75" s="150"/>
      <c r="C75" s="242"/>
      <c r="F75" s="243"/>
      <c r="G75" s="243"/>
      <c r="H75" s="243"/>
      <c r="I75" s="61"/>
      <c r="J75" s="61"/>
      <c r="K75" s="37"/>
      <c r="L75" s="37"/>
      <c r="M75" s="241"/>
      <c r="N75" s="241"/>
      <c r="O75" s="241"/>
      <c r="T75" s="61"/>
      <c r="U75" s="61"/>
    </row>
    <row r="76" spans="1:122">
      <c r="B76" s="61"/>
      <c r="C76" s="115"/>
      <c r="F76" s="115"/>
      <c r="G76" s="115"/>
      <c r="H76" s="115"/>
      <c r="I76" s="115"/>
      <c r="J76" s="115"/>
      <c r="K76" s="115"/>
      <c r="L76" s="115"/>
      <c r="M76" s="241"/>
      <c r="N76" s="241"/>
      <c r="O76" s="241"/>
      <c r="T76" s="61"/>
      <c r="U76" s="61"/>
    </row>
    <row r="77" spans="1:122">
      <c r="C77" s="115"/>
      <c r="D77" s="61"/>
      <c r="E77" s="115"/>
      <c r="F77" s="61"/>
      <c r="G77" s="61"/>
      <c r="H77" s="61"/>
      <c r="I77" s="61"/>
      <c r="J77" s="61"/>
      <c r="K77" s="61"/>
      <c r="L77" s="61"/>
      <c r="M77" s="61"/>
      <c r="T77" s="61"/>
      <c r="U77" s="61"/>
    </row>
    <row r="78" spans="1:122">
      <c r="A78" s="232"/>
      <c r="B78" s="150"/>
      <c r="K78" s="61"/>
      <c r="L78" s="61"/>
      <c r="T78" s="61"/>
      <c r="U78" s="61"/>
    </row>
    <row r="79" spans="1:122">
      <c r="A79" s="232"/>
      <c r="B79" s="150"/>
      <c r="K79" s="150"/>
      <c r="L79" s="61"/>
      <c r="M79" s="241"/>
      <c r="N79" s="241"/>
      <c r="O79" s="241"/>
      <c r="T79" s="61"/>
      <c r="U79" s="61"/>
    </row>
    <row r="80" spans="1:122">
      <c r="B80" s="61"/>
      <c r="K80" s="61"/>
      <c r="L80" s="61"/>
      <c r="M80" s="241"/>
      <c r="N80" s="241"/>
      <c r="O80" s="241"/>
      <c r="T80" s="61"/>
      <c r="U80" s="61"/>
    </row>
    <row r="81" spans="1:122">
      <c r="E81" s="61"/>
      <c r="F81" s="61"/>
      <c r="G81" s="61"/>
      <c r="H81" s="61"/>
      <c r="I81" s="61"/>
      <c r="J81" s="61"/>
      <c r="K81" s="61"/>
      <c r="L81" s="61"/>
      <c r="M81" s="61"/>
      <c r="T81" s="61"/>
      <c r="U81" s="61"/>
    </row>
    <row r="82" spans="1:122">
      <c r="A82" s="232"/>
      <c r="B82" s="150"/>
      <c r="C82" s="233"/>
      <c r="D82" s="150"/>
      <c r="E82" s="233"/>
      <c r="F82" s="150"/>
      <c r="G82" s="233"/>
      <c r="H82" s="235"/>
      <c r="I82" s="235"/>
      <c r="J82" s="235"/>
      <c r="K82" s="61"/>
      <c r="L82" s="61"/>
      <c r="M82" s="61"/>
      <c r="T82" s="61"/>
      <c r="U82" s="61"/>
    </row>
    <row r="83" spans="1:122">
      <c r="A83" s="232"/>
      <c r="B83" s="150"/>
      <c r="C83" s="22"/>
      <c r="D83" s="37"/>
      <c r="E83" s="37"/>
      <c r="F83" s="37"/>
      <c r="G83" s="235"/>
      <c r="H83" s="235"/>
      <c r="I83" s="150"/>
      <c r="J83" s="150"/>
      <c r="K83" s="61"/>
      <c r="L83" s="61"/>
      <c r="M83" s="61"/>
      <c r="T83" s="61"/>
      <c r="U83" s="61"/>
    </row>
    <row r="84" spans="1:122">
      <c r="B84" s="61"/>
      <c r="C84" s="115"/>
      <c r="E84" s="115"/>
      <c r="F84" s="115"/>
      <c r="G84" s="115"/>
      <c r="H84" s="61"/>
      <c r="I84" s="115"/>
      <c r="J84" s="155"/>
      <c r="K84" s="61"/>
      <c r="L84" s="61"/>
      <c r="M84" s="61"/>
      <c r="T84" s="61"/>
      <c r="U84" s="61"/>
    </row>
    <row r="85" spans="1:122">
      <c r="C85" s="115"/>
      <c r="D85" s="61"/>
      <c r="E85" s="115"/>
      <c r="F85" s="61"/>
      <c r="G85" s="115"/>
      <c r="H85" s="61"/>
      <c r="I85" s="115"/>
      <c r="J85" s="61"/>
      <c r="K85" s="61"/>
      <c r="L85" s="61"/>
      <c r="M85" s="61"/>
      <c r="T85" s="61"/>
      <c r="U85" s="61"/>
    </row>
    <row r="86" spans="1:122">
      <c r="A86" s="232"/>
      <c r="B86" s="150"/>
      <c r="C86" s="233"/>
      <c r="D86" s="150"/>
      <c r="E86" s="233"/>
      <c r="F86" s="150"/>
      <c r="G86" s="233"/>
      <c r="H86" s="235"/>
      <c r="I86" s="235"/>
      <c r="J86" s="235"/>
      <c r="K86" s="235"/>
      <c r="L86" s="235"/>
      <c r="M86" s="61"/>
      <c r="T86" s="61"/>
      <c r="U86" s="61"/>
    </row>
    <row r="87" spans="1:122">
      <c r="A87" s="232"/>
      <c r="B87" s="150"/>
      <c r="C87" s="22"/>
      <c r="E87" s="37"/>
      <c r="F87" s="37"/>
      <c r="G87" s="235"/>
      <c r="H87" s="235"/>
      <c r="I87" s="150"/>
      <c r="J87" s="150"/>
      <c r="K87" s="61"/>
      <c r="L87" s="61"/>
      <c r="M87" s="61"/>
      <c r="T87" s="61"/>
      <c r="U87" s="61"/>
    </row>
    <row r="88" spans="1:122">
      <c r="B88" s="61"/>
      <c r="C88" s="61"/>
      <c r="E88" s="61"/>
      <c r="F88" s="61"/>
      <c r="G88" s="61"/>
      <c r="H88" s="61"/>
      <c r="I88" s="61"/>
      <c r="J88" s="61"/>
      <c r="K88" s="61"/>
      <c r="L88" s="61"/>
      <c r="M88" s="61"/>
      <c r="T88" s="61"/>
      <c r="U88" s="61"/>
    </row>
    <row r="89" spans="1:122">
      <c r="T89" s="61"/>
      <c r="U89" s="61"/>
      <c r="V89" s="61"/>
    </row>
    <row r="90" spans="1:122">
      <c r="D90" s="61"/>
      <c r="E90" s="61"/>
      <c r="F90" s="61"/>
      <c r="G90" s="61"/>
      <c r="H90" s="61"/>
      <c r="I90" s="61"/>
      <c r="J90" s="61"/>
      <c r="K90" s="61"/>
      <c r="L90" s="61"/>
      <c r="M90" s="61"/>
      <c r="N90" s="61"/>
      <c r="O90" s="61"/>
      <c r="P90" s="61"/>
      <c r="Q90" s="61"/>
      <c r="S90" s="61"/>
      <c r="T90" s="61"/>
      <c r="U90" s="61"/>
      <c r="V90" s="61"/>
    </row>
    <row r="91" spans="1:122">
      <c r="A91" s="133"/>
      <c r="B91" s="80" t="s">
        <v>170</v>
      </c>
      <c r="C91" s="106" t="s">
        <v>37</v>
      </c>
      <c r="D91" s="80"/>
      <c r="E91" s="106" t="s">
        <v>171</v>
      </c>
      <c r="F91" s="80"/>
      <c r="G91" s="106" t="s">
        <v>172</v>
      </c>
      <c r="H91" s="109"/>
      <c r="I91" s="109" t="s">
        <v>173</v>
      </c>
      <c r="J91" s="109"/>
      <c r="K91" s="290" t="s">
        <v>174</v>
      </c>
      <c r="L91" s="290"/>
      <c r="M91" s="290"/>
      <c r="N91" s="61"/>
      <c r="O91" s="61"/>
      <c r="P91" s="61"/>
      <c r="Q91" s="61"/>
      <c r="S91" s="61"/>
      <c r="T91" s="61"/>
      <c r="U91" s="61"/>
      <c r="V91" s="61"/>
    </row>
    <row r="92" spans="1:122">
      <c r="A92" s="104" t="s">
        <v>43</v>
      </c>
      <c r="B92" s="105" t="s">
        <v>44</v>
      </c>
      <c r="C92" s="145" t="s">
        <v>45</v>
      </c>
      <c r="D92" s="140" t="s">
        <v>110</v>
      </c>
      <c r="E92" s="142" t="s">
        <v>14</v>
      </c>
      <c r="F92" s="142" t="s">
        <v>175</v>
      </c>
      <c r="G92" s="244" t="s">
        <v>14</v>
      </c>
      <c r="H92" s="244" t="s">
        <v>176</v>
      </c>
      <c r="I92" s="245" t="s">
        <v>14</v>
      </c>
      <c r="J92" s="245" t="s">
        <v>177</v>
      </c>
      <c r="K92" s="141" t="s">
        <v>14</v>
      </c>
      <c r="L92" s="141" t="s">
        <v>178</v>
      </c>
      <c r="M92" s="141" t="s">
        <v>78</v>
      </c>
      <c r="N92" s="61"/>
      <c r="O92" s="61"/>
      <c r="P92" s="61"/>
      <c r="Q92" s="61"/>
      <c r="S92" s="61"/>
      <c r="T92" s="61"/>
      <c r="U92" s="61"/>
      <c r="V92" s="61"/>
    </row>
    <row r="93" spans="1:122" customHeight="1" ht="15.75">
      <c r="A93" s="126">
        <f>A1</f>
        <v>4</v>
      </c>
      <c r="B93" s="228" t="str">
        <f>B1</f>
        <v>Torino - Udinese</v>
      </c>
      <c r="C93" s="246">
        <f>Y41</f>
        <v>0.375</v>
      </c>
      <c r="D93" s="114" t="str">
        <f>AG39</f>
        <v>X</v>
      </c>
      <c r="E93" s="114" t="str">
        <f>IFERROR(VLOOKUP(A1,IN!B12:AB12,13),"")</f>
        <v>X</v>
      </c>
      <c r="F93" s="114" t="str">
        <f>IFERROR(VLOOKUP(A1,IN!B12:AB12,16),"")</f>
        <v>22</v>
      </c>
      <c r="G93" s="114">
        <f>IFERROR(VLOOKUP(A1,IN!B12:AB12,18),"")</f>
        <v>2</v>
      </c>
      <c r="H93" s="114" t="str">
        <f>IFERROR(VLOOKUP(A1,IN!B12:AB12,20),"")</f>
        <v>01</v>
      </c>
      <c r="I93" s="114" t="str">
        <f>IFERROR(VLOOKUP(A1,IN!B12:AB12,22),"")</f>
        <v>X</v>
      </c>
      <c r="J93" s="114" t="str">
        <f>IFERROR(VLOOKUP(A1,IN!B12:AB12,24),"")</f>
        <v>00</v>
      </c>
      <c r="K93" s="111" t="str">
        <f>BI36</f>
        <v>1X2</v>
      </c>
      <c r="L93" s="114">
        <f>C22</f>
        <v>22</v>
      </c>
      <c r="M93" s="115">
        <f>D22</f>
        <v>25.01</v>
      </c>
      <c r="N93" s="61"/>
      <c r="O93" s="61"/>
      <c r="P93" s="61"/>
      <c r="Q93" s="61"/>
      <c r="S93" s="61"/>
      <c r="T93" s="61"/>
      <c r="U93" s="61"/>
      <c r="V93" s="61"/>
    </row>
    <row r="94" spans="1:122">
      <c r="D94" s="61"/>
      <c r="E94" s="61"/>
      <c r="F94" s="61"/>
      <c r="G94" s="61"/>
      <c r="H94" s="61"/>
      <c r="I94" s="61"/>
      <c r="J94" s="61"/>
      <c r="K94" s="61"/>
      <c r="L94" s="61"/>
      <c r="M94" s="61"/>
      <c r="N94" s="61"/>
      <c r="O94" s="61"/>
      <c r="P94" s="61"/>
      <c r="Q94" s="61"/>
      <c r="S94" s="61"/>
      <c r="T94" s="61"/>
      <c r="U94" s="61"/>
      <c r="V94" s="61"/>
    </row>
    <row r="95" spans="1:122">
      <c r="D95" s="61"/>
      <c r="E95" s="61"/>
      <c r="F95" s="61"/>
      <c r="G95" s="61"/>
      <c r="H95" s="61"/>
      <c r="I95" s="61"/>
      <c r="J95" s="61"/>
      <c r="K95" s="61"/>
      <c r="L95" s="61"/>
      <c r="M95" s="61"/>
      <c r="N95" s="61"/>
      <c r="O95" s="61"/>
      <c r="P95" s="61"/>
      <c r="Q95" s="61"/>
      <c r="S95" s="61"/>
      <c r="T95" s="61"/>
      <c r="U95" s="61"/>
      <c r="V95" s="61"/>
    </row>
    <row r="96" spans="1:122">
      <c r="D96" s="61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61"/>
      <c r="P96" s="61"/>
      <c r="Q96" s="61"/>
      <c r="S96" s="61"/>
      <c r="T96" s="61"/>
      <c r="U96" s="61"/>
      <c r="V96" s="61"/>
    </row>
    <row r="97" spans="1:122">
      <c r="D97" s="61"/>
      <c r="E97" s="61"/>
      <c r="F97" s="61"/>
      <c r="G97" s="61"/>
      <c r="H97" s="61"/>
      <c r="I97" s="61"/>
      <c r="J97" s="61"/>
      <c r="K97" s="61"/>
      <c r="L97" s="61"/>
      <c r="M97" s="61"/>
      <c r="N97" s="61"/>
      <c r="O97" s="61"/>
      <c r="P97" s="61"/>
      <c r="Q97" s="61"/>
      <c r="S97" s="61"/>
      <c r="T97" s="61"/>
      <c r="U97" s="61"/>
      <c r="V97" s="61"/>
    </row>
    <row r="98" spans="1:122" customHeight="1" ht="14.25" s="86" customFormat="1">
      <c r="B98" s="306" t="s">
        <v>179</v>
      </c>
      <c r="C98" s="309" t="s">
        <v>180</v>
      </c>
      <c r="D98" s="312" t="s">
        <v>181</v>
      </c>
      <c r="E98" s="312" t="s">
        <v>182</v>
      </c>
      <c r="F98" s="312" t="s">
        <v>183</v>
      </c>
      <c r="G98" s="292" t="s">
        <v>184</v>
      </c>
      <c r="H98" s="294" t="s">
        <v>185</v>
      </c>
      <c r="I98" s="294" t="s">
        <v>186</v>
      </c>
      <c r="J98" s="294" t="s">
        <v>187</v>
      </c>
      <c r="K98" s="296" t="s">
        <v>188</v>
      </c>
      <c r="L98" s="297"/>
      <c r="M98" s="298"/>
      <c r="N98" s="300" t="s">
        <v>189</v>
      </c>
      <c r="O98" s="301"/>
      <c r="P98" s="302"/>
      <c r="Q98" s="296" t="s">
        <v>190</v>
      </c>
      <c r="R98" s="297"/>
      <c r="S98" s="298"/>
      <c r="T98" s="279" t="s">
        <v>191</v>
      </c>
      <c r="U98" s="281" t="s">
        <v>39</v>
      </c>
      <c r="V98" s="282"/>
      <c r="W98" s="282"/>
      <c r="X98" s="247"/>
      <c r="Y98" s="247"/>
      <c r="Z98" s="248"/>
      <c r="AA98" s="303" t="s">
        <v>39</v>
      </c>
      <c r="AB98" s="304"/>
      <c r="AC98" s="305"/>
      <c r="AD98" s="303" t="s">
        <v>108</v>
      </c>
      <c r="AE98" s="304"/>
      <c r="AF98" s="304"/>
      <c r="AG98" s="304"/>
      <c r="AH98" s="304"/>
      <c r="AI98" s="304"/>
      <c r="AJ98" s="304"/>
      <c r="AK98" s="305"/>
      <c r="AL98" s="306" t="s">
        <v>192</v>
      </c>
      <c r="AM98" s="249" t="s">
        <v>193</v>
      </c>
      <c r="AN98" s="250"/>
      <c r="AO98" s="250"/>
      <c r="AP98" s="250"/>
      <c r="AQ98" s="250"/>
      <c r="AR98" s="250"/>
      <c r="AS98" s="250"/>
      <c r="AT98" s="250"/>
      <c r="AU98" s="250"/>
      <c r="AV98" s="250"/>
      <c r="AW98" s="250"/>
      <c r="AX98" s="250"/>
      <c r="AY98" s="250"/>
      <c r="AZ98" s="250"/>
      <c r="BA98" s="250"/>
      <c r="BB98" s="250"/>
      <c r="BC98" s="250"/>
      <c r="BD98" s="250"/>
      <c r="BE98" s="250"/>
      <c r="BF98" s="250"/>
      <c r="BG98" s="250"/>
      <c r="BH98" s="250"/>
      <c r="BI98" s="250"/>
      <c r="BJ98" s="250"/>
      <c r="BK98" s="250"/>
      <c r="BL98" s="250"/>
      <c r="BM98" s="251"/>
      <c r="BN98" s="251"/>
      <c r="BO98" s="251"/>
      <c r="BP98" s="251"/>
      <c r="BQ98" s="251"/>
      <c r="BR98" s="251"/>
      <c r="BS98" s="251"/>
      <c r="BT98" s="251"/>
      <c r="BU98" s="251"/>
      <c r="BV98" s="252"/>
      <c r="BW98" s="316" t="s">
        <v>194</v>
      </c>
      <c r="BX98" s="316"/>
      <c r="BY98" s="316"/>
      <c r="BZ98" s="316" t="s">
        <v>195</v>
      </c>
      <c r="CA98" s="316"/>
      <c r="CB98" s="316"/>
      <c r="CC98" s="316" t="s">
        <v>196</v>
      </c>
      <c r="CD98" s="316"/>
      <c r="CE98" s="316"/>
      <c r="CF98" s="316" t="s">
        <v>195</v>
      </c>
      <c r="CG98" s="316"/>
      <c r="CH98" s="316"/>
      <c r="CI98" s="316" t="s">
        <v>196</v>
      </c>
      <c r="CJ98" s="316"/>
      <c r="CK98" s="316"/>
    </row>
    <row r="99" spans="1:122" customHeight="1" ht="14.25" s="86" customFormat="1">
      <c r="B99" s="307"/>
      <c r="C99" s="310"/>
      <c r="D99" s="313"/>
      <c r="E99" s="313"/>
      <c r="F99" s="313"/>
      <c r="G99" s="293"/>
      <c r="H99" s="295"/>
      <c r="I99" s="295"/>
      <c r="J99" s="295"/>
      <c r="K99" s="281"/>
      <c r="L99" s="282"/>
      <c r="M99" s="299"/>
      <c r="N99" s="303"/>
      <c r="O99" s="304"/>
      <c r="P99" s="305"/>
      <c r="Q99" s="281"/>
      <c r="R99" s="282"/>
      <c r="S99" s="299"/>
      <c r="T99" s="280"/>
      <c r="U99" s="253" t="s">
        <v>37</v>
      </c>
      <c r="V99" s="253" t="s">
        <v>37</v>
      </c>
      <c r="W99" s="67"/>
      <c r="X99" s="106" t="s">
        <v>171</v>
      </c>
      <c r="Y99" s="80"/>
      <c r="Z99" s="254" t="s">
        <v>172</v>
      </c>
      <c r="AA99" s="255"/>
      <c r="AB99" s="109" t="s">
        <v>173</v>
      </c>
      <c r="AC99" s="109"/>
      <c r="AD99" s="317" t="s">
        <v>174</v>
      </c>
      <c r="AE99" s="317"/>
      <c r="AF99" s="317"/>
      <c r="AG99" s="317"/>
      <c r="AH99" s="317"/>
      <c r="AI99" s="317"/>
      <c r="AJ99" s="317"/>
      <c r="AK99" s="317"/>
      <c r="AL99" s="314"/>
      <c r="AM99" s="318" t="s">
        <v>197</v>
      </c>
      <c r="AN99" s="318" t="s">
        <v>198</v>
      </c>
      <c r="AO99" s="319" t="s">
        <v>184</v>
      </c>
      <c r="AP99" s="319" t="s">
        <v>184</v>
      </c>
      <c r="AQ99" s="320"/>
      <c r="AR99" s="320"/>
      <c r="AS99" s="320"/>
      <c r="AT99" s="320"/>
      <c r="AU99" s="320"/>
      <c r="AV99" s="320"/>
      <c r="AW99" s="320"/>
      <c r="AX99" s="320"/>
      <c r="AY99" s="321" t="s">
        <v>39</v>
      </c>
      <c r="AZ99" s="321"/>
      <c r="BA99" s="321"/>
      <c r="BB99" s="321"/>
      <c r="BC99" s="321"/>
      <c r="BD99" s="321"/>
      <c r="BE99" s="321"/>
      <c r="BF99" s="321"/>
      <c r="BG99" s="321"/>
      <c r="BH99" s="321"/>
      <c r="BI99" s="321"/>
      <c r="BJ99" s="321"/>
      <c r="BK99" s="321"/>
      <c r="BL99" s="321"/>
      <c r="BM99" s="106" t="s">
        <v>37</v>
      </c>
      <c r="BN99" s="80"/>
      <c r="BO99" s="106" t="s">
        <v>92</v>
      </c>
      <c r="BP99" s="80"/>
      <c r="BQ99" s="106" t="s">
        <v>93</v>
      </c>
      <c r="BR99" s="109"/>
      <c r="BS99" s="109" t="s">
        <v>94</v>
      </c>
      <c r="BT99" s="109"/>
      <c r="BU99" s="109" t="s">
        <v>95</v>
      </c>
      <c r="BV99" s="109"/>
      <c r="BW99" s="322" t="s">
        <v>199</v>
      </c>
      <c r="BX99" s="306" t="s">
        <v>200</v>
      </c>
      <c r="BY99" s="306" t="s">
        <v>201</v>
      </c>
      <c r="BZ99" s="322" t="s">
        <v>199</v>
      </c>
      <c r="CA99" s="306" t="s">
        <v>200</v>
      </c>
      <c r="CB99" s="306" t="s">
        <v>201</v>
      </c>
      <c r="CC99" s="322" t="s">
        <v>199</v>
      </c>
      <c r="CD99" s="306" t="s">
        <v>200</v>
      </c>
      <c r="CE99" s="306" t="s">
        <v>201</v>
      </c>
      <c r="CF99" s="322" t="s">
        <v>199</v>
      </c>
      <c r="CG99" s="306" t="s">
        <v>200</v>
      </c>
      <c r="CH99" s="306" t="s">
        <v>201</v>
      </c>
      <c r="CI99" s="322" t="s">
        <v>199</v>
      </c>
      <c r="CJ99" s="306" t="s">
        <v>200</v>
      </c>
      <c r="CK99" s="306" t="s">
        <v>201</v>
      </c>
    </row>
    <row r="100" spans="1:122" customHeight="1" ht="39" s="86" customFormat="1">
      <c r="B100" s="308"/>
      <c r="C100" s="311"/>
      <c r="D100" s="256" t="s">
        <v>202</v>
      </c>
      <c r="E100" s="257" t="s">
        <v>203</v>
      </c>
      <c r="F100" s="121" t="s">
        <v>154</v>
      </c>
      <c r="G100" s="258" t="s">
        <v>204</v>
      </c>
      <c r="H100" s="259" t="s">
        <v>205</v>
      </c>
      <c r="I100" s="260" t="s">
        <v>206</v>
      </c>
      <c r="J100" s="260" t="s">
        <v>207</v>
      </c>
      <c r="K100" s="260" t="s">
        <v>208</v>
      </c>
      <c r="L100" s="67" t="s">
        <v>14</v>
      </c>
      <c r="M100" s="67" t="s">
        <v>209</v>
      </c>
      <c r="N100" s="253" t="s">
        <v>82</v>
      </c>
      <c r="O100" s="80" t="s">
        <v>14</v>
      </c>
      <c r="P100" s="106" t="s">
        <v>82</v>
      </c>
      <c r="Q100" s="261" t="s">
        <v>14</v>
      </c>
      <c r="R100" s="261" t="s">
        <v>82</v>
      </c>
      <c r="S100" s="67"/>
      <c r="T100" s="68" t="s">
        <v>210</v>
      </c>
      <c r="U100" s="262" t="s">
        <v>45</v>
      </c>
      <c r="V100" s="167" t="s">
        <v>80</v>
      </c>
      <c r="W100" s="263" t="s">
        <v>110</v>
      </c>
      <c r="X100" s="263" t="s">
        <v>14</v>
      </c>
      <c r="Y100" s="263" t="s">
        <v>48</v>
      </c>
      <c r="Z100" s="263" t="s">
        <v>14</v>
      </c>
      <c r="AA100" s="263" t="s">
        <v>49</v>
      </c>
      <c r="AB100" s="167" t="s">
        <v>14</v>
      </c>
      <c r="AC100" s="167" t="s">
        <v>50</v>
      </c>
      <c r="AD100" s="167" t="s">
        <v>14</v>
      </c>
      <c r="AE100" s="167" t="s">
        <v>211</v>
      </c>
      <c r="AF100" s="167" t="s">
        <v>78</v>
      </c>
      <c r="AG100" s="263" t="s">
        <v>23</v>
      </c>
      <c r="AH100" s="263" t="s">
        <v>212</v>
      </c>
      <c r="AI100" s="167">
        <v>1</v>
      </c>
      <c r="AJ100" s="167" t="s">
        <v>42</v>
      </c>
      <c r="AK100" s="167">
        <v>2</v>
      </c>
      <c r="AL100" s="315"/>
      <c r="AM100" s="318"/>
      <c r="AN100" s="318"/>
      <c r="AO100" s="319"/>
      <c r="AP100" s="319"/>
      <c r="AQ100" s="264" t="s">
        <v>213</v>
      </c>
      <c r="AR100" s="265" t="s">
        <v>214</v>
      </c>
      <c r="AS100" s="266" t="s">
        <v>215</v>
      </c>
      <c r="AT100" s="267" t="s">
        <v>214</v>
      </c>
      <c r="AU100" s="264" t="s">
        <v>216</v>
      </c>
      <c r="AV100" s="265" t="s">
        <v>214</v>
      </c>
      <c r="AW100" s="266" t="s">
        <v>217</v>
      </c>
      <c r="AX100" s="268" t="s">
        <v>214</v>
      </c>
      <c r="AY100" s="108" t="s">
        <v>141</v>
      </c>
      <c r="AZ100" s="109" t="s">
        <v>142</v>
      </c>
      <c r="BA100" s="109" t="s">
        <v>143</v>
      </c>
      <c r="BB100" s="109" t="s">
        <v>144</v>
      </c>
      <c r="BC100" s="109" t="s">
        <v>145</v>
      </c>
      <c r="BD100" s="80" t="s">
        <v>146</v>
      </c>
      <c r="BE100" s="80" t="s">
        <v>147</v>
      </c>
      <c r="BF100" s="109" t="s">
        <v>218</v>
      </c>
      <c r="BG100" s="109" t="s">
        <v>219</v>
      </c>
      <c r="BH100" s="110" t="s">
        <v>48</v>
      </c>
      <c r="BI100" s="110" t="s">
        <v>49</v>
      </c>
      <c r="BJ100" s="110" t="s">
        <v>50</v>
      </c>
      <c r="BK100" s="111" t="s">
        <v>220</v>
      </c>
      <c r="BL100" s="80" t="s">
        <v>23</v>
      </c>
      <c r="BM100" s="145" t="s">
        <v>221</v>
      </c>
      <c r="BN100" s="140" t="s">
        <v>110</v>
      </c>
      <c r="BO100" s="142" t="s">
        <v>92</v>
      </c>
      <c r="BP100" s="142" t="s">
        <v>78</v>
      </c>
      <c r="BQ100" s="148" t="s">
        <v>93</v>
      </c>
      <c r="BR100" s="148" t="s">
        <v>78</v>
      </c>
      <c r="BS100" s="149" t="s">
        <v>94</v>
      </c>
      <c r="BT100" s="149" t="s">
        <v>78</v>
      </c>
      <c r="BU100" s="141"/>
      <c r="BV100" s="141"/>
      <c r="BW100" s="315"/>
      <c r="BX100" s="308"/>
      <c r="BY100" s="308"/>
      <c r="BZ100" s="315"/>
      <c r="CA100" s="308"/>
      <c r="CB100" s="308"/>
      <c r="CC100" s="315"/>
      <c r="CD100" s="308"/>
      <c r="CE100" s="308"/>
      <c r="CF100" s="315"/>
      <c r="CG100" s="308"/>
      <c r="CH100" s="308"/>
      <c r="CI100" s="315"/>
      <c r="CJ100" s="308"/>
      <c r="CK100" s="308"/>
    </row>
    <row r="101" spans="1:122" s="86" customFormat="1">
      <c r="A101" s="86">
        <v>1</v>
      </c>
      <c r="B101" s="86" t="s">
        <v>222</v>
      </c>
      <c r="C101" s="269" t="s">
        <v>223</v>
      </c>
      <c r="D101" s="270" t="str">
        <f>IN!C4</f>
        <v>Italy &gt;&gt; Serie A</v>
      </c>
      <c r="E101" s="270" t="str">
        <f>IN!D4</f>
        <v>19:45</v>
      </c>
      <c r="F101" s="270" t="str">
        <f>B1</f>
        <v>Torino - Udinese</v>
      </c>
      <c r="G101" s="262" t="str">
        <f>IN!F4</f>
        <v>1:0</v>
      </c>
      <c r="H101" s="263">
        <f>IN!G4</f>
        <v>1.64</v>
      </c>
      <c r="I101" s="263">
        <f>IN!H4</f>
        <v>2.1</v>
      </c>
      <c r="J101" s="263">
        <f>IN!I4</f>
        <v>1.96</v>
      </c>
      <c r="K101" s="167">
        <f>IN!J4</f>
        <v>12</v>
      </c>
      <c r="L101" s="167" t="str">
        <f>IN!K4</f>
        <v>X</v>
      </c>
      <c r="M101" s="167" t="str">
        <f>IN!L4</f>
        <v>O</v>
      </c>
      <c r="N101" s="167" t="str">
        <f>IN!M4</f>
        <v>2:2</v>
      </c>
      <c r="O101" s="167">
        <f>IN!N4</f>
        <v>2</v>
      </c>
      <c r="P101" s="167" t="str">
        <f>IN!O4</f>
        <v>0:1</v>
      </c>
      <c r="Q101" s="167" t="str">
        <f>IN!P4</f>
        <v>X</v>
      </c>
      <c r="R101" s="167" t="str">
        <f>IN!Q4</f>
        <v>0:0</v>
      </c>
      <c r="S101" s="167" t="str">
        <f>IN!R4</f>
        <v>p4</v>
      </c>
      <c r="T101" s="271" t="str">
        <f>IN!S4</f>
        <v>https://int.soccerway.com/matches/2020/06/23/italy/serie-a/torino-fc/udinese-calcio/3111969/</v>
      </c>
      <c r="U101" s="167">
        <f>(SUM(AA2:AA17)/16)-(SUM(Z2:Z17)/16)</f>
        <v>0.375</v>
      </c>
      <c r="V101" s="263">
        <f>IF(FORECAST(X62,AA47:AA66,X47:X66)&lt;=0,0,FORECAST(Z62,AA47:AA66,X47:X66))</f>
        <v>-0.042857142857143</v>
      </c>
      <c r="W101" s="167" t="str">
        <f>IF(OR(Y41="",Y41="*"),"",(TRIM(CONCATENATE(IF(Y41&gt;=1,"1",""),IF(Y41&lt;1,IF(Y41&gt;=0.5,"1X",""),""),IF(Y41&gt;-1,IF(Y41&lt;=-0.5,"X2",""),""),IF(Y41&gt;-0.5,IF(Y41&lt;0.5,"X",""),""),IF(Y41&gt;-10,IF(Y41&lt;=-1,"2",""),"")))))</f>
        <v>X</v>
      </c>
      <c r="X101" s="167" t="str">
        <f>IFERROR(VLOOKUP(A1,IN!B12:AB12,13),"")</f>
        <v>X</v>
      </c>
      <c r="Y101" s="167" t="str">
        <f>IFERROR(VLOOKUP(A1,IN!B12:AB12,16),"")</f>
        <v>22</v>
      </c>
      <c r="Z101" s="167">
        <f>IFERROR(VLOOKUP(A1,IN!B12:AB12,18),"")</f>
        <v>2</v>
      </c>
      <c r="AA101" s="167" t="str">
        <f>IFERROR(VLOOKUP(A1,IN!B12:AB12,20),"")</f>
        <v>01</v>
      </c>
      <c r="AB101" s="167" t="str">
        <f>IFERROR(VLOOKUP(A1,IN!B12:AB12,22),"")</f>
        <v>X</v>
      </c>
      <c r="AC101" s="167" t="str">
        <f>IFERROR(VLOOKUP(A1,IN!B12:AB12,24),"")</f>
        <v>00</v>
      </c>
      <c r="AD101" s="167" t="str">
        <f>IF(AND((BC36+BD36)&gt;(BC36+BE36),(BC36+BD36)&gt;(BD36+BE36)),"1X",IF(AND((BC36+BE36)&gt;(BC36+BD36),(BC36+BE36)&gt;(BD36+BE36)),"12",IF(AND((BD36+BE36)&gt;(BC36+BD36),(BD36+BE36)&gt;(BC36+BE36)),"X2",IF(AND((BC36+BD36)=(BC36+BE36),(BC36+BD36)=(BD36+BE36)),"1X2","1X2"))))</f>
        <v>1X2</v>
      </c>
      <c r="AE101" s="167">
        <f>VLOOKUP(1,BC55:BF70,4,FALSE)</f>
        <v>22</v>
      </c>
      <c r="AF101" s="167">
        <f>VLOOKUP(1,BC55:BF70,3,FALSE)</f>
        <v>25.01</v>
      </c>
      <c r="AG101" s="167">
        <f>AF68</f>
        <v>3</v>
      </c>
      <c r="AH101" s="167" t="str">
        <f>AG68</f>
        <v>12</v>
      </c>
      <c r="AI101" s="167">
        <f>BC39</f>
        <v>43.333666666667</v>
      </c>
      <c r="AJ101" s="167">
        <f>BD39</f>
        <v>20.000333333333</v>
      </c>
      <c r="AK101" s="167">
        <f>BE39</f>
        <v>36.667</v>
      </c>
      <c r="AL101" s="167">
        <v>1</v>
      </c>
      <c r="AM101" s="263" t="str">
        <f>IN!C4</f>
        <v>Italy &gt;&gt; Serie A</v>
      </c>
      <c r="AN101" s="263" t="str">
        <f>IN!E4</f>
        <v>Torino - Udinese</v>
      </c>
      <c r="AO101" s="167" t="str">
        <f>M2</f>
        <v>10</v>
      </c>
      <c r="AP101" s="167">
        <f>N2</f>
        <v>1</v>
      </c>
      <c r="AQ101" s="263">
        <f>VLOOKUP(1,BC55:BF70,4,FALSE)</f>
        <v>22</v>
      </c>
      <c r="AR101" s="263">
        <f>VLOOKUP(1,BC55:BF70,3,FALSE)</f>
        <v>25.01</v>
      </c>
      <c r="AS101" s="263" t="str">
        <f>VLOOKUP(2,BC55:BF70,4,FALSE)</f>
        <v>0M</v>
      </c>
      <c r="AT101" s="263">
        <f>VLOOKUP(2,BC55:BF70,3,FALSE)</f>
        <v>12.51</v>
      </c>
      <c r="AU101" s="263" t="str">
        <f>VLOOKUP(3,BC55:BF70,4,FALSE)</f>
        <v>1M</v>
      </c>
      <c r="AV101" s="263">
        <f>VLOOKUP(3,BC55:BF70,3,FALSE)</f>
        <v>12.51</v>
      </c>
      <c r="AW101" s="263" t="str">
        <f>VLOOKUP(4,BC55:BF70,4,FALSE)</f>
        <v>2M</v>
      </c>
      <c r="AX101" s="167">
        <f>VLOOKUP(4,BC55:BF70,3,FALSE)</f>
        <v>12.51</v>
      </c>
      <c r="AY101" s="263">
        <f>(Z39+Z40)/2</f>
        <v>43.75</v>
      </c>
      <c r="AZ101" s="263">
        <f>(AA39+AA40)/2</f>
        <v>31.25</v>
      </c>
      <c r="BA101" s="263">
        <f>(AB39+AB40)/2</f>
        <v>31.25</v>
      </c>
      <c r="BB101" s="263">
        <f>(AC39+AC40)/2</f>
        <v>12.5</v>
      </c>
      <c r="BC101" s="263">
        <f>(AD39+AD40)/2</f>
        <v>81.25</v>
      </c>
      <c r="BD101" s="263">
        <f>(AE39+AE40)/2</f>
        <v>18.75</v>
      </c>
      <c r="BE101" s="263">
        <f>((COUNTIF(AA25:AP25,1)/16)*100)</f>
        <v>62.5</v>
      </c>
      <c r="BF101" s="263">
        <f>BF46</f>
        <v>37.5</v>
      </c>
      <c r="BG101" s="263">
        <f>BG46</f>
        <v>31.25</v>
      </c>
      <c r="BH101" s="263">
        <f>VLOOKUP(1,BC55:BF70,4,FALSE)</f>
        <v>22</v>
      </c>
      <c r="BI101" s="263" t="str">
        <f>VLOOKUP(2,BC55:BF70,4,FALSE)</f>
        <v>0M</v>
      </c>
      <c r="BJ101" s="263" t="str">
        <f>VLOOKUP(3,BC55:BF70,4,FALSE)</f>
        <v>1M</v>
      </c>
      <c r="BK101" s="263">
        <f>(BF46+BJ46)/2</f>
        <v>37.5</v>
      </c>
      <c r="BL101" s="167">
        <f>S7</f>
        <v>3</v>
      </c>
      <c r="BM101" s="167">
        <f>W35-W36</f>
        <v>1</v>
      </c>
      <c r="BN101" s="263" t="str">
        <f>IF(W40="","",IF(LEN(W40)&lt;=2,IF(W40="X1","1X",IF(W40="21","12",IF(W40="2X","X2",IF(W40="11","1",IF(W40="XX","X",IF(W40="22","2",W40)))))),CONCATENATE(IF(IFERROR(FIND("1",W40,1),0)&lt;&gt;0,"1",""),IF(IFERROR(FIND("X",W40,1),0)&lt;&gt;0,"X",""),IF(IFERROR(FIND("2",W40,1),0)&lt;&gt;0,"2",""))))</f>
        <v>X2</v>
      </c>
      <c r="BO101" s="61" t="str">
        <f>IF(AND(BC36&gt;BD36,BC36&gt;BE36),"1",IF(AND(BD36&gt;BC36,BD36&gt;BE36),"X",IF(AND(BE36&gt;BC36,BE36&gt;BD36),"2",IF(AND(BC36=BD36,BC36=BE36),"1X2",IF(AND(BC36=BD36,BC36&gt;BE36),"1X",IF(AND(BD36=BE36,BD36&gt;BC36),"X2","1 2"))))))</f>
        <v>2</v>
      </c>
      <c r="BP101" s="61" t="str">
        <f>IF(AND((BC36+BD36)&gt;(BC36+BE36),(BC36+BD36)&gt;(BD36+BE36)),"1X",IF(AND((BC36+BE36)&gt;(BC36+BD36),(BC36+BE36)&gt;(BD36+BE36)),"12",IF(AND((BD36+BE36)&gt;(BC36+BD36),(BD36+BE36)&gt;(BC36+BE36)),"X2",IF(AND((BC36+BD36)=(BC36+BE36),(BC36+BD36)=(BD36+BE36)),"1X2","1X2"))))</f>
        <v>1X2</v>
      </c>
      <c r="BQ101" s="61" t="str">
        <f>IF(AND(BC37&gt;BD37,BC37&gt;BE37),"1",IF(AND(BD37&gt;BC37,BD37&gt;BE37),"X",IF(AND(BE37&gt;BC37,BE37&gt;BD37),"2",IF(AND(BC37=BD37,BC37=BE37),"1X2",IF(AND(BC37=BD37,BC37&gt;BE37),"1X",IF(AND(BD37=BE37,BD37&gt;BC37),"X2","1 2"))))))</f>
        <v>1</v>
      </c>
      <c r="BR101" s="61" t="str">
        <f>IF(AND((BC37+BD37)&gt;(BC37+BE37),(BC37+BD37)&gt;(BD37+BE37)),"1X",IF(AND((BC37+BE37)&gt;(BC37+BD37),(BC37+BE37)&gt;(BD37+BE37)),"12",IF(AND((BD37+BE37)&gt;(BC37+BD37),(BD37+BE37)&gt;(BC37+BE37)),"X2",IF(AND((BC37+BD37)=(BC37+BE37),(BC37+BD37)=(BD37+BE37)),"1X2","1X2"))))</f>
        <v>12</v>
      </c>
      <c r="BS101" s="61" t="str">
        <f>IF(AND(BC38&gt;BD38,BC38&gt;BE38),"1",IF(AND(BD38&gt;BC38,BD38&gt;BE38),"X",IF(AND(BE38&gt;BC38,BE38&gt;BD38),"2",IF(AND(BC38=BD38,BC38=BE38),"1X2",IF(AND(BC38=BD38,BC38&gt;BE38),"1X",IF(AND(BD38=BE38,BD38&gt;BC38),"X2","1 2"))))))</f>
        <v>1</v>
      </c>
      <c r="BT101" s="61" t="str">
        <f>IF(AND((BC38+BD38)&gt;(BC38+BE38),(BC38+BD38)&gt;(BD38+BE38)),"1X",IF(AND((BC38+BE38)&gt;(BC38+BD38),(BC38+BE38)&gt;(BD38+BE38)),"12",IF(AND((BD38+BE38)&gt;(BC38+BD38),(BD38+BE38)&gt;(BC38+BE38)),"X2",IF(AND((BC38+BD38)=(BC38+BE38),(BC38+BD38)=(BD38+BE38)),"1X2","1X2"))))</f>
        <v>12</v>
      </c>
      <c r="BU101" s="61" t="str">
        <f>IF(AND(BC39&gt;BD39,BC39&gt;BE39),"1",IF(AND(BD39&gt;BC39,BD39&gt;BE39),"X",IF(AND(BE39&gt;BC39,BE39&gt;BD39),"2",IF(AND(BC39=BD39,BC39=BE39),"1X2",IF(AND(BC39=BD39,BC39&gt;BE39),"1X",IF(AND(BD39=BE39,BD39&gt;BC39),"X2","1 2"))))))</f>
        <v>1</v>
      </c>
      <c r="BV101" s="61" t="str">
        <f>IF(AND((BC39+BD39)&gt;(BC39+BE39),(BC39+BD39)&gt;(BD39+BE39)),"1X",IF(AND((BC39+BE39)&gt;(BC39+BD39),(BC39+BE39)&gt;(BD39+BE39)),"12",IF(AND((BD39+BE39)&gt;(BC39+BD39),(BD39+BE39)&gt;(BC39+BE39)),"X2",IF(AND((BC39+BD39)=(BC39+BE39),(BC39+BD39)=(BD39+BE39)),"1X2","1X2"))))</f>
        <v>12</v>
      </c>
      <c r="BW101" s="272">
        <f>IF(H101="","",(((100)*(1/H101))/((1/H101)+(1/I101)+(1/J101)))+0.01)</f>
        <v>38.211663201663</v>
      </c>
      <c r="BX101" s="272">
        <f>IF(I101="","",(((100)*(1/I101))/((1/H101)+(1/I101)+(1/J101)))+0.01)</f>
        <v>29.84367983368</v>
      </c>
      <c r="BY101" s="272">
        <f>IF(J101="","",(((100)*(1/J101))/((1/H101)+(1/I101)+(1/J101)))+0.01)</f>
        <v>31.974656964657</v>
      </c>
      <c r="BZ101" s="273">
        <f>(((COUNTIF(BX37:CE37,1))/8)*100)+0.001</f>
        <v>25.001</v>
      </c>
      <c r="CA101" s="273">
        <f>(((COUNTIF(BX37:CE37,"X"))/8)*100)+0.001</f>
        <v>25.001</v>
      </c>
      <c r="CB101" s="273">
        <f>(((COUNTIF(BX37:CE37,2))/8)*100)+0.001</f>
        <v>50.001</v>
      </c>
      <c r="CC101" s="274">
        <f>M16</f>
        <v>45</v>
      </c>
      <c r="CD101" s="274">
        <f>N16</f>
        <v>20</v>
      </c>
      <c r="CE101" s="274">
        <f>O16</f>
        <v>35</v>
      </c>
      <c r="CF101" s="273">
        <f>(BM4/BM7)*100</f>
        <v>60</v>
      </c>
      <c r="CG101" s="273">
        <f>(BM5/BM7)*100</f>
        <v>15</v>
      </c>
      <c r="CH101" s="273">
        <f>(BM6/BM7)*100</f>
        <v>25</v>
      </c>
      <c r="CI101" s="274">
        <f>(BZ101+CC101+CF101)/3</f>
        <v>43.333666666667</v>
      </c>
      <c r="CJ101" s="274">
        <f>(CA101+CD101+CG101)/3</f>
        <v>20.000333333333</v>
      </c>
      <c r="CK101" s="274">
        <f>(CB101+CE101+CH101)/3</f>
        <v>36.667</v>
      </c>
    </row>
    <row r="102" spans="1:122">
      <c r="D102" s="61"/>
      <c r="E102" s="61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1"/>
      <c r="AD102" s="61"/>
      <c r="AE102" s="61"/>
      <c r="AF102" s="61"/>
      <c r="AG102" s="61"/>
      <c r="AH102" s="61"/>
      <c r="AI102" s="61"/>
      <c r="AJ102" s="61"/>
      <c r="AK102" s="61"/>
      <c r="AL102" s="61"/>
      <c r="AM102" s="61"/>
      <c r="AN102" s="61"/>
      <c r="AO102" s="61"/>
      <c r="AP102" s="61"/>
      <c r="AQ102" s="61"/>
      <c r="AR102" s="61"/>
      <c r="AS102" s="61"/>
      <c r="AT102" s="61"/>
      <c r="AU102" s="61"/>
      <c r="AV102" s="61"/>
      <c r="AW102" s="61"/>
      <c r="AX102" s="61"/>
      <c r="AY102" s="61"/>
      <c r="AZ102" s="61"/>
      <c r="BA102" s="61"/>
      <c r="BB102" s="61"/>
      <c r="BC102" s="61"/>
      <c r="BD102" s="61"/>
      <c r="BE102" s="61"/>
      <c r="BF102" s="61"/>
      <c r="BG102" s="61"/>
      <c r="BH102" s="61"/>
      <c r="BI102" s="61"/>
      <c r="BJ102" s="61"/>
      <c r="BK102" s="61"/>
      <c r="BL102" s="61"/>
      <c r="BM102" s="61"/>
      <c r="BN102" s="61"/>
      <c r="BO102" s="61"/>
      <c r="BP102" s="61"/>
      <c r="BQ102" s="61"/>
      <c r="BR102" s="61"/>
      <c r="BS102" s="61"/>
      <c r="BT102" s="61"/>
      <c r="BU102" s="61"/>
      <c r="BV102" s="61"/>
      <c r="BW102" s="61"/>
      <c r="BX102" s="61"/>
      <c r="BY102" s="61"/>
      <c r="BZ102" s="61"/>
      <c r="CA102" s="61"/>
      <c r="CB102" s="61"/>
      <c r="CC102" s="61"/>
      <c r="CD102" s="61"/>
      <c r="CE102" s="61"/>
      <c r="CF102" s="61"/>
      <c r="CG102" s="61"/>
      <c r="CH102" s="61"/>
      <c r="CI102" s="61"/>
      <c r="CJ102" s="61"/>
      <c r="CK102" s="61"/>
    </row>
    <row r="103" spans="1:122" customHeight="1" ht="15.75">
      <c r="D103" s="61"/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1"/>
      <c r="AD103" s="61"/>
      <c r="AE103" s="61"/>
      <c r="AF103" s="61"/>
      <c r="AG103" s="61"/>
      <c r="AH103" s="61"/>
      <c r="AI103" s="61"/>
      <c r="AJ103" s="61"/>
      <c r="AK103" s="61"/>
      <c r="AL103" s="61"/>
      <c r="AM103" s="61"/>
      <c r="AN103" s="61"/>
      <c r="AO103" s="61"/>
      <c r="AP103" s="61"/>
      <c r="AQ103" s="61"/>
      <c r="AR103" s="61"/>
      <c r="AS103" s="61"/>
      <c r="AT103" s="61"/>
      <c r="AU103" s="61"/>
      <c r="AV103" s="61"/>
      <c r="AW103" s="61"/>
      <c r="AX103" s="61"/>
      <c r="AY103" s="61"/>
      <c r="AZ103" s="61"/>
      <c r="BA103" s="61"/>
      <c r="BB103" s="61"/>
      <c r="BC103" s="61"/>
      <c r="BD103" s="61"/>
      <c r="BE103" s="61"/>
      <c r="BF103" s="61"/>
      <c r="BG103" s="61"/>
      <c r="BH103" s="61"/>
      <c r="BI103" s="61"/>
      <c r="BJ103" s="61"/>
      <c r="BK103" s="61"/>
      <c r="BL103" s="61"/>
      <c r="BM103" s="61"/>
      <c r="BN103" s="61"/>
      <c r="BO103" s="61"/>
      <c r="BP103" s="61"/>
      <c r="BQ103" s="61"/>
      <c r="BR103" s="61"/>
      <c r="BS103" s="61"/>
      <c r="BT103" s="61"/>
      <c r="BU103" s="61"/>
      <c r="BV103" s="61"/>
      <c r="BW103" s="61"/>
      <c r="BX103" s="61"/>
      <c r="BY103" s="61"/>
      <c r="BZ103" s="61"/>
      <c r="CA103" s="61"/>
      <c r="CB103" s="61"/>
      <c r="CC103" s="61"/>
      <c r="CD103" s="61"/>
      <c r="CE103" s="61"/>
      <c r="CF103" s="61"/>
      <c r="CG103" s="61"/>
      <c r="CH103" s="61"/>
      <c r="CI103" s="61"/>
      <c r="CJ103" s="61"/>
      <c r="CK103" s="61"/>
    </row>
    <row r="104" spans="1:122" customHeight="1" ht="15.75" s="179" customFormat="1">
      <c r="A104" s="177"/>
      <c r="D104" s="275" t="s">
        <v>224</v>
      </c>
      <c r="E104" s="178"/>
      <c r="F104" s="178"/>
      <c r="G104" s="178"/>
      <c r="H104" s="178"/>
      <c r="I104" s="178"/>
      <c r="J104" s="178"/>
      <c r="K104" s="178"/>
      <c r="L104" s="178"/>
      <c r="M104" s="178"/>
      <c r="N104" s="178"/>
      <c r="O104" s="178"/>
      <c r="P104" s="178"/>
      <c r="Q104" s="178"/>
      <c r="R104" s="178"/>
      <c r="S104" s="178"/>
      <c r="T104" s="178"/>
      <c r="U104" s="275">
        <f>Y41</f>
        <v>0.375</v>
      </c>
      <c r="V104" s="276">
        <f>AA68</f>
        <v>-0.042857142857143</v>
      </c>
      <c r="W104" s="275" t="str">
        <f>AG39</f>
        <v>X</v>
      </c>
      <c r="X104" s="275" t="str">
        <f>E93</f>
        <v>X</v>
      </c>
      <c r="Y104" s="275" t="str">
        <f>F93</f>
        <v>22</v>
      </c>
      <c r="Z104" s="275">
        <f>G93</f>
        <v>2</v>
      </c>
      <c r="AA104" s="275" t="str">
        <f>H93</f>
        <v>01</v>
      </c>
      <c r="AB104" s="275" t="str">
        <f>I93</f>
        <v>X</v>
      </c>
      <c r="AC104" s="275" t="str">
        <f>J93</f>
        <v>00</v>
      </c>
      <c r="AD104" s="275" t="str">
        <f>BI36</f>
        <v>1X2</v>
      </c>
      <c r="AE104" s="275">
        <f>L93</f>
        <v>22</v>
      </c>
      <c r="AF104" s="275">
        <f>M93</f>
        <v>25.01</v>
      </c>
      <c r="AG104" s="275">
        <f>AF68</f>
        <v>3</v>
      </c>
      <c r="AH104" s="275" t="str">
        <f>AG68</f>
        <v>12</v>
      </c>
      <c r="AI104" s="275">
        <f>BC39</f>
        <v>43.333666666667</v>
      </c>
      <c r="AJ104" s="275">
        <f>BD39</f>
        <v>20.000333333333</v>
      </c>
      <c r="AK104" s="275">
        <f>BE39</f>
        <v>36.667</v>
      </c>
      <c r="AL104" s="275">
        <v>1</v>
      </c>
      <c r="AM104" s="275" t="s">
        <v>225</v>
      </c>
      <c r="AN104" s="275" t="str">
        <f>B7</f>
        <v>Torino - Udinese</v>
      </c>
      <c r="AO104" s="275" t="str">
        <f>M2</f>
        <v>10</v>
      </c>
      <c r="AP104" s="275">
        <f>N2</f>
        <v>1</v>
      </c>
      <c r="AQ104" s="275">
        <f>BF42</f>
        <v>22</v>
      </c>
      <c r="AR104" s="275">
        <f>BF43</f>
        <v>25.01</v>
      </c>
      <c r="AS104" s="277" t="str">
        <f>BG42</f>
        <v>0M</v>
      </c>
      <c r="AT104" s="275">
        <f>BG43</f>
        <v>12.51</v>
      </c>
      <c r="AU104" s="275" t="str">
        <f>BH42</f>
        <v>1M</v>
      </c>
      <c r="AV104" s="275">
        <f>BH43</f>
        <v>12.51</v>
      </c>
      <c r="AW104" s="275" t="str">
        <f>BI42</f>
        <v>2M</v>
      </c>
      <c r="AX104" s="275">
        <f>BI43</f>
        <v>12.51</v>
      </c>
      <c r="AY104" s="275">
        <f>F7</f>
        <v>43.75</v>
      </c>
      <c r="AZ104" s="275">
        <f>G7</f>
        <v>31.25</v>
      </c>
      <c r="BA104" s="275">
        <f>H7</f>
        <v>31.25</v>
      </c>
      <c r="BB104" s="275">
        <f>I7</f>
        <v>12.5</v>
      </c>
      <c r="BC104" s="275">
        <f>J7</f>
        <v>81.25</v>
      </c>
      <c r="BD104" s="275">
        <f>K7</f>
        <v>18.75</v>
      </c>
      <c r="BE104" s="275">
        <f>L7</f>
        <v>62.5</v>
      </c>
      <c r="BF104" s="275">
        <f>BF46</f>
        <v>37.5</v>
      </c>
      <c r="BG104" s="275">
        <f>BG46</f>
        <v>31.25</v>
      </c>
      <c r="BH104" s="275">
        <f>BF42</f>
        <v>22</v>
      </c>
      <c r="BI104" s="277" t="str">
        <f>BG42</f>
        <v>0M</v>
      </c>
      <c r="BJ104" s="275" t="str">
        <f>BH42</f>
        <v>1M</v>
      </c>
      <c r="BK104" s="275">
        <f>BR46</f>
        <v>37.5</v>
      </c>
      <c r="BL104" s="275">
        <f>S7</f>
        <v>3</v>
      </c>
      <c r="BM104" s="275">
        <f>W39</f>
        <v>1</v>
      </c>
      <c r="BN104" s="275" t="s">
        <v>226</v>
      </c>
      <c r="BO104" s="275" t="str">
        <f>BH36</f>
        <v>2</v>
      </c>
      <c r="BP104" s="275" t="str">
        <f>BI36</f>
        <v>1X2</v>
      </c>
      <c r="BQ104" s="275" t="str">
        <f>BH37</f>
        <v>1</v>
      </c>
      <c r="BR104" s="275" t="str">
        <f>BI37</f>
        <v>12</v>
      </c>
      <c r="BS104" s="275" t="str">
        <f>BH38</f>
        <v>1</v>
      </c>
      <c r="BT104" s="275" t="str">
        <f>BI38</f>
        <v>12</v>
      </c>
      <c r="BU104" s="275" t="str">
        <f>BH39</f>
        <v>1</v>
      </c>
      <c r="BV104" s="275" t="str">
        <f>BI39</f>
        <v>12</v>
      </c>
      <c r="BW104" s="275">
        <f>BK37</f>
        <v>38.211663201663</v>
      </c>
      <c r="BX104" s="275">
        <f>BL37</f>
        <v>32.568139534884</v>
      </c>
      <c r="BY104" s="275">
        <f>BM37</f>
        <v>34.100909090909</v>
      </c>
      <c r="BZ104" s="275">
        <f>CG37</f>
        <v>25.001</v>
      </c>
      <c r="CA104" s="275">
        <f>CH37</f>
        <v>25.001</v>
      </c>
      <c r="CB104" s="275">
        <f>CI37</f>
        <v>50.001</v>
      </c>
      <c r="CC104" s="275">
        <f>AS9</f>
        <v>45</v>
      </c>
      <c r="CD104" s="275">
        <f>AT9</f>
        <v>20</v>
      </c>
      <c r="CE104" s="275">
        <f>AU9</f>
        <v>35</v>
      </c>
      <c r="CF104" s="275">
        <f>BM9</f>
        <v>60</v>
      </c>
      <c r="CG104" s="275">
        <f>BN9</f>
        <v>15</v>
      </c>
      <c r="CH104" s="275">
        <f>BO9</f>
        <v>25</v>
      </c>
      <c r="CI104" s="275">
        <f>BC39</f>
        <v>43.333666666667</v>
      </c>
      <c r="CJ104" s="275">
        <f>BD39</f>
        <v>20.000333333333</v>
      </c>
      <c r="CK104" s="275">
        <f>BE39</f>
        <v>36.667</v>
      </c>
    </row>
    <row r="105" spans="1:122">
      <c r="D105" s="61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S105" s="61"/>
      <c r="T105" s="61"/>
      <c r="U105" s="61"/>
      <c r="V105" s="61"/>
      <c r="W105" s="61"/>
      <c r="X105" s="61"/>
      <c r="Y105" s="61"/>
      <c r="Z105" s="61"/>
      <c r="AA105" s="61"/>
      <c r="AB105" s="61"/>
      <c r="AC105" s="61"/>
      <c r="AD105" s="61"/>
      <c r="AE105" s="61"/>
      <c r="AF105" s="61"/>
      <c r="AG105" s="61"/>
      <c r="AH105" s="61"/>
      <c r="AI105" s="61"/>
      <c r="AJ105" s="61"/>
      <c r="AK105" s="61"/>
      <c r="AL105" s="61"/>
      <c r="AM105" s="61"/>
      <c r="AN105" s="61"/>
      <c r="AO105" s="61"/>
      <c r="AP105" s="61"/>
      <c r="AQ105" s="61"/>
      <c r="AR105" s="61"/>
      <c r="AS105" s="61"/>
      <c r="AT105" s="61"/>
      <c r="AU105" s="61"/>
      <c r="AV105" s="61"/>
      <c r="AW105" s="61"/>
      <c r="AX105" s="61"/>
      <c r="AY105" s="61"/>
      <c r="AZ105" s="61"/>
      <c r="BA105" s="61"/>
      <c r="BB105" s="61"/>
      <c r="BC105" s="61"/>
      <c r="BD105" s="61"/>
      <c r="BE105" s="61"/>
      <c r="BF105" s="61"/>
      <c r="BG105" s="61"/>
      <c r="BH105" s="61"/>
      <c r="BI105" s="61"/>
      <c r="BJ105" s="61"/>
      <c r="BK105" s="61"/>
      <c r="BL105" s="61"/>
      <c r="BM105" s="61"/>
      <c r="BN105" s="61"/>
      <c r="BO105" s="61"/>
      <c r="BP105" s="61"/>
      <c r="BQ105" s="61"/>
      <c r="BR105" s="61"/>
      <c r="BS105" s="61"/>
      <c r="BT105" s="61"/>
      <c r="BU105" s="61"/>
      <c r="BV105" s="61"/>
      <c r="BW105" s="61"/>
      <c r="BX105" s="61"/>
      <c r="BY105" s="61"/>
      <c r="BZ105" s="61"/>
      <c r="CA105" s="61"/>
      <c r="CB105" s="61"/>
      <c r="CC105" s="61"/>
      <c r="CD105" s="61"/>
      <c r="CE105" s="61"/>
      <c r="CF105" s="61"/>
      <c r="CG105" s="61"/>
      <c r="CH105" s="61"/>
      <c r="CI105" s="61"/>
      <c r="CJ105" s="61"/>
      <c r="CK105" s="61"/>
    </row>
    <row r="106" spans="1:122">
      <c r="D106" s="61"/>
      <c r="E106" s="61"/>
      <c r="F106" s="61"/>
      <c r="G106" s="61"/>
      <c r="H106" s="61"/>
      <c r="I106" s="61"/>
      <c r="J106" s="61"/>
      <c r="K106" s="61"/>
      <c r="L106" s="61"/>
      <c r="M106" s="61"/>
      <c r="N106" s="61"/>
      <c r="O106" s="61"/>
      <c r="P106" s="61"/>
      <c r="Q106" s="61"/>
      <c r="S106" s="61"/>
      <c r="T106" s="61"/>
      <c r="U106" s="61"/>
    </row>
    <row r="107" spans="1:122">
      <c r="D107" s="61"/>
      <c r="E107" s="61"/>
      <c r="F107" s="61"/>
      <c r="G107" s="61"/>
      <c r="H107" s="61"/>
      <c r="I107" s="61"/>
      <c r="J107" s="61"/>
      <c r="K107" s="61"/>
      <c r="L107" s="61"/>
      <c r="M107" s="61"/>
      <c r="N107" s="61"/>
      <c r="O107" s="61"/>
      <c r="P107" s="61"/>
      <c r="Q107" s="61"/>
      <c r="S107" s="61"/>
      <c r="T107" s="61"/>
      <c r="U107" s="61"/>
    </row>
    <row r="108" spans="1:122">
      <c r="D108" s="61"/>
      <c r="E108" s="61"/>
      <c r="F108" s="61"/>
      <c r="G108" s="61"/>
      <c r="H108" s="61"/>
      <c r="I108" s="61"/>
      <c r="J108" s="61"/>
      <c r="K108" s="61"/>
      <c r="L108" s="61"/>
      <c r="M108" s="61"/>
      <c r="N108" s="61"/>
      <c r="O108" s="61"/>
      <c r="P108" s="61"/>
      <c r="Q108" s="61"/>
      <c r="S108" s="61"/>
      <c r="T108" s="61"/>
      <c r="U108" s="61"/>
    </row>
    <row r="109" spans="1:122">
      <c r="D109" s="61"/>
      <c r="E109" s="61"/>
      <c r="F109" s="61"/>
      <c r="G109" s="61"/>
      <c r="H109" s="61"/>
      <c r="I109" s="61"/>
      <c r="J109" s="61"/>
      <c r="K109" s="61"/>
      <c r="L109" s="61"/>
      <c r="M109" s="61"/>
      <c r="N109" s="61"/>
      <c r="O109" s="61"/>
      <c r="P109" s="61"/>
      <c r="Q109" s="61"/>
      <c r="S109" s="61"/>
      <c r="T109" s="61"/>
      <c r="U109" s="61"/>
    </row>
    <row r="110" spans="1:122">
      <c r="D110" s="61"/>
      <c r="E110" s="61"/>
      <c r="F110" s="61"/>
      <c r="G110" s="61"/>
      <c r="H110" s="61"/>
      <c r="I110" s="61"/>
      <c r="J110" s="61"/>
      <c r="K110" s="61"/>
      <c r="L110" s="61"/>
      <c r="M110" s="61"/>
      <c r="N110" s="61"/>
      <c r="O110" s="61"/>
      <c r="P110" s="61"/>
      <c r="Q110" s="61"/>
      <c r="S110" s="61"/>
      <c r="T110" s="61"/>
      <c r="U110" s="61"/>
    </row>
    <row r="111" spans="1:122">
      <c r="D111" s="61"/>
      <c r="E111" s="61"/>
      <c r="F111" s="61"/>
      <c r="G111" s="61"/>
      <c r="H111" s="61"/>
      <c r="I111" s="61"/>
      <c r="J111" s="61"/>
      <c r="K111" s="61"/>
      <c r="L111" s="61"/>
      <c r="M111" s="61"/>
      <c r="N111" s="61"/>
      <c r="O111" s="61"/>
      <c r="P111" s="61"/>
      <c r="Q111" s="61"/>
      <c r="S111" s="61"/>
      <c r="T111" s="61"/>
      <c r="U111" s="61"/>
    </row>
    <row r="112" spans="1:122">
      <c r="D112" s="61"/>
      <c r="E112" s="61"/>
      <c r="F112" s="61"/>
      <c r="G112" s="61"/>
      <c r="H112" s="61"/>
      <c r="I112" s="61"/>
      <c r="J112" s="61"/>
      <c r="K112" s="61"/>
      <c r="L112" s="61"/>
      <c r="M112" s="61"/>
      <c r="N112" s="61"/>
      <c r="O112" s="61"/>
      <c r="P112" s="61"/>
      <c r="Q112" s="61"/>
      <c r="S112" s="61"/>
      <c r="T112" s="61"/>
      <c r="U112" s="61"/>
    </row>
    <row r="113" spans="1:122">
      <c r="D113" s="61"/>
      <c r="E113" s="61"/>
      <c r="F113" s="61"/>
      <c r="G113" s="61"/>
      <c r="H113" s="61"/>
      <c r="I113" s="61"/>
      <c r="J113" s="61"/>
      <c r="K113" s="61"/>
      <c r="L113" s="61"/>
      <c r="M113" s="61"/>
      <c r="N113" s="61"/>
      <c r="O113" s="61"/>
      <c r="P113" s="61"/>
      <c r="Q113" s="61"/>
      <c r="S113" s="61"/>
      <c r="T113" s="61"/>
      <c r="U113" s="61"/>
    </row>
    <row r="114" spans="1:122">
      <c r="D114" s="61"/>
      <c r="E114" s="61"/>
      <c r="F114" s="61"/>
      <c r="G114" s="61"/>
      <c r="H114" s="61"/>
      <c r="I114" s="61"/>
      <c r="J114" s="61"/>
      <c r="K114" s="61"/>
      <c r="L114" s="61"/>
      <c r="M114" s="61"/>
      <c r="N114" s="61"/>
      <c r="O114" s="61"/>
      <c r="P114" s="61"/>
      <c r="Q114" s="61"/>
      <c r="S114" s="61"/>
      <c r="T114" s="61"/>
      <c r="U114" s="61"/>
    </row>
    <row r="115" spans="1:122">
      <c r="D115" s="61"/>
      <c r="E115" s="61"/>
      <c r="F115" s="61"/>
      <c r="G115" s="61"/>
      <c r="H115" s="61"/>
      <c r="I115" s="61"/>
      <c r="J115" s="61"/>
      <c r="K115" s="61"/>
      <c r="L115" s="61"/>
      <c r="M115" s="61"/>
      <c r="N115" s="61"/>
      <c r="O115" s="61"/>
      <c r="P115" s="61"/>
      <c r="Q115" s="61"/>
      <c r="S115" s="61"/>
      <c r="T115" s="61"/>
      <c r="U115" s="61"/>
    </row>
    <row r="116" spans="1:122">
      <c r="D116" s="61"/>
      <c r="E116" s="61"/>
      <c r="F116" s="61"/>
      <c r="G116" s="61"/>
      <c r="H116" s="61"/>
      <c r="I116" s="61"/>
      <c r="J116" s="61"/>
      <c r="K116" s="61"/>
      <c r="L116" s="61"/>
      <c r="M116" s="61"/>
      <c r="N116" s="61"/>
      <c r="O116" s="61"/>
      <c r="P116" s="61"/>
      <c r="Q116" s="61"/>
      <c r="S116" s="61"/>
      <c r="T116" s="61"/>
      <c r="U116" s="61"/>
    </row>
    <row r="117" spans="1:122">
      <c r="D117" s="61"/>
      <c r="E117" s="61"/>
      <c r="F117" s="61"/>
      <c r="G117" s="61"/>
      <c r="H117" s="61"/>
      <c r="I117" s="61"/>
      <c r="J117" s="61"/>
      <c r="K117" s="61"/>
      <c r="L117" s="61"/>
      <c r="M117" s="61"/>
      <c r="N117" s="61"/>
      <c r="O117" s="61"/>
      <c r="P117" s="61"/>
      <c r="Q117" s="61"/>
      <c r="S117" s="61"/>
      <c r="T117" s="61"/>
      <c r="U117" s="61"/>
    </row>
    <row r="118" spans="1:122">
      <c r="D118" s="61"/>
      <c r="E118" s="61"/>
      <c r="F118" s="61"/>
      <c r="G118" s="61"/>
      <c r="H118" s="61"/>
      <c r="I118" s="61"/>
      <c r="J118" s="61"/>
      <c r="K118" s="61"/>
      <c r="L118" s="61"/>
      <c r="M118" s="61"/>
      <c r="N118" s="61"/>
      <c r="O118" s="61"/>
      <c r="P118" s="61"/>
      <c r="Q118" s="61"/>
      <c r="S118" s="61"/>
      <c r="T118" s="61"/>
      <c r="U118" s="61"/>
    </row>
    <row r="119" spans="1:122">
      <c r="D119" s="61"/>
      <c r="E119" s="61"/>
      <c r="F119" s="61"/>
      <c r="G119" s="61"/>
      <c r="H119" s="61"/>
      <c r="I119" s="61"/>
      <c r="J119" s="61"/>
      <c r="K119" s="61"/>
      <c r="L119" s="61"/>
      <c r="M119" s="61"/>
      <c r="N119" s="61"/>
      <c r="O119" s="61"/>
      <c r="P119" s="61"/>
      <c r="Q119" s="61"/>
      <c r="S119" s="61"/>
      <c r="T119" s="61"/>
      <c r="U119" s="61"/>
    </row>
    <row r="120" spans="1:122">
      <c r="D120" s="61"/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S120" s="61"/>
      <c r="T120" s="61"/>
      <c r="U120" s="61"/>
    </row>
    <row r="121" spans="1:122">
      <c r="D121" s="61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S121" s="61"/>
      <c r="T121" s="61"/>
      <c r="U121" s="61"/>
    </row>
    <row r="122" spans="1:122">
      <c r="D122" s="61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S122" s="61"/>
      <c r="T122" s="61"/>
      <c r="U122" s="61"/>
    </row>
    <row r="123" spans="1:122">
      <c r="D123" s="61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S123" s="61"/>
      <c r="T123" s="61"/>
      <c r="U123" s="61"/>
    </row>
    <row r="124" spans="1:122">
      <c r="D124" s="61"/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S124" s="61"/>
      <c r="T124" s="61"/>
      <c r="U124" s="61"/>
    </row>
    <row r="125" spans="1:122">
      <c r="D125" s="61"/>
      <c r="E125" s="61"/>
      <c r="F125" s="61"/>
      <c r="G125" s="61"/>
      <c r="H125" s="61"/>
      <c r="I125" s="61"/>
      <c r="J125" s="61"/>
      <c r="K125" s="61"/>
      <c r="L125" s="61"/>
      <c r="M125" s="61"/>
      <c r="N125" s="61"/>
      <c r="O125" s="61"/>
      <c r="P125" s="61"/>
      <c r="Q125" s="61"/>
      <c r="S125" s="61"/>
      <c r="T125" s="61"/>
      <c r="U125" s="61"/>
    </row>
    <row r="126" spans="1:122">
      <c r="D126" s="61"/>
      <c r="E126" s="61"/>
      <c r="F126" s="61"/>
      <c r="G126" s="61"/>
      <c r="H126" s="61"/>
      <c r="I126" s="61"/>
      <c r="J126" s="61"/>
      <c r="K126" s="61"/>
      <c r="L126" s="61"/>
      <c r="M126" s="61"/>
      <c r="N126" s="61"/>
      <c r="O126" s="61"/>
      <c r="P126" s="61"/>
      <c r="Q126" s="61"/>
      <c r="S126" s="61"/>
      <c r="T126" s="61"/>
      <c r="U126" s="61"/>
    </row>
    <row r="127" spans="1:122">
      <c r="D127" s="61"/>
      <c r="E127" s="61"/>
      <c r="F127" s="61"/>
      <c r="G127" s="61"/>
      <c r="H127" s="61"/>
      <c r="I127" s="61"/>
      <c r="J127" s="61"/>
      <c r="K127" s="61"/>
      <c r="L127" s="61"/>
      <c r="M127" s="61"/>
      <c r="N127" s="61"/>
      <c r="O127" s="61"/>
      <c r="P127" s="61"/>
      <c r="Q127" s="61"/>
      <c r="S127" s="61"/>
      <c r="T127" s="61"/>
      <c r="U127" s="61"/>
    </row>
    <row r="128" spans="1:122">
      <c r="D128" s="61"/>
      <c r="E128" s="61"/>
      <c r="F128" s="61"/>
      <c r="G128" s="61"/>
      <c r="H128" s="61"/>
      <c r="I128" s="61"/>
      <c r="J128" s="61"/>
      <c r="K128" s="61"/>
      <c r="L128" s="61"/>
      <c r="M128" s="61"/>
      <c r="N128" s="61"/>
      <c r="O128" s="61"/>
      <c r="P128" s="61"/>
      <c r="Q128" s="61"/>
      <c r="S128" s="61"/>
      <c r="T128" s="61"/>
      <c r="U128" s="61"/>
    </row>
    <row r="129" spans="1:122">
      <c r="D129" s="61"/>
      <c r="E129" s="61"/>
      <c r="F129" s="61"/>
      <c r="G129" s="61"/>
      <c r="H129" s="61"/>
      <c r="I129" s="61"/>
      <c r="J129" s="61"/>
      <c r="K129" s="61"/>
      <c r="L129" s="61"/>
      <c r="M129" s="61"/>
      <c r="N129" s="61"/>
      <c r="O129" s="61"/>
      <c r="P129" s="61"/>
      <c r="Q129" s="61"/>
      <c r="S129" s="61"/>
      <c r="T129" s="61"/>
      <c r="U129" s="61"/>
    </row>
    <row r="130" spans="1:122">
      <c r="D130" s="61"/>
      <c r="E130" s="61"/>
      <c r="F130" s="61"/>
      <c r="G130" s="61"/>
      <c r="H130" s="61"/>
      <c r="I130" s="61"/>
      <c r="J130" s="61"/>
      <c r="K130" s="61"/>
      <c r="L130" s="61"/>
      <c r="M130" s="61"/>
      <c r="N130" s="61"/>
      <c r="O130" s="61"/>
      <c r="P130" s="61"/>
      <c r="Q130" s="61"/>
      <c r="S130" s="61"/>
      <c r="T130" s="61"/>
      <c r="U130" s="61"/>
    </row>
    <row r="131" spans="1:122">
      <c r="D131" s="61"/>
      <c r="E131" s="61"/>
      <c r="F131" s="61"/>
      <c r="G131" s="61"/>
      <c r="H131" s="61"/>
      <c r="I131" s="61"/>
      <c r="J131" s="61"/>
      <c r="K131" s="61"/>
      <c r="L131" s="61"/>
      <c r="M131" s="61"/>
      <c r="N131" s="61"/>
      <c r="O131" s="61"/>
      <c r="P131" s="61"/>
      <c r="Q131" s="61"/>
      <c r="S131" s="61"/>
      <c r="T131" s="61"/>
      <c r="U131" s="61"/>
    </row>
    <row r="132" spans="1:122">
      <c r="D132" s="61"/>
      <c r="E132" s="61"/>
      <c r="F132" s="61"/>
      <c r="G132" s="61"/>
      <c r="H132" s="61"/>
      <c r="I132" s="61"/>
      <c r="J132" s="61"/>
      <c r="K132" s="61"/>
      <c r="L132" s="61"/>
      <c r="M132" s="61"/>
      <c r="N132" s="61"/>
      <c r="O132" s="61"/>
      <c r="P132" s="61"/>
      <c r="Q132" s="61"/>
      <c r="S132" s="61"/>
      <c r="T132" s="61"/>
      <c r="U132" s="61"/>
    </row>
    <row r="133" spans="1:122">
      <c r="D133" s="61"/>
      <c r="E133" s="61"/>
      <c r="F133" s="61"/>
      <c r="G133" s="61"/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S133" s="61"/>
      <c r="T133" s="61"/>
      <c r="U133" s="61"/>
    </row>
    <row r="134" spans="1:122">
      <c r="D134" s="61"/>
      <c r="E134" s="61"/>
      <c r="F134" s="61"/>
      <c r="G134" s="61"/>
      <c r="H134" s="61"/>
      <c r="I134" s="61"/>
      <c r="J134" s="61"/>
      <c r="K134" s="61"/>
      <c r="L134" s="61"/>
      <c r="M134" s="61"/>
      <c r="N134" s="61"/>
      <c r="O134" s="61"/>
      <c r="P134" s="61"/>
      <c r="Q134" s="61"/>
      <c r="S134" s="61"/>
      <c r="T134" s="61"/>
      <c r="U134" s="61"/>
    </row>
    <row r="135" spans="1:122">
      <c r="D135" s="61"/>
      <c r="E135" s="61"/>
      <c r="F135" s="61"/>
      <c r="G135" s="61"/>
      <c r="H135" s="61"/>
      <c r="I135" s="61"/>
      <c r="J135" s="61"/>
      <c r="K135" s="61"/>
      <c r="L135" s="61"/>
      <c r="M135" s="61"/>
      <c r="N135" s="61"/>
      <c r="O135" s="61"/>
      <c r="P135" s="61"/>
      <c r="Q135" s="61"/>
      <c r="S135" s="61"/>
      <c r="T135" s="61"/>
      <c r="U135" s="61"/>
    </row>
    <row r="136" spans="1:122">
      <c r="D136" s="61"/>
      <c r="E136" s="61"/>
      <c r="F136" s="61"/>
      <c r="G136" s="61"/>
      <c r="H136" s="61"/>
      <c r="I136" s="61"/>
      <c r="J136" s="61"/>
      <c r="K136" s="61"/>
      <c r="L136" s="61"/>
      <c r="M136" s="61"/>
      <c r="N136" s="61"/>
      <c r="O136" s="61"/>
      <c r="P136" s="61"/>
      <c r="Q136" s="61"/>
      <c r="S136" s="61"/>
      <c r="T136" s="61"/>
      <c r="U136" s="61"/>
    </row>
    <row r="137" spans="1:122">
      <c r="D137" s="61"/>
      <c r="E137" s="61"/>
      <c r="F137" s="61"/>
      <c r="G137" s="61"/>
      <c r="H137" s="61"/>
      <c r="I137" s="61"/>
      <c r="J137" s="61"/>
      <c r="K137" s="61"/>
      <c r="L137" s="61"/>
      <c r="M137" s="61"/>
      <c r="N137" s="61"/>
      <c r="O137" s="61"/>
      <c r="P137" s="61"/>
      <c r="Q137" s="61"/>
      <c r="S137" s="61"/>
      <c r="T137" s="61"/>
      <c r="U137" s="61"/>
    </row>
    <row r="138" spans="1:122">
      <c r="D138" s="61"/>
      <c r="E138" s="61"/>
      <c r="F138" s="61"/>
      <c r="G138" s="61"/>
      <c r="H138" s="61"/>
      <c r="I138" s="61"/>
      <c r="J138" s="61"/>
      <c r="K138" s="61"/>
      <c r="L138" s="61"/>
      <c r="M138" s="61"/>
      <c r="N138" s="61"/>
      <c r="O138" s="61"/>
      <c r="P138" s="61"/>
      <c r="Q138" s="61"/>
      <c r="S138" s="61"/>
      <c r="T138" s="61"/>
      <c r="U138" s="61"/>
    </row>
    <row r="139" spans="1:122">
      <c r="D139" s="61"/>
      <c r="E139" s="61"/>
      <c r="F139" s="61"/>
      <c r="G139" s="61"/>
      <c r="H139" s="61"/>
      <c r="I139" s="61"/>
      <c r="J139" s="61"/>
      <c r="K139" s="61"/>
      <c r="L139" s="61"/>
      <c r="M139" s="61"/>
      <c r="N139" s="61"/>
      <c r="O139" s="61"/>
      <c r="P139" s="61"/>
      <c r="Q139" s="61"/>
      <c r="S139" s="61"/>
      <c r="T139" s="61"/>
      <c r="U139" s="61"/>
    </row>
    <row r="140" spans="1:122">
      <c r="D140" s="61"/>
      <c r="E140" s="61"/>
      <c r="F140" s="61"/>
      <c r="G140" s="61"/>
      <c r="H140" s="61"/>
      <c r="I140" s="61"/>
      <c r="J140" s="61"/>
      <c r="K140" s="61"/>
      <c r="L140" s="61"/>
      <c r="M140" s="61"/>
      <c r="N140" s="61"/>
      <c r="O140" s="61"/>
      <c r="P140" s="61"/>
      <c r="Q140" s="61"/>
      <c r="S140" s="61"/>
      <c r="T140" s="61"/>
      <c r="U140" s="61"/>
    </row>
    <row r="141" spans="1:122">
      <c r="D141" s="61"/>
      <c r="E141" s="61"/>
      <c r="F141" s="61"/>
      <c r="G141" s="61"/>
      <c r="H141" s="61"/>
      <c r="I141" s="61"/>
      <c r="J141" s="61"/>
      <c r="K141" s="61"/>
      <c r="L141" s="61"/>
      <c r="M141" s="61"/>
      <c r="N141" s="61"/>
      <c r="O141" s="61"/>
      <c r="P141" s="61"/>
      <c r="Q141" s="61"/>
      <c r="S141" s="61"/>
      <c r="T141" s="61"/>
      <c r="U141" s="61"/>
    </row>
    <row r="142" spans="1:122">
      <c r="D142" s="61"/>
      <c r="E142" s="61"/>
      <c r="F142" s="61"/>
      <c r="G142" s="61"/>
      <c r="H142" s="61"/>
      <c r="I142" s="61"/>
      <c r="J142" s="61"/>
      <c r="K142" s="61"/>
      <c r="L142" s="61"/>
      <c r="M142" s="61"/>
      <c r="N142" s="61"/>
      <c r="O142" s="61"/>
      <c r="P142" s="61"/>
      <c r="Q142" s="61"/>
      <c r="S142" s="61"/>
      <c r="T142" s="61"/>
      <c r="U142" s="61"/>
    </row>
    <row r="143" spans="1:122">
      <c r="D143" s="61"/>
      <c r="E143" s="61"/>
      <c r="F143" s="61"/>
      <c r="G143" s="61"/>
      <c r="H143" s="61"/>
      <c r="I143" s="61"/>
      <c r="J143" s="61"/>
      <c r="K143" s="61"/>
      <c r="L143" s="61"/>
      <c r="M143" s="61"/>
      <c r="N143" s="61"/>
      <c r="O143" s="61"/>
      <c r="P143" s="61"/>
      <c r="Q143" s="61"/>
      <c r="S143" s="61"/>
      <c r="T143" s="61"/>
      <c r="U143" s="61"/>
    </row>
    <row r="144" spans="1:122">
      <c r="D144" s="61"/>
      <c r="E144" s="61"/>
      <c r="F144" s="61"/>
      <c r="G144" s="61"/>
      <c r="H144" s="61"/>
      <c r="I144" s="61"/>
      <c r="J144" s="61"/>
      <c r="K144" s="61"/>
      <c r="L144" s="61"/>
      <c r="M144" s="61"/>
      <c r="N144" s="61"/>
      <c r="O144" s="61"/>
      <c r="P144" s="61"/>
      <c r="Q144" s="61"/>
      <c r="S144" s="61"/>
      <c r="T144" s="61"/>
      <c r="U144" s="61"/>
    </row>
    <row r="145" spans="1:122">
      <c r="D145" s="61"/>
      <c r="E145" s="61"/>
      <c r="F145" s="61"/>
      <c r="G145" s="61"/>
      <c r="H145" s="61"/>
      <c r="I145" s="61"/>
      <c r="J145" s="61"/>
      <c r="K145" s="61"/>
      <c r="L145" s="61"/>
      <c r="M145" s="61"/>
      <c r="N145" s="61"/>
      <c r="O145" s="61"/>
      <c r="P145" s="61"/>
      <c r="Q145" s="61"/>
      <c r="S145" s="61"/>
      <c r="T145" s="61"/>
      <c r="U145" s="61"/>
    </row>
    <row r="146" spans="1:122">
      <c r="D146" s="61"/>
      <c r="E146" s="61"/>
      <c r="F146" s="61"/>
      <c r="G146" s="61"/>
      <c r="H146" s="61"/>
      <c r="I146" s="61"/>
      <c r="J146" s="61"/>
      <c r="K146" s="61"/>
      <c r="L146" s="61"/>
      <c r="M146" s="61"/>
      <c r="N146" s="61"/>
      <c r="O146" s="61"/>
      <c r="P146" s="61"/>
      <c r="Q146" s="61"/>
      <c r="S146" s="61"/>
      <c r="T146" s="61"/>
      <c r="U146" s="61"/>
    </row>
    <row r="147" spans="1:122">
      <c r="D147" s="61"/>
      <c r="E147" s="61"/>
      <c r="F147" s="61"/>
      <c r="G147" s="61"/>
      <c r="H147" s="61"/>
      <c r="I147" s="61"/>
      <c r="J147" s="61"/>
      <c r="K147" s="61"/>
      <c r="L147" s="61"/>
      <c r="M147" s="61"/>
      <c r="N147" s="61"/>
      <c r="O147" s="61"/>
      <c r="P147" s="61"/>
      <c r="Q147" s="61"/>
      <c r="S147" s="61"/>
      <c r="T147" s="61"/>
      <c r="U147" s="61"/>
    </row>
    <row r="148" spans="1:122">
      <c r="D148" s="61"/>
      <c r="E148" s="61"/>
      <c r="F148" s="61"/>
      <c r="G148" s="61"/>
      <c r="H148" s="61"/>
      <c r="I148" s="61"/>
      <c r="J148" s="61"/>
      <c r="K148" s="61"/>
      <c r="L148" s="61"/>
      <c r="M148" s="61"/>
      <c r="N148" s="61"/>
      <c r="O148" s="61"/>
      <c r="P148" s="61"/>
      <c r="Q148" s="61"/>
      <c r="S148" s="61"/>
      <c r="T148" s="61"/>
      <c r="U148" s="61"/>
    </row>
    <row r="149" spans="1:122">
      <c r="D149" s="61"/>
      <c r="E149" s="61"/>
      <c r="F149" s="61"/>
      <c r="G149" s="61"/>
      <c r="H149" s="61"/>
      <c r="I149" s="61"/>
      <c r="J149" s="61"/>
      <c r="K149" s="61"/>
      <c r="L149" s="61"/>
      <c r="M149" s="61"/>
      <c r="N149" s="61"/>
      <c r="O149" s="61"/>
      <c r="P149" s="61"/>
      <c r="Q149" s="61"/>
      <c r="S149" s="61"/>
      <c r="T149" s="61"/>
      <c r="U149" s="61"/>
    </row>
    <row r="150" spans="1:122">
      <c r="D150" s="61"/>
      <c r="E150" s="61"/>
      <c r="F150" s="61"/>
      <c r="G150" s="61"/>
      <c r="H150" s="61"/>
      <c r="I150" s="61"/>
      <c r="J150" s="61"/>
      <c r="K150" s="61"/>
      <c r="L150" s="61"/>
      <c r="M150" s="61"/>
      <c r="N150" s="61"/>
      <c r="O150" s="61"/>
      <c r="P150" s="61"/>
      <c r="Q150" s="61"/>
      <c r="S150" s="61"/>
      <c r="T150" s="61"/>
      <c r="U150" s="61"/>
    </row>
    <row r="151" spans="1:122">
      <c r="D151" s="61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61"/>
      <c r="P151" s="61"/>
      <c r="Q151" s="61"/>
      <c r="S151" s="61"/>
      <c r="T151" s="61"/>
      <c r="U151" s="61"/>
    </row>
    <row r="152" spans="1:122">
      <c r="D152" s="61"/>
      <c r="E152" s="61"/>
      <c r="F152" s="61"/>
      <c r="G152" s="61"/>
      <c r="H152" s="61"/>
      <c r="I152" s="61"/>
      <c r="J152" s="61"/>
      <c r="K152" s="61"/>
      <c r="L152" s="61"/>
      <c r="M152" s="61"/>
      <c r="N152" s="61"/>
      <c r="O152" s="61"/>
      <c r="P152" s="61"/>
      <c r="Q152" s="61"/>
      <c r="S152" s="61"/>
      <c r="T152" s="61"/>
      <c r="U152" s="61"/>
    </row>
    <row r="153" spans="1:122">
      <c r="D153" s="61"/>
      <c r="E153" s="61"/>
      <c r="F153" s="61"/>
      <c r="G153" s="61"/>
      <c r="H153" s="61"/>
      <c r="I153" s="61"/>
      <c r="J153" s="61"/>
      <c r="K153" s="61"/>
      <c r="L153" s="61"/>
      <c r="M153" s="61"/>
      <c r="N153" s="61"/>
      <c r="O153" s="61"/>
      <c r="P153" s="61"/>
      <c r="Q153" s="61"/>
      <c r="S153" s="61"/>
      <c r="T153" s="61"/>
      <c r="U153" s="61"/>
    </row>
    <row r="154" spans="1:122">
      <c r="D154" s="61"/>
      <c r="E154" s="61"/>
      <c r="F154" s="61"/>
      <c r="G154" s="61"/>
      <c r="H154" s="61"/>
      <c r="I154" s="61"/>
      <c r="J154" s="61"/>
      <c r="K154" s="61"/>
      <c r="L154" s="61"/>
      <c r="M154" s="61"/>
      <c r="N154" s="61"/>
      <c r="O154" s="61"/>
      <c r="P154" s="61"/>
      <c r="Q154" s="61"/>
      <c r="S154" s="61"/>
      <c r="T154" s="61"/>
      <c r="U154" s="61"/>
    </row>
    <row r="155" spans="1:122">
      <c r="D155" s="61"/>
      <c r="E155" s="61"/>
      <c r="F155" s="61"/>
      <c r="G155" s="61"/>
      <c r="H155" s="61"/>
      <c r="I155" s="61"/>
      <c r="J155" s="61"/>
      <c r="K155" s="61"/>
      <c r="L155" s="61"/>
      <c r="M155" s="61"/>
      <c r="N155" s="61"/>
      <c r="O155" s="61"/>
      <c r="P155" s="61"/>
      <c r="Q155" s="61"/>
      <c r="S155" s="61"/>
      <c r="T155" s="61"/>
      <c r="U155" s="61"/>
    </row>
    <row r="156" spans="1:122">
      <c r="D156" s="61"/>
      <c r="E156" s="61"/>
      <c r="F156" s="61"/>
      <c r="G156" s="61"/>
      <c r="H156" s="61"/>
      <c r="I156" s="61"/>
      <c r="J156" s="61"/>
      <c r="K156" s="61"/>
      <c r="L156" s="61"/>
      <c r="M156" s="61"/>
      <c r="N156" s="61"/>
      <c r="O156" s="61"/>
      <c r="P156" s="61"/>
      <c r="Q156" s="61"/>
      <c r="S156" s="61"/>
      <c r="T156" s="61"/>
      <c r="U156" s="61"/>
    </row>
    <row r="157" spans="1:122">
      <c r="D157" s="61"/>
      <c r="E157" s="61"/>
      <c r="F157" s="61"/>
      <c r="G157" s="61"/>
      <c r="H157" s="61"/>
      <c r="I157" s="61"/>
      <c r="J157" s="61"/>
      <c r="K157" s="61"/>
      <c r="L157" s="61"/>
      <c r="M157" s="61"/>
      <c r="N157" s="61"/>
      <c r="O157" s="61"/>
      <c r="P157" s="61"/>
      <c r="Q157" s="61"/>
      <c r="S157" s="61"/>
      <c r="T157" s="61"/>
      <c r="U157" s="61"/>
    </row>
    <row r="158" spans="1:122">
      <c r="D158" s="61"/>
      <c r="E158" s="61"/>
      <c r="F158" s="61"/>
      <c r="G158" s="61"/>
      <c r="H158" s="61"/>
      <c r="I158" s="61"/>
      <c r="J158" s="61"/>
      <c r="K158" s="61"/>
      <c r="L158" s="61"/>
      <c r="M158" s="61"/>
      <c r="N158" s="61"/>
      <c r="O158" s="61"/>
      <c r="P158" s="61"/>
      <c r="Q158" s="61"/>
      <c r="S158" s="61"/>
      <c r="T158" s="61"/>
      <c r="U158" s="61"/>
    </row>
    <row r="159" spans="1:122">
      <c r="D159" s="61"/>
      <c r="E159" s="61"/>
      <c r="F159" s="61"/>
      <c r="G159" s="61"/>
      <c r="H159" s="61"/>
      <c r="I159" s="61"/>
      <c r="J159" s="61"/>
      <c r="K159" s="61"/>
      <c r="L159" s="61"/>
      <c r="M159" s="61"/>
      <c r="N159" s="61"/>
      <c r="O159" s="61"/>
      <c r="P159" s="61"/>
      <c r="Q159" s="61"/>
      <c r="S159" s="61"/>
      <c r="T159" s="61"/>
      <c r="U159" s="61"/>
    </row>
    <row r="160" spans="1:122">
      <c r="D160" s="61"/>
      <c r="E160" s="61"/>
      <c r="F160" s="61"/>
      <c r="G160" s="61"/>
      <c r="H160" s="61"/>
      <c r="I160" s="61"/>
      <c r="J160" s="61"/>
      <c r="K160" s="61"/>
      <c r="L160" s="61"/>
      <c r="M160" s="61"/>
      <c r="N160" s="61"/>
      <c r="O160" s="61"/>
      <c r="P160" s="61"/>
      <c r="Q160" s="61"/>
      <c r="S160" s="61"/>
      <c r="T160" s="61"/>
      <c r="U160" s="61"/>
    </row>
    <row r="161" spans="1:122">
      <c r="D161" s="61"/>
      <c r="E161" s="61"/>
      <c r="F161" s="61"/>
      <c r="G161" s="61"/>
      <c r="H161" s="61"/>
      <c r="I161" s="61"/>
      <c r="J161" s="61"/>
      <c r="K161" s="61"/>
      <c r="L161" s="61"/>
      <c r="M161" s="61"/>
      <c r="N161" s="61"/>
      <c r="O161" s="61"/>
      <c r="P161" s="61"/>
      <c r="Q161" s="61"/>
      <c r="S161" s="61"/>
      <c r="T161" s="61"/>
      <c r="U161" s="61"/>
    </row>
    <row r="162" spans="1:122">
      <c r="D162" s="61"/>
      <c r="E162" s="61"/>
      <c r="F162" s="61"/>
      <c r="G162" s="61"/>
      <c r="H162" s="61"/>
      <c r="I162" s="61"/>
      <c r="J162" s="61"/>
      <c r="K162" s="61"/>
      <c r="L162" s="61"/>
      <c r="M162" s="61"/>
      <c r="N162" s="61"/>
      <c r="O162" s="61"/>
      <c r="P162" s="61"/>
      <c r="Q162" s="61"/>
      <c r="S162" s="61"/>
      <c r="T162" s="61"/>
      <c r="U162" s="61"/>
    </row>
    <row r="163" spans="1:122">
      <c r="D163" s="61"/>
      <c r="E163" s="61"/>
      <c r="F163" s="61"/>
      <c r="G163" s="61"/>
      <c r="H163" s="61"/>
      <c r="I163" s="61"/>
      <c r="J163" s="61"/>
      <c r="K163" s="61"/>
      <c r="L163" s="61"/>
      <c r="M163" s="61"/>
      <c r="N163" s="61"/>
      <c r="O163" s="61"/>
      <c r="P163" s="61"/>
      <c r="Q163" s="61"/>
      <c r="S163" s="61"/>
      <c r="T163" s="61"/>
      <c r="U163" s="61"/>
    </row>
    <row r="164" spans="1:122">
      <c r="D164" s="61"/>
      <c r="E164" s="61"/>
      <c r="F164" s="61"/>
      <c r="G164" s="61"/>
      <c r="H164" s="61"/>
      <c r="I164" s="61"/>
      <c r="J164" s="61"/>
      <c r="K164" s="61"/>
      <c r="L164" s="61"/>
      <c r="M164" s="61"/>
      <c r="N164" s="61"/>
      <c r="O164" s="61"/>
      <c r="P164" s="61"/>
      <c r="Q164" s="61"/>
      <c r="S164" s="61"/>
      <c r="T164" s="61"/>
      <c r="U164" s="61"/>
    </row>
    <row r="165" spans="1:122">
      <c r="D165" s="61"/>
      <c r="E165" s="61"/>
      <c r="F165" s="61"/>
      <c r="G165" s="61"/>
      <c r="H165" s="61"/>
      <c r="I165" s="61"/>
      <c r="J165" s="61"/>
      <c r="K165" s="61"/>
      <c r="L165" s="61"/>
      <c r="M165" s="61"/>
      <c r="N165" s="61"/>
      <c r="O165" s="61"/>
      <c r="P165" s="61"/>
      <c r="Q165" s="61"/>
      <c r="S165" s="61"/>
      <c r="T165" s="61"/>
      <c r="U165" s="61"/>
    </row>
    <row r="166" spans="1:122">
      <c r="D166" s="61"/>
      <c r="E166" s="61"/>
      <c r="F166" s="61"/>
      <c r="G166" s="61"/>
      <c r="H166" s="61"/>
      <c r="I166" s="61"/>
      <c r="J166" s="61"/>
      <c r="K166" s="61"/>
      <c r="L166" s="61"/>
      <c r="M166" s="61"/>
      <c r="N166" s="61"/>
      <c r="O166" s="61"/>
      <c r="P166" s="61"/>
      <c r="Q166" s="61"/>
      <c r="S166" s="61"/>
      <c r="T166" s="61"/>
      <c r="U166" s="61"/>
    </row>
    <row r="167" spans="1:122">
      <c r="D167" s="61"/>
      <c r="E167" s="61"/>
      <c r="F167" s="61"/>
      <c r="G167" s="61"/>
      <c r="H167" s="61"/>
      <c r="I167" s="61"/>
      <c r="J167" s="61"/>
      <c r="K167" s="61"/>
      <c r="L167" s="61"/>
      <c r="M167" s="61"/>
      <c r="N167" s="61"/>
      <c r="O167" s="61"/>
      <c r="P167" s="61"/>
      <c r="Q167" s="61"/>
      <c r="S167" s="61"/>
      <c r="T167" s="61"/>
      <c r="U167" s="61"/>
    </row>
    <row r="168" spans="1:122">
      <c r="D168" s="61"/>
      <c r="E168" s="61"/>
      <c r="F168" s="61"/>
      <c r="G168" s="61"/>
      <c r="H168" s="61"/>
      <c r="I168" s="61"/>
      <c r="J168" s="61"/>
      <c r="K168" s="61"/>
      <c r="L168" s="61"/>
      <c r="M168" s="61"/>
      <c r="N168" s="61"/>
      <c r="O168" s="61"/>
      <c r="P168" s="61"/>
      <c r="Q168" s="61"/>
      <c r="S168" s="61"/>
      <c r="T168" s="61"/>
      <c r="U168" s="61"/>
    </row>
    <row r="169" spans="1:122">
      <c r="D169" s="61"/>
      <c r="E169" s="61"/>
      <c r="F169" s="61"/>
      <c r="G169" s="61"/>
      <c r="H169" s="61"/>
      <c r="I169" s="61"/>
      <c r="J169" s="61"/>
      <c r="K169" s="61"/>
      <c r="L169" s="61"/>
      <c r="M169" s="61"/>
      <c r="N169" s="61"/>
      <c r="O169" s="61"/>
      <c r="P169" s="61"/>
      <c r="Q169" s="61"/>
      <c r="S169" s="61"/>
      <c r="T169" s="61"/>
      <c r="U169" s="61"/>
    </row>
    <row r="170" spans="1:122">
      <c r="D170" s="61"/>
      <c r="E170" s="61"/>
      <c r="F170" s="61"/>
      <c r="G170" s="61"/>
      <c r="H170" s="61"/>
      <c r="I170" s="61"/>
      <c r="J170" s="61"/>
      <c r="K170" s="61"/>
      <c r="L170" s="61"/>
      <c r="M170" s="61"/>
      <c r="N170" s="61"/>
      <c r="O170" s="61"/>
      <c r="P170" s="61"/>
      <c r="Q170" s="61"/>
      <c r="S170" s="61"/>
      <c r="T170" s="61"/>
      <c r="U170" s="61"/>
    </row>
    <row r="171" spans="1:122">
      <c r="D171" s="61"/>
      <c r="E171" s="61"/>
      <c r="F171" s="61"/>
      <c r="G171" s="61"/>
      <c r="H171" s="61"/>
      <c r="I171" s="61"/>
      <c r="J171" s="61"/>
      <c r="K171" s="61"/>
      <c r="L171" s="61"/>
      <c r="M171" s="61"/>
      <c r="N171" s="61"/>
      <c r="O171" s="61"/>
      <c r="P171" s="61"/>
      <c r="Q171" s="61"/>
      <c r="S171" s="61"/>
      <c r="T171" s="61"/>
      <c r="U171" s="61"/>
    </row>
    <row r="172" spans="1:122">
      <c r="D172" s="61"/>
      <c r="E172" s="61"/>
      <c r="F172" s="61"/>
      <c r="G172" s="61"/>
      <c r="H172" s="61"/>
      <c r="I172" s="61"/>
      <c r="J172" s="61"/>
      <c r="K172" s="61"/>
      <c r="L172" s="61"/>
      <c r="M172" s="61"/>
      <c r="N172" s="61"/>
      <c r="O172" s="61"/>
      <c r="P172" s="61"/>
      <c r="Q172" s="61"/>
      <c r="S172" s="61"/>
      <c r="T172" s="61"/>
      <c r="U172" s="61"/>
    </row>
    <row r="173" spans="1:122">
      <c r="D173" s="61"/>
      <c r="E173" s="61"/>
      <c r="F173" s="61"/>
      <c r="G173" s="61"/>
      <c r="H173" s="61"/>
      <c r="I173" s="61"/>
      <c r="J173" s="61"/>
      <c r="K173" s="61"/>
      <c r="L173" s="61"/>
      <c r="M173" s="61"/>
      <c r="N173" s="61"/>
      <c r="O173" s="61"/>
      <c r="P173" s="61"/>
      <c r="Q173" s="61"/>
      <c r="S173" s="61"/>
      <c r="T173" s="61"/>
      <c r="U173" s="61"/>
    </row>
    <row r="174" spans="1:122">
      <c r="D174" s="61"/>
      <c r="E174" s="61"/>
      <c r="F174" s="61"/>
      <c r="G174" s="61"/>
      <c r="H174" s="61"/>
      <c r="I174" s="61"/>
      <c r="J174" s="61"/>
      <c r="K174" s="61"/>
      <c r="L174" s="61"/>
      <c r="M174" s="61"/>
      <c r="N174" s="61"/>
      <c r="O174" s="61"/>
      <c r="P174" s="61"/>
      <c r="Q174" s="61"/>
      <c r="S174" s="61"/>
      <c r="T174" s="61"/>
      <c r="U174" s="61"/>
    </row>
    <row r="175" spans="1:122">
      <c r="D175" s="61"/>
      <c r="E175" s="61"/>
      <c r="F175" s="61"/>
      <c r="G175" s="61"/>
      <c r="H175" s="61"/>
      <c r="I175" s="61"/>
      <c r="J175" s="61"/>
      <c r="K175" s="61"/>
      <c r="L175" s="61"/>
      <c r="M175" s="61"/>
      <c r="N175" s="61"/>
      <c r="O175" s="61"/>
      <c r="P175" s="61"/>
      <c r="Q175" s="61"/>
      <c r="S175" s="61"/>
      <c r="T175" s="61"/>
      <c r="U175" s="61"/>
    </row>
    <row r="176" spans="1:122">
      <c r="D176" s="61"/>
      <c r="E176" s="61"/>
      <c r="F176" s="61"/>
      <c r="G176" s="61"/>
      <c r="H176" s="61"/>
      <c r="I176" s="61"/>
      <c r="J176" s="61"/>
      <c r="K176" s="61"/>
      <c r="L176" s="61"/>
      <c r="M176" s="61"/>
      <c r="N176" s="61"/>
      <c r="O176" s="61"/>
      <c r="P176" s="61"/>
      <c r="Q176" s="61"/>
      <c r="S176" s="61"/>
      <c r="T176" s="61"/>
      <c r="U176" s="61"/>
    </row>
    <row r="177" spans="1:122">
      <c r="D177" s="61"/>
      <c r="E177" s="61"/>
      <c r="F177" s="61"/>
      <c r="G177" s="61"/>
      <c r="H177" s="61"/>
      <c r="I177" s="61"/>
      <c r="J177" s="61"/>
      <c r="K177" s="61"/>
      <c r="L177" s="61"/>
      <c r="M177" s="61"/>
      <c r="N177" s="61"/>
      <c r="O177" s="61"/>
      <c r="P177" s="61"/>
      <c r="Q177" s="61"/>
      <c r="S177" s="61"/>
      <c r="T177" s="61"/>
      <c r="U177" s="61"/>
    </row>
    <row r="178" spans="1:122">
      <c r="D178" s="61"/>
      <c r="E178" s="61"/>
      <c r="F178" s="61"/>
      <c r="G178" s="61"/>
      <c r="H178" s="61"/>
      <c r="I178" s="61"/>
      <c r="J178" s="61"/>
      <c r="K178" s="61"/>
      <c r="L178" s="61"/>
      <c r="M178" s="61"/>
      <c r="N178" s="61"/>
      <c r="O178" s="61"/>
      <c r="P178" s="61"/>
      <c r="Q178" s="61"/>
      <c r="S178" s="61"/>
      <c r="T178" s="61"/>
      <c r="U178" s="61"/>
    </row>
    <row r="179" spans="1:122">
      <c r="D179" s="61"/>
      <c r="E179" s="61"/>
      <c r="F179" s="61"/>
      <c r="G179" s="61"/>
      <c r="H179" s="61"/>
      <c r="I179" s="61"/>
      <c r="J179" s="61"/>
      <c r="K179" s="61"/>
      <c r="L179" s="61"/>
      <c r="M179" s="61"/>
      <c r="N179" s="61"/>
      <c r="O179" s="61"/>
      <c r="P179" s="61"/>
      <c r="Q179" s="61"/>
      <c r="S179" s="61"/>
      <c r="T179" s="61"/>
      <c r="U179" s="61"/>
    </row>
    <row r="180" spans="1:122">
      <c r="D180" s="61"/>
      <c r="E180" s="61"/>
      <c r="F180" s="61"/>
      <c r="G180" s="61"/>
      <c r="H180" s="61"/>
      <c r="I180" s="61"/>
      <c r="J180" s="61"/>
      <c r="K180" s="61"/>
      <c r="L180" s="61"/>
      <c r="M180" s="61"/>
      <c r="N180" s="61"/>
      <c r="O180" s="61"/>
      <c r="P180" s="61"/>
      <c r="Q180" s="61"/>
      <c r="S180" s="61"/>
      <c r="T180" s="61"/>
      <c r="U180" s="61"/>
    </row>
    <row r="181" spans="1:122">
      <c r="D181" s="61"/>
      <c r="E181" s="61"/>
      <c r="F181" s="61"/>
      <c r="G181" s="61"/>
      <c r="H181" s="61"/>
      <c r="I181" s="61"/>
      <c r="J181" s="61"/>
      <c r="K181" s="61"/>
      <c r="L181" s="61"/>
      <c r="M181" s="61"/>
      <c r="N181" s="61"/>
      <c r="O181" s="61"/>
      <c r="P181" s="61"/>
      <c r="Q181" s="61"/>
      <c r="S181" s="61"/>
      <c r="T181" s="61"/>
      <c r="U181" s="61"/>
    </row>
    <row r="182" spans="1:122">
      <c r="D182" s="61"/>
      <c r="E182" s="61"/>
      <c r="F182" s="61"/>
      <c r="G182" s="61"/>
      <c r="H182" s="61"/>
      <c r="I182" s="61"/>
      <c r="J182" s="61"/>
      <c r="K182" s="61"/>
      <c r="L182" s="61"/>
      <c r="M182" s="61"/>
      <c r="N182" s="61"/>
      <c r="O182" s="61"/>
      <c r="P182" s="61"/>
      <c r="Q182" s="61"/>
      <c r="S182" s="61"/>
      <c r="T182" s="61"/>
      <c r="U182" s="61"/>
    </row>
    <row r="183" spans="1:122">
      <c r="D183" s="61"/>
      <c r="E183" s="61"/>
      <c r="F183" s="61"/>
      <c r="G183" s="61"/>
      <c r="H183" s="61"/>
      <c r="I183" s="61"/>
      <c r="J183" s="61"/>
      <c r="K183" s="61"/>
      <c r="L183" s="61"/>
      <c r="M183" s="61"/>
      <c r="N183" s="61"/>
      <c r="O183" s="61"/>
      <c r="P183" s="61"/>
      <c r="Q183" s="61"/>
      <c r="S183" s="61"/>
      <c r="T183" s="61"/>
      <c r="U183" s="61"/>
    </row>
    <row r="184" spans="1:122">
      <c r="D184" s="61"/>
      <c r="E184" s="61"/>
      <c r="F184" s="61"/>
      <c r="G184" s="61"/>
      <c r="H184" s="61"/>
      <c r="I184" s="61"/>
      <c r="J184" s="61"/>
      <c r="K184" s="61"/>
      <c r="L184" s="61"/>
      <c r="M184" s="61"/>
      <c r="N184" s="61"/>
      <c r="O184" s="61"/>
      <c r="P184" s="61"/>
      <c r="Q184" s="61"/>
      <c r="S184" s="61"/>
      <c r="T184" s="61"/>
      <c r="U184" s="61"/>
    </row>
    <row r="185" spans="1:122">
      <c r="D185" s="61"/>
      <c r="E185" s="61"/>
      <c r="F185" s="61"/>
      <c r="G185" s="61"/>
      <c r="H185" s="61"/>
      <c r="I185" s="61"/>
      <c r="J185" s="61"/>
      <c r="K185" s="61"/>
      <c r="L185" s="61"/>
      <c r="M185" s="61"/>
      <c r="N185" s="61"/>
      <c r="O185" s="61"/>
      <c r="P185" s="61"/>
      <c r="Q185" s="61"/>
      <c r="S185" s="61"/>
      <c r="T185" s="61"/>
      <c r="U185" s="61"/>
    </row>
    <row r="186" spans="1:122">
      <c r="D186" s="61"/>
      <c r="E186" s="61"/>
      <c r="F186" s="61"/>
      <c r="G186" s="61"/>
      <c r="H186" s="61"/>
      <c r="I186" s="61"/>
      <c r="J186" s="61"/>
      <c r="K186" s="61"/>
      <c r="L186" s="61"/>
      <c r="M186" s="61"/>
      <c r="N186" s="61"/>
      <c r="O186" s="61"/>
      <c r="P186" s="61"/>
      <c r="Q186" s="61"/>
      <c r="S186" s="61"/>
      <c r="T186" s="61"/>
      <c r="U186" s="61"/>
    </row>
    <row r="187" spans="1:122">
      <c r="D187" s="61"/>
      <c r="E187" s="61"/>
      <c r="F187" s="61"/>
      <c r="G187" s="61"/>
      <c r="H187" s="61"/>
      <c r="I187" s="61"/>
      <c r="J187" s="61"/>
      <c r="K187" s="61"/>
      <c r="L187" s="61"/>
      <c r="M187" s="61"/>
      <c r="N187" s="61"/>
      <c r="O187" s="61"/>
      <c r="P187" s="61"/>
      <c r="Q187" s="61"/>
      <c r="S187" s="61"/>
      <c r="T187" s="61"/>
      <c r="U187" s="61"/>
    </row>
    <row r="188" spans="1:122">
      <c r="D188" s="61"/>
      <c r="E188" s="61"/>
      <c r="F188" s="61"/>
      <c r="G188" s="61"/>
      <c r="H188" s="61"/>
      <c r="I188" s="61"/>
      <c r="J188" s="61"/>
      <c r="K188" s="61"/>
      <c r="L188" s="61"/>
      <c r="M188" s="61"/>
      <c r="N188" s="61"/>
      <c r="O188" s="61"/>
      <c r="P188" s="61"/>
      <c r="Q188" s="61"/>
      <c r="S188" s="61"/>
      <c r="T188" s="61"/>
      <c r="U188" s="61"/>
    </row>
    <row r="189" spans="1:122">
      <c r="D189" s="61"/>
      <c r="E189" s="61"/>
      <c r="F189" s="61"/>
      <c r="G189" s="61"/>
      <c r="H189" s="61"/>
      <c r="I189" s="61"/>
      <c r="J189" s="61"/>
      <c r="K189" s="61"/>
      <c r="L189" s="61"/>
      <c r="M189" s="61"/>
      <c r="N189" s="61"/>
      <c r="O189" s="61"/>
      <c r="P189" s="61"/>
      <c r="Q189" s="61"/>
      <c r="S189" s="61"/>
      <c r="T189" s="61"/>
      <c r="U189" s="61"/>
    </row>
    <row r="190" spans="1:122">
      <c r="D190" s="61"/>
      <c r="E190" s="61"/>
      <c r="F190" s="61"/>
      <c r="G190" s="61"/>
      <c r="H190" s="61"/>
      <c r="I190" s="61"/>
      <c r="J190" s="61"/>
      <c r="K190" s="61"/>
      <c r="L190" s="61"/>
      <c r="M190" s="61"/>
      <c r="N190" s="61"/>
      <c r="O190" s="61"/>
      <c r="P190" s="61"/>
      <c r="Q190" s="61"/>
      <c r="S190" s="61"/>
      <c r="T190" s="61"/>
      <c r="U190" s="61"/>
    </row>
    <row r="191" spans="1:122">
      <c r="D191" s="61"/>
      <c r="E191" s="61"/>
      <c r="F191" s="61"/>
      <c r="G191" s="61"/>
      <c r="H191" s="61"/>
      <c r="I191" s="61"/>
      <c r="J191" s="61"/>
      <c r="K191" s="61"/>
      <c r="L191" s="61"/>
      <c r="M191" s="61"/>
      <c r="N191" s="61"/>
      <c r="O191" s="61"/>
      <c r="P191" s="61"/>
      <c r="Q191" s="61"/>
      <c r="S191" s="61"/>
      <c r="T191" s="61"/>
      <c r="U191" s="61"/>
    </row>
    <row r="192" spans="1:122">
      <c r="D192" s="61"/>
      <c r="E192" s="61"/>
      <c r="F192" s="61"/>
      <c r="G192" s="61"/>
      <c r="H192" s="61"/>
      <c r="I192" s="61"/>
      <c r="J192" s="61"/>
      <c r="K192" s="61"/>
      <c r="L192" s="61"/>
      <c r="M192" s="61"/>
      <c r="N192" s="61"/>
      <c r="O192" s="61"/>
      <c r="P192" s="61"/>
      <c r="Q192" s="61"/>
      <c r="S192" s="61"/>
      <c r="T192" s="61"/>
      <c r="U192" s="61"/>
    </row>
    <row r="193" spans="1:122">
      <c r="D193" s="61"/>
      <c r="E193" s="61"/>
      <c r="F193" s="61"/>
      <c r="G193" s="61"/>
      <c r="H193" s="61"/>
      <c r="I193" s="61"/>
      <c r="J193" s="61"/>
      <c r="K193" s="61"/>
      <c r="L193" s="61"/>
      <c r="M193" s="61"/>
      <c r="N193" s="61"/>
      <c r="O193" s="61"/>
      <c r="P193" s="61"/>
      <c r="Q193" s="61"/>
      <c r="S193" s="61"/>
      <c r="T193" s="61"/>
      <c r="U193" s="61"/>
    </row>
    <row r="194" spans="1:122">
      <c r="D194" s="61"/>
      <c r="E194" s="61"/>
      <c r="F194" s="61"/>
      <c r="G194" s="61"/>
      <c r="H194" s="61"/>
      <c r="I194" s="61"/>
      <c r="J194" s="61"/>
      <c r="K194" s="61"/>
      <c r="L194" s="61"/>
      <c r="M194" s="61"/>
      <c r="N194" s="61"/>
      <c r="O194" s="61"/>
      <c r="P194" s="61"/>
      <c r="Q194" s="61"/>
      <c r="S194" s="61"/>
      <c r="T194" s="61"/>
      <c r="U194" s="61"/>
    </row>
    <row r="195" spans="1:122">
      <c r="D195" s="61"/>
      <c r="E195" s="61"/>
      <c r="F195" s="61"/>
      <c r="G195" s="61"/>
      <c r="H195" s="61"/>
      <c r="I195" s="61"/>
      <c r="J195" s="61"/>
      <c r="K195" s="61"/>
      <c r="L195" s="61"/>
      <c r="M195" s="61"/>
      <c r="N195" s="61"/>
      <c r="O195" s="61"/>
      <c r="P195" s="61"/>
      <c r="Q195" s="61"/>
      <c r="S195" s="61"/>
      <c r="T195" s="61"/>
      <c r="U195" s="61"/>
    </row>
    <row r="196" spans="1:122">
      <c r="D196" s="61"/>
      <c r="E196" s="61"/>
      <c r="F196" s="61"/>
      <c r="G196" s="61"/>
      <c r="H196" s="61"/>
      <c r="I196" s="61"/>
      <c r="J196" s="61"/>
      <c r="K196" s="61"/>
      <c r="L196" s="61"/>
      <c r="M196" s="61"/>
      <c r="N196" s="61"/>
      <c r="O196" s="61"/>
      <c r="P196" s="61"/>
      <c r="Q196" s="61"/>
      <c r="S196" s="61"/>
      <c r="T196" s="61"/>
      <c r="U196" s="61"/>
    </row>
    <row r="197" spans="1:122">
      <c r="D197" s="61"/>
      <c r="E197" s="61"/>
      <c r="F197" s="61"/>
      <c r="G197" s="61"/>
      <c r="H197" s="61"/>
      <c r="I197" s="61"/>
      <c r="J197" s="61"/>
      <c r="K197" s="61"/>
      <c r="L197" s="61"/>
      <c r="M197" s="61"/>
      <c r="N197" s="61"/>
      <c r="O197" s="61"/>
      <c r="P197" s="61"/>
      <c r="Q197" s="61"/>
      <c r="S197" s="61"/>
      <c r="T197" s="61"/>
      <c r="U197" s="61"/>
    </row>
    <row r="198" spans="1:122">
      <c r="D198" s="61"/>
      <c r="E198" s="61"/>
      <c r="F198" s="61"/>
      <c r="G198" s="61"/>
      <c r="H198" s="61"/>
      <c r="I198" s="61"/>
      <c r="J198" s="61"/>
      <c r="K198" s="61"/>
      <c r="L198" s="61"/>
      <c r="M198" s="61"/>
      <c r="N198" s="61"/>
      <c r="O198" s="61"/>
      <c r="P198" s="61"/>
      <c r="Q198" s="61"/>
      <c r="S198" s="61"/>
      <c r="T198" s="61"/>
      <c r="U198" s="61"/>
    </row>
    <row r="199" spans="1:122">
      <c r="D199" s="61"/>
      <c r="E199" s="61"/>
      <c r="F199" s="61"/>
      <c r="G199" s="61"/>
      <c r="H199" s="61"/>
      <c r="I199" s="61"/>
      <c r="J199" s="61"/>
      <c r="K199" s="61"/>
      <c r="L199" s="61"/>
      <c r="M199" s="61"/>
      <c r="N199" s="61"/>
      <c r="O199" s="61"/>
      <c r="P199" s="61"/>
      <c r="Q199" s="61"/>
      <c r="S199" s="61"/>
      <c r="T199" s="61"/>
      <c r="U199" s="61"/>
    </row>
    <row r="200" spans="1:122">
      <c r="D200" s="61"/>
      <c r="E200" s="61"/>
      <c r="F200" s="61"/>
      <c r="G200" s="61"/>
      <c r="H200" s="61"/>
      <c r="I200" s="61"/>
      <c r="J200" s="61"/>
      <c r="K200" s="61"/>
      <c r="L200" s="61"/>
      <c r="M200" s="61"/>
      <c r="N200" s="61"/>
      <c r="O200" s="61"/>
      <c r="P200" s="61"/>
      <c r="Q200" s="61"/>
      <c r="S200" s="61"/>
      <c r="T200" s="61"/>
      <c r="U200" s="61"/>
    </row>
    <row r="201" spans="1:122">
      <c r="D201" s="61"/>
      <c r="E201" s="61"/>
      <c r="F201" s="61"/>
      <c r="G201" s="61"/>
      <c r="H201" s="61"/>
      <c r="I201" s="61"/>
      <c r="J201" s="61"/>
      <c r="K201" s="61"/>
      <c r="L201" s="61"/>
      <c r="M201" s="61"/>
      <c r="N201" s="61"/>
      <c r="O201" s="61"/>
      <c r="P201" s="61"/>
      <c r="Q201" s="61"/>
      <c r="S201" s="61"/>
      <c r="T201" s="61"/>
      <c r="U201" s="61"/>
    </row>
    <row r="202" spans="1:122">
      <c r="D202" s="61"/>
      <c r="E202" s="61"/>
      <c r="F202" s="61"/>
      <c r="G202" s="61"/>
      <c r="H202" s="61"/>
      <c r="I202" s="61"/>
      <c r="J202" s="61"/>
      <c r="K202" s="61"/>
      <c r="L202" s="61"/>
      <c r="M202" s="61"/>
      <c r="N202" s="61"/>
      <c r="O202" s="61"/>
      <c r="P202" s="61"/>
      <c r="Q202" s="61"/>
      <c r="S202" s="61"/>
      <c r="T202" s="61"/>
      <c r="U202" s="61"/>
    </row>
    <row r="203" spans="1:122">
      <c r="D203" s="61"/>
      <c r="E203" s="61"/>
      <c r="F203" s="61"/>
      <c r="G203" s="61"/>
      <c r="H203" s="61"/>
      <c r="I203" s="61"/>
      <c r="J203" s="61"/>
      <c r="K203" s="61"/>
      <c r="L203" s="61"/>
      <c r="M203" s="61"/>
      <c r="N203" s="61"/>
      <c r="O203" s="61"/>
      <c r="P203" s="61"/>
      <c r="Q203" s="61"/>
      <c r="S203" s="61"/>
      <c r="T203" s="61"/>
      <c r="U203" s="61"/>
    </row>
    <row r="204" spans="1:122">
      <c r="D204" s="61"/>
      <c r="E204" s="61"/>
      <c r="F204" s="61"/>
      <c r="G204" s="61"/>
      <c r="H204" s="61"/>
      <c r="I204" s="61"/>
      <c r="J204" s="61"/>
      <c r="K204" s="61"/>
      <c r="L204" s="61"/>
      <c r="M204" s="61"/>
      <c r="N204" s="61"/>
      <c r="O204" s="61"/>
      <c r="P204" s="61"/>
      <c r="Q204" s="61"/>
      <c r="S204" s="61"/>
      <c r="T204" s="61"/>
      <c r="U204" s="61"/>
    </row>
    <row r="205" spans="1:122">
      <c r="D205" s="61"/>
      <c r="E205" s="61"/>
      <c r="F205" s="61"/>
      <c r="G205" s="61"/>
      <c r="H205" s="61"/>
      <c r="I205" s="61"/>
      <c r="J205" s="61"/>
      <c r="K205" s="61"/>
      <c r="L205" s="61"/>
      <c r="M205" s="61"/>
      <c r="N205" s="61"/>
      <c r="O205" s="61"/>
      <c r="P205" s="61"/>
      <c r="Q205" s="61"/>
      <c r="S205" s="61"/>
      <c r="T205" s="61"/>
      <c r="U205" s="61"/>
    </row>
    <row r="206" spans="1:122">
      <c r="D206" s="61"/>
      <c r="E206" s="61"/>
      <c r="F206" s="61"/>
      <c r="G206" s="61"/>
      <c r="H206" s="61"/>
      <c r="I206" s="61"/>
      <c r="J206" s="61"/>
      <c r="K206" s="61"/>
      <c r="L206" s="61"/>
      <c r="M206" s="61"/>
      <c r="N206" s="61"/>
      <c r="O206" s="61"/>
      <c r="P206" s="61"/>
      <c r="Q206" s="61"/>
      <c r="S206" s="61"/>
      <c r="T206" s="61"/>
      <c r="U206" s="61"/>
    </row>
    <row r="207" spans="1:122">
      <c r="D207" s="61"/>
      <c r="E207" s="61"/>
      <c r="F207" s="61"/>
      <c r="G207" s="61"/>
      <c r="H207" s="61"/>
      <c r="I207" s="61"/>
      <c r="J207" s="61"/>
      <c r="K207" s="61"/>
      <c r="L207" s="61"/>
      <c r="M207" s="61"/>
      <c r="N207" s="61"/>
      <c r="O207" s="61"/>
      <c r="P207" s="61"/>
      <c r="Q207" s="61"/>
      <c r="S207" s="61"/>
      <c r="T207" s="61"/>
      <c r="U207" s="61"/>
    </row>
    <row r="208" spans="1:122">
      <c r="D208" s="61"/>
      <c r="E208" s="61"/>
      <c r="F208" s="61"/>
      <c r="G208" s="61"/>
      <c r="H208" s="61"/>
      <c r="I208" s="61"/>
      <c r="J208" s="61"/>
      <c r="K208" s="61"/>
      <c r="L208" s="61"/>
      <c r="M208" s="61"/>
      <c r="N208" s="61"/>
      <c r="O208" s="61"/>
      <c r="P208" s="61"/>
      <c r="Q208" s="61"/>
      <c r="S208" s="61"/>
      <c r="T208" s="61"/>
      <c r="U208" s="61"/>
    </row>
    <row r="209" spans="1:122">
      <c r="D209" s="61"/>
      <c r="E209" s="61"/>
      <c r="F209" s="61"/>
      <c r="G209" s="61"/>
      <c r="H209" s="61"/>
      <c r="I209" s="61"/>
      <c r="J209" s="61"/>
      <c r="K209" s="61"/>
      <c r="L209" s="61"/>
      <c r="M209" s="61"/>
      <c r="N209" s="61"/>
      <c r="O209" s="61"/>
      <c r="P209" s="61"/>
      <c r="Q209" s="61"/>
      <c r="S209" s="61"/>
      <c r="T209" s="61"/>
      <c r="U209" s="61"/>
    </row>
    <row r="210" spans="1:122">
      <c r="D210" s="61"/>
      <c r="E210" s="61"/>
      <c r="F210" s="61"/>
      <c r="G210" s="61"/>
      <c r="H210" s="61"/>
      <c r="I210" s="61"/>
      <c r="J210" s="61"/>
      <c r="K210" s="61"/>
      <c r="L210" s="61"/>
      <c r="M210" s="61"/>
      <c r="N210" s="61"/>
      <c r="O210" s="61"/>
      <c r="P210" s="61"/>
      <c r="Q210" s="61"/>
      <c r="S210" s="61"/>
      <c r="T210" s="61"/>
      <c r="U210" s="61"/>
    </row>
    <row r="211" spans="1:122">
      <c r="D211" s="61"/>
      <c r="E211" s="61"/>
      <c r="F211" s="61"/>
      <c r="G211" s="61"/>
      <c r="H211" s="61"/>
      <c r="I211" s="61"/>
      <c r="J211" s="61"/>
      <c r="K211" s="61"/>
      <c r="L211" s="61"/>
      <c r="M211" s="61"/>
      <c r="N211" s="61"/>
      <c r="O211" s="61"/>
      <c r="P211" s="61"/>
      <c r="Q211" s="61"/>
      <c r="S211" s="61"/>
      <c r="T211" s="61"/>
      <c r="U211" s="61"/>
    </row>
    <row r="212" spans="1:122">
      <c r="D212" s="61"/>
      <c r="E212" s="61"/>
      <c r="F212" s="61"/>
      <c r="G212" s="61"/>
      <c r="H212" s="61"/>
      <c r="I212" s="61"/>
      <c r="J212" s="61"/>
      <c r="K212" s="61"/>
      <c r="L212" s="61"/>
      <c r="M212" s="61"/>
      <c r="N212" s="61"/>
      <c r="O212" s="61"/>
      <c r="P212" s="61"/>
      <c r="Q212" s="61"/>
      <c r="S212" s="61"/>
      <c r="T212" s="61"/>
      <c r="U212" s="61"/>
    </row>
    <row r="213" spans="1:122">
      <c r="D213" s="61"/>
      <c r="E213" s="61"/>
      <c r="F213" s="61"/>
      <c r="G213" s="61"/>
      <c r="H213" s="61"/>
      <c r="I213" s="61"/>
      <c r="J213" s="61"/>
      <c r="K213" s="61"/>
      <c r="L213" s="61"/>
      <c r="M213" s="61"/>
      <c r="N213" s="61"/>
      <c r="O213" s="61"/>
      <c r="P213" s="61"/>
      <c r="Q213" s="61"/>
      <c r="S213" s="61"/>
      <c r="T213" s="61"/>
      <c r="U213" s="61"/>
    </row>
    <row r="214" spans="1:122">
      <c r="D214" s="61"/>
      <c r="E214" s="61"/>
      <c r="F214" s="61"/>
      <c r="G214" s="61"/>
      <c r="H214" s="61"/>
      <c r="I214" s="61"/>
      <c r="J214" s="61"/>
      <c r="K214" s="61"/>
      <c r="L214" s="61"/>
      <c r="M214" s="61"/>
      <c r="N214" s="61"/>
      <c r="O214" s="61"/>
      <c r="P214" s="61"/>
      <c r="Q214" s="61"/>
      <c r="S214" s="61"/>
      <c r="T214" s="61"/>
      <c r="U214" s="61"/>
    </row>
    <row r="215" spans="1:122">
      <c r="D215" s="61"/>
      <c r="E215" s="61"/>
      <c r="F215" s="61"/>
      <c r="G215" s="61"/>
      <c r="H215" s="61"/>
      <c r="I215" s="61"/>
      <c r="J215" s="61"/>
      <c r="K215" s="61"/>
      <c r="L215" s="61"/>
      <c r="M215" s="61"/>
      <c r="N215" s="61"/>
      <c r="O215" s="61"/>
      <c r="P215" s="61"/>
      <c r="Q215" s="61"/>
      <c r="S215" s="61"/>
      <c r="T215" s="61"/>
      <c r="U215" s="61"/>
    </row>
    <row r="216" spans="1:122">
      <c r="D216" s="61"/>
      <c r="E216" s="61"/>
      <c r="F216" s="61"/>
      <c r="G216" s="61"/>
      <c r="H216" s="61"/>
      <c r="I216" s="61"/>
      <c r="J216" s="61"/>
      <c r="K216" s="61"/>
      <c r="L216" s="61"/>
      <c r="M216" s="61"/>
      <c r="N216" s="61"/>
      <c r="O216" s="61"/>
      <c r="P216" s="61"/>
      <c r="Q216" s="61"/>
      <c r="S216" s="61"/>
      <c r="T216" s="61"/>
      <c r="U216" s="61"/>
    </row>
    <row r="217" spans="1:122">
      <c r="D217" s="61"/>
      <c r="E217" s="61"/>
      <c r="F217" s="61"/>
      <c r="G217" s="61"/>
      <c r="H217" s="61"/>
      <c r="I217" s="61"/>
      <c r="J217" s="61"/>
      <c r="K217" s="61"/>
      <c r="L217" s="61"/>
      <c r="M217" s="61"/>
      <c r="N217" s="61"/>
      <c r="O217" s="61"/>
      <c r="P217" s="61"/>
      <c r="Q217" s="61"/>
      <c r="S217" s="61"/>
      <c r="T217" s="61"/>
      <c r="U217" s="61"/>
    </row>
    <row r="218" spans="1:122">
      <c r="D218" s="61"/>
      <c r="E218" s="61"/>
      <c r="F218" s="61"/>
      <c r="G218" s="61"/>
      <c r="H218" s="61"/>
      <c r="I218" s="61"/>
      <c r="J218" s="61"/>
      <c r="K218" s="61"/>
      <c r="L218" s="61"/>
      <c r="M218" s="61"/>
      <c r="N218" s="61"/>
      <c r="O218" s="61"/>
      <c r="P218" s="61"/>
      <c r="Q218" s="61"/>
      <c r="S218" s="61"/>
      <c r="T218" s="61"/>
      <c r="U218" s="61"/>
    </row>
    <row r="219" spans="1:122">
      <c r="D219" s="61"/>
      <c r="E219" s="61"/>
      <c r="F219" s="61"/>
      <c r="G219" s="61"/>
      <c r="H219" s="61"/>
      <c r="I219" s="61"/>
      <c r="J219" s="61"/>
      <c r="K219" s="61"/>
      <c r="L219" s="61"/>
      <c r="M219" s="61"/>
      <c r="N219" s="61"/>
      <c r="O219" s="61"/>
      <c r="P219" s="61"/>
      <c r="Q219" s="61"/>
      <c r="S219" s="61"/>
      <c r="T219" s="61"/>
      <c r="U219" s="61"/>
    </row>
    <row r="220" spans="1:122">
      <c r="D220" s="61"/>
      <c r="E220" s="61"/>
      <c r="F220" s="61"/>
      <c r="G220" s="61"/>
      <c r="H220" s="61"/>
      <c r="I220" s="61"/>
      <c r="J220" s="61"/>
      <c r="K220" s="61"/>
      <c r="L220" s="61"/>
      <c r="M220" s="61"/>
      <c r="N220" s="61"/>
      <c r="O220" s="61"/>
      <c r="P220" s="61"/>
      <c r="Q220" s="61"/>
      <c r="S220" s="61"/>
      <c r="T220" s="61"/>
      <c r="U220" s="61"/>
    </row>
    <row r="221" spans="1:122">
      <c r="D221" s="61"/>
      <c r="E221" s="61"/>
      <c r="F221" s="61"/>
      <c r="G221" s="61"/>
      <c r="H221" s="61"/>
      <c r="I221" s="61"/>
      <c r="J221" s="61"/>
      <c r="K221" s="61"/>
      <c r="L221" s="61"/>
      <c r="M221" s="61"/>
      <c r="N221" s="61"/>
      <c r="O221" s="61"/>
      <c r="P221" s="61"/>
      <c r="Q221" s="61"/>
      <c r="S221" s="61"/>
      <c r="T221" s="61"/>
      <c r="U221" s="61"/>
    </row>
    <row r="222" spans="1:122">
      <c r="D222" s="61"/>
      <c r="E222" s="61"/>
      <c r="F222" s="61"/>
      <c r="G222" s="61"/>
      <c r="H222" s="61"/>
      <c r="I222" s="61"/>
      <c r="J222" s="61"/>
      <c r="K222" s="61"/>
      <c r="L222" s="61"/>
      <c r="M222" s="61"/>
      <c r="N222" s="61"/>
      <c r="O222" s="61"/>
      <c r="P222" s="61"/>
      <c r="Q222" s="61"/>
      <c r="S222" s="61"/>
      <c r="T222" s="61"/>
      <c r="U222" s="61"/>
    </row>
    <row r="223" spans="1:122">
      <c r="D223" s="61"/>
      <c r="E223" s="61"/>
      <c r="F223" s="61"/>
      <c r="G223" s="61"/>
      <c r="H223" s="61"/>
      <c r="I223" s="61"/>
      <c r="J223" s="61"/>
      <c r="K223" s="61"/>
      <c r="L223" s="61"/>
      <c r="M223" s="61"/>
      <c r="N223" s="61"/>
      <c r="O223" s="61"/>
      <c r="P223" s="61"/>
      <c r="Q223" s="61"/>
      <c r="S223" s="61"/>
      <c r="T223" s="61"/>
      <c r="U223" s="61"/>
    </row>
    <row r="224" spans="1:122">
      <c r="D224" s="61"/>
      <c r="E224" s="61"/>
      <c r="F224" s="61"/>
      <c r="G224" s="61"/>
      <c r="H224" s="61"/>
      <c r="I224" s="61"/>
      <c r="J224" s="61"/>
      <c r="K224" s="61"/>
      <c r="L224" s="61"/>
      <c r="M224" s="61"/>
      <c r="N224" s="61"/>
      <c r="O224" s="61"/>
      <c r="P224" s="61"/>
      <c r="Q224" s="61"/>
      <c r="S224" s="61"/>
      <c r="T224" s="61"/>
      <c r="U224" s="61"/>
    </row>
    <row r="225" spans="1:122">
      <c r="D225" s="61"/>
      <c r="E225" s="61"/>
      <c r="F225" s="61"/>
      <c r="G225" s="61"/>
      <c r="H225" s="61"/>
      <c r="I225" s="61"/>
      <c r="J225" s="61"/>
      <c r="K225" s="61"/>
      <c r="L225" s="61"/>
      <c r="M225" s="61"/>
      <c r="N225" s="61"/>
      <c r="O225" s="61"/>
      <c r="P225" s="61"/>
      <c r="Q225" s="61"/>
      <c r="S225" s="61"/>
      <c r="T225" s="61"/>
      <c r="U225" s="61"/>
    </row>
    <row r="226" spans="1:122">
      <c r="D226" s="61"/>
      <c r="E226" s="61"/>
      <c r="F226" s="61"/>
      <c r="G226" s="61"/>
      <c r="H226" s="61"/>
      <c r="I226" s="61"/>
      <c r="J226" s="61"/>
      <c r="K226" s="61"/>
      <c r="L226" s="61"/>
      <c r="M226" s="61"/>
      <c r="N226" s="61"/>
      <c r="O226" s="61"/>
      <c r="P226" s="61"/>
      <c r="Q226" s="61"/>
      <c r="S226" s="61"/>
      <c r="T226" s="61"/>
      <c r="U226" s="61"/>
    </row>
    <row r="227" spans="1:122">
      <c r="D227" s="61"/>
      <c r="E227" s="61"/>
      <c r="F227" s="61"/>
      <c r="G227" s="61"/>
      <c r="H227" s="61"/>
      <c r="I227" s="61"/>
      <c r="J227" s="61"/>
      <c r="K227" s="61"/>
      <c r="L227" s="61"/>
      <c r="M227" s="61"/>
      <c r="N227" s="61"/>
      <c r="O227" s="61"/>
      <c r="P227" s="61"/>
      <c r="Q227" s="61"/>
      <c r="S227" s="61"/>
      <c r="T227" s="61"/>
      <c r="U227" s="61"/>
    </row>
    <row r="228" spans="1:122">
      <c r="D228" s="61"/>
      <c r="E228" s="61"/>
      <c r="F228" s="61"/>
      <c r="G228" s="61"/>
      <c r="H228" s="61"/>
      <c r="I228" s="61"/>
      <c r="J228" s="61"/>
      <c r="K228" s="61"/>
      <c r="L228" s="61"/>
      <c r="M228" s="61"/>
      <c r="N228" s="61"/>
      <c r="O228" s="61"/>
      <c r="P228" s="61"/>
      <c r="Q228" s="61"/>
      <c r="S228" s="61"/>
      <c r="T228" s="61"/>
      <c r="U228" s="61"/>
    </row>
    <row r="229" spans="1:122">
      <c r="D229" s="61"/>
      <c r="E229" s="61"/>
      <c r="F229" s="61"/>
      <c r="G229" s="61"/>
      <c r="H229" s="61"/>
      <c r="I229" s="61"/>
      <c r="J229" s="61"/>
      <c r="K229" s="61"/>
      <c r="L229" s="61"/>
      <c r="M229" s="61"/>
      <c r="N229" s="61"/>
      <c r="O229" s="61"/>
      <c r="P229" s="61"/>
      <c r="Q229" s="61"/>
      <c r="S229" s="61"/>
      <c r="T229" s="61"/>
      <c r="U229" s="61"/>
    </row>
    <row r="230" spans="1:122">
      <c r="D230" s="61"/>
      <c r="E230" s="61"/>
      <c r="F230" s="61"/>
      <c r="G230" s="61"/>
      <c r="H230" s="61"/>
      <c r="I230" s="61"/>
      <c r="J230" s="61"/>
      <c r="K230" s="61"/>
      <c r="L230" s="61"/>
      <c r="M230" s="61"/>
      <c r="N230" s="61"/>
      <c r="O230" s="61"/>
      <c r="P230" s="61"/>
      <c r="Q230" s="61"/>
      <c r="S230" s="61"/>
      <c r="T230" s="61"/>
      <c r="U230" s="61"/>
    </row>
    <row r="231" spans="1:122">
      <c r="D231" s="61"/>
      <c r="E231" s="61"/>
      <c r="F231" s="61"/>
      <c r="G231" s="61"/>
      <c r="H231" s="61"/>
      <c r="I231" s="61"/>
      <c r="J231" s="61"/>
      <c r="K231" s="61"/>
      <c r="L231" s="61"/>
      <c r="M231" s="61"/>
      <c r="N231" s="61"/>
      <c r="O231" s="61"/>
      <c r="P231" s="61"/>
      <c r="Q231" s="61"/>
      <c r="S231" s="61"/>
      <c r="T231" s="61"/>
      <c r="U231" s="61"/>
    </row>
    <row r="232" spans="1:122">
      <c r="D232" s="61"/>
      <c r="E232" s="61"/>
      <c r="F232" s="61"/>
      <c r="G232" s="61"/>
      <c r="H232" s="61"/>
      <c r="I232" s="61"/>
      <c r="J232" s="61"/>
      <c r="K232" s="61"/>
      <c r="L232" s="61"/>
      <c r="M232" s="61"/>
      <c r="N232" s="61"/>
      <c r="O232" s="61"/>
      <c r="P232" s="61"/>
      <c r="Q232" s="61"/>
      <c r="S232" s="61"/>
      <c r="T232" s="61"/>
      <c r="U232" s="61"/>
    </row>
    <row r="233" spans="1:122">
      <c r="D233" s="61"/>
      <c r="E233" s="61"/>
      <c r="F233" s="61"/>
      <c r="G233" s="61"/>
      <c r="H233" s="61"/>
      <c r="I233" s="61"/>
      <c r="J233" s="61"/>
      <c r="K233" s="61"/>
      <c r="L233" s="61"/>
      <c r="M233" s="61"/>
      <c r="N233" s="61"/>
      <c r="O233" s="61"/>
      <c r="P233" s="61"/>
      <c r="Q233" s="61"/>
      <c r="S233" s="61"/>
      <c r="T233" s="61"/>
      <c r="U233" s="61"/>
    </row>
    <row r="234" spans="1:122">
      <c r="D234" s="61"/>
      <c r="E234" s="61"/>
      <c r="F234" s="61"/>
      <c r="G234" s="61"/>
      <c r="H234" s="61"/>
      <c r="I234" s="61"/>
      <c r="J234" s="61"/>
      <c r="K234" s="61"/>
      <c r="L234" s="61"/>
      <c r="M234" s="61"/>
      <c r="N234" s="61"/>
      <c r="O234" s="61"/>
      <c r="P234" s="61"/>
      <c r="Q234" s="61"/>
      <c r="S234" s="61"/>
      <c r="T234" s="61"/>
      <c r="U234" s="61"/>
    </row>
    <row r="235" spans="1:122">
      <c r="D235" s="61"/>
      <c r="E235" s="61"/>
      <c r="F235" s="61"/>
      <c r="G235" s="61"/>
      <c r="H235" s="61"/>
      <c r="I235" s="61"/>
      <c r="J235" s="61"/>
      <c r="K235" s="61"/>
      <c r="L235" s="61"/>
      <c r="M235" s="61"/>
      <c r="N235" s="61"/>
      <c r="O235" s="61"/>
      <c r="P235" s="61"/>
      <c r="Q235" s="61"/>
      <c r="S235" s="61"/>
      <c r="T235" s="61"/>
      <c r="U235" s="61"/>
    </row>
    <row r="236" spans="1:122">
      <c r="D236" s="61"/>
      <c r="E236" s="61"/>
      <c r="F236" s="61"/>
      <c r="G236" s="61"/>
      <c r="H236" s="61"/>
      <c r="I236" s="61"/>
      <c r="J236" s="61"/>
      <c r="K236" s="61"/>
      <c r="L236" s="61"/>
      <c r="M236" s="61"/>
      <c r="N236" s="61"/>
      <c r="O236" s="61"/>
      <c r="P236" s="61"/>
      <c r="Q236" s="61"/>
      <c r="S236" s="61"/>
      <c r="T236" s="61"/>
      <c r="U236" s="61"/>
      <c r="BQ236" s="61"/>
      <c r="BR236" s="61"/>
      <c r="BS236" s="61"/>
      <c r="BT236" s="61"/>
    </row>
    <row r="237" spans="1:122">
      <c r="D237" s="61"/>
      <c r="E237" s="61"/>
      <c r="F237" s="61"/>
      <c r="G237" s="61"/>
      <c r="H237" s="61"/>
      <c r="I237" s="61"/>
      <c r="J237" s="61"/>
      <c r="K237" s="61"/>
      <c r="L237" s="61"/>
      <c r="M237" s="61"/>
      <c r="N237" s="61"/>
      <c r="O237" s="61"/>
      <c r="P237" s="61"/>
      <c r="Q237" s="61"/>
      <c r="S237" s="61"/>
      <c r="T237" s="61"/>
      <c r="U237" s="61"/>
      <c r="BQ237" s="61"/>
      <c r="BR237" s="61"/>
      <c r="BS237" s="61"/>
      <c r="BT237" s="61"/>
    </row>
    <row r="238" spans="1:122">
      <c r="D238" s="61"/>
      <c r="E238" s="61"/>
      <c r="F238" s="61"/>
      <c r="G238" s="61"/>
      <c r="H238" s="61"/>
      <c r="I238" s="61"/>
      <c r="J238" s="61"/>
      <c r="K238" s="61"/>
      <c r="L238" s="61"/>
      <c r="M238" s="61"/>
      <c r="N238" s="61"/>
      <c r="O238" s="61"/>
      <c r="P238" s="61"/>
      <c r="Q238" s="61"/>
      <c r="S238" s="61"/>
      <c r="T238" s="61"/>
      <c r="U238" s="61"/>
      <c r="BQ238" s="61"/>
      <c r="BR238" s="61"/>
      <c r="BS238" s="61"/>
      <c r="BT238" s="61"/>
    </row>
    <row r="239" spans="1:122">
      <c r="D239" s="61"/>
      <c r="E239" s="61"/>
      <c r="F239" s="61"/>
      <c r="G239" s="61"/>
      <c r="H239" s="61"/>
      <c r="I239" s="61"/>
      <c r="J239" s="61"/>
      <c r="K239" s="61"/>
      <c r="L239" s="61"/>
      <c r="M239" s="61"/>
      <c r="N239" s="61"/>
      <c r="O239" s="61"/>
      <c r="P239" s="61"/>
      <c r="Q239" s="61"/>
      <c r="S239" s="61"/>
      <c r="T239" s="61"/>
      <c r="U239" s="61"/>
      <c r="BQ239" s="61"/>
      <c r="BR239" s="61"/>
      <c r="BS239" s="61"/>
      <c r="BT239" s="61"/>
    </row>
    <row r="240" spans="1:122">
      <c r="D240" s="61"/>
      <c r="E240" s="61"/>
      <c r="F240" s="61"/>
      <c r="G240" s="61"/>
      <c r="H240" s="61"/>
      <c r="I240" s="61"/>
      <c r="J240" s="61"/>
      <c r="K240" s="61"/>
      <c r="L240" s="61"/>
      <c r="M240" s="61"/>
      <c r="N240" s="61"/>
      <c r="O240" s="61"/>
      <c r="P240" s="61"/>
      <c r="Q240" s="61"/>
      <c r="S240" s="61"/>
      <c r="T240" s="61"/>
      <c r="U240" s="61"/>
      <c r="BQ240" s="61"/>
      <c r="BR240" s="61"/>
      <c r="BS240" s="61"/>
      <c r="BT240" s="61"/>
    </row>
    <row r="241" spans="1:122">
      <c r="D241" s="61"/>
      <c r="E241" s="61"/>
      <c r="F241" s="61"/>
      <c r="G241" s="61"/>
      <c r="H241" s="61"/>
      <c r="I241" s="61"/>
      <c r="J241" s="61"/>
      <c r="K241" s="61"/>
      <c r="L241" s="61"/>
      <c r="M241" s="61"/>
      <c r="N241" s="61"/>
      <c r="O241" s="61"/>
      <c r="P241" s="61"/>
      <c r="Q241" s="61"/>
      <c r="S241" s="61"/>
      <c r="T241" s="61"/>
      <c r="U241" s="61"/>
      <c r="BQ241" s="61"/>
      <c r="BR241" s="61"/>
      <c r="BS241" s="61"/>
      <c r="BT241" s="61"/>
    </row>
    <row r="242" spans="1:122">
      <c r="D242" s="61"/>
      <c r="E242" s="61"/>
      <c r="F242" s="61"/>
      <c r="G242" s="61"/>
      <c r="H242" s="61"/>
      <c r="I242" s="61"/>
      <c r="J242" s="61"/>
      <c r="K242" s="61"/>
      <c r="L242" s="61"/>
      <c r="M242" s="61"/>
      <c r="N242" s="61"/>
      <c r="O242" s="61"/>
      <c r="P242" s="61"/>
      <c r="Q242" s="61"/>
      <c r="S242" s="61"/>
      <c r="T242" s="61"/>
      <c r="U242" s="61"/>
      <c r="BQ242" s="61"/>
      <c r="BR242" s="61"/>
      <c r="BS242" s="61"/>
      <c r="BT242" s="61"/>
    </row>
    <row r="243" spans="1:122">
      <c r="D243" s="61"/>
      <c r="E243" s="61"/>
      <c r="F243" s="61"/>
      <c r="G243" s="61"/>
      <c r="H243" s="61"/>
      <c r="I243" s="61"/>
      <c r="J243" s="61"/>
      <c r="K243" s="61"/>
      <c r="L243" s="61"/>
      <c r="M243" s="61"/>
      <c r="N243" s="61"/>
      <c r="O243" s="61"/>
      <c r="P243" s="61"/>
      <c r="Q243" s="61"/>
      <c r="S243" s="61"/>
      <c r="T243" s="61"/>
      <c r="U243" s="61"/>
      <c r="BQ243" s="61"/>
      <c r="BR243" s="61"/>
      <c r="BS243" s="61"/>
      <c r="BT243" s="61"/>
    </row>
    <row r="244" spans="1:122">
      <c r="D244" s="61"/>
      <c r="E244" s="61"/>
      <c r="F244" s="61"/>
      <c r="G244" s="61"/>
      <c r="H244" s="61"/>
      <c r="I244" s="61"/>
      <c r="J244" s="61"/>
      <c r="K244" s="61"/>
      <c r="L244" s="61"/>
      <c r="M244" s="61"/>
      <c r="N244" s="61"/>
      <c r="O244" s="61"/>
      <c r="P244" s="61"/>
      <c r="Q244" s="61"/>
      <c r="S244" s="61"/>
      <c r="T244" s="61"/>
      <c r="U244" s="61"/>
    </row>
    <row r="245" spans="1:122">
      <c r="D245" s="61"/>
      <c r="E245" s="61"/>
      <c r="F245" s="61"/>
      <c r="G245" s="61"/>
      <c r="H245" s="61"/>
      <c r="I245" s="61"/>
      <c r="J245" s="61"/>
      <c r="K245" s="61"/>
      <c r="L245" s="61"/>
      <c r="M245" s="61"/>
      <c r="N245" s="61"/>
      <c r="O245" s="61"/>
      <c r="P245" s="61"/>
      <c r="Q245" s="61"/>
      <c r="S245" s="61"/>
      <c r="T245" s="61"/>
      <c r="U245" s="61"/>
    </row>
    <row r="246" spans="1:122">
      <c r="D246" s="61"/>
      <c r="E246" s="61"/>
      <c r="F246" s="61"/>
      <c r="G246" s="61"/>
      <c r="H246" s="61"/>
      <c r="I246" s="61"/>
      <c r="J246" s="61"/>
      <c r="K246" s="61"/>
      <c r="L246" s="61"/>
      <c r="M246" s="61"/>
      <c r="N246" s="61"/>
      <c r="O246" s="61"/>
      <c r="P246" s="61"/>
      <c r="Q246" s="61"/>
      <c r="S246" s="61"/>
      <c r="T246" s="61"/>
      <c r="U246" s="61"/>
    </row>
    <row r="247" spans="1:122">
      <c r="D247" s="61"/>
      <c r="E247" s="61"/>
      <c r="F247" s="61"/>
      <c r="G247" s="61"/>
      <c r="H247" s="61"/>
      <c r="I247" s="61"/>
      <c r="J247" s="61"/>
      <c r="K247" s="61"/>
      <c r="L247" s="61"/>
      <c r="M247" s="61"/>
      <c r="N247" s="61"/>
      <c r="O247" s="61"/>
      <c r="P247" s="61"/>
      <c r="Q247" s="61"/>
      <c r="S247" s="61"/>
      <c r="T247" s="61"/>
      <c r="U247" s="61"/>
    </row>
    <row r="248" spans="1:122">
      <c r="D248" s="61"/>
      <c r="E248" s="61"/>
      <c r="F248" s="61"/>
      <c r="G248" s="61"/>
      <c r="H248" s="61"/>
      <c r="I248" s="61"/>
      <c r="J248" s="61"/>
      <c r="K248" s="61"/>
      <c r="L248" s="61"/>
      <c r="M248" s="61"/>
      <c r="N248" s="61"/>
      <c r="O248" s="61"/>
      <c r="P248" s="61"/>
      <c r="Q248" s="61"/>
      <c r="S248" s="61"/>
      <c r="T248" s="61"/>
      <c r="U248" s="61"/>
    </row>
    <row r="249" spans="1:122">
      <c r="D249" s="61"/>
      <c r="E249" s="61"/>
      <c r="F249" s="61"/>
      <c r="G249" s="61"/>
      <c r="H249" s="61"/>
      <c r="I249" s="61"/>
      <c r="J249" s="61"/>
      <c r="K249" s="61"/>
      <c r="L249" s="61"/>
      <c r="M249" s="61"/>
      <c r="N249" s="61"/>
      <c r="O249" s="61"/>
      <c r="P249" s="61"/>
      <c r="Q249" s="61"/>
      <c r="S249" s="61"/>
      <c r="T249" s="61"/>
      <c r="U249" s="61"/>
    </row>
    <row r="250" spans="1:122">
      <c r="D250" s="61"/>
      <c r="E250" s="61"/>
      <c r="F250" s="61"/>
      <c r="G250" s="61"/>
      <c r="H250" s="61"/>
      <c r="I250" s="61"/>
      <c r="J250" s="61"/>
      <c r="K250" s="61"/>
      <c r="L250" s="61"/>
      <c r="M250" s="61"/>
      <c r="N250" s="61"/>
      <c r="O250" s="61"/>
      <c r="P250" s="61"/>
      <c r="Q250" s="61"/>
      <c r="S250" s="61"/>
      <c r="T250" s="61"/>
      <c r="U250" s="61"/>
    </row>
    <row r="251" spans="1:122">
      <c r="D251" s="61"/>
      <c r="E251" s="61"/>
      <c r="F251" s="61"/>
      <c r="G251" s="61"/>
      <c r="H251" s="61"/>
      <c r="I251" s="61"/>
      <c r="J251" s="61"/>
      <c r="K251" s="61"/>
      <c r="L251" s="61"/>
      <c r="M251" s="61"/>
      <c r="N251" s="61"/>
      <c r="O251" s="61"/>
      <c r="P251" s="61"/>
      <c r="Q251" s="61"/>
      <c r="S251" s="61"/>
      <c r="T251" s="61"/>
      <c r="U251" s="61"/>
    </row>
    <row r="252" spans="1:122">
      <c r="D252" s="61"/>
      <c r="E252" s="61"/>
      <c r="F252" s="61"/>
      <c r="G252" s="61"/>
      <c r="H252" s="61"/>
      <c r="I252" s="61"/>
      <c r="J252" s="61"/>
      <c r="K252" s="61"/>
      <c r="L252" s="61"/>
      <c r="M252" s="61"/>
      <c r="N252" s="61"/>
      <c r="O252" s="61"/>
      <c r="P252" s="61"/>
      <c r="Q252" s="61"/>
      <c r="S252" s="61"/>
      <c r="T252" s="61"/>
      <c r="U252" s="61"/>
    </row>
    <row r="253" spans="1:122">
      <c r="D253" s="61"/>
      <c r="E253" s="61"/>
      <c r="F253" s="61"/>
      <c r="G253" s="61"/>
      <c r="H253" s="61"/>
      <c r="I253" s="61"/>
      <c r="J253" s="61"/>
      <c r="K253" s="61"/>
      <c r="L253" s="61"/>
      <c r="M253" s="61"/>
      <c r="N253" s="61"/>
      <c r="O253" s="61"/>
      <c r="P253" s="61"/>
      <c r="Q253" s="61"/>
      <c r="S253" s="61"/>
      <c r="T253" s="61"/>
      <c r="U253" s="61"/>
    </row>
    <row r="254" spans="1:122">
      <c r="D254" s="61"/>
      <c r="E254" s="61"/>
      <c r="F254" s="61"/>
      <c r="G254" s="61"/>
      <c r="H254" s="61"/>
      <c r="I254" s="61"/>
      <c r="J254" s="61"/>
      <c r="K254" s="61"/>
      <c r="L254" s="61"/>
      <c r="M254" s="61"/>
      <c r="N254" s="61"/>
      <c r="O254" s="61"/>
      <c r="P254" s="61"/>
      <c r="Q254" s="61"/>
      <c r="S254" s="61"/>
      <c r="T254" s="61"/>
      <c r="U254" s="61"/>
    </row>
    <row r="255" spans="1:122">
      <c r="D255" s="61"/>
      <c r="E255" s="61"/>
      <c r="F255" s="61"/>
      <c r="G255" s="61"/>
      <c r="H255" s="61"/>
      <c r="I255" s="61"/>
      <c r="J255" s="61"/>
      <c r="K255" s="61"/>
      <c r="L255" s="61"/>
      <c r="M255" s="61"/>
      <c r="N255" s="61"/>
      <c r="O255" s="61"/>
      <c r="P255" s="61"/>
      <c r="Q255" s="61"/>
      <c r="S255" s="61"/>
      <c r="T255" s="61"/>
      <c r="U255" s="61"/>
      <c r="BQ255" s="61"/>
      <c r="BR255" s="61"/>
      <c r="BS255" s="61"/>
      <c r="BT255" s="61"/>
    </row>
    <row r="256" spans="1:122">
      <c r="D256" s="61"/>
      <c r="E256" s="61"/>
      <c r="F256" s="61"/>
      <c r="G256" s="61"/>
      <c r="H256" s="61"/>
      <c r="I256" s="61"/>
      <c r="J256" s="61"/>
      <c r="K256" s="61"/>
      <c r="L256" s="61"/>
      <c r="M256" s="61"/>
      <c r="N256" s="61"/>
      <c r="O256" s="61"/>
      <c r="P256" s="61"/>
      <c r="Q256" s="61"/>
      <c r="S256" s="61"/>
      <c r="T256" s="61"/>
      <c r="U256" s="61"/>
      <c r="BQ256" s="61"/>
      <c r="BR256" s="61"/>
      <c r="BS256" s="61"/>
      <c r="BT256" s="61"/>
    </row>
    <row r="257" spans="1:122">
      <c r="D257" s="61"/>
      <c r="E257" s="61"/>
      <c r="F257" s="61"/>
      <c r="G257" s="61"/>
      <c r="H257" s="61"/>
      <c r="I257" s="61"/>
      <c r="J257" s="61"/>
      <c r="K257" s="61"/>
      <c r="L257" s="61"/>
      <c r="M257" s="61"/>
      <c r="N257" s="61"/>
      <c r="O257" s="61"/>
      <c r="P257" s="61"/>
      <c r="Q257" s="61"/>
      <c r="S257" s="61"/>
      <c r="T257" s="61"/>
      <c r="U257" s="61"/>
      <c r="BQ257" s="61"/>
      <c r="BR257" s="61"/>
      <c r="BS257" s="61"/>
      <c r="BT257" s="61"/>
    </row>
    <row r="258" spans="1:122">
      <c r="D258" s="61"/>
      <c r="E258" s="61"/>
      <c r="F258" s="61"/>
      <c r="G258" s="61"/>
      <c r="H258" s="61"/>
      <c r="I258" s="61"/>
      <c r="J258" s="61"/>
      <c r="K258" s="61"/>
      <c r="L258" s="61"/>
      <c r="M258" s="61"/>
      <c r="N258" s="61"/>
      <c r="O258" s="61"/>
      <c r="P258" s="61"/>
      <c r="Q258" s="61"/>
      <c r="S258" s="61"/>
      <c r="T258" s="61"/>
      <c r="U258" s="61"/>
      <c r="BQ258" s="61"/>
      <c r="BR258" s="61"/>
      <c r="BS258" s="61"/>
      <c r="BT258" s="61"/>
    </row>
    <row r="259" spans="1:122">
      <c r="D259" s="61"/>
      <c r="E259" s="61"/>
      <c r="F259" s="61"/>
      <c r="G259" s="61"/>
      <c r="H259" s="61"/>
      <c r="I259" s="61"/>
      <c r="J259" s="61"/>
      <c r="K259" s="61"/>
      <c r="L259" s="61"/>
      <c r="M259" s="61"/>
      <c r="N259" s="61"/>
      <c r="O259" s="61"/>
      <c r="P259" s="61"/>
      <c r="Q259" s="61"/>
      <c r="S259" s="61"/>
      <c r="T259" s="61"/>
      <c r="U259" s="61"/>
      <c r="BQ259" s="61"/>
      <c r="BR259" s="61"/>
      <c r="BS259" s="61"/>
      <c r="BT259" s="61"/>
    </row>
    <row r="260" spans="1:122">
      <c r="D260" s="61"/>
      <c r="E260" s="61"/>
      <c r="F260" s="61"/>
      <c r="G260" s="61"/>
      <c r="H260" s="61"/>
      <c r="I260" s="61"/>
      <c r="J260" s="61"/>
      <c r="K260" s="61"/>
      <c r="L260" s="61"/>
      <c r="M260" s="61"/>
      <c r="N260" s="61"/>
      <c r="O260" s="61"/>
      <c r="P260" s="61"/>
      <c r="Q260" s="61"/>
      <c r="S260" s="61"/>
      <c r="T260" s="61"/>
      <c r="U260" s="61"/>
      <c r="BQ260" s="61"/>
      <c r="BR260" s="61"/>
      <c r="BS260" s="61"/>
      <c r="BT260" s="61"/>
    </row>
    <row r="261" spans="1:122">
      <c r="D261" s="61"/>
      <c r="E261" s="61"/>
      <c r="F261" s="61"/>
      <c r="G261" s="61"/>
      <c r="H261" s="61"/>
      <c r="I261" s="61"/>
      <c r="J261" s="61"/>
      <c r="K261" s="61"/>
      <c r="L261" s="61"/>
      <c r="M261" s="61"/>
      <c r="N261" s="61"/>
      <c r="O261" s="61"/>
      <c r="P261" s="61"/>
      <c r="Q261" s="61"/>
      <c r="S261" s="61"/>
      <c r="T261" s="61"/>
      <c r="U261" s="61"/>
      <c r="BQ261" s="61"/>
      <c r="BR261" s="61"/>
      <c r="BS261" s="61"/>
      <c r="BT261" s="61"/>
    </row>
    <row r="262" spans="1:122">
      <c r="D262" s="61"/>
      <c r="E262" s="61"/>
      <c r="F262" s="61"/>
      <c r="G262" s="61"/>
      <c r="H262" s="61"/>
      <c r="I262" s="61"/>
      <c r="J262" s="61"/>
      <c r="K262" s="61"/>
      <c r="L262" s="61"/>
      <c r="M262" s="61"/>
      <c r="N262" s="61"/>
      <c r="O262" s="61"/>
      <c r="P262" s="61"/>
      <c r="Q262" s="61"/>
      <c r="S262" s="61"/>
      <c r="T262" s="61"/>
      <c r="U262" s="61"/>
      <c r="BQ262" s="61"/>
      <c r="BR262" s="61"/>
      <c r="BS262" s="61"/>
      <c r="BT262" s="61"/>
    </row>
    <row r="263" spans="1:122">
      <c r="D263" s="61"/>
      <c r="E263" s="61"/>
      <c r="F263" s="61"/>
      <c r="G263" s="61"/>
      <c r="H263" s="61"/>
      <c r="I263" s="61"/>
      <c r="J263" s="61"/>
      <c r="K263" s="61"/>
      <c r="L263" s="61"/>
      <c r="M263" s="61"/>
      <c r="N263" s="61"/>
      <c r="O263" s="61"/>
      <c r="P263" s="61"/>
      <c r="Q263" s="61"/>
      <c r="S263" s="61"/>
      <c r="T263" s="61"/>
      <c r="U263" s="61"/>
      <c r="BQ263" s="61"/>
      <c r="BR263" s="61"/>
      <c r="BS263" s="61"/>
      <c r="BT263" s="61"/>
    </row>
    <row r="264" spans="1:122">
      <c r="D264" s="61"/>
      <c r="E264" s="61"/>
      <c r="F264" s="61"/>
      <c r="G264" s="61"/>
      <c r="H264" s="61"/>
      <c r="I264" s="61"/>
      <c r="J264" s="61"/>
      <c r="K264" s="61"/>
      <c r="L264" s="61"/>
      <c r="M264" s="61"/>
      <c r="N264" s="61"/>
      <c r="O264" s="61"/>
      <c r="P264" s="61"/>
      <c r="Q264" s="61"/>
      <c r="S264" s="61"/>
      <c r="T264" s="61"/>
      <c r="U264" s="61"/>
      <c r="BQ264" s="61"/>
      <c r="BR264" s="61"/>
      <c r="BS264" s="61"/>
      <c r="BT264" s="61"/>
    </row>
    <row r="265" spans="1:122">
      <c r="D265" s="61"/>
      <c r="E265" s="61"/>
      <c r="F265" s="61"/>
      <c r="G265" s="61"/>
      <c r="H265" s="61"/>
      <c r="I265" s="61"/>
      <c r="J265" s="61"/>
      <c r="K265" s="61"/>
      <c r="L265" s="61"/>
      <c r="M265" s="61"/>
      <c r="N265" s="61"/>
      <c r="O265" s="61"/>
      <c r="P265" s="61"/>
      <c r="Q265" s="61"/>
      <c r="S265" s="61"/>
      <c r="T265" s="61"/>
      <c r="U265" s="61"/>
      <c r="BQ265" s="61"/>
      <c r="BR265" s="61"/>
      <c r="BS265" s="61"/>
      <c r="BT265" s="61"/>
    </row>
    <row r="266" spans="1:122">
      <c r="D266" s="61"/>
      <c r="E266" s="61"/>
      <c r="F266" s="61"/>
      <c r="G266" s="61"/>
      <c r="H266" s="61"/>
      <c r="I266" s="61"/>
      <c r="J266" s="61"/>
      <c r="K266" s="61"/>
      <c r="L266" s="61"/>
      <c r="M266" s="61"/>
      <c r="N266" s="61"/>
      <c r="O266" s="61"/>
      <c r="P266" s="61"/>
      <c r="Q266" s="61"/>
      <c r="S266" s="61"/>
      <c r="T266" s="61"/>
      <c r="U266" s="61"/>
      <c r="BQ266" s="61"/>
      <c r="BR266" s="61"/>
      <c r="BS266" s="61"/>
      <c r="BT266" s="61"/>
    </row>
    <row r="267" spans="1:122">
      <c r="D267" s="61"/>
      <c r="E267" s="61"/>
      <c r="F267" s="61"/>
      <c r="G267" s="61"/>
      <c r="H267" s="61"/>
      <c r="I267" s="61"/>
      <c r="J267" s="61"/>
      <c r="K267" s="61"/>
      <c r="L267" s="61"/>
      <c r="M267" s="61"/>
      <c r="N267" s="61"/>
      <c r="O267" s="61"/>
      <c r="P267" s="61"/>
      <c r="Q267" s="61"/>
      <c r="S267" s="61"/>
      <c r="T267" s="61"/>
      <c r="U267" s="61"/>
      <c r="BQ267" s="61"/>
      <c r="BR267" s="61"/>
      <c r="BS267" s="61"/>
      <c r="BT267" s="61"/>
    </row>
    <row r="268" spans="1:122">
      <c r="D268" s="61"/>
      <c r="E268" s="61"/>
      <c r="F268" s="61"/>
      <c r="G268" s="61"/>
      <c r="H268" s="61"/>
      <c r="I268" s="61"/>
      <c r="J268" s="61"/>
      <c r="K268" s="61"/>
      <c r="L268" s="61"/>
      <c r="M268" s="61"/>
      <c r="N268" s="61"/>
      <c r="O268" s="61"/>
      <c r="P268" s="61"/>
      <c r="Q268" s="61"/>
      <c r="S268" s="61"/>
      <c r="T268" s="61"/>
      <c r="U268" s="61"/>
      <c r="BQ268" s="61"/>
      <c r="BR268" s="61"/>
      <c r="BS268" s="61"/>
      <c r="BT268" s="61"/>
    </row>
    <row r="269" spans="1:122">
      <c r="D269" s="61"/>
      <c r="E269" s="61"/>
      <c r="F269" s="61"/>
      <c r="G269" s="61"/>
      <c r="H269" s="61"/>
      <c r="I269" s="61"/>
      <c r="J269" s="61"/>
      <c r="K269" s="61"/>
      <c r="L269" s="61"/>
      <c r="M269" s="61"/>
      <c r="N269" s="61"/>
      <c r="O269" s="61"/>
      <c r="P269" s="61"/>
      <c r="Q269" s="61"/>
      <c r="S269" s="61"/>
      <c r="T269" s="61"/>
      <c r="U269" s="61"/>
      <c r="BQ269" s="61"/>
      <c r="BR269" s="61"/>
      <c r="BS269" s="61"/>
      <c r="BT269" s="61"/>
    </row>
    <row r="270" spans="1:122">
      <c r="D270" s="61"/>
      <c r="E270" s="61"/>
      <c r="F270" s="61"/>
      <c r="G270" s="61"/>
      <c r="H270" s="61"/>
      <c r="I270" s="61"/>
      <c r="J270" s="61"/>
      <c r="K270" s="61"/>
      <c r="L270" s="61"/>
      <c r="M270" s="61"/>
      <c r="N270" s="61"/>
      <c r="O270" s="61"/>
      <c r="P270" s="61"/>
      <c r="Q270" s="61"/>
      <c r="S270" s="61"/>
      <c r="T270" s="61"/>
      <c r="U270" s="61"/>
      <c r="BQ270" s="61"/>
      <c r="BR270" s="61"/>
      <c r="BS270" s="61"/>
      <c r="BT270" s="61"/>
    </row>
    <row r="271" spans="1:122">
      <c r="D271" s="61"/>
      <c r="E271" s="61"/>
      <c r="F271" s="61"/>
      <c r="G271" s="61"/>
      <c r="H271" s="61"/>
      <c r="I271" s="61"/>
      <c r="J271" s="61"/>
      <c r="K271" s="61"/>
      <c r="L271" s="61"/>
      <c r="M271" s="61"/>
      <c r="N271" s="61"/>
      <c r="O271" s="61"/>
      <c r="P271" s="61"/>
      <c r="Q271" s="61"/>
      <c r="S271" s="61"/>
      <c r="T271" s="61"/>
      <c r="U271" s="61"/>
      <c r="BQ271" s="61"/>
      <c r="BR271" s="61"/>
      <c r="BS271" s="61"/>
      <c r="BT271" s="61"/>
    </row>
    <row r="272" spans="1:122">
      <c r="D272" s="61"/>
      <c r="E272" s="61"/>
      <c r="F272" s="61"/>
      <c r="G272" s="61"/>
      <c r="H272" s="61"/>
      <c r="I272" s="61"/>
      <c r="J272" s="61"/>
      <c r="K272" s="61"/>
      <c r="L272" s="61"/>
      <c r="M272" s="61"/>
      <c r="N272" s="61"/>
      <c r="O272" s="61"/>
      <c r="P272" s="61"/>
      <c r="Q272" s="61"/>
      <c r="S272" s="61"/>
      <c r="T272" s="61"/>
      <c r="U272" s="61"/>
      <c r="BQ272" s="61"/>
      <c r="BR272" s="61"/>
      <c r="BS272" s="61"/>
      <c r="BT272" s="61"/>
    </row>
    <row r="273" spans="1:122">
      <c r="D273" s="61"/>
      <c r="E273" s="61"/>
      <c r="F273" s="61"/>
      <c r="G273" s="61"/>
      <c r="H273" s="61"/>
      <c r="I273" s="61"/>
      <c r="J273" s="61"/>
      <c r="K273" s="61"/>
      <c r="L273" s="61"/>
      <c r="M273" s="61"/>
      <c r="N273" s="61"/>
      <c r="O273" s="61"/>
      <c r="P273" s="61"/>
      <c r="Q273" s="61"/>
      <c r="S273" s="61"/>
      <c r="T273" s="61"/>
      <c r="U273" s="61"/>
      <c r="BQ273" s="61"/>
      <c r="BR273" s="61"/>
      <c r="BS273" s="61"/>
      <c r="BT273" s="61"/>
    </row>
    <row r="274" spans="1:122">
      <c r="D274" s="61"/>
      <c r="E274" s="61"/>
      <c r="F274" s="61"/>
      <c r="G274" s="61"/>
      <c r="H274" s="61"/>
      <c r="I274" s="61"/>
      <c r="J274" s="61"/>
      <c r="K274" s="61"/>
      <c r="L274" s="61"/>
      <c r="M274" s="61"/>
      <c r="N274" s="61"/>
      <c r="O274" s="61"/>
      <c r="P274" s="61"/>
      <c r="Q274" s="61"/>
      <c r="S274" s="61"/>
      <c r="T274" s="61"/>
      <c r="U274" s="61"/>
      <c r="BQ274" s="61"/>
      <c r="BR274" s="61"/>
      <c r="BS274" s="61"/>
      <c r="BT274" s="61"/>
    </row>
    <row r="275" spans="1:122">
      <c r="D275" s="61"/>
      <c r="E275" s="61"/>
      <c r="F275" s="61"/>
      <c r="G275" s="61"/>
      <c r="H275" s="61"/>
      <c r="I275" s="61"/>
      <c r="J275" s="61"/>
      <c r="K275" s="61"/>
      <c r="L275" s="61"/>
      <c r="M275" s="61"/>
      <c r="N275" s="61"/>
      <c r="O275" s="61"/>
      <c r="P275" s="61"/>
      <c r="Q275" s="61"/>
      <c r="S275" s="61"/>
      <c r="T275" s="61"/>
      <c r="U275" s="61"/>
      <c r="BQ275" s="61"/>
      <c r="BR275" s="61"/>
      <c r="BS275" s="61"/>
      <c r="BT275" s="61"/>
    </row>
    <row r="276" spans="1:122">
      <c r="D276" s="61"/>
      <c r="E276" s="61"/>
      <c r="F276" s="61"/>
      <c r="G276" s="61"/>
      <c r="H276" s="61"/>
      <c r="I276" s="61"/>
      <c r="J276" s="61"/>
      <c r="K276" s="61"/>
      <c r="L276" s="61"/>
      <c r="M276" s="61"/>
      <c r="N276" s="61"/>
      <c r="O276" s="61"/>
      <c r="P276" s="61"/>
      <c r="Q276" s="61"/>
      <c r="S276" s="61"/>
      <c r="T276" s="61"/>
      <c r="U276" s="61"/>
    </row>
    <row r="277" spans="1:122">
      <c r="D277" s="61"/>
      <c r="E277" s="61"/>
      <c r="F277" s="61"/>
      <c r="G277" s="61"/>
      <c r="H277" s="61"/>
      <c r="I277" s="61"/>
      <c r="J277" s="61"/>
      <c r="K277" s="61"/>
      <c r="L277" s="61"/>
      <c r="M277" s="61"/>
      <c r="N277" s="61"/>
      <c r="O277" s="61"/>
      <c r="P277" s="61"/>
      <c r="Q277" s="61"/>
      <c r="S277" s="61"/>
      <c r="T277" s="61"/>
      <c r="U277" s="61"/>
    </row>
    <row r="278" spans="1:122">
      <c r="D278" s="61"/>
      <c r="E278" s="61"/>
      <c r="F278" s="61"/>
      <c r="G278" s="61"/>
      <c r="H278" s="61"/>
      <c r="I278" s="61"/>
      <c r="J278" s="61"/>
      <c r="K278" s="61"/>
      <c r="L278" s="61"/>
      <c r="M278" s="61"/>
      <c r="N278" s="61"/>
      <c r="O278" s="61"/>
      <c r="P278" s="61"/>
      <c r="Q278" s="61"/>
      <c r="S278" s="61"/>
      <c r="T278" s="61"/>
      <c r="U278" s="61"/>
    </row>
    <row r="279" spans="1:122">
      <c r="D279" s="61"/>
      <c r="E279" s="61"/>
      <c r="F279" s="61"/>
      <c r="G279" s="61"/>
      <c r="H279" s="61"/>
      <c r="I279" s="61"/>
      <c r="J279" s="61"/>
      <c r="K279" s="61"/>
      <c r="L279" s="61"/>
      <c r="M279" s="61"/>
      <c r="N279" s="61"/>
      <c r="O279" s="61"/>
      <c r="P279" s="61"/>
      <c r="Q279" s="61"/>
      <c r="S279" s="61"/>
      <c r="T279" s="61"/>
      <c r="U279" s="61"/>
    </row>
    <row r="280" spans="1:122">
      <c r="D280" s="61"/>
      <c r="E280" s="61"/>
      <c r="F280" s="61"/>
      <c r="G280" s="61"/>
      <c r="H280" s="61"/>
      <c r="I280" s="61"/>
      <c r="J280" s="61"/>
      <c r="K280" s="61"/>
      <c r="L280" s="61"/>
      <c r="M280" s="61"/>
      <c r="N280" s="61"/>
      <c r="O280" s="61"/>
      <c r="P280" s="61"/>
      <c r="Q280" s="61"/>
      <c r="S280" s="61"/>
      <c r="T280" s="61"/>
      <c r="U280" s="61"/>
    </row>
    <row r="281" spans="1:122">
      <c r="D281" s="61"/>
      <c r="E281" s="61"/>
      <c r="F281" s="61"/>
      <c r="G281" s="61"/>
      <c r="H281" s="61"/>
      <c r="I281" s="61"/>
      <c r="J281" s="61"/>
      <c r="K281" s="61"/>
      <c r="L281" s="61"/>
      <c r="M281" s="61"/>
      <c r="N281" s="61"/>
      <c r="O281" s="61"/>
      <c r="P281" s="61"/>
      <c r="Q281" s="61"/>
      <c r="S281" s="61"/>
      <c r="T281" s="61"/>
      <c r="U281" s="61"/>
    </row>
    <row r="282" spans="1:122">
      <c r="D282" s="61"/>
      <c r="E282" s="61"/>
      <c r="F282" s="61"/>
      <c r="G282" s="61"/>
      <c r="H282" s="61"/>
      <c r="I282" s="61"/>
      <c r="J282" s="61"/>
      <c r="K282" s="61"/>
      <c r="L282" s="61"/>
      <c r="M282" s="61"/>
      <c r="N282" s="61"/>
      <c r="O282" s="61"/>
      <c r="P282" s="61"/>
      <c r="Q282" s="61"/>
      <c r="S282" s="61"/>
      <c r="T282" s="61"/>
      <c r="U282" s="61"/>
    </row>
    <row r="283" spans="1:122">
      <c r="D283" s="61"/>
      <c r="E283" s="61"/>
      <c r="F283" s="61"/>
      <c r="G283" s="61"/>
      <c r="H283" s="61"/>
      <c r="I283" s="61"/>
      <c r="J283" s="61"/>
      <c r="K283" s="61"/>
      <c r="L283" s="61"/>
      <c r="M283" s="61"/>
      <c r="N283" s="61"/>
      <c r="O283" s="61"/>
      <c r="P283" s="61"/>
      <c r="Q283" s="61"/>
      <c r="S283" s="61"/>
      <c r="T283" s="61"/>
      <c r="U283" s="61"/>
    </row>
    <row r="284" spans="1:122">
      <c r="D284" s="61"/>
      <c r="E284" s="61"/>
      <c r="F284" s="61"/>
      <c r="G284" s="61"/>
      <c r="H284" s="61"/>
      <c r="I284" s="61"/>
      <c r="J284" s="61"/>
      <c r="K284" s="61"/>
      <c r="L284" s="61"/>
      <c r="M284" s="61"/>
      <c r="N284" s="61"/>
      <c r="O284" s="61"/>
      <c r="P284" s="61"/>
      <c r="Q284" s="61"/>
      <c r="S284" s="61"/>
      <c r="T284" s="61"/>
      <c r="U284" s="61"/>
    </row>
    <row r="285" spans="1:122">
      <c r="D285" s="61"/>
      <c r="E285" s="61"/>
      <c r="F285" s="61"/>
      <c r="G285" s="61"/>
      <c r="H285" s="61"/>
      <c r="I285" s="61"/>
      <c r="J285" s="61"/>
      <c r="K285" s="61"/>
      <c r="L285" s="61"/>
      <c r="M285" s="61"/>
      <c r="N285" s="61"/>
      <c r="O285" s="61"/>
      <c r="P285" s="61"/>
      <c r="Q285" s="61"/>
      <c r="S285" s="61"/>
      <c r="T285" s="61"/>
      <c r="U285" s="61"/>
    </row>
    <row r="286" spans="1:122">
      <c r="D286" s="61"/>
      <c r="E286" s="61"/>
      <c r="F286" s="61"/>
      <c r="G286" s="61"/>
      <c r="H286" s="61"/>
      <c r="I286" s="61"/>
      <c r="J286" s="61"/>
      <c r="K286" s="61"/>
      <c r="L286" s="61"/>
      <c r="M286" s="61"/>
      <c r="N286" s="61"/>
      <c r="O286" s="61"/>
      <c r="P286" s="61"/>
      <c r="Q286" s="61"/>
      <c r="S286" s="61"/>
      <c r="T286" s="61"/>
      <c r="U286" s="61"/>
    </row>
    <row r="287" spans="1:122">
      <c r="D287" s="61"/>
      <c r="E287" s="61"/>
      <c r="F287" s="61"/>
      <c r="G287" s="61"/>
      <c r="H287" s="61"/>
      <c r="I287" s="61"/>
      <c r="J287" s="61"/>
      <c r="K287" s="61"/>
      <c r="L287" s="61"/>
      <c r="M287" s="61"/>
      <c r="N287" s="61"/>
      <c r="O287" s="61"/>
      <c r="P287" s="61"/>
      <c r="Q287" s="61"/>
      <c r="S287" s="61"/>
      <c r="T287" s="61"/>
      <c r="U287" s="61"/>
      <c r="BQ287" s="61"/>
      <c r="BR287" s="61"/>
      <c r="BS287" s="61"/>
      <c r="BT287" s="61"/>
    </row>
    <row r="288" spans="1:122">
      <c r="D288" s="61"/>
      <c r="E288" s="61"/>
      <c r="F288" s="61"/>
      <c r="G288" s="61"/>
      <c r="H288" s="61"/>
      <c r="I288" s="61"/>
      <c r="J288" s="61"/>
      <c r="K288" s="61"/>
      <c r="L288" s="61"/>
      <c r="M288" s="61"/>
      <c r="N288" s="61"/>
      <c r="O288" s="61"/>
      <c r="P288" s="61"/>
      <c r="Q288" s="61"/>
      <c r="S288" s="61"/>
      <c r="T288" s="61"/>
      <c r="U288" s="61"/>
      <c r="BQ288" s="61"/>
      <c r="BR288" s="61"/>
      <c r="BS288" s="61"/>
      <c r="BT288" s="61"/>
    </row>
    <row r="289" spans="1:122">
      <c r="D289" s="61"/>
      <c r="E289" s="61"/>
      <c r="F289" s="61"/>
      <c r="G289" s="61"/>
      <c r="H289" s="61"/>
      <c r="I289" s="61"/>
      <c r="J289" s="61"/>
      <c r="K289" s="61"/>
      <c r="L289" s="61"/>
      <c r="M289" s="61"/>
      <c r="N289" s="61"/>
      <c r="O289" s="61"/>
      <c r="P289" s="61"/>
      <c r="Q289" s="61"/>
      <c r="S289" s="61"/>
      <c r="T289" s="61"/>
      <c r="U289" s="61"/>
      <c r="BQ289" s="61"/>
      <c r="BR289" s="61"/>
      <c r="BS289" s="61"/>
      <c r="BT289" s="61"/>
    </row>
    <row r="290" spans="1:122">
      <c r="D290" s="61"/>
      <c r="E290" s="61"/>
      <c r="F290" s="61"/>
      <c r="G290" s="61"/>
      <c r="H290" s="61"/>
      <c r="I290" s="61"/>
      <c r="J290" s="61"/>
      <c r="K290" s="61"/>
      <c r="L290" s="61"/>
      <c r="M290" s="61"/>
      <c r="N290" s="61"/>
      <c r="O290" s="61"/>
      <c r="P290" s="61"/>
      <c r="Q290" s="61"/>
      <c r="S290" s="61"/>
      <c r="T290" s="61"/>
      <c r="U290" s="61"/>
      <c r="BQ290" s="61"/>
      <c r="BR290" s="61"/>
      <c r="BS290" s="61"/>
      <c r="BT290" s="61"/>
    </row>
    <row r="291" spans="1:122">
      <c r="D291" s="61"/>
      <c r="E291" s="61"/>
      <c r="F291" s="61"/>
      <c r="G291" s="61"/>
      <c r="H291" s="61"/>
      <c r="I291" s="61"/>
      <c r="J291" s="61"/>
      <c r="K291" s="61"/>
      <c r="L291" s="61"/>
      <c r="M291" s="61"/>
      <c r="N291" s="61"/>
      <c r="O291" s="61"/>
      <c r="P291" s="61"/>
      <c r="Q291" s="61"/>
      <c r="S291" s="61"/>
      <c r="T291" s="61"/>
      <c r="U291" s="61"/>
      <c r="BQ291" s="61"/>
      <c r="BR291" s="61"/>
      <c r="BS291" s="61"/>
      <c r="BT291" s="61"/>
    </row>
    <row r="292" spans="1:122">
      <c r="D292" s="61"/>
      <c r="E292" s="61"/>
      <c r="F292" s="61"/>
      <c r="G292" s="61"/>
      <c r="H292" s="61"/>
      <c r="I292" s="61"/>
      <c r="J292" s="61"/>
      <c r="K292" s="61"/>
      <c r="L292" s="61"/>
      <c r="M292" s="61"/>
      <c r="N292" s="61"/>
      <c r="O292" s="61"/>
      <c r="P292" s="61"/>
      <c r="Q292" s="61"/>
      <c r="S292" s="61"/>
      <c r="T292" s="61"/>
      <c r="U292" s="61"/>
      <c r="BQ292" s="61"/>
      <c r="BR292" s="61"/>
      <c r="BS292" s="61"/>
      <c r="BT292" s="61"/>
    </row>
    <row r="293" spans="1:122">
      <c r="D293" s="61"/>
      <c r="E293" s="61"/>
      <c r="F293" s="61"/>
      <c r="G293" s="61"/>
      <c r="H293" s="61"/>
      <c r="I293" s="61"/>
      <c r="J293" s="61"/>
      <c r="K293" s="61"/>
      <c r="L293" s="61"/>
      <c r="M293" s="61"/>
      <c r="N293" s="61"/>
      <c r="O293" s="61"/>
      <c r="P293" s="61"/>
      <c r="Q293" s="61"/>
      <c r="S293" s="61"/>
      <c r="T293" s="61"/>
      <c r="U293" s="61"/>
      <c r="BQ293" s="61"/>
      <c r="BR293" s="61"/>
      <c r="BS293" s="61"/>
      <c r="BT293" s="61"/>
    </row>
    <row r="294" spans="1:122">
      <c r="D294" s="61"/>
      <c r="E294" s="61"/>
      <c r="F294" s="61"/>
      <c r="G294" s="61"/>
      <c r="H294" s="61"/>
      <c r="I294" s="61"/>
      <c r="J294" s="61"/>
      <c r="K294" s="61"/>
      <c r="L294" s="61"/>
      <c r="M294" s="61"/>
      <c r="N294" s="61"/>
      <c r="O294" s="61"/>
      <c r="P294" s="61"/>
      <c r="Q294" s="61"/>
      <c r="S294" s="61"/>
      <c r="T294" s="61"/>
      <c r="U294" s="61"/>
      <c r="BQ294" s="61"/>
      <c r="BR294" s="61"/>
      <c r="BS294" s="61"/>
      <c r="BT294" s="61"/>
    </row>
    <row r="295" spans="1:122">
      <c r="D295" s="61"/>
      <c r="E295" s="61"/>
      <c r="F295" s="61"/>
      <c r="G295" s="61"/>
      <c r="H295" s="61"/>
      <c r="I295" s="61"/>
      <c r="J295" s="61"/>
      <c r="K295" s="61"/>
      <c r="L295" s="61"/>
      <c r="M295" s="61"/>
      <c r="N295" s="61"/>
      <c r="O295" s="61"/>
      <c r="P295" s="61"/>
      <c r="Q295" s="61"/>
      <c r="S295" s="61"/>
      <c r="T295" s="61"/>
      <c r="U295" s="61"/>
      <c r="BQ295" s="61"/>
      <c r="BR295" s="61"/>
      <c r="BS295" s="61"/>
      <c r="BT295" s="61"/>
    </row>
    <row r="296" spans="1:122">
      <c r="D296" s="61"/>
      <c r="E296" s="61"/>
      <c r="F296" s="61"/>
      <c r="G296" s="61"/>
      <c r="H296" s="61"/>
      <c r="I296" s="61"/>
      <c r="J296" s="61"/>
      <c r="K296" s="61"/>
      <c r="L296" s="61"/>
      <c r="M296" s="61"/>
      <c r="N296" s="61"/>
      <c r="O296" s="61"/>
      <c r="P296" s="61"/>
      <c r="Q296" s="61"/>
      <c r="S296" s="61"/>
      <c r="T296" s="61"/>
      <c r="U296" s="61"/>
      <c r="BQ296" s="61"/>
      <c r="BR296" s="61"/>
      <c r="BS296" s="61"/>
      <c r="BT296" s="61"/>
    </row>
    <row r="297" spans="1:122">
      <c r="D297" s="61"/>
      <c r="E297" s="61"/>
      <c r="F297" s="61"/>
      <c r="G297" s="61"/>
      <c r="H297" s="61"/>
      <c r="I297" s="61"/>
      <c r="J297" s="61"/>
      <c r="K297" s="61"/>
      <c r="L297" s="61"/>
      <c r="M297" s="61"/>
      <c r="N297" s="61"/>
      <c r="O297" s="61"/>
      <c r="P297" s="61"/>
      <c r="Q297" s="61"/>
      <c r="S297" s="61"/>
      <c r="T297" s="61"/>
      <c r="U297" s="61"/>
      <c r="BQ297" s="61"/>
      <c r="BR297" s="61"/>
      <c r="BS297" s="61"/>
      <c r="BT297" s="61"/>
    </row>
    <row r="298" spans="1:122">
      <c r="D298" s="61"/>
      <c r="E298" s="61"/>
      <c r="F298" s="61"/>
      <c r="G298" s="61"/>
      <c r="H298" s="61"/>
      <c r="I298" s="61"/>
      <c r="J298" s="61"/>
      <c r="K298" s="61"/>
      <c r="L298" s="61"/>
      <c r="M298" s="61"/>
      <c r="N298" s="61"/>
      <c r="O298" s="61"/>
      <c r="P298" s="61"/>
      <c r="Q298" s="61"/>
      <c r="S298" s="61"/>
      <c r="T298" s="61"/>
      <c r="U298" s="61"/>
      <c r="BQ298" s="61"/>
      <c r="BR298" s="61"/>
      <c r="BS298" s="61"/>
      <c r="BT298" s="61"/>
    </row>
    <row r="299" spans="1:122">
      <c r="D299" s="61"/>
      <c r="E299" s="61"/>
      <c r="F299" s="61"/>
      <c r="G299" s="61"/>
      <c r="H299" s="61"/>
      <c r="I299" s="61"/>
      <c r="J299" s="61"/>
      <c r="K299" s="61"/>
      <c r="L299" s="61"/>
      <c r="M299" s="61"/>
      <c r="N299" s="61"/>
      <c r="O299" s="61"/>
      <c r="P299" s="61"/>
      <c r="Q299" s="61"/>
      <c r="S299" s="61"/>
      <c r="T299" s="61"/>
      <c r="U299" s="61"/>
      <c r="BQ299" s="61"/>
      <c r="BR299" s="61"/>
      <c r="BS299" s="61"/>
      <c r="BT299" s="61"/>
    </row>
    <row r="300" spans="1:122">
      <c r="D300" s="61"/>
      <c r="E300" s="61"/>
      <c r="F300" s="61"/>
      <c r="G300" s="61"/>
      <c r="H300" s="61"/>
      <c r="I300" s="61"/>
      <c r="J300" s="61"/>
      <c r="K300" s="61"/>
      <c r="L300" s="61"/>
      <c r="M300" s="61"/>
      <c r="N300" s="61"/>
      <c r="O300" s="61"/>
      <c r="P300" s="61"/>
      <c r="Q300" s="61"/>
      <c r="S300" s="61"/>
      <c r="T300" s="61"/>
      <c r="U300" s="61"/>
      <c r="BQ300" s="61"/>
      <c r="BR300" s="61"/>
      <c r="BS300" s="61"/>
      <c r="BT300" s="61"/>
    </row>
    <row r="301" spans="1:122">
      <c r="D301" s="61"/>
      <c r="E301" s="61"/>
      <c r="F301" s="61"/>
      <c r="G301" s="61"/>
      <c r="H301" s="61"/>
      <c r="I301" s="61"/>
      <c r="J301" s="61"/>
      <c r="K301" s="61"/>
      <c r="L301" s="61"/>
      <c r="M301" s="61"/>
      <c r="N301" s="61"/>
      <c r="O301" s="61"/>
      <c r="P301" s="61"/>
      <c r="Q301" s="61"/>
      <c r="S301" s="61"/>
      <c r="T301" s="61"/>
      <c r="U301" s="61"/>
      <c r="BQ301" s="61"/>
      <c r="BR301" s="61"/>
      <c r="BS301" s="61"/>
      <c r="BT301" s="61"/>
    </row>
    <row r="302" spans="1:122">
      <c r="D302" s="61"/>
      <c r="E302" s="61"/>
      <c r="F302" s="61"/>
      <c r="G302" s="61"/>
      <c r="H302" s="61"/>
      <c r="I302" s="61"/>
      <c r="J302" s="61"/>
      <c r="K302" s="61"/>
      <c r="L302" s="61"/>
      <c r="M302" s="61"/>
      <c r="N302" s="61"/>
      <c r="O302" s="61"/>
      <c r="P302" s="61"/>
      <c r="Q302" s="61"/>
      <c r="S302" s="61"/>
      <c r="T302" s="61"/>
      <c r="U302" s="61"/>
      <c r="BQ302" s="61"/>
      <c r="BR302" s="61"/>
      <c r="BS302" s="61"/>
      <c r="BT302" s="61"/>
    </row>
    <row r="303" spans="1:122">
      <c r="D303" s="61"/>
      <c r="E303" s="61"/>
      <c r="F303" s="61"/>
      <c r="G303" s="61"/>
      <c r="H303" s="61"/>
      <c r="I303" s="61"/>
      <c r="J303" s="61"/>
      <c r="K303" s="61"/>
      <c r="L303" s="61"/>
      <c r="M303" s="61"/>
      <c r="N303" s="61"/>
      <c r="O303" s="61"/>
      <c r="P303" s="61"/>
      <c r="Q303" s="61"/>
      <c r="S303" s="61"/>
      <c r="T303" s="61"/>
      <c r="U303" s="61"/>
      <c r="BQ303" s="61"/>
      <c r="BR303" s="61"/>
      <c r="BS303" s="61"/>
      <c r="BT303" s="61"/>
    </row>
    <row r="304" spans="1:122">
      <c r="D304" s="61"/>
      <c r="E304" s="61"/>
      <c r="F304" s="61"/>
      <c r="G304" s="61"/>
      <c r="H304" s="61"/>
      <c r="I304" s="61"/>
      <c r="J304" s="61"/>
      <c r="K304" s="61"/>
      <c r="L304" s="61"/>
      <c r="M304" s="61"/>
      <c r="N304" s="61"/>
      <c r="O304" s="61"/>
      <c r="P304" s="61"/>
      <c r="Q304" s="61"/>
      <c r="S304" s="61"/>
      <c r="T304" s="61"/>
      <c r="U304" s="61"/>
      <c r="BQ304" s="61"/>
      <c r="BR304" s="61"/>
      <c r="BS304" s="61"/>
      <c r="BT304" s="61"/>
    </row>
    <row r="305" spans="1:122">
      <c r="D305" s="61"/>
      <c r="E305" s="61"/>
      <c r="F305" s="61"/>
      <c r="G305" s="61"/>
      <c r="H305" s="61"/>
      <c r="I305" s="61"/>
      <c r="J305" s="61"/>
      <c r="K305" s="61"/>
      <c r="L305" s="61"/>
      <c r="M305" s="61"/>
      <c r="N305" s="61"/>
      <c r="O305" s="61"/>
      <c r="P305" s="61"/>
      <c r="Q305" s="61"/>
      <c r="S305" s="61"/>
      <c r="T305" s="61"/>
      <c r="U305" s="61"/>
      <c r="BQ305" s="61"/>
      <c r="BR305" s="61"/>
      <c r="BS305" s="61"/>
      <c r="BT305" s="61"/>
    </row>
    <row r="306" spans="1:122">
      <c r="D306" s="61"/>
      <c r="E306" s="61"/>
      <c r="F306" s="61"/>
      <c r="G306" s="61"/>
      <c r="H306" s="61"/>
      <c r="I306" s="61"/>
      <c r="J306" s="61"/>
      <c r="K306" s="61"/>
      <c r="L306" s="61"/>
      <c r="M306" s="61"/>
      <c r="N306" s="61"/>
      <c r="O306" s="61"/>
      <c r="P306" s="61"/>
      <c r="Q306" s="61"/>
      <c r="S306" s="61"/>
      <c r="T306" s="61"/>
      <c r="U306" s="61"/>
      <c r="BQ306" s="61"/>
      <c r="BR306" s="61"/>
      <c r="BS306" s="61"/>
      <c r="BT306" s="61"/>
    </row>
    <row r="307" spans="1:122">
      <c r="D307" s="61"/>
      <c r="E307" s="61"/>
      <c r="F307" s="61"/>
      <c r="G307" s="61"/>
      <c r="H307" s="61"/>
      <c r="I307" s="61"/>
      <c r="J307" s="61"/>
      <c r="K307" s="61"/>
      <c r="L307" s="61"/>
      <c r="M307" s="61"/>
      <c r="N307" s="61"/>
      <c r="O307" s="61"/>
      <c r="P307" s="61"/>
      <c r="Q307" s="61"/>
      <c r="S307" s="61"/>
      <c r="T307" s="61"/>
      <c r="U307" s="61"/>
      <c r="BQ307" s="61"/>
      <c r="BR307" s="61"/>
      <c r="BS307" s="61"/>
      <c r="BT307" s="61"/>
    </row>
    <row r="308" spans="1:122">
      <c r="D308" s="61"/>
      <c r="E308" s="61"/>
      <c r="F308" s="61"/>
      <c r="G308" s="61"/>
      <c r="H308" s="61"/>
      <c r="I308" s="61"/>
      <c r="J308" s="61"/>
      <c r="K308" s="61"/>
      <c r="L308" s="61"/>
      <c r="M308" s="61"/>
      <c r="N308" s="61"/>
      <c r="O308" s="61"/>
      <c r="P308" s="61"/>
      <c r="Q308" s="61"/>
      <c r="S308" s="61"/>
      <c r="T308" s="61"/>
      <c r="U308" s="61"/>
    </row>
    <row r="309" spans="1:122">
      <c r="D309" s="61"/>
      <c r="E309" s="61"/>
      <c r="F309" s="61"/>
      <c r="G309" s="61"/>
      <c r="H309" s="61"/>
      <c r="I309" s="61"/>
      <c r="J309" s="61"/>
      <c r="K309" s="61"/>
      <c r="L309" s="61"/>
      <c r="M309" s="61"/>
      <c r="N309" s="61"/>
      <c r="O309" s="61"/>
      <c r="P309" s="61"/>
      <c r="Q309" s="61"/>
      <c r="S309" s="61"/>
      <c r="T309" s="61"/>
      <c r="U309" s="61"/>
    </row>
    <row r="310" spans="1:122">
      <c r="D310" s="61"/>
      <c r="E310" s="61"/>
      <c r="F310" s="61"/>
      <c r="G310" s="61"/>
      <c r="H310" s="61"/>
      <c r="I310" s="61"/>
      <c r="J310" s="61"/>
      <c r="K310" s="61"/>
      <c r="L310" s="61"/>
      <c r="M310" s="61"/>
      <c r="N310" s="61"/>
      <c r="O310" s="61"/>
      <c r="P310" s="61"/>
      <c r="Q310" s="61"/>
      <c r="S310" s="61"/>
      <c r="T310" s="61"/>
      <c r="U310" s="61"/>
    </row>
    <row r="311" spans="1:122">
      <c r="D311" s="61"/>
      <c r="E311" s="61"/>
      <c r="F311" s="61"/>
      <c r="G311" s="61"/>
      <c r="H311" s="61"/>
      <c r="I311" s="61"/>
      <c r="J311" s="61"/>
      <c r="K311" s="61"/>
      <c r="L311" s="61"/>
      <c r="M311" s="61"/>
      <c r="N311" s="61"/>
      <c r="O311" s="61"/>
      <c r="P311" s="61"/>
      <c r="Q311" s="61"/>
      <c r="S311" s="61"/>
      <c r="T311" s="61"/>
      <c r="U311" s="61"/>
    </row>
    <row r="312" spans="1:122">
      <c r="D312" s="61"/>
      <c r="E312" s="61"/>
      <c r="F312" s="61"/>
      <c r="G312" s="61"/>
      <c r="H312" s="61"/>
      <c r="I312" s="61"/>
      <c r="J312" s="61"/>
      <c r="K312" s="61"/>
      <c r="L312" s="61"/>
      <c r="M312" s="61"/>
      <c r="N312" s="61"/>
      <c r="O312" s="61"/>
      <c r="P312" s="61"/>
      <c r="Q312" s="61"/>
      <c r="S312" s="61"/>
      <c r="T312" s="61"/>
      <c r="U312" s="61"/>
    </row>
    <row r="313" spans="1:122">
      <c r="D313" s="61"/>
      <c r="E313" s="61"/>
      <c r="F313" s="61"/>
      <c r="G313" s="61"/>
      <c r="H313" s="61"/>
      <c r="I313" s="61"/>
      <c r="J313" s="61"/>
      <c r="K313" s="61"/>
      <c r="L313" s="61"/>
      <c r="M313" s="61"/>
      <c r="N313" s="61"/>
      <c r="O313" s="61"/>
      <c r="P313" s="61"/>
      <c r="Q313" s="61"/>
      <c r="S313" s="61"/>
      <c r="T313" s="61"/>
      <c r="U313" s="61"/>
    </row>
    <row r="314" spans="1:122">
      <c r="D314" s="61"/>
      <c r="E314" s="61"/>
      <c r="F314" s="61"/>
      <c r="G314" s="61"/>
      <c r="H314" s="61"/>
      <c r="I314" s="61"/>
      <c r="J314" s="61"/>
      <c r="K314" s="61"/>
      <c r="L314" s="61"/>
      <c r="M314" s="61"/>
      <c r="N314" s="61"/>
      <c r="O314" s="61"/>
      <c r="P314" s="61"/>
      <c r="Q314" s="61"/>
      <c r="S314" s="61"/>
      <c r="T314" s="61"/>
      <c r="U314" s="61"/>
    </row>
    <row r="315" spans="1:122">
      <c r="D315" s="61"/>
      <c r="E315" s="61"/>
      <c r="F315" s="61"/>
      <c r="G315" s="61"/>
      <c r="H315" s="61"/>
      <c r="I315" s="61"/>
      <c r="J315" s="61"/>
      <c r="K315" s="61"/>
      <c r="L315" s="61"/>
      <c r="M315" s="61"/>
      <c r="N315" s="61"/>
      <c r="O315" s="61"/>
      <c r="P315" s="61"/>
      <c r="Q315" s="61"/>
      <c r="S315" s="61"/>
      <c r="T315" s="61"/>
      <c r="U315" s="61"/>
    </row>
    <row r="316" spans="1:122">
      <c r="D316" s="61"/>
      <c r="E316" s="61"/>
      <c r="F316" s="61"/>
      <c r="G316" s="61"/>
      <c r="H316" s="61"/>
      <c r="I316" s="61"/>
      <c r="J316" s="61"/>
      <c r="K316" s="61"/>
      <c r="L316" s="61"/>
      <c r="M316" s="61"/>
      <c r="N316" s="61"/>
      <c r="O316" s="61"/>
      <c r="P316" s="61"/>
      <c r="Q316" s="61"/>
      <c r="S316" s="61"/>
      <c r="T316" s="61"/>
      <c r="U316" s="61"/>
    </row>
    <row r="317" spans="1:122">
      <c r="D317" s="61"/>
      <c r="E317" s="61"/>
      <c r="F317" s="61"/>
      <c r="G317" s="61"/>
      <c r="H317" s="61"/>
      <c r="I317" s="61"/>
      <c r="J317" s="61"/>
      <c r="K317" s="61"/>
      <c r="L317" s="61"/>
      <c r="M317" s="61"/>
      <c r="N317" s="61"/>
      <c r="O317" s="61"/>
      <c r="P317" s="61"/>
      <c r="Q317" s="61"/>
      <c r="S317" s="61"/>
      <c r="T317" s="61"/>
      <c r="U317" s="61"/>
    </row>
    <row r="318" spans="1:122">
      <c r="D318" s="61"/>
      <c r="E318" s="61"/>
      <c r="F318" s="61"/>
      <c r="G318" s="61"/>
      <c r="H318" s="61"/>
      <c r="I318" s="61"/>
      <c r="J318" s="61"/>
      <c r="K318" s="61"/>
      <c r="L318" s="61"/>
      <c r="M318" s="61"/>
      <c r="N318" s="61"/>
      <c r="O318" s="61"/>
      <c r="P318" s="61"/>
      <c r="Q318" s="61"/>
      <c r="S318" s="61"/>
      <c r="T318" s="61"/>
      <c r="U318" s="61"/>
    </row>
    <row r="319" spans="1:122">
      <c r="D319" s="61"/>
      <c r="E319" s="61"/>
      <c r="F319" s="61"/>
      <c r="G319" s="61"/>
      <c r="H319" s="61"/>
      <c r="I319" s="61"/>
      <c r="J319" s="61"/>
      <c r="K319" s="61"/>
      <c r="L319" s="61"/>
      <c r="M319" s="61"/>
      <c r="N319" s="61"/>
      <c r="O319" s="61"/>
      <c r="P319" s="61"/>
      <c r="Q319" s="61"/>
      <c r="S319" s="61"/>
      <c r="T319" s="61"/>
      <c r="U319" s="61"/>
    </row>
    <row r="320" spans="1:122">
      <c r="D320" s="61"/>
      <c r="E320" s="61"/>
      <c r="F320" s="61"/>
      <c r="G320" s="61"/>
      <c r="H320" s="61"/>
      <c r="I320" s="61"/>
      <c r="J320" s="61"/>
      <c r="K320" s="61"/>
      <c r="L320" s="61"/>
      <c r="M320" s="61"/>
      <c r="N320" s="61"/>
      <c r="O320" s="61"/>
      <c r="P320" s="61"/>
      <c r="Q320" s="61"/>
      <c r="S320" s="61"/>
      <c r="T320" s="61"/>
      <c r="U320" s="61"/>
    </row>
    <row r="321" spans="1:122">
      <c r="D321" s="61"/>
      <c r="E321" s="61"/>
      <c r="F321" s="61"/>
      <c r="G321" s="61"/>
      <c r="H321" s="61"/>
      <c r="I321" s="61"/>
      <c r="J321" s="61"/>
      <c r="K321" s="61"/>
      <c r="L321" s="61"/>
      <c r="M321" s="61"/>
      <c r="N321" s="61"/>
      <c r="O321" s="61"/>
      <c r="P321" s="61"/>
      <c r="Q321" s="61"/>
      <c r="S321" s="61"/>
      <c r="T321" s="61"/>
      <c r="U321" s="61"/>
    </row>
    <row r="322" spans="1:122">
      <c r="D322" s="61"/>
      <c r="E322" s="61"/>
      <c r="F322" s="61"/>
      <c r="G322" s="61"/>
      <c r="H322" s="61"/>
      <c r="I322" s="61"/>
      <c r="J322" s="61"/>
      <c r="K322" s="61"/>
      <c r="L322" s="61"/>
      <c r="M322" s="61"/>
      <c r="N322" s="61"/>
      <c r="O322" s="61"/>
      <c r="P322" s="61"/>
      <c r="Q322" s="61"/>
      <c r="S322" s="61"/>
      <c r="T322" s="61"/>
      <c r="U322" s="61"/>
    </row>
    <row r="323" spans="1:122">
      <c r="D323" s="61"/>
      <c r="E323" s="61"/>
      <c r="F323" s="61"/>
      <c r="G323" s="61"/>
      <c r="H323" s="61"/>
      <c r="I323" s="61"/>
      <c r="J323" s="61"/>
      <c r="K323" s="61"/>
      <c r="L323" s="61"/>
      <c r="M323" s="61"/>
      <c r="N323" s="61"/>
      <c r="O323" s="61"/>
      <c r="P323" s="61"/>
      <c r="Q323" s="61"/>
      <c r="S323" s="61"/>
      <c r="T323" s="61"/>
      <c r="U323" s="61"/>
    </row>
    <row r="324" spans="1:122">
      <c r="D324" s="61"/>
      <c r="E324" s="61"/>
      <c r="F324" s="61"/>
      <c r="G324" s="61"/>
      <c r="H324" s="61"/>
      <c r="I324" s="61"/>
      <c r="J324" s="61"/>
      <c r="K324" s="61"/>
      <c r="L324" s="61"/>
      <c r="M324" s="61"/>
      <c r="N324" s="61"/>
      <c r="O324" s="61"/>
      <c r="P324" s="61"/>
      <c r="Q324" s="61"/>
      <c r="S324" s="61"/>
      <c r="T324" s="61"/>
      <c r="U324" s="61"/>
    </row>
    <row r="325" spans="1:122">
      <c r="D325" s="61"/>
      <c r="E325" s="61"/>
      <c r="F325" s="61"/>
      <c r="G325" s="61"/>
      <c r="H325" s="61"/>
      <c r="I325" s="61"/>
      <c r="J325" s="61"/>
      <c r="K325" s="61"/>
      <c r="L325" s="61"/>
      <c r="M325" s="61"/>
      <c r="N325" s="61"/>
      <c r="O325" s="61"/>
      <c r="P325" s="61"/>
      <c r="Q325" s="61"/>
      <c r="S325" s="61"/>
      <c r="T325" s="61"/>
      <c r="U325" s="61"/>
    </row>
    <row r="326" spans="1:122">
      <c r="D326" s="61"/>
      <c r="E326" s="61"/>
      <c r="F326" s="61"/>
      <c r="G326" s="61"/>
      <c r="H326" s="61"/>
      <c r="I326" s="61"/>
      <c r="J326" s="61"/>
      <c r="K326" s="61"/>
      <c r="L326" s="61"/>
      <c r="M326" s="61"/>
      <c r="N326" s="61"/>
      <c r="O326" s="61"/>
      <c r="P326" s="61"/>
      <c r="Q326" s="61"/>
      <c r="S326" s="61"/>
      <c r="T326" s="61"/>
      <c r="U326" s="61"/>
    </row>
    <row r="327" spans="1:122">
      <c r="D327" s="61"/>
      <c r="E327" s="61"/>
      <c r="F327" s="61"/>
      <c r="G327" s="61"/>
      <c r="H327" s="61"/>
      <c r="I327" s="61"/>
      <c r="J327" s="61"/>
      <c r="K327" s="61"/>
      <c r="L327" s="61"/>
      <c r="M327" s="61"/>
      <c r="N327" s="61"/>
      <c r="O327" s="61"/>
      <c r="P327" s="61"/>
      <c r="Q327" s="61"/>
      <c r="S327" s="61"/>
      <c r="T327" s="61"/>
      <c r="U327" s="61"/>
    </row>
    <row r="328" spans="1:122">
      <c r="D328" s="61"/>
      <c r="E328" s="61"/>
      <c r="F328" s="61"/>
      <c r="G328" s="61"/>
      <c r="H328" s="61"/>
      <c r="I328" s="61"/>
      <c r="J328" s="61"/>
      <c r="K328" s="61"/>
      <c r="L328" s="61"/>
      <c r="M328" s="61"/>
      <c r="N328" s="61"/>
      <c r="O328" s="61"/>
      <c r="P328" s="61"/>
      <c r="Q328" s="61"/>
      <c r="S328" s="61"/>
      <c r="T328" s="61"/>
      <c r="U328" s="61"/>
    </row>
    <row r="329" spans="1:122">
      <c r="D329" s="61"/>
      <c r="E329" s="61"/>
      <c r="F329" s="61"/>
      <c r="G329" s="61"/>
      <c r="H329" s="61"/>
      <c r="I329" s="61"/>
      <c r="J329" s="61"/>
      <c r="K329" s="61"/>
      <c r="L329" s="61"/>
      <c r="M329" s="61"/>
      <c r="N329" s="61"/>
      <c r="O329" s="61"/>
      <c r="P329" s="61"/>
      <c r="Q329" s="61"/>
      <c r="S329" s="61"/>
      <c r="T329" s="61"/>
      <c r="U329" s="61"/>
    </row>
    <row r="330" spans="1:122">
      <c r="D330" s="61"/>
      <c r="E330" s="61"/>
      <c r="F330" s="61"/>
      <c r="G330" s="61"/>
      <c r="H330" s="61"/>
      <c r="I330" s="61"/>
      <c r="J330" s="61"/>
      <c r="K330" s="61"/>
      <c r="L330" s="61"/>
      <c r="M330" s="61"/>
      <c r="N330" s="61"/>
      <c r="O330" s="61"/>
      <c r="P330" s="61"/>
      <c r="Q330" s="61"/>
      <c r="S330" s="61"/>
      <c r="T330" s="61"/>
      <c r="U330" s="61"/>
    </row>
    <row r="331" spans="1:122">
      <c r="D331" s="61"/>
      <c r="E331" s="61"/>
      <c r="F331" s="61"/>
      <c r="G331" s="61"/>
      <c r="H331" s="61"/>
      <c r="I331" s="61"/>
      <c r="J331" s="61"/>
      <c r="K331" s="61"/>
      <c r="L331" s="61"/>
      <c r="M331" s="61"/>
      <c r="N331" s="61"/>
      <c r="O331" s="61"/>
      <c r="P331" s="61"/>
      <c r="Q331" s="61"/>
      <c r="S331" s="61"/>
      <c r="T331" s="61"/>
      <c r="U331" s="61"/>
    </row>
    <row r="332" spans="1:122">
      <c r="D332" s="61"/>
      <c r="E332" s="61"/>
      <c r="F332" s="61"/>
      <c r="G332" s="61"/>
      <c r="H332" s="61"/>
      <c r="I332" s="61"/>
      <c r="J332" s="61"/>
      <c r="K332" s="61"/>
      <c r="L332" s="61"/>
      <c r="M332" s="61"/>
      <c r="N332" s="61"/>
      <c r="O332" s="61"/>
      <c r="P332" s="61"/>
      <c r="Q332" s="61"/>
      <c r="S332" s="61"/>
      <c r="T332" s="61"/>
      <c r="U332" s="61"/>
    </row>
    <row r="333" spans="1:122">
      <c r="D333" s="61"/>
      <c r="E333" s="61"/>
      <c r="F333" s="61"/>
      <c r="G333" s="61"/>
      <c r="H333" s="61"/>
      <c r="I333" s="61"/>
      <c r="J333" s="61"/>
      <c r="K333" s="61"/>
      <c r="L333" s="61"/>
      <c r="M333" s="61"/>
      <c r="N333" s="61"/>
      <c r="O333" s="61"/>
      <c r="P333" s="61"/>
      <c r="Q333" s="61"/>
      <c r="S333" s="61"/>
      <c r="T333" s="61"/>
      <c r="U333" s="61"/>
    </row>
    <row r="334" spans="1:122">
      <c r="D334" s="61"/>
      <c r="E334" s="61"/>
      <c r="F334" s="61"/>
      <c r="G334" s="61"/>
      <c r="H334" s="61"/>
      <c r="I334" s="61"/>
      <c r="J334" s="61"/>
      <c r="K334" s="61"/>
      <c r="L334" s="61"/>
      <c r="M334" s="61"/>
      <c r="N334" s="61"/>
      <c r="O334" s="61"/>
      <c r="P334" s="61"/>
      <c r="Q334" s="61"/>
      <c r="S334" s="61"/>
      <c r="T334" s="61"/>
      <c r="U334" s="61"/>
    </row>
    <row r="335" spans="1:122">
      <c r="D335" s="61"/>
      <c r="E335" s="61"/>
      <c r="F335" s="61"/>
      <c r="G335" s="61"/>
      <c r="H335" s="61"/>
      <c r="I335" s="61"/>
      <c r="J335" s="61"/>
      <c r="K335" s="61"/>
      <c r="L335" s="61"/>
      <c r="M335" s="61"/>
      <c r="N335" s="61"/>
      <c r="O335" s="61"/>
      <c r="P335" s="61"/>
      <c r="Q335" s="61"/>
      <c r="S335" s="61"/>
      <c r="T335" s="61"/>
      <c r="U335" s="61"/>
    </row>
    <row r="336" spans="1:122">
      <c r="D336" s="61"/>
      <c r="E336" s="61"/>
      <c r="F336" s="61"/>
      <c r="G336" s="61"/>
      <c r="H336" s="61"/>
      <c r="I336" s="61"/>
      <c r="J336" s="61"/>
      <c r="K336" s="61"/>
      <c r="L336" s="61"/>
      <c r="M336" s="61"/>
      <c r="N336" s="61"/>
      <c r="O336" s="61"/>
      <c r="P336" s="61"/>
      <c r="Q336" s="61"/>
      <c r="S336" s="61"/>
      <c r="T336" s="61"/>
      <c r="U336" s="61"/>
    </row>
    <row r="337" spans="1:122">
      <c r="D337" s="61"/>
      <c r="E337" s="61"/>
      <c r="F337" s="61"/>
      <c r="G337" s="61"/>
      <c r="H337" s="61"/>
      <c r="I337" s="61"/>
      <c r="J337" s="61"/>
      <c r="K337" s="61"/>
      <c r="L337" s="61"/>
      <c r="M337" s="61"/>
      <c r="N337" s="61"/>
      <c r="O337" s="61"/>
      <c r="P337" s="61"/>
      <c r="Q337" s="61"/>
      <c r="S337" s="61"/>
      <c r="T337" s="61"/>
      <c r="U337" s="61"/>
    </row>
    <row r="338" spans="1:122">
      <c r="D338" s="61"/>
      <c r="E338" s="61"/>
      <c r="F338" s="61"/>
      <c r="G338" s="61"/>
      <c r="H338" s="61"/>
      <c r="I338" s="61"/>
      <c r="J338" s="61"/>
      <c r="K338" s="61"/>
      <c r="L338" s="61"/>
      <c r="M338" s="61"/>
      <c r="N338" s="61"/>
      <c r="O338" s="61"/>
      <c r="P338" s="61"/>
      <c r="Q338" s="61"/>
      <c r="S338" s="61"/>
      <c r="T338" s="61"/>
      <c r="U338" s="61"/>
    </row>
    <row r="339" spans="1:122">
      <c r="D339" s="61"/>
      <c r="E339" s="61"/>
      <c r="F339" s="61"/>
      <c r="G339" s="61"/>
      <c r="H339" s="61"/>
      <c r="I339" s="61"/>
      <c r="J339" s="61"/>
      <c r="K339" s="61"/>
      <c r="L339" s="61"/>
      <c r="M339" s="61"/>
      <c r="N339" s="61"/>
      <c r="O339" s="61"/>
      <c r="P339" s="61"/>
      <c r="Q339" s="61"/>
      <c r="S339" s="61"/>
      <c r="T339" s="61"/>
      <c r="U339" s="61"/>
    </row>
    <row r="340" spans="1:122">
      <c r="D340" s="61"/>
      <c r="E340" s="61"/>
      <c r="F340" s="61"/>
      <c r="G340" s="61"/>
      <c r="H340" s="61"/>
      <c r="I340" s="61"/>
      <c r="J340" s="61"/>
      <c r="K340" s="61"/>
      <c r="L340" s="61"/>
      <c r="M340" s="61"/>
      <c r="N340" s="61"/>
      <c r="O340" s="61"/>
      <c r="P340" s="61"/>
      <c r="Q340" s="61"/>
      <c r="S340" s="61"/>
      <c r="T340" s="61"/>
      <c r="U340" s="61"/>
    </row>
    <row r="341" spans="1:122">
      <c r="D341" s="61"/>
      <c r="E341" s="61"/>
      <c r="F341" s="61"/>
      <c r="G341" s="61"/>
      <c r="H341" s="61"/>
      <c r="I341" s="61"/>
      <c r="J341" s="61"/>
      <c r="K341" s="61"/>
      <c r="L341" s="61"/>
      <c r="M341" s="61"/>
      <c r="N341" s="61"/>
      <c r="O341" s="61"/>
      <c r="P341" s="61"/>
      <c r="Q341" s="61"/>
      <c r="S341" s="61"/>
      <c r="T341" s="61"/>
      <c r="U341" s="61"/>
    </row>
    <row r="342" spans="1:122">
      <c r="D342" s="61"/>
      <c r="E342" s="61"/>
      <c r="F342" s="61"/>
      <c r="G342" s="61"/>
      <c r="H342" s="61"/>
      <c r="I342" s="61"/>
      <c r="J342" s="61"/>
      <c r="K342" s="61"/>
      <c r="L342" s="61"/>
      <c r="M342" s="61"/>
      <c r="N342" s="61"/>
      <c r="O342" s="61"/>
      <c r="P342" s="61"/>
      <c r="Q342" s="61"/>
      <c r="S342" s="61"/>
      <c r="T342" s="61"/>
      <c r="U342" s="61"/>
    </row>
    <row r="343" spans="1:122">
      <c r="D343" s="61"/>
      <c r="E343" s="61"/>
      <c r="F343" s="61"/>
      <c r="G343" s="61"/>
      <c r="H343" s="61"/>
      <c r="I343" s="61"/>
      <c r="J343" s="61"/>
      <c r="K343" s="61"/>
      <c r="L343" s="61"/>
      <c r="M343" s="61"/>
      <c r="N343" s="61"/>
      <c r="O343" s="61"/>
      <c r="P343" s="61"/>
      <c r="Q343" s="61"/>
      <c r="S343" s="61"/>
      <c r="T343" s="61"/>
      <c r="U343" s="61"/>
    </row>
    <row r="344" spans="1:122">
      <c r="D344" s="61"/>
      <c r="E344" s="61"/>
      <c r="F344" s="61"/>
      <c r="G344" s="61"/>
      <c r="H344" s="61"/>
      <c r="I344" s="61"/>
      <c r="J344" s="61"/>
      <c r="K344" s="61"/>
      <c r="L344" s="61"/>
      <c r="M344" s="61"/>
      <c r="N344" s="61"/>
      <c r="O344" s="61"/>
      <c r="P344" s="61"/>
      <c r="Q344" s="61"/>
      <c r="S344" s="61"/>
      <c r="T344" s="61"/>
      <c r="U344" s="61"/>
    </row>
    <row r="345" spans="1:122">
      <c r="D345" s="61"/>
      <c r="E345" s="61"/>
      <c r="F345" s="61"/>
      <c r="G345" s="61"/>
      <c r="H345" s="61"/>
      <c r="I345" s="61"/>
      <c r="J345" s="61"/>
      <c r="K345" s="61"/>
      <c r="L345" s="61"/>
      <c r="M345" s="61"/>
      <c r="N345" s="61"/>
      <c r="O345" s="61"/>
      <c r="P345" s="61"/>
      <c r="Q345" s="61"/>
      <c r="S345" s="61"/>
      <c r="T345" s="61"/>
      <c r="U345" s="61"/>
    </row>
    <row r="346" spans="1:122">
      <c r="D346" s="61"/>
      <c r="E346" s="61"/>
      <c r="F346" s="61"/>
      <c r="G346" s="61"/>
      <c r="H346" s="61"/>
      <c r="I346" s="61"/>
      <c r="J346" s="61"/>
      <c r="K346" s="61"/>
      <c r="L346" s="61"/>
      <c r="M346" s="61"/>
      <c r="N346" s="61"/>
      <c r="O346" s="61"/>
      <c r="P346" s="61"/>
      <c r="Q346" s="61"/>
      <c r="S346" s="61"/>
      <c r="T346" s="61"/>
      <c r="U346" s="61"/>
    </row>
    <row r="347" spans="1:122">
      <c r="D347" s="61"/>
      <c r="E347" s="61"/>
      <c r="F347" s="61"/>
      <c r="G347" s="61"/>
      <c r="H347" s="61"/>
      <c r="I347" s="61"/>
      <c r="J347" s="61"/>
      <c r="K347" s="61"/>
      <c r="L347" s="61"/>
      <c r="M347" s="61"/>
      <c r="N347" s="61"/>
      <c r="O347" s="61"/>
      <c r="P347" s="61"/>
      <c r="Q347" s="61"/>
      <c r="S347" s="61"/>
      <c r="T347" s="61"/>
      <c r="U347" s="61"/>
    </row>
    <row r="348" spans="1:122">
      <c r="D348" s="61"/>
      <c r="E348" s="61"/>
      <c r="F348" s="61"/>
      <c r="G348" s="61"/>
      <c r="H348" s="61"/>
      <c r="I348" s="61"/>
      <c r="J348" s="61"/>
      <c r="K348" s="61"/>
      <c r="L348" s="61"/>
      <c r="M348" s="61"/>
      <c r="N348" s="61"/>
      <c r="O348" s="61"/>
      <c r="P348" s="61"/>
      <c r="Q348" s="61"/>
      <c r="S348" s="61"/>
      <c r="T348" s="61"/>
      <c r="U348" s="61"/>
    </row>
    <row r="349" spans="1:122">
      <c r="D349" s="61"/>
      <c r="E349" s="61"/>
      <c r="F349" s="61"/>
      <c r="G349" s="61"/>
      <c r="H349" s="61"/>
      <c r="I349" s="61"/>
      <c r="J349" s="61"/>
      <c r="K349" s="61"/>
      <c r="L349" s="61"/>
      <c r="M349" s="61"/>
      <c r="N349" s="61"/>
      <c r="O349" s="61"/>
      <c r="P349" s="61"/>
      <c r="Q349" s="61"/>
      <c r="S349" s="61"/>
      <c r="T349" s="61"/>
      <c r="U349" s="61"/>
    </row>
    <row r="350" spans="1:122">
      <c r="D350" s="61"/>
      <c r="E350" s="61"/>
      <c r="F350" s="61"/>
      <c r="G350" s="61"/>
      <c r="H350" s="61"/>
      <c r="I350" s="61"/>
      <c r="J350" s="61"/>
      <c r="K350" s="61"/>
      <c r="L350" s="61"/>
      <c r="M350" s="61"/>
      <c r="N350" s="61"/>
      <c r="O350" s="61"/>
      <c r="P350" s="61"/>
      <c r="Q350" s="61"/>
      <c r="S350" s="61"/>
      <c r="T350" s="61"/>
      <c r="U350" s="61"/>
    </row>
    <row r="351" spans="1:122">
      <c r="D351" s="61"/>
      <c r="E351" s="61"/>
      <c r="F351" s="61"/>
      <c r="G351" s="61"/>
      <c r="H351" s="61"/>
      <c r="I351" s="61"/>
      <c r="J351" s="61"/>
      <c r="K351" s="61"/>
      <c r="L351" s="61"/>
      <c r="M351" s="61"/>
      <c r="N351" s="61"/>
      <c r="O351" s="61"/>
      <c r="P351" s="61"/>
      <c r="Q351" s="61"/>
      <c r="S351" s="61"/>
      <c r="T351" s="61"/>
      <c r="U351" s="61"/>
    </row>
    <row r="352" spans="1:122">
      <c r="D352" s="61"/>
      <c r="E352" s="61"/>
      <c r="F352" s="61"/>
      <c r="G352" s="61"/>
      <c r="H352" s="61"/>
      <c r="I352" s="61"/>
      <c r="J352" s="61"/>
      <c r="K352" s="61"/>
      <c r="L352" s="61"/>
      <c r="M352" s="61"/>
      <c r="N352" s="61"/>
      <c r="O352" s="61"/>
      <c r="P352" s="61"/>
      <c r="Q352" s="61"/>
      <c r="S352" s="61"/>
      <c r="T352" s="61"/>
      <c r="U352" s="61"/>
    </row>
    <row r="353" spans="1:122">
      <c r="D353" s="61"/>
      <c r="E353" s="61"/>
      <c r="F353" s="61"/>
      <c r="G353" s="61"/>
      <c r="H353" s="61"/>
      <c r="I353" s="61"/>
      <c r="J353" s="61"/>
      <c r="K353" s="61"/>
      <c r="L353" s="61"/>
      <c r="M353" s="61"/>
      <c r="N353" s="61"/>
      <c r="O353" s="61"/>
      <c r="P353" s="61"/>
      <c r="Q353" s="61"/>
      <c r="S353" s="61"/>
      <c r="T353" s="61"/>
      <c r="U353" s="61"/>
    </row>
    <row r="354" spans="1:122">
      <c r="D354" s="61"/>
      <c r="E354" s="61"/>
      <c r="F354" s="61"/>
      <c r="G354" s="61"/>
      <c r="H354" s="61"/>
      <c r="I354" s="61"/>
      <c r="J354" s="61"/>
      <c r="K354" s="61"/>
      <c r="L354" s="61"/>
      <c r="M354" s="61"/>
      <c r="N354" s="61"/>
      <c r="O354" s="61"/>
      <c r="P354" s="61"/>
      <c r="Q354" s="61"/>
      <c r="S354" s="61"/>
      <c r="T354" s="61"/>
      <c r="U354" s="61"/>
    </row>
    <row r="355" spans="1:122">
      <c r="D355" s="61"/>
      <c r="E355" s="61"/>
      <c r="F355" s="61"/>
      <c r="G355" s="61"/>
      <c r="H355" s="61"/>
      <c r="I355" s="61"/>
      <c r="J355" s="61"/>
      <c r="K355" s="61"/>
      <c r="L355" s="61"/>
      <c r="M355" s="61"/>
      <c r="N355" s="61"/>
      <c r="O355" s="61"/>
      <c r="P355" s="61"/>
      <c r="Q355" s="61"/>
      <c r="S355" s="61"/>
      <c r="T355" s="61"/>
      <c r="U355" s="61"/>
    </row>
    <row r="356" spans="1:122">
      <c r="D356" s="61"/>
      <c r="E356" s="61"/>
      <c r="F356" s="61"/>
      <c r="G356" s="61"/>
      <c r="H356" s="61"/>
      <c r="I356" s="61"/>
      <c r="J356" s="61"/>
      <c r="K356" s="61"/>
      <c r="L356" s="61"/>
      <c r="M356" s="61"/>
      <c r="N356" s="61"/>
      <c r="O356" s="61"/>
      <c r="P356" s="61"/>
      <c r="Q356" s="61"/>
      <c r="S356" s="61"/>
      <c r="T356" s="61"/>
      <c r="U356" s="61"/>
    </row>
    <row r="357" spans="1:122">
      <c r="D357" s="61"/>
      <c r="E357" s="61"/>
      <c r="F357" s="61"/>
      <c r="G357" s="61"/>
      <c r="H357" s="61"/>
      <c r="I357" s="61"/>
      <c r="J357" s="61"/>
      <c r="K357" s="61"/>
      <c r="L357" s="61"/>
      <c r="M357" s="61"/>
      <c r="N357" s="61"/>
      <c r="O357" s="61"/>
      <c r="P357" s="61"/>
      <c r="Q357" s="61"/>
      <c r="S357" s="61"/>
      <c r="T357" s="61"/>
      <c r="U357" s="61"/>
    </row>
    <row r="358" spans="1:122">
      <c r="D358" s="61"/>
      <c r="E358" s="61"/>
      <c r="F358" s="61"/>
      <c r="G358" s="61"/>
      <c r="H358" s="61"/>
      <c r="I358" s="61"/>
      <c r="J358" s="61"/>
      <c r="K358" s="61"/>
      <c r="L358" s="61"/>
      <c r="M358" s="61"/>
      <c r="N358" s="61"/>
      <c r="O358" s="61"/>
      <c r="P358" s="61"/>
      <c r="Q358" s="61"/>
      <c r="S358" s="61"/>
      <c r="T358" s="61"/>
      <c r="U358" s="61"/>
    </row>
    <row r="359" spans="1:122">
      <c r="D359" s="61"/>
      <c r="E359" s="61"/>
      <c r="F359" s="61"/>
      <c r="G359" s="61"/>
      <c r="H359" s="61"/>
      <c r="I359" s="61"/>
      <c r="J359" s="61"/>
      <c r="K359" s="61"/>
      <c r="L359" s="61"/>
      <c r="M359" s="61"/>
      <c r="N359" s="61"/>
      <c r="O359" s="61"/>
      <c r="P359" s="61"/>
      <c r="Q359" s="61"/>
      <c r="S359" s="61"/>
      <c r="T359" s="61"/>
      <c r="U359" s="61"/>
    </row>
    <row r="360" spans="1:122">
      <c r="D360" s="61"/>
      <c r="E360" s="61"/>
      <c r="F360" s="61"/>
      <c r="G360" s="61"/>
      <c r="H360" s="61"/>
      <c r="I360" s="61"/>
      <c r="J360" s="61"/>
      <c r="K360" s="61"/>
      <c r="L360" s="61"/>
      <c r="M360" s="61"/>
      <c r="N360" s="61"/>
      <c r="O360" s="61"/>
      <c r="P360" s="61"/>
      <c r="Q360" s="61"/>
      <c r="S360" s="61"/>
      <c r="T360" s="61"/>
      <c r="U360" s="61"/>
    </row>
    <row r="361" spans="1:122">
      <c r="D361" s="61"/>
      <c r="E361" s="61"/>
      <c r="F361" s="61"/>
      <c r="G361" s="61"/>
      <c r="H361" s="61"/>
      <c r="I361" s="61"/>
      <c r="J361" s="61"/>
      <c r="K361" s="61"/>
      <c r="L361" s="61"/>
      <c r="M361" s="61"/>
      <c r="N361" s="61"/>
      <c r="O361" s="61"/>
      <c r="P361" s="61"/>
      <c r="Q361" s="61"/>
      <c r="S361" s="61"/>
      <c r="T361" s="61"/>
      <c r="U361" s="61"/>
    </row>
    <row r="362" spans="1:122">
      <c r="D362" s="61"/>
      <c r="E362" s="61"/>
      <c r="F362" s="61"/>
      <c r="G362" s="61"/>
      <c r="H362" s="61"/>
      <c r="I362" s="61"/>
      <c r="J362" s="61"/>
      <c r="K362" s="61"/>
      <c r="L362" s="61"/>
      <c r="M362" s="61"/>
      <c r="N362" s="61"/>
      <c r="O362" s="61"/>
      <c r="P362" s="61"/>
      <c r="Q362" s="61"/>
      <c r="S362" s="61"/>
      <c r="T362" s="61"/>
      <c r="U362" s="61"/>
    </row>
    <row r="363" spans="1:122">
      <c r="D363" s="61"/>
      <c r="E363" s="61"/>
      <c r="F363" s="61"/>
      <c r="G363" s="61"/>
      <c r="H363" s="61"/>
      <c r="I363" s="61"/>
      <c r="J363" s="61"/>
      <c r="K363" s="61"/>
      <c r="L363" s="61"/>
      <c r="M363" s="61"/>
      <c r="N363" s="61"/>
      <c r="O363" s="61"/>
      <c r="P363" s="61"/>
      <c r="Q363" s="61"/>
      <c r="S363" s="61"/>
      <c r="T363" s="61"/>
      <c r="U363" s="61"/>
    </row>
    <row r="364" spans="1:122">
      <c r="D364" s="61"/>
      <c r="E364" s="61"/>
      <c r="F364" s="61"/>
      <c r="G364" s="61"/>
      <c r="H364" s="61"/>
      <c r="I364" s="61"/>
      <c r="J364" s="61"/>
      <c r="K364" s="61"/>
      <c r="L364" s="61"/>
      <c r="M364" s="61"/>
      <c r="N364" s="61"/>
      <c r="O364" s="61"/>
      <c r="P364" s="61"/>
      <c r="Q364" s="61"/>
      <c r="S364" s="61"/>
      <c r="T364" s="61"/>
      <c r="U364" s="61"/>
    </row>
    <row r="365" spans="1:122">
      <c r="D365" s="61"/>
      <c r="E365" s="61"/>
      <c r="F365" s="61"/>
      <c r="G365" s="61"/>
      <c r="H365" s="61"/>
      <c r="I365" s="61"/>
      <c r="J365" s="61"/>
      <c r="K365" s="61"/>
      <c r="L365" s="61"/>
      <c r="M365" s="61"/>
      <c r="N365" s="61"/>
      <c r="O365" s="61"/>
      <c r="P365" s="61"/>
      <c r="Q365" s="61"/>
      <c r="S365" s="61"/>
      <c r="T365" s="61"/>
      <c r="U365" s="61"/>
    </row>
    <row r="366" spans="1:122">
      <c r="D366" s="61"/>
      <c r="E366" s="61"/>
      <c r="F366" s="61"/>
      <c r="G366" s="61"/>
      <c r="H366" s="61"/>
      <c r="I366" s="61"/>
      <c r="J366" s="61"/>
      <c r="K366" s="61"/>
      <c r="L366" s="61"/>
      <c r="M366" s="61"/>
      <c r="N366" s="61"/>
      <c r="O366" s="61"/>
      <c r="P366" s="61"/>
      <c r="Q366" s="61"/>
      <c r="S366" s="61"/>
      <c r="T366" s="61"/>
      <c r="U366" s="61"/>
    </row>
    <row r="367" spans="1:122">
      <c r="D367" s="61"/>
      <c r="E367" s="61"/>
      <c r="F367" s="61"/>
      <c r="G367" s="61"/>
      <c r="H367" s="61"/>
      <c r="I367" s="61"/>
      <c r="J367" s="61"/>
      <c r="K367" s="61"/>
      <c r="L367" s="61"/>
      <c r="M367" s="61"/>
      <c r="N367" s="61"/>
      <c r="O367" s="61"/>
      <c r="P367" s="61"/>
      <c r="Q367" s="61"/>
      <c r="S367" s="61"/>
      <c r="T367" s="61"/>
      <c r="U367" s="61"/>
    </row>
    <row r="368" spans="1:122">
      <c r="D368" s="61"/>
      <c r="E368" s="61"/>
      <c r="F368" s="61"/>
      <c r="G368" s="61"/>
      <c r="H368" s="61"/>
      <c r="I368" s="61"/>
      <c r="J368" s="61"/>
      <c r="K368" s="61"/>
      <c r="L368" s="61"/>
      <c r="M368" s="61"/>
      <c r="N368" s="61"/>
      <c r="O368" s="61"/>
      <c r="P368" s="61"/>
      <c r="Q368" s="61"/>
      <c r="S368" s="61"/>
      <c r="T368" s="61"/>
      <c r="U368" s="61"/>
    </row>
    <row r="369" spans="1:122">
      <c r="D369" s="61"/>
      <c r="E369" s="61"/>
      <c r="F369" s="61"/>
      <c r="G369" s="61"/>
      <c r="H369" s="61"/>
      <c r="I369" s="61"/>
      <c r="J369" s="61"/>
      <c r="K369" s="61"/>
      <c r="L369" s="61"/>
      <c r="M369" s="61"/>
      <c r="N369" s="61"/>
      <c r="O369" s="61"/>
      <c r="P369" s="61"/>
      <c r="Q369" s="61"/>
      <c r="S369" s="61"/>
      <c r="T369" s="61"/>
      <c r="U369" s="61"/>
    </row>
    <row r="370" spans="1:122">
      <c r="D370" s="61"/>
      <c r="E370" s="61"/>
      <c r="F370" s="61"/>
      <c r="G370" s="61"/>
      <c r="H370" s="61"/>
      <c r="I370" s="61"/>
      <c r="J370" s="61"/>
      <c r="K370" s="61"/>
      <c r="L370" s="61"/>
      <c r="M370" s="61"/>
      <c r="N370" s="61"/>
      <c r="O370" s="61"/>
      <c r="P370" s="61"/>
      <c r="Q370" s="61"/>
      <c r="S370" s="61"/>
      <c r="T370" s="61"/>
      <c r="U370" s="61"/>
    </row>
    <row r="371" spans="1:122">
      <c r="D371" s="61"/>
      <c r="E371" s="61"/>
      <c r="F371" s="61"/>
      <c r="G371" s="61"/>
      <c r="H371" s="61"/>
      <c r="I371" s="61"/>
      <c r="J371" s="61"/>
      <c r="K371" s="61"/>
      <c r="L371" s="61"/>
      <c r="M371" s="61"/>
      <c r="N371" s="61"/>
      <c r="O371" s="61"/>
      <c r="P371" s="61"/>
      <c r="Q371" s="61"/>
      <c r="S371" s="61"/>
      <c r="T371" s="61"/>
      <c r="U371" s="61"/>
    </row>
    <row r="372" spans="1:122">
      <c r="D372" s="61"/>
      <c r="E372" s="61"/>
      <c r="F372" s="61"/>
      <c r="G372" s="61"/>
      <c r="H372" s="61"/>
      <c r="I372" s="61"/>
      <c r="J372" s="61"/>
      <c r="K372" s="61"/>
      <c r="L372" s="61"/>
      <c r="M372" s="61"/>
      <c r="N372" s="61"/>
      <c r="O372" s="61"/>
      <c r="P372" s="61"/>
      <c r="Q372" s="61"/>
      <c r="S372" s="61"/>
      <c r="T372" s="61"/>
      <c r="U372" s="61"/>
    </row>
    <row r="373" spans="1:122">
      <c r="D373" s="61"/>
      <c r="E373" s="61"/>
      <c r="F373" s="61"/>
      <c r="G373" s="61"/>
      <c r="H373" s="61"/>
      <c r="I373" s="61"/>
      <c r="J373" s="61"/>
      <c r="K373" s="61"/>
      <c r="L373" s="61"/>
      <c r="M373" s="61"/>
      <c r="N373" s="61"/>
      <c r="O373" s="61"/>
      <c r="P373" s="61"/>
      <c r="Q373" s="61"/>
      <c r="S373" s="61"/>
      <c r="T373" s="61"/>
      <c r="U373" s="61"/>
    </row>
    <row r="374" spans="1:122">
      <c r="D374" s="61"/>
      <c r="E374" s="61"/>
      <c r="F374" s="61"/>
      <c r="G374" s="61"/>
      <c r="H374" s="61"/>
      <c r="I374" s="61"/>
      <c r="J374" s="61"/>
      <c r="K374" s="61"/>
      <c r="L374" s="61"/>
      <c r="M374" s="61"/>
      <c r="N374" s="61"/>
      <c r="O374" s="61"/>
      <c r="P374" s="61"/>
      <c r="Q374" s="61"/>
      <c r="S374" s="61"/>
      <c r="T374" s="61"/>
      <c r="U374" s="61"/>
    </row>
    <row r="375" spans="1:122">
      <c r="D375" s="61"/>
      <c r="E375" s="61"/>
      <c r="F375" s="61"/>
      <c r="G375" s="61"/>
      <c r="H375" s="61"/>
      <c r="I375" s="61"/>
      <c r="J375" s="61"/>
      <c r="K375" s="61"/>
      <c r="L375" s="61"/>
      <c r="M375" s="61"/>
      <c r="N375" s="61"/>
      <c r="O375" s="61"/>
      <c r="P375" s="61"/>
      <c r="Q375" s="61"/>
      <c r="S375" s="61"/>
      <c r="T375" s="61"/>
      <c r="U375" s="61"/>
    </row>
    <row r="376" spans="1:122">
      <c r="D376" s="61"/>
      <c r="E376" s="61"/>
      <c r="F376" s="61"/>
      <c r="G376" s="61"/>
      <c r="H376" s="61"/>
      <c r="I376" s="61"/>
      <c r="J376" s="61"/>
      <c r="K376" s="61"/>
      <c r="L376" s="61"/>
      <c r="M376" s="61"/>
      <c r="N376" s="61"/>
      <c r="O376" s="61"/>
      <c r="P376" s="61"/>
      <c r="Q376" s="61"/>
      <c r="S376" s="61"/>
      <c r="T376" s="61"/>
      <c r="U376" s="61"/>
    </row>
    <row r="377" spans="1:122">
      <c r="D377" s="61"/>
      <c r="E377" s="61"/>
      <c r="F377" s="61"/>
      <c r="G377" s="61"/>
      <c r="H377" s="61"/>
      <c r="I377" s="61"/>
      <c r="J377" s="61"/>
      <c r="K377" s="61"/>
      <c r="L377" s="61"/>
      <c r="M377" s="61"/>
      <c r="N377" s="61"/>
      <c r="O377" s="61"/>
      <c r="P377" s="61"/>
      <c r="Q377" s="61"/>
      <c r="S377" s="61"/>
      <c r="T377" s="61"/>
      <c r="U377" s="61"/>
    </row>
    <row r="378" spans="1:122">
      <c r="D378" s="61"/>
      <c r="E378" s="61"/>
      <c r="F378" s="61"/>
      <c r="G378" s="61"/>
      <c r="H378" s="61"/>
      <c r="I378" s="61"/>
      <c r="J378" s="61"/>
      <c r="K378" s="61"/>
      <c r="L378" s="61"/>
      <c r="M378" s="61"/>
      <c r="N378" s="61"/>
      <c r="O378" s="61"/>
      <c r="P378" s="61"/>
      <c r="Q378" s="61"/>
      <c r="S378" s="61"/>
      <c r="T378" s="61"/>
      <c r="U378" s="61"/>
    </row>
    <row r="379" spans="1:122">
      <c r="D379" s="61"/>
      <c r="E379" s="61"/>
      <c r="F379" s="61"/>
      <c r="G379" s="61"/>
      <c r="H379" s="61"/>
      <c r="I379" s="61"/>
      <c r="J379" s="61"/>
      <c r="K379" s="61"/>
      <c r="L379" s="61"/>
      <c r="M379" s="61"/>
      <c r="N379" s="61"/>
      <c r="O379" s="61"/>
      <c r="P379" s="61"/>
      <c r="Q379" s="61"/>
      <c r="S379" s="61"/>
      <c r="T379" s="61"/>
      <c r="U379" s="61"/>
    </row>
    <row r="380" spans="1:122">
      <c r="D380" s="61"/>
      <c r="E380" s="61"/>
      <c r="F380" s="61"/>
      <c r="G380" s="61"/>
      <c r="H380" s="61"/>
      <c r="I380" s="61"/>
      <c r="J380" s="61"/>
      <c r="K380" s="61"/>
      <c r="L380" s="61"/>
      <c r="M380" s="61"/>
      <c r="N380" s="61"/>
      <c r="O380" s="61"/>
      <c r="P380" s="61"/>
      <c r="Q380" s="61"/>
      <c r="S380" s="61"/>
      <c r="T380" s="61"/>
      <c r="U380" s="61"/>
    </row>
    <row r="381" spans="1:122">
      <c r="D381" s="61"/>
      <c r="E381" s="61"/>
      <c r="F381" s="61"/>
      <c r="G381" s="61"/>
      <c r="H381" s="61"/>
      <c r="I381" s="61"/>
      <c r="J381" s="61"/>
      <c r="K381" s="61"/>
      <c r="L381" s="61"/>
      <c r="M381" s="61"/>
      <c r="N381" s="61"/>
      <c r="O381" s="61"/>
      <c r="P381" s="61"/>
      <c r="Q381" s="61"/>
      <c r="S381" s="61"/>
      <c r="T381" s="61"/>
      <c r="U381" s="61"/>
    </row>
    <row r="382" spans="1:122">
      <c r="D382" s="61"/>
      <c r="E382" s="61"/>
      <c r="F382" s="61"/>
      <c r="G382" s="61"/>
      <c r="H382" s="61"/>
      <c r="I382" s="61"/>
      <c r="J382" s="61"/>
      <c r="K382" s="61"/>
      <c r="L382" s="61"/>
      <c r="M382" s="61"/>
      <c r="N382" s="61"/>
      <c r="O382" s="61"/>
      <c r="P382" s="61"/>
      <c r="Q382" s="61"/>
      <c r="S382" s="61"/>
      <c r="T382" s="61"/>
      <c r="U382" s="61"/>
    </row>
    <row r="383" spans="1:122">
      <c r="D383" s="61"/>
      <c r="E383" s="61"/>
      <c r="F383" s="61"/>
      <c r="G383" s="61"/>
      <c r="H383" s="61"/>
      <c r="I383" s="61"/>
      <c r="J383" s="61"/>
      <c r="K383" s="61"/>
      <c r="L383" s="61"/>
      <c r="M383" s="61"/>
      <c r="N383" s="61"/>
      <c r="O383" s="61"/>
      <c r="P383" s="61"/>
      <c r="Q383" s="61"/>
      <c r="S383" s="61"/>
      <c r="T383" s="61"/>
      <c r="U383" s="61"/>
    </row>
    <row r="384" spans="1:122">
      <c r="D384" s="61"/>
      <c r="E384" s="61"/>
      <c r="F384" s="61"/>
      <c r="G384" s="61"/>
      <c r="H384" s="61"/>
      <c r="I384" s="61"/>
      <c r="J384" s="61"/>
      <c r="K384" s="61"/>
      <c r="L384" s="61"/>
      <c r="M384" s="61"/>
      <c r="N384" s="61"/>
      <c r="O384" s="61"/>
      <c r="P384" s="61"/>
      <c r="Q384" s="61"/>
      <c r="S384" s="61"/>
      <c r="T384" s="61"/>
      <c r="U384" s="61"/>
    </row>
    <row r="385" spans="1:122">
      <c r="D385" s="61"/>
      <c r="E385" s="61"/>
      <c r="F385" s="61"/>
      <c r="G385" s="61"/>
      <c r="H385" s="61"/>
      <c r="I385" s="61"/>
      <c r="J385" s="61"/>
      <c r="K385" s="61"/>
      <c r="L385" s="61"/>
      <c r="M385" s="61"/>
      <c r="N385" s="61"/>
      <c r="O385" s="61"/>
      <c r="P385" s="61"/>
      <c r="Q385" s="61"/>
      <c r="S385" s="61"/>
      <c r="T385" s="61"/>
      <c r="U385" s="61"/>
    </row>
    <row r="386" spans="1:122">
      <c r="D386" s="61"/>
      <c r="E386" s="61"/>
      <c r="F386" s="61"/>
      <c r="G386" s="61"/>
      <c r="H386" s="61"/>
      <c r="I386" s="61"/>
      <c r="J386" s="61"/>
      <c r="K386" s="61"/>
      <c r="L386" s="61"/>
      <c r="M386" s="61"/>
      <c r="N386" s="61"/>
      <c r="O386" s="61"/>
      <c r="P386" s="61"/>
      <c r="Q386" s="61"/>
      <c r="S386" s="61"/>
      <c r="T386" s="61"/>
      <c r="U386" s="61"/>
    </row>
    <row r="387" spans="1:122">
      <c r="D387" s="61"/>
      <c r="E387" s="61"/>
      <c r="F387" s="61"/>
      <c r="G387" s="61"/>
      <c r="H387" s="61"/>
      <c r="I387" s="61"/>
      <c r="J387" s="61"/>
      <c r="K387" s="61"/>
      <c r="L387" s="61"/>
      <c r="M387" s="61"/>
      <c r="N387" s="61"/>
      <c r="O387" s="61"/>
      <c r="P387" s="61"/>
      <c r="Q387" s="61"/>
      <c r="S387" s="61"/>
      <c r="T387" s="61"/>
      <c r="U387" s="61"/>
    </row>
    <row r="388" spans="1:122">
      <c r="D388" s="61"/>
      <c r="E388" s="61"/>
      <c r="F388" s="61"/>
      <c r="G388" s="61"/>
      <c r="H388" s="61"/>
      <c r="I388" s="61"/>
      <c r="J388" s="61"/>
      <c r="K388" s="61"/>
      <c r="L388" s="61"/>
      <c r="M388" s="61"/>
      <c r="N388" s="61"/>
      <c r="O388" s="61"/>
      <c r="P388" s="61"/>
      <c r="Q388" s="61"/>
      <c r="S388" s="61"/>
      <c r="T388" s="61"/>
      <c r="U388" s="61"/>
    </row>
    <row r="389" spans="1:122">
      <c r="D389" s="61"/>
      <c r="E389" s="61"/>
      <c r="F389" s="61"/>
      <c r="G389" s="61"/>
      <c r="H389" s="61"/>
      <c r="I389" s="61"/>
      <c r="J389" s="61"/>
      <c r="K389" s="61"/>
      <c r="L389" s="61"/>
      <c r="M389" s="61"/>
      <c r="N389" s="61"/>
      <c r="O389" s="61"/>
      <c r="P389" s="61"/>
      <c r="Q389" s="61"/>
      <c r="S389" s="61"/>
      <c r="T389" s="61"/>
      <c r="U389" s="61"/>
    </row>
    <row r="390" spans="1:122">
      <c r="D390" s="61"/>
      <c r="E390" s="61"/>
      <c r="F390" s="61"/>
      <c r="G390" s="61"/>
      <c r="H390" s="61"/>
      <c r="I390" s="61"/>
      <c r="J390" s="61"/>
      <c r="K390" s="61"/>
      <c r="L390" s="61"/>
      <c r="M390" s="61"/>
      <c r="N390" s="61"/>
      <c r="O390" s="61"/>
      <c r="P390" s="61"/>
      <c r="Q390" s="61"/>
      <c r="S390" s="61"/>
      <c r="T390" s="61"/>
      <c r="U390" s="61"/>
    </row>
    <row r="391" spans="1:122">
      <c r="D391" s="61"/>
      <c r="E391" s="61"/>
      <c r="F391" s="61"/>
      <c r="G391" s="61"/>
      <c r="H391" s="61"/>
      <c r="I391" s="61"/>
      <c r="J391" s="61"/>
      <c r="K391" s="61"/>
      <c r="L391" s="61"/>
      <c r="M391" s="61"/>
      <c r="N391" s="61"/>
      <c r="O391" s="61"/>
      <c r="P391" s="61"/>
      <c r="Q391" s="61"/>
      <c r="S391" s="61"/>
      <c r="T391" s="61"/>
      <c r="U391" s="61"/>
    </row>
    <row r="392" spans="1:122">
      <c r="D392" s="61"/>
      <c r="E392" s="61"/>
      <c r="F392" s="61"/>
      <c r="G392" s="61"/>
      <c r="H392" s="61"/>
      <c r="I392" s="61"/>
      <c r="J392" s="61"/>
      <c r="K392" s="61"/>
      <c r="L392" s="61"/>
      <c r="M392" s="61"/>
      <c r="N392" s="61"/>
      <c r="O392" s="61"/>
      <c r="P392" s="61"/>
      <c r="Q392" s="61"/>
      <c r="S392" s="61"/>
      <c r="T392" s="61"/>
      <c r="U392" s="61"/>
    </row>
    <row r="393" spans="1:122">
      <c r="D393" s="61"/>
      <c r="E393" s="61"/>
      <c r="F393" s="61"/>
      <c r="G393" s="61"/>
      <c r="H393" s="61"/>
      <c r="I393" s="61"/>
      <c r="J393" s="61"/>
      <c r="K393" s="61"/>
      <c r="L393" s="61"/>
      <c r="M393" s="61"/>
      <c r="N393" s="61"/>
      <c r="O393" s="61"/>
      <c r="P393" s="61"/>
      <c r="Q393" s="61"/>
      <c r="S393" s="61"/>
      <c r="T393" s="61"/>
      <c r="U393" s="61"/>
    </row>
    <row r="394" spans="1:122">
      <c r="D394" s="61"/>
      <c r="E394" s="61"/>
      <c r="F394" s="61"/>
      <c r="G394" s="61"/>
      <c r="H394" s="61"/>
      <c r="I394" s="61"/>
      <c r="J394" s="61"/>
      <c r="K394" s="61"/>
      <c r="L394" s="61"/>
      <c r="M394" s="61"/>
      <c r="N394" s="61"/>
      <c r="O394" s="61"/>
      <c r="P394" s="61"/>
      <c r="Q394" s="61"/>
      <c r="S394" s="61"/>
      <c r="T394" s="61"/>
      <c r="U394" s="61"/>
    </row>
    <row r="395" spans="1:122">
      <c r="D395" s="61"/>
      <c r="E395" s="61"/>
      <c r="F395" s="61"/>
      <c r="G395" s="61"/>
      <c r="H395" s="61"/>
      <c r="I395" s="61"/>
      <c r="J395" s="61"/>
      <c r="K395" s="61"/>
      <c r="L395" s="61"/>
      <c r="M395" s="61"/>
      <c r="N395" s="61"/>
      <c r="O395" s="61"/>
      <c r="P395" s="61"/>
      <c r="Q395" s="61"/>
      <c r="S395" s="61"/>
      <c r="T395" s="61"/>
      <c r="U395" s="61"/>
    </row>
    <row r="396" spans="1:122">
      <c r="D396" s="61"/>
      <c r="E396" s="61"/>
      <c r="F396" s="61"/>
      <c r="G396" s="61"/>
      <c r="H396" s="61"/>
      <c r="I396" s="61"/>
      <c r="J396" s="61"/>
      <c r="K396" s="61"/>
      <c r="L396" s="61"/>
      <c r="M396" s="61"/>
      <c r="N396" s="61"/>
      <c r="O396" s="61"/>
      <c r="P396" s="61"/>
      <c r="Q396" s="61"/>
      <c r="S396" s="61"/>
      <c r="T396" s="61"/>
      <c r="U396" s="61"/>
    </row>
    <row r="397" spans="1:122">
      <c r="D397" s="61"/>
      <c r="E397" s="61"/>
      <c r="F397" s="61"/>
      <c r="G397" s="61"/>
      <c r="H397" s="61"/>
      <c r="I397" s="61"/>
      <c r="J397" s="61"/>
      <c r="K397" s="61"/>
      <c r="L397" s="61"/>
      <c r="M397" s="61"/>
      <c r="N397" s="61"/>
      <c r="O397" s="61"/>
      <c r="P397" s="61"/>
      <c r="Q397" s="61"/>
      <c r="S397" s="61"/>
      <c r="T397" s="61"/>
      <c r="U397" s="61"/>
    </row>
    <row r="398" spans="1:122">
      <c r="D398" s="61"/>
      <c r="E398" s="61"/>
      <c r="F398" s="61"/>
      <c r="G398" s="61"/>
      <c r="H398" s="61"/>
      <c r="I398" s="61"/>
      <c r="J398" s="61"/>
      <c r="K398" s="61"/>
      <c r="L398" s="61"/>
      <c r="M398" s="61"/>
      <c r="N398" s="61"/>
      <c r="O398" s="61"/>
      <c r="P398" s="61"/>
      <c r="Q398" s="61"/>
      <c r="S398" s="61"/>
      <c r="T398" s="61"/>
      <c r="U398" s="61"/>
    </row>
    <row r="399" spans="1:122">
      <c r="D399" s="61"/>
      <c r="E399" s="61"/>
      <c r="F399" s="61"/>
      <c r="G399" s="61"/>
      <c r="H399" s="61"/>
      <c r="I399" s="61"/>
      <c r="J399" s="61"/>
      <c r="K399" s="61"/>
      <c r="L399" s="61"/>
      <c r="M399" s="61"/>
      <c r="N399" s="61"/>
      <c r="O399" s="61"/>
      <c r="P399" s="61"/>
      <c r="Q399" s="61"/>
      <c r="S399" s="61"/>
      <c r="T399" s="61"/>
      <c r="U399" s="61"/>
    </row>
    <row r="400" spans="1:122">
      <c r="D400" s="61"/>
      <c r="E400" s="61"/>
      <c r="F400" s="61"/>
      <c r="G400" s="61"/>
      <c r="H400" s="61"/>
      <c r="I400" s="61"/>
      <c r="J400" s="61"/>
      <c r="K400" s="61"/>
      <c r="L400" s="61"/>
      <c r="M400" s="61"/>
      <c r="N400" s="61"/>
      <c r="O400" s="61"/>
      <c r="P400" s="61"/>
      <c r="Q400" s="61"/>
      <c r="S400" s="61"/>
      <c r="T400" s="61"/>
      <c r="U400" s="61"/>
    </row>
    <row r="401" spans="1:122">
      <c r="D401" s="61"/>
      <c r="E401" s="61"/>
      <c r="F401" s="61"/>
      <c r="G401" s="61"/>
      <c r="H401" s="61"/>
      <c r="I401" s="61"/>
      <c r="J401" s="61"/>
      <c r="K401" s="61"/>
      <c r="L401" s="61"/>
      <c r="M401" s="61"/>
      <c r="N401" s="61"/>
      <c r="O401" s="61"/>
      <c r="P401" s="61"/>
      <c r="Q401" s="61"/>
      <c r="S401" s="61"/>
      <c r="T401" s="61"/>
      <c r="U401" s="61"/>
    </row>
    <row r="402" spans="1:122">
      <c r="D402" s="61"/>
      <c r="E402" s="61"/>
      <c r="F402" s="61"/>
      <c r="G402" s="61"/>
      <c r="H402" s="61"/>
      <c r="I402" s="61"/>
      <c r="J402" s="61"/>
      <c r="K402" s="61"/>
      <c r="L402" s="61"/>
      <c r="M402" s="61"/>
      <c r="N402" s="61"/>
      <c r="O402" s="61"/>
      <c r="P402" s="61"/>
      <c r="Q402" s="61"/>
      <c r="S402" s="61"/>
      <c r="T402" s="61"/>
      <c r="U402" s="61"/>
    </row>
    <row r="403" spans="1:122">
      <c r="D403" s="61"/>
      <c r="E403" s="61"/>
      <c r="F403" s="61"/>
      <c r="G403" s="61"/>
      <c r="H403" s="61"/>
      <c r="I403" s="61"/>
      <c r="J403" s="61"/>
      <c r="K403" s="61"/>
      <c r="L403" s="61"/>
      <c r="M403" s="61"/>
      <c r="N403" s="61"/>
      <c r="O403" s="61"/>
      <c r="P403" s="61"/>
      <c r="Q403" s="61"/>
      <c r="S403" s="61"/>
      <c r="T403" s="61"/>
      <c r="U403" s="61"/>
    </row>
    <row r="404" spans="1:122">
      <c r="D404" s="61"/>
      <c r="E404" s="61"/>
      <c r="F404" s="61"/>
      <c r="G404" s="61"/>
      <c r="H404" s="61"/>
      <c r="I404" s="61"/>
      <c r="J404" s="61"/>
      <c r="K404" s="61"/>
      <c r="L404" s="61"/>
      <c r="M404" s="61"/>
      <c r="N404" s="61"/>
      <c r="O404" s="61"/>
      <c r="P404" s="61"/>
      <c r="Q404" s="61"/>
      <c r="S404" s="61"/>
      <c r="T404" s="61"/>
      <c r="U404" s="61"/>
    </row>
    <row r="405" spans="1:122">
      <c r="D405" s="61"/>
      <c r="E405" s="61"/>
      <c r="F405" s="61"/>
      <c r="G405" s="61"/>
      <c r="H405" s="61"/>
      <c r="I405" s="61"/>
      <c r="J405" s="61"/>
      <c r="K405" s="61"/>
      <c r="L405" s="61"/>
      <c r="M405" s="61"/>
      <c r="N405" s="61"/>
      <c r="O405" s="61"/>
      <c r="P405" s="61"/>
      <c r="Q405" s="61"/>
      <c r="S405" s="61"/>
      <c r="T405" s="61"/>
      <c r="U405" s="61"/>
    </row>
    <row r="406" spans="1:122">
      <c r="D406" s="61"/>
      <c r="E406" s="61"/>
      <c r="F406" s="61"/>
      <c r="G406" s="61"/>
      <c r="H406" s="61"/>
      <c r="I406" s="61"/>
      <c r="J406" s="61"/>
      <c r="K406" s="61"/>
      <c r="L406" s="61"/>
      <c r="M406" s="61"/>
      <c r="N406" s="61"/>
      <c r="O406" s="61"/>
      <c r="P406" s="61"/>
      <c r="Q406" s="61"/>
      <c r="S406" s="61"/>
      <c r="T406" s="61"/>
      <c r="U406" s="61"/>
    </row>
    <row r="407" spans="1:122">
      <c r="D407" s="61"/>
      <c r="E407" s="61"/>
      <c r="F407" s="61"/>
      <c r="G407" s="61"/>
      <c r="H407" s="61"/>
      <c r="I407" s="61"/>
      <c r="J407" s="61"/>
      <c r="K407" s="61"/>
      <c r="L407" s="61"/>
      <c r="M407" s="61"/>
      <c r="N407" s="61"/>
      <c r="O407" s="61"/>
      <c r="P407" s="61"/>
      <c r="Q407" s="61"/>
      <c r="S407" s="61"/>
      <c r="T407" s="61"/>
      <c r="U407" s="61"/>
    </row>
    <row r="408" spans="1:122">
      <c r="D408" s="61"/>
      <c r="E408" s="61"/>
      <c r="F408" s="61"/>
      <c r="G408" s="61"/>
      <c r="H408" s="61"/>
      <c r="I408" s="61"/>
      <c r="J408" s="61"/>
      <c r="K408" s="61"/>
      <c r="L408" s="61"/>
      <c r="M408" s="61"/>
      <c r="N408" s="61"/>
      <c r="O408" s="61"/>
      <c r="P408" s="61"/>
      <c r="Q408" s="61"/>
      <c r="S408" s="61"/>
      <c r="T408" s="61"/>
      <c r="U408" s="61"/>
    </row>
    <row r="409" spans="1:122">
      <c r="D409" s="61"/>
      <c r="E409" s="61"/>
      <c r="F409" s="61"/>
      <c r="G409" s="61"/>
      <c r="H409" s="61"/>
      <c r="I409" s="61"/>
      <c r="J409" s="61"/>
      <c r="K409" s="61"/>
      <c r="L409" s="61"/>
      <c r="M409" s="61"/>
      <c r="N409" s="61"/>
      <c r="O409" s="61"/>
      <c r="P409" s="61"/>
      <c r="Q409" s="61"/>
      <c r="S409" s="61"/>
      <c r="T409" s="61"/>
      <c r="U409" s="61"/>
    </row>
    <row r="410" spans="1:122">
      <c r="D410" s="61"/>
      <c r="E410" s="61"/>
      <c r="F410" s="61"/>
      <c r="G410" s="61"/>
      <c r="H410" s="61"/>
      <c r="I410" s="61"/>
      <c r="J410" s="61"/>
      <c r="K410" s="61"/>
      <c r="L410" s="61"/>
      <c r="M410" s="61"/>
      <c r="N410" s="61"/>
      <c r="O410" s="61"/>
      <c r="P410" s="61"/>
      <c r="Q410" s="61"/>
      <c r="S410" s="61"/>
      <c r="T410" s="61"/>
      <c r="U410" s="61"/>
    </row>
    <row r="411" spans="1:122">
      <c r="D411" s="61"/>
      <c r="E411" s="61"/>
      <c r="F411" s="61"/>
      <c r="G411" s="61"/>
      <c r="H411" s="61"/>
      <c r="I411" s="61"/>
      <c r="J411" s="61"/>
      <c r="K411" s="61"/>
      <c r="L411" s="61"/>
      <c r="M411" s="61"/>
      <c r="N411" s="61"/>
      <c r="O411" s="61"/>
      <c r="P411" s="61"/>
      <c r="Q411" s="61"/>
      <c r="S411" s="61"/>
      <c r="T411" s="61"/>
      <c r="U411" s="61"/>
    </row>
    <row r="412" spans="1:122">
      <c r="D412" s="61"/>
      <c r="E412" s="61"/>
      <c r="F412" s="61"/>
      <c r="G412" s="61"/>
      <c r="H412" s="61"/>
      <c r="I412" s="61"/>
      <c r="J412" s="61"/>
      <c r="K412" s="61"/>
      <c r="L412" s="61"/>
      <c r="M412" s="61"/>
      <c r="N412" s="61"/>
      <c r="O412" s="61"/>
      <c r="P412" s="61"/>
      <c r="Q412" s="61"/>
      <c r="S412" s="61"/>
      <c r="T412" s="61"/>
      <c r="U412" s="61"/>
    </row>
    <row r="413" spans="1:122">
      <c r="D413" s="61"/>
      <c r="E413" s="61"/>
      <c r="F413" s="61"/>
      <c r="G413" s="61"/>
      <c r="H413" s="61"/>
      <c r="I413" s="61"/>
      <c r="J413" s="61"/>
      <c r="K413" s="61"/>
      <c r="L413" s="61"/>
      <c r="M413" s="61"/>
      <c r="N413" s="61"/>
      <c r="O413" s="61"/>
      <c r="P413" s="61"/>
      <c r="Q413" s="61"/>
      <c r="S413" s="61"/>
      <c r="T413" s="61"/>
      <c r="U413" s="61"/>
    </row>
    <row r="414" spans="1:122">
      <c r="D414" s="61"/>
      <c r="E414" s="61"/>
      <c r="F414" s="61"/>
      <c r="G414" s="61"/>
      <c r="H414" s="61"/>
      <c r="I414" s="61"/>
      <c r="J414" s="61"/>
      <c r="K414" s="61"/>
      <c r="L414" s="61"/>
      <c r="M414" s="61"/>
      <c r="N414" s="61"/>
      <c r="O414" s="61"/>
      <c r="P414" s="61"/>
      <c r="Q414" s="61"/>
      <c r="S414" s="61"/>
      <c r="T414" s="61"/>
      <c r="U414" s="61"/>
    </row>
    <row r="415" spans="1:122">
      <c r="D415" s="61"/>
      <c r="E415" s="61"/>
      <c r="F415" s="61"/>
      <c r="G415" s="61"/>
      <c r="H415" s="61"/>
      <c r="I415" s="61"/>
      <c r="J415" s="61"/>
      <c r="K415" s="61"/>
      <c r="L415" s="61"/>
      <c r="M415" s="61"/>
      <c r="N415" s="61"/>
      <c r="O415" s="61"/>
      <c r="P415" s="61"/>
      <c r="Q415" s="61"/>
      <c r="S415" s="61"/>
      <c r="T415" s="61"/>
      <c r="U415" s="61"/>
    </row>
    <row r="416" spans="1:122">
      <c r="D416" s="61"/>
      <c r="E416" s="61"/>
      <c r="F416" s="61"/>
      <c r="G416" s="61"/>
      <c r="H416" s="61"/>
      <c r="I416" s="61"/>
      <c r="J416" s="61"/>
      <c r="K416" s="61"/>
      <c r="L416" s="61"/>
      <c r="M416" s="61"/>
      <c r="N416" s="61"/>
      <c r="O416" s="61"/>
      <c r="P416" s="61"/>
      <c r="Q416" s="61"/>
      <c r="S416" s="61"/>
      <c r="T416" s="61"/>
      <c r="U416" s="61"/>
    </row>
    <row r="417" spans="1:122">
      <c r="D417" s="61"/>
      <c r="E417" s="61"/>
      <c r="F417" s="61"/>
      <c r="G417" s="61"/>
      <c r="H417" s="61"/>
      <c r="I417" s="61"/>
      <c r="J417" s="61"/>
      <c r="K417" s="61"/>
      <c r="L417" s="61"/>
      <c r="M417" s="61"/>
      <c r="N417" s="61"/>
      <c r="O417" s="61"/>
      <c r="P417" s="61"/>
      <c r="Q417" s="61"/>
      <c r="S417" s="61"/>
      <c r="T417" s="61"/>
      <c r="U417" s="61"/>
    </row>
    <row r="418" spans="1:122">
      <c r="D418" s="61"/>
      <c r="E418" s="61"/>
      <c r="F418" s="61"/>
      <c r="G418" s="61"/>
      <c r="H418" s="61"/>
      <c r="I418" s="61"/>
      <c r="J418" s="61"/>
      <c r="K418" s="61"/>
      <c r="L418" s="61"/>
      <c r="M418" s="61"/>
      <c r="N418" s="61"/>
      <c r="O418" s="61"/>
      <c r="P418" s="61"/>
      <c r="Q418" s="61"/>
      <c r="S418" s="61"/>
      <c r="T418" s="61"/>
      <c r="U418" s="61"/>
    </row>
    <row r="419" spans="1:122">
      <c r="D419" s="61"/>
      <c r="E419" s="61"/>
      <c r="F419" s="61"/>
      <c r="G419" s="61"/>
      <c r="H419" s="61"/>
      <c r="I419" s="61"/>
      <c r="J419" s="61"/>
      <c r="K419" s="61"/>
      <c r="L419" s="61"/>
      <c r="M419" s="61"/>
      <c r="N419" s="61"/>
      <c r="O419" s="61"/>
      <c r="P419" s="61"/>
      <c r="Q419" s="61"/>
      <c r="S419" s="61"/>
      <c r="T419" s="61"/>
      <c r="U419" s="61"/>
    </row>
    <row r="420" spans="1:122">
      <c r="D420" s="61"/>
      <c r="E420" s="61"/>
      <c r="F420" s="61"/>
      <c r="G420" s="61"/>
      <c r="H420" s="61"/>
      <c r="I420" s="61"/>
      <c r="J420" s="61"/>
      <c r="K420" s="61"/>
      <c r="L420" s="61"/>
      <c r="M420" s="61"/>
      <c r="N420" s="61"/>
      <c r="O420" s="61"/>
      <c r="P420" s="61"/>
      <c r="Q420" s="61"/>
      <c r="S420" s="61"/>
      <c r="T420" s="61"/>
      <c r="U420" s="61"/>
    </row>
    <row r="421" spans="1:122">
      <c r="D421" s="61"/>
      <c r="E421" s="61"/>
      <c r="F421" s="61"/>
      <c r="G421" s="61"/>
      <c r="H421" s="61"/>
      <c r="I421" s="61"/>
      <c r="J421" s="61"/>
      <c r="K421" s="61"/>
      <c r="L421" s="61"/>
      <c r="M421" s="61"/>
      <c r="N421" s="61"/>
      <c r="O421" s="61"/>
      <c r="P421" s="61"/>
      <c r="Q421" s="61"/>
      <c r="S421" s="61"/>
      <c r="T421" s="61"/>
      <c r="U421" s="61"/>
    </row>
    <row r="422" spans="1:122">
      <c r="D422" s="61"/>
      <c r="E422" s="61"/>
      <c r="F422" s="61"/>
      <c r="G422" s="61"/>
      <c r="H422" s="61"/>
      <c r="I422" s="61"/>
      <c r="J422" s="61"/>
      <c r="K422" s="61"/>
      <c r="L422" s="61"/>
      <c r="M422" s="61"/>
      <c r="N422" s="61"/>
      <c r="O422" s="61"/>
      <c r="P422" s="61"/>
      <c r="Q422" s="61"/>
      <c r="S422" s="61"/>
      <c r="T422" s="61"/>
      <c r="U422" s="61"/>
    </row>
    <row r="423" spans="1:122">
      <c r="D423" s="61"/>
      <c r="E423" s="61"/>
      <c r="F423" s="61"/>
      <c r="G423" s="61"/>
      <c r="H423" s="61"/>
      <c r="I423" s="61"/>
      <c r="J423" s="61"/>
      <c r="K423" s="61"/>
      <c r="L423" s="61"/>
      <c r="M423" s="61"/>
      <c r="N423" s="61"/>
      <c r="O423" s="61"/>
      <c r="P423" s="61"/>
      <c r="Q423" s="61"/>
      <c r="S423" s="61"/>
      <c r="T423" s="61"/>
      <c r="U423" s="61"/>
    </row>
    <row r="424" spans="1:122">
      <c r="D424" s="61"/>
      <c r="E424" s="61"/>
      <c r="F424" s="61"/>
      <c r="G424" s="61"/>
      <c r="H424" s="61"/>
      <c r="I424" s="61"/>
      <c r="J424" s="61"/>
      <c r="K424" s="61"/>
      <c r="L424" s="61"/>
      <c r="M424" s="61"/>
      <c r="N424" s="61"/>
      <c r="O424" s="61"/>
      <c r="P424" s="61"/>
      <c r="Q424" s="61"/>
      <c r="S424" s="61"/>
      <c r="T424" s="61"/>
      <c r="U424" s="61"/>
    </row>
    <row r="425" spans="1:122">
      <c r="D425" s="61"/>
      <c r="E425" s="61"/>
      <c r="F425" s="61"/>
      <c r="G425" s="61"/>
      <c r="H425" s="61"/>
      <c r="I425" s="61"/>
      <c r="J425" s="61"/>
      <c r="K425" s="61"/>
      <c r="L425" s="61"/>
      <c r="M425" s="61"/>
      <c r="N425" s="61"/>
      <c r="O425" s="61"/>
      <c r="P425" s="61"/>
      <c r="Q425" s="61"/>
      <c r="S425" s="61"/>
      <c r="T425" s="61"/>
      <c r="U425" s="61"/>
    </row>
    <row r="426" spans="1:122">
      <c r="D426" s="61"/>
      <c r="E426" s="61"/>
      <c r="F426" s="61"/>
      <c r="G426" s="61"/>
      <c r="H426" s="61"/>
      <c r="I426" s="61"/>
      <c r="J426" s="61"/>
      <c r="K426" s="61"/>
      <c r="L426" s="61"/>
      <c r="M426" s="61"/>
      <c r="N426" s="61"/>
      <c r="O426" s="61"/>
      <c r="P426" s="61"/>
      <c r="Q426" s="61"/>
      <c r="S426" s="61"/>
      <c r="T426" s="61"/>
      <c r="U426" s="61"/>
    </row>
    <row r="427" spans="1:122">
      <c r="D427" s="61"/>
      <c r="E427" s="61"/>
      <c r="F427" s="61"/>
      <c r="G427" s="61"/>
      <c r="H427" s="61"/>
      <c r="I427" s="61"/>
      <c r="J427" s="61"/>
      <c r="K427" s="61"/>
      <c r="L427" s="61"/>
      <c r="M427" s="61"/>
      <c r="N427" s="61"/>
      <c r="O427" s="61"/>
      <c r="P427" s="61"/>
      <c r="Q427" s="61"/>
      <c r="S427" s="61"/>
      <c r="T427" s="61"/>
      <c r="U427" s="61"/>
    </row>
    <row r="428" spans="1:122">
      <c r="D428" s="61"/>
      <c r="E428" s="61"/>
      <c r="F428" s="61"/>
      <c r="G428" s="61"/>
      <c r="H428" s="61"/>
      <c r="I428" s="61"/>
      <c r="J428" s="61"/>
      <c r="K428" s="61"/>
      <c r="L428" s="61"/>
      <c r="M428" s="61"/>
      <c r="N428" s="61"/>
      <c r="O428" s="61"/>
      <c r="P428" s="61"/>
      <c r="Q428" s="61"/>
      <c r="S428" s="61"/>
      <c r="T428" s="61"/>
      <c r="U428" s="61"/>
    </row>
    <row r="429" spans="1:122">
      <c r="D429" s="61"/>
      <c r="E429" s="61"/>
      <c r="F429" s="61"/>
      <c r="G429" s="61"/>
      <c r="H429" s="61"/>
      <c r="I429" s="61"/>
      <c r="J429" s="61"/>
      <c r="K429" s="61"/>
      <c r="L429" s="61"/>
      <c r="M429" s="61"/>
      <c r="N429" s="61"/>
      <c r="O429" s="61"/>
      <c r="P429" s="61"/>
      <c r="Q429" s="61"/>
      <c r="S429" s="61"/>
      <c r="T429" s="61"/>
      <c r="U429" s="61"/>
    </row>
    <row r="430" spans="1:122">
      <c r="D430" s="61"/>
      <c r="E430" s="61"/>
      <c r="F430" s="61"/>
      <c r="G430" s="61"/>
      <c r="H430" s="61"/>
      <c r="I430" s="61"/>
      <c r="J430" s="61"/>
      <c r="K430" s="61"/>
      <c r="L430" s="61"/>
      <c r="M430" s="61"/>
      <c r="N430" s="61"/>
      <c r="O430" s="61"/>
      <c r="P430" s="61"/>
      <c r="Q430" s="61"/>
      <c r="S430" s="61"/>
      <c r="T430" s="61"/>
      <c r="U430" s="61"/>
    </row>
    <row r="431" spans="1:122">
      <c r="D431" s="61"/>
      <c r="E431" s="61"/>
      <c r="F431" s="61"/>
      <c r="G431" s="61"/>
      <c r="H431" s="61"/>
      <c r="I431" s="61"/>
      <c r="J431" s="61"/>
      <c r="K431" s="61"/>
      <c r="L431" s="61"/>
      <c r="M431" s="61"/>
      <c r="N431" s="61"/>
      <c r="O431" s="61"/>
      <c r="P431" s="61"/>
      <c r="Q431" s="61"/>
      <c r="S431" s="61"/>
      <c r="T431" s="61"/>
      <c r="U431" s="61"/>
    </row>
    <row r="432" spans="1:122">
      <c r="D432" s="61"/>
      <c r="E432" s="61"/>
      <c r="F432" s="61"/>
      <c r="G432" s="61"/>
      <c r="H432" s="61"/>
      <c r="I432" s="61"/>
      <c r="J432" s="61"/>
      <c r="K432" s="61"/>
      <c r="L432" s="61"/>
      <c r="M432" s="61"/>
      <c r="N432" s="61"/>
      <c r="O432" s="61"/>
      <c r="P432" s="61"/>
      <c r="Q432" s="61"/>
      <c r="S432" s="61"/>
      <c r="T432" s="61"/>
      <c r="U432" s="61"/>
    </row>
    <row r="433" spans="1:122">
      <c r="D433" s="61"/>
      <c r="E433" s="61"/>
      <c r="F433" s="61"/>
      <c r="G433" s="61"/>
      <c r="H433" s="61"/>
      <c r="I433" s="61"/>
      <c r="J433" s="61"/>
      <c r="K433" s="61"/>
      <c r="L433" s="61"/>
      <c r="M433" s="61"/>
      <c r="N433" s="61"/>
      <c r="O433" s="61"/>
      <c r="P433" s="61"/>
      <c r="Q433" s="61"/>
      <c r="S433" s="61"/>
      <c r="T433" s="61"/>
      <c r="U433" s="61"/>
    </row>
    <row r="434" spans="1:122">
      <c r="D434" s="61"/>
      <c r="E434" s="61"/>
      <c r="F434" s="61"/>
      <c r="G434" s="61"/>
      <c r="H434" s="61"/>
      <c r="I434" s="61"/>
      <c r="J434" s="61"/>
      <c r="K434" s="61"/>
      <c r="L434" s="61"/>
      <c r="M434" s="61"/>
      <c r="N434" s="61"/>
      <c r="O434" s="61"/>
      <c r="P434" s="61"/>
      <c r="Q434" s="61"/>
      <c r="S434" s="61"/>
      <c r="T434" s="61"/>
      <c r="U434" s="61"/>
    </row>
    <row r="435" spans="1:122">
      <c r="D435" s="61"/>
      <c r="E435" s="61"/>
      <c r="F435" s="61"/>
      <c r="G435" s="61"/>
      <c r="H435" s="61"/>
      <c r="I435" s="61"/>
      <c r="J435" s="61"/>
      <c r="K435" s="61"/>
      <c r="L435" s="61"/>
      <c r="M435" s="61"/>
      <c r="N435" s="61"/>
      <c r="O435" s="61"/>
      <c r="P435" s="61"/>
      <c r="Q435" s="61"/>
      <c r="S435" s="61"/>
      <c r="T435" s="61"/>
      <c r="U435" s="61"/>
    </row>
    <row r="436" spans="1:122">
      <c r="D436" s="61"/>
      <c r="E436" s="61"/>
      <c r="F436" s="61"/>
      <c r="G436" s="61"/>
      <c r="H436" s="61"/>
      <c r="I436" s="61"/>
      <c r="J436" s="61"/>
      <c r="K436" s="61"/>
      <c r="L436" s="61"/>
      <c r="M436" s="61"/>
      <c r="N436" s="61"/>
      <c r="O436" s="61"/>
      <c r="P436" s="61"/>
      <c r="Q436" s="61"/>
      <c r="S436" s="61"/>
      <c r="T436" s="61"/>
      <c r="U436" s="61"/>
    </row>
    <row r="437" spans="1:122">
      <c r="D437" s="61"/>
      <c r="E437" s="61"/>
      <c r="F437" s="61"/>
      <c r="G437" s="61"/>
      <c r="H437" s="61"/>
      <c r="I437" s="61"/>
      <c r="J437" s="61"/>
      <c r="K437" s="61"/>
      <c r="L437" s="61"/>
      <c r="M437" s="61"/>
      <c r="N437" s="61"/>
      <c r="O437" s="61"/>
      <c r="P437" s="61"/>
      <c r="Q437" s="61"/>
      <c r="S437" s="61"/>
      <c r="T437" s="61"/>
      <c r="U437" s="61"/>
    </row>
    <row r="438" spans="1:122">
      <c r="D438" s="61"/>
      <c r="E438" s="61"/>
      <c r="F438" s="61"/>
      <c r="G438" s="61"/>
      <c r="H438" s="61"/>
      <c r="I438" s="61"/>
      <c r="J438" s="61"/>
      <c r="K438" s="61"/>
      <c r="L438" s="61"/>
      <c r="M438" s="61"/>
      <c r="N438" s="61"/>
      <c r="O438" s="61"/>
      <c r="P438" s="61"/>
      <c r="Q438" s="61"/>
      <c r="S438" s="61"/>
      <c r="T438" s="61"/>
      <c r="U438" s="61"/>
    </row>
    <row r="439" spans="1:122">
      <c r="D439" s="61"/>
      <c r="E439" s="61"/>
      <c r="F439" s="61"/>
      <c r="G439" s="61"/>
      <c r="H439" s="61"/>
      <c r="I439" s="61"/>
      <c r="J439" s="61"/>
      <c r="K439" s="61"/>
      <c r="L439" s="61"/>
      <c r="M439" s="61"/>
      <c r="N439" s="61"/>
      <c r="O439" s="61"/>
      <c r="P439" s="61"/>
      <c r="Q439" s="61"/>
      <c r="S439" s="61"/>
      <c r="T439" s="61"/>
      <c r="U439" s="61"/>
    </row>
    <row r="440" spans="1:122">
      <c r="D440" s="61"/>
      <c r="E440" s="61"/>
      <c r="F440" s="61"/>
      <c r="G440" s="61"/>
      <c r="H440" s="61"/>
      <c r="I440" s="61"/>
      <c r="J440" s="61"/>
      <c r="K440" s="61"/>
      <c r="L440" s="61"/>
      <c r="M440" s="61"/>
      <c r="N440" s="61"/>
      <c r="O440" s="61"/>
      <c r="P440" s="61"/>
      <c r="Q440" s="61"/>
      <c r="S440" s="61"/>
      <c r="T440" s="61"/>
      <c r="U440" s="61"/>
    </row>
    <row r="441" spans="1:122">
      <c r="D441" s="61"/>
      <c r="E441" s="61"/>
      <c r="F441" s="61"/>
      <c r="G441" s="61"/>
      <c r="H441" s="61"/>
      <c r="I441" s="61"/>
      <c r="J441" s="61"/>
      <c r="K441" s="61"/>
      <c r="L441" s="61"/>
      <c r="M441" s="61"/>
      <c r="N441" s="61"/>
      <c r="O441" s="61"/>
      <c r="P441" s="61"/>
      <c r="Q441" s="61"/>
      <c r="S441" s="61"/>
      <c r="T441" s="61"/>
      <c r="U441" s="61"/>
    </row>
    <row r="442" spans="1:122">
      <c r="D442" s="61"/>
      <c r="E442" s="61"/>
      <c r="F442" s="61"/>
      <c r="G442" s="61"/>
      <c r="H442" s="61"/>
      <c r="I442" s="61"/>
      <c r="J442" s="61"/>
      <c r="K442" s="61"/>
      <c r="L442" s="61"/>
      <c r="M442" s="61"/>
      <c r="N442" s="61"/>
      <c r="O442" s="61"/>
      <c r="P442" s="61"/>
      <c r="Q442" s="61"/>
      <c r="S442" s="61"/>
      <c r="T442" s="61"/>
      <c r="U442" s="61"/>
    </row>
    <row r="443" spans="1:122">
      <c r="D443" s="61"/>
      <c r="E443" s="61"/>
      <c r="F443" s="61"/>
      <c r="G443" s="61"/>
      <c r="H443" s="61"/>
      <c r="I443" s="61"/>
      <c r="J443" s="61"/>
      <c r="K443" s="61"/>
      <c r="L443" s="61"/>
      <c r="M443" s="61"/>
      <c r="N443" s="61"/>
      <c r="O443" s="61"/>
      <c r="P443" s="61"/>
      <c r="Q443" s="61"/>
      <c r="S443" s="61"/>
      <c r="T443" s="61"/>
      <c r="U443" s="61"/>
    </row>
    <row r="444" spans="1:122">
      <c r="D444" s="61"/>
      <c r="E444" s="61"/>
      <c r="F444" s="61"/>
      <c r="G444" s="61"/>
      <c r="H444" s="61"/>
      <c r="I444" s="61"/>
      <c r="J444" s="61"/>
      <c r="K444" s="61"/>
      <c r="L444" s="61"/>
      <c r="M444" s="61"/>
      <c r="N444" s="61"/>
      <c r="O444" s="61"/>
      <c r="P444" s="61"/>
      <c r="Q444" s="61"/>
      <c r="S444" s="61"/>
      <c r="T444" s="61"/>
      <c r="U444" s="61"/>
    </row>
    <row r="445" spans="1:122">
      <c r="D445" s="61"/>
      <c r="E445" s="61"/>
      <c r="F445" s="61"/>
      <c r="G445" s="61"/>
      <c r="H445" s="61"/>
      <c r="I445" s="61"/>
      <c r="J445" s="61"/>
      <c r="K445" s="61"/>
      <c r="L445" s="61"/>
      <c r="M445" s="61"/>
      <c r="N445" s="61"/>
      <c r="O445" s="61"/>
      <c r="P445" s="61"/>
      <c r="Q445" s="61"/>
      <c r="S445" s="61"/>
      <c r="T445" s="61"/>
      <c r="U445" s="61"/>
    </row>
    <row r="446" spans="1:122">
      <c r="D446" s="61"/>
      <c r="E446" s="61"/>
      <c r="F446" s="61"/>
      <c r="G446" s="61"/>
      <c r="H446" s="61"/>
      <c r="I446" s="61"/>
      <c r="J446" s="61"/>
      <c r="K446" s="61"/>
      <c r="L446" s="61"/>
      <c r="M446" s="61"/>
      <c r="N446" s="61"/>
      <c r="O446" s="61"/>
      <c r="P446" s="61"/>
      <c r="Q446" s="61"/>
      <c r="S446" s="61"/>
      <c r="T446" s="61"/>
      <c r="U446" s="61"/>
    </row>
    <row r="447" spans="1:122">
      <c r="D447" s="61"/>
      <c r="E447" s="61"/>
      <c r="F447" s="61"/>
      <c r="G447" s="61"/>
      <c r="H447" s="61"/>
      <c r="I447" s="61"/>
      <c r="J447" s="61"/>
      <c r="K447" s="61"/>
      <c r="L447" s="61"/>
      <c r="M447" s="61"/>
      <c r="N447" s="61"/>
      <c r="O447" s="61"/>
      <c r="P447" s="61"/>
      <c r="Q447" s="61"/>
      <c r="S447" s="61"/>
      <c r="T447" s="61"/>
      <c r="U447" s="61"/>
    </row>
    <row r="448" spans="1:122">
      <c r="D448" s="61"/>
      <c r="E448" s="61"/>
      <c r="F448" s="61"/>
      <c r="G448" s="61"/>
      <c r="H448" s="61"/>
      <c r="I448" s="61"/>
      <c r="J448" s="61"/>
      <c r="K448" s="61"/>
      <c r="L448" s="61"/>
      <c r="M448" s="61"/>
      <c r="N448" s="61"/>
      <c r="O448" s="61"/>
      <c r="P448" s="61"/>
      <c r="Q448" s="61"/>
      <c r="S448" s="61"/>
      <c r="T448" s="61"/>
      <c r="U448" s="61"/>
    </row>
    <row r="449" spans="1:122">
      <c r="D449" s="61"/>
      <c r="E449" s="61"/>
      <c r="F449" s="61"/>
      <c r="G449" s="61"/>
      <c r="H449" s="61"/>
      <c r="I449" s="61"/>
      <c r="J449" s="61"/>
      <c r="K449" s="61"/>
      <c r="L449" s="61"/>
      <c r="M449" s="61"/>
      <c r="N449" s="61"/>
      <c r="O449" s="61"/>
      <c r="P449" s="61"/>
      <c r="Q449" s="61"/>
      <c r="S449" s="61"/>
      <c r="T449" s="61"/>
      <c r="U449" s="61"/>
    </row>
    <row r="450" spans="1:122">
      <c r="D450" s="61"/>
      <c r="E450" s="61"/>
      <c r="F450" s="61"/>
      <c r="G450" s="61"/>
      <c r="H450" s="61"/>
      <c r="I450" s="61"/>
      <c r="J450" s="61"/>
      <c r="K450" s="61"/>
      <c r="L450" s="61"/>
      <c r="M450" s="61"/>
      <c r="N450" s="61"/>
      <c r="O450" s="61"/>
      <c r="P450" s="61"/>
      <c r="Q450" s="61"/>
      <c r="S450" s="61"/>
      <c r="T450" s="61"/>
      <c r="U450" s="61"/>
    </row>
    <row r="451" spans="1:122">
      <c r="D451" s="61"/>
      <c r="E451" s="61"/>
      <c r="F451" s="61"/>
      <c r="G451" s="61"/>
      <c r="H451" s="61"/>
      <c r="I451" s="61"/>
      <c r="J451" s="61"/>
      <c r="K451" s="61"/>
      <c r="L451" s="61"/>
      <c r="M451" s="61"/>
      <c r="N451" s="61"/>
      <c r="O451" s="61"/>
      <c r="P451" s="61"/>
      <c r="Q451" s="61"/>
      <c r="S451" s="61"/>
      <c r="T451" s="61"/>
      <c r="U451" s="61"/>
    </row>
    <row r="452" spans="1:122">
      <c r="D452" s="61"/>
      <c r="E452" s="61"/>
      <c r="F452" s="61"/>
      <c r="G452" s="61"/>
      <c r="H452" s="61"/>
      <c r="I452" s="61"/>
      <c r="J452" s="61"/>
      <c r="K452" s="61"/>
      <c r="L452" s="61"/>
      <c r="M452" s="61"/>
      <c r="N452" s="61"/>
      <c r="O452" s="61"/>
      <c r="P452" s="61"/>
      <c r="Q452" s="61"/>
      <c r="S452" s="61"/>
      <c r="T452" s="61"/>
      <c r="U452" s="61"/>
    </row>
    <row r="453" spans="1:122">
      <c r="D453" s="61"/>
      <c r="E453" s="61"/>
      <c r="F453" s="61"/>
      <c r="G453" s="61"/>
      <c r="H453" s="61"/>
      <c r="I453" s="61"/>
      <c r="J453" s="61"/>
      <c r="K453" s="61"/>
      <c r="L453" s="61"/>
      <c r="M453" s="61"/>
      <c r="N453" s="61"/>
      <c r="O453" s="61"/>
      <c r="P453" s="61"/>
      <c r="Q453" s="61"/>
      <c r="S453" s="61"/>
      <c r="T453" s="61"/>
      <c r="U453" s="61"/>
    </row>
    <row r="454" spans="1:122">
      <c r="D454" s="61"/>
      <c r="E454" s="61"/>
      <c r="F454" s="61"/>
      <c r="G454" s="61"/>
      <c r="H454" s="61"/>
      <c r="I454" s="61"/>
      <c r="J454" s="61"/>
      <c r="K454" s="61"/>
      <c r="L454" s="61"/>
      <c r="M454" s="61"/>
      <c r="N454" s="61"/>
      <c r="O454" s="61"/>
      <c r="P454" s="61"/>
      <c r="Q454" s="61"/>
      <c r="S454" s="61"/>
      <c r="T454" s="61"/>
      <c r="U454" s="61"/>
    </row>
    <row r="455" spans="1:122">
      <c r="D455" s="61"/>
      <c r="E455" s="61"/>
      <c r="F455" s="61"/>
      <c r="G455" s="61"/>
      <c r="H455" s="61"/>
      <c r="I455" s="61"/>
      <c r="J455" s="61"/>
      <c r="K455" s="61"/>
      <c r="L455" s="61"/>
      <c r="M455" s="61"/>
      <c r="N455" s="61"/>
      <c r="O455" s="61"/>
      <c r="P455" s="61"/>
      <c r="Q455" s="61"/>
      <c r="S455" s="61"/>
      <c r="T455" s="61"/>
      <c r="U455" s="61"/>
    </row>
    <row r="456" spans="1:122">
      <c r="D456" s="61"/>
      <c r="E456" s="61"/>
      <c r="F456" s="61"/>
      <c r="G456" s="61"/>
      <c r="H456" s="61"/>
      <c r="I456" s="61"/>
      <c r="J456" s="61"/>
      <c r="K456" s="61"/>
      <c r="L456" s="61"/>
      <c r="M456" s="61"/>
      <c r="N456" s="61"/>
      <c r="O456" s="61"/>
      <c r="P456" s="61"/>
      <c r="Q456" s="61"/>
      <c r="S456" s="61"/>
      <c r="T456" s="61"/>
      <c r="U456" s="61"/>
    </row>
    <row r="457" spans="1:122">
      <c r="D457" s="61"/>
      <c r="E457" s="61"/>
      <c r="F457" s="61"/>
      <c r="G457" s="61"/>
      <c r="H457" s="61"/>
      <c r="I457" s="61"/>
      <c r="J457" s="61"/>
      <c r="K457" s="61"/>
      <c r="L457" s="61"/>
      <c r="M457" s="61"/>
      <c r="N457" s="61"/>
      <c r="O457" s="61"/>
      <c r="P457" s="61"/>
      <c r="Q457" s="61"/>
      <c r="S457" s="61"/>
      <c r="T457" s="61"/>
      <c r="U457" s="61"/>
    </row>
    <row r="458" spans="1:122">
      <c r="D458" s="61"/>
      <c r="E458" s="61"/>
      <c r="F458" s="61"/>
      <c r="G458" s="61"/>
      <c r="H458" s="61"/>
      <c r="I458" s="61"/>
      <c r="J458" s="61"/>
      <c r="K458" s="61"/>
      <c r="L458" s="61"/>
      <c r="M458" s="61"/>
      <c r="N458" s="61"/>
      <c r="O458" s="61"/>
      <c r="P458" s="61"/>
      <c r="Q458" s="61"/>
      <c r="S458" s="61"/>
      <c r="T458" s="61"/>
      <c r="U458" s="61"/>
    </row>
    <row r="459" spans="1:122">
      <c r="D459" s="61"/>
      <c r="E459" s="61"/>
      <c r="F459" s="61"/>
      <c r="G459" s="61"/>
      <c r="H459" s="61"/>
      <c r="I459" s="61"/>
      <c r="J459" s="61"/>
      <c r="K459" s="61"/>
      <c r="L459" s="61"/>
      <c r="M459" s="61"/>
      <c r="N459" s="61"/>
      <c r="O459" s="61"/>
      <c r="P459" s="61"/>
      <c r="Q459" s="61"/>
      <c r="S459" s="61"/>
      <c r="T459" s="61"/>
      <c r="U459" s="61"/>
    </row>
    <row r="460" spans="1:122">
      <c r="D460" s="61"/>
      <c r="E460" s="61"/>
      <c r="F460" s="61"/>
      <c r="G460" s="61"/>
      <c r="H460" s="61"/>
      <c r="I460" s="61"/>
      <c r="J460" s="61"/>
      <c r="K460" s="61"/>
      <c r="L460" s="61"/>
      <c r="M460" s="61"/>
      <c r="N460" s="61"/>
      <c r="O460" s="61"/>
      <c r="P460" s="61"/>
      <c r="Q460" s="61"/>
      <c r="S460" s="61"/>
      <c r="T460" s="61"/>
      <c r="U460" s="61"/>
    </row>
    <row r="461" spans="1:122">
      <c r="D461" s="61"/>
      <c r="E461" s="61"/>
      <c r="F461" s="61"/>
      <c r="G461" s="61"/>
      <c r="H461" s="61"/>
      <c r="I461" s="61"/>
      <c r="J461" s="61"/>
      <c r="K461" s="61"/>
      <c r="L461" s="61"/>
      <c r="M461" s="61"/>
      <c r="N461" s="61"/>
      <c r="O461" s="61"/>
      <c r="P461" s="61"/>
      <c r="Q461" s="61"/>
      <c r="S461" s="61"/>
      <c r="T461" s="61"/>
      <c r="U461" s="61"/>
    </row>
    <row r="462" spans="1:122">
      <c r="D462" s="61"/>
      <c r="E462" s="61"/>
      <c r="F462" s="61"/>
      <c r="G462" s="61"/>
      <c r="H462" s="61"/>
      <c r="I462" s="61"/>
      <c r="J462" s="61"/>
      <c r="K462" s="61"/>
      <c r="L462" s="61"/>
      <c r="M462" s="61"/>
      <c r="N462" s="61"/>
      <c r="O462" s="61"/>
      <c r="P462" s="61"/>
      <c r="Q462" s="61"/>
      <c r="S462" s="61"/>
      <c r="T462" s="61"/>
      <c r="U462" s="61"/>
    </row>
    <row r="463" spans="1:122">
      <c r="D463" s="61"/>
      <c r="E463" s="61"/>
      <c r="F463" s="61"/>
      <c r="G463" s="61"/>
      <c r="H463" s="61"/>
      <c r="I463" s="61"/>
      <c r="J463" s="61"/>
      <c r="K463" s="61"/>
      <c r="L463" s="61"/>
      <c r="M463" s="61"/>
      <c r="N463" s="61"/>
      <c r="O463" s="61"/>
      <c r="P463" s="61"/>
      <c r="Q463" s="61"/>
      <c r="S463" s="61"/>
      <c r="T463" s="61"/>
      <c r="U463" s="61"/>
    </row>
    <row r="464" spans="1:122">
      <c r="D464" s="61"/>
      <c r="E464" s="61"/>
      <c r="F464" s="61"/>
      <c r="G464" s="61"/>
      <c r="H464" s="61"/>
      <c r="I464" s="61"/>
      <c r="J464" s="61"/>
      <c r="K464" s="61"/>
      <c r="L464" s="61"/>
      <c r="M464" s="61"/>
      <c r="N464" s="61"/>
      <c r="O464" s="61"/>
      <c r="P464" s="61"/>
      <c r="Q464" s="61"/>
      <c r="S464" s="61"/>
      <c r="T464" s="61"/>
      <c r="U464" s="61"/>
    </row>
    <row r="465" spans="1:122">
      <c r="D465" s="61"/>
      <c r="E465" s="61"/>
      <c r="F465" s="61"/>
      <c r="G465" s="61"/>
      <c r="H465" s="61"/>
      <c r="I465" s="61"/>
      <c r="J465" s="61"/>
      <c r="K465" s="61"/>
      <c r="L465" s="61"/>
      <c r="M465" s="61"/>
      <c r="N465" s="61"/>
      <c r="O465" s="61"/>
      <c r="P465" s="61"/>
      <c r="Q465" s="61"/>
      <c r="S465" s="61"/>
      <c r="T465" s="61"/>
      <c r="U465" s="61"/>
    </row>
    <row r="466" spans="1:122">
      <c r="D466" s="61"/>
      <c r="E466" s="61"/>
      <c r="F466" s="61"/>
      <c r="G466" s="61"/>
      <c r="H466" s="61"/>
      <c r="I466" s="61"/>
      <c r="J466" s="61"/>
      <c r="K466" s="61"/>
      <c r="L466" s="61"/>
      <c r="M466" s="61"/>
      <c r="N466" s="61"/>
      <c r="O466" s="61"/>
      <c r="P466" s="61"/>
      <c r="Q466" s="61"/>
      <c r="S466" s="61"/>
      <c r="T466" s="61"/>
      <c r="U466" s="61"/>
    </row>
    <row r="467" spans="1:122">
      <c r="D467" s="61"/>
      <c r="E467" s="61"/>
      <c r="F467" s="61"/>
      <c r="G467" s="61"/>
      <c r="H467" s="61"/>
      <c r="I467" s="61"/>
      <c r="J467" s="61"/>
      <c r="K467" s="61"/>
      <c r="L467" s="61"/>
      <c r="M467" s="61"/>
      <c r="N467" s="61"/>
      <c r="O467" s="61"/>
      <c r="P467" s="61"/>
      <c r="Q467" s="61"/>
      <c r="S467" s="61"/>
      <c r="T467" s="61"/>
      <c r="U467" s="61"/>
    </row>
    <row r="468" spans="1:122">
      <c r="D468" s="61"/>
      <c r="E468" s="61"/>
      <c r="F468" s="61"/>
      <c r="G468" s="61"/>
      <c r="H468" s="61"/>
      <c r="I468" s="61"/>
      <c r="J468" s="61"/>
      <c r="K468" s="61"/>
      <c r="L468" s="61"/>
      <c r="M468" s="61"/>
      <c r="N468" s="61"/>
      <c r="O468" s="61"/>
      <c r="P468" s="61"/>
      <c r="Q468" s="61"/>
      <c r="S468" s="61"/>
      <c r="T468" s="61"/>
      <c r="U468" s="61"/>
    </row>
    <row r="469" spans="1:122">
      <c r="D469" s="61"/>
      <c r="E469" s="61"/>
      <c r="F469" s="61"/>
      <c r="G469" s="61"/>
      <c r="H469" s="61"/>
      <c r="I469" s="61"/>
      <c r="J469" s="61"/>
      <c r="K469" s="61"/>
      <c r="L469" s="61"/>
      <c r="M469" s="61"/>
      <c r="N469" s="61"/>
      <c r="O469" s="61"/>
      <c r="P469" s="61"/>
      <c r="Q469" s="61"/>
      <c r="S469" s="61"/>
      <c r="T469" s="61"/>
      <c r="U469" s="61"/>
    </row>
    <row r="470" spans="1:122">
      <c r="D470" s="61"/>
      <c r="E470" s="61"/>
      <c r="F470" s="61"/>
      <c r="G470" s="61"/>
      <c r="H470" s="61"/>
      <c r="I470" s="61"/>
      <c r="J470" s="61"/>
      <c r="K470" s="61"/>
      <c r="L470" s="61"/>
      <c r="M470" s="61"/>
      <c r="N470" s="61"/>
      <c r="O470" s="61"/>
      <c r="P470" s="61"/>
      <c r="Q470" s="61"/>
      <c r="S470" s="61"/>
      <c r="T470" s="61"/>
      <c r="U470" s="61"/>
    </row>
    <row r="471" spans="1:122">
      <c r="D471" s="61"/>
      <c r="E471" s="61"/>
      <c r="F471" s="61"/>
      <c r="G471" s="61"/>
      <c r="H471" s="61"/>
      <c r="I471" s="61"/>
      <c r="J471" s="61"/>
      <c r="K471" s="61"/>
      <c r="L471" s="61"/>
      <c r="M471" s="61"/>
      <c r="N471" s="61"/>
      <c r="O471" s="61"/>
      <c r="P471" s="61"/>
      <c r="Q471" s="61"/>
      <c r="S471" s="61"/>
      <c r="T471" s="61"/>
      <c r="U471" s="61"/>
    </row>
    <row r="472" spans="1:122">
      <c r="D472" s="61"/>
      <c r="E472" s="61"/>
      <c r="F472" s="61"/>
      <c r="G472" s="61"/>
      <c r="H472" s="61"/>
      <c r="I472" s="61"/>
      <c r="J472" s="61"/>
      <c r="K472" s="61"/>
      <c r="L472" s="61"/>
      <c r="M472" s="61"/>
      <c r="N472" s="61"/>
      <c r="O472" s="61"/>
      <c r="P472" s="61"/>
      <c r="Q472" s="61"/>
      <c r="S472" s="61"/>
      <c r="T472" s="61"/>
      <c r="U472" s="61"/>
    </row>
    <row r="473" spans="1:122">
      <c r="D473" s="61"/>
      <c r="E473" s="61"/>
      <c r="F473" s="61"/>
      <c r="G473" s="61"/>
      <c r="H473" s="61"/>
      <c r="I473" s="61"/>
      <c r="J473" s="61"/>
      <c r="K473" s="61"/>
      <c r="L473" s="61"/>
      <c r="M473" s="61"/>
      <c r="N473" s="61"/>
      <c r="O473" s="61"/>
      <c r="P473" s="61"/>
      <c r="Q473" s="61"/>
      <c r="S473" s="61"/>
      <c r="T473" s="61"/>
      <c r="U473" s="61"/>
    </row>
    <row r="474" spans="1:122">
      <c r="D474" s="61"/>
      <c r="E474" s="61"/>
      <c r="F474" s="61"/>
      <c r="G474" s="61"/>
      <c r="H474" s="61"/>
      <c r="I474" s="61"/>
      <c r="J474" s="61"/>
      <c r="K474" s="61"/>
      <c r="L474" s="61"/>
      <c r="M474" s="61"/>
      <c r="N474" s="61"/>
      <c r="O474" s="61"/>
      <c r="P474" s="61"/>
      <c r="Q474" s="61"/>
      <c r="S474" s="61"/>
      <c r="T474" s="61"/>
      <c r="U474" s="61"/>
    </row>
    <row r="475" spans="1:122">
      <c r="D475" s="61"/>
      <c r="E475" s="61"/>
      <c r="F475" s="61"/>
      <c r="G475" s="61"/>
      <c r="H475" s="61"/>
      <c r="I475" s="61"/>
      <c r="J475" s="61"/>
      <c r="K475" s="61"/>
      <c r="L475" s="61"/>
      <c r="M475" s="61"/>
      <c r="N475" s="61"/>
      <c r="O475" s="61"/>
      <c r="P475" s="61"/>
      <c r="Q475" s="61"/>
      <c r="S475" s="61"/>
      <c r="T475" s="61"/>
      <c r="U475" s="61"/>
    </row>
    <row r="476" spans="1:122">
      <c r="D476" s="61"/>
      <c r="E476" s="61"/>
      <c r="F476" s="61"/>
      <c r="G476" s="61"/>
      <c r="H476" s="61"/>
      <c r="I476" s="61"/>
      <c r="J476" s="61"/>
      <c r="K476" s="61"/>
      <c r="L476" s="61"/>
      <c r="M476" s="61"/>
      <c r="N476" s="61"/>
      <c r="O476" s="61"/>
      <c r="P476" s="61"/>
      <c r="Q476" s="61"/>
      <c r="S476" s="61"/>
      <c r="T476" s="61"/>
      <c r="U476" s="61"/>
    </row>
    <row r="477" spans="1:122">
      <c r="D477" s="61"/>
      <c r="E477" s="61"/>
      <c r="F477" s="61"/>
      <c r="G477" s="61"/>
      <c r="H477" s="61"/>
      <c r="I477" s="61"/>
      <c r="J477" s="61"/>
      <c r="K477" s="61"/>
      <c r="L477" s="61"/>
      <c r="M477" s="61"/>
      <c r="N477" s="61"/>
      <c r="O477" s="61"/>
      <c r="P477" s="61"/>
      <c r="Q477" s="61"/>
      <c r="S477" s="61"/>
      <c r="T477" s="61"/>
      <c r="U477" s="61"/>
    </row>
    <row r="478" spans="1:122">
      <c r="D478" s="61"/>
      <c r="E478" s="61"/>
      <c r="F478" s="61"/>
      <c r="G478" s="61"/>
      <c r="H478" s="61"/>
      <c r="I478" s="61"/>
      <c r="J478" s="61"/>
      <c r="K478" s="61"/>
      <c r="L478" s="61"/>
      <c r="M478" s="61"/>
      <c r="N478" s="61"/>
      <c r="O478" s="61"/>
      <c r="P478" s="61"/>
      <c r="Q478" s="61"/>
      <c r="S478" s="61"/>
      <c r="T478" s="61"/>
      <c r="U478" s="61"/>
    </row>
    <row r="479" spans="1:122">
      <c r="D479" s="61"/>
      <c r="E479" s="61"/>
      <c r="F479" s="61"/>
      <c r="G479" s="61"/>
      <c r="H479" s="61"/>
      <c r="I479" s="61"/>
      <c r="J479" s="61"/>
      <c r="K479" s="61"/>
      <c r="L479" s="61"/>
      <c r="M479" s="61"/>
      <c r="N479" s="61"/>
      <c r="O479" s="61"/>
      <c r="P479" s="61"/>
      <c r="Q479" s="61"/>
      <c r="S479" s="61"/>
      <c r="T479" s="61"/>
      <c r="U479" s="61"/>
    </row>
    <row r="480" spans="1:122">
      <c r="D480" s="61"/>
      <c r="E480" s="61"/>
      <c r="F480" s="61"/>
      <c r="G480" s="61"/>
      <c r="H480" s="61"/>
      <c r="I480" s="61"/>
      <c r="J480" s="61"/>
      <c r="K480" s="61"/>
      <c r="L480" s="61"/>
      <c r="M480" s="61"/>
      <c r="N480" s="61"/>
      <c r="O480" s="61"/>
      <c r="P480" s="61"/>
      <c r="Q480" s="61"/>
      <c r="S480" s="61"/>
      <c r="T480" s="61"/>
      <c r="U480" s="61"/>
    </row>
    <row r="481" spans="1:122">
      <c r="D481" s="61"/>
      <c r="E481" s="61"/>
      <c r="F481" s="61"/>
      <c r="G481" s="61"/>
      <c r="H481" s="61"/>
      <c r="I481" s="61"/>
      <c r="J481" s="61"/>
      <c r="K481" s="61"/>
      <c r="L481" s="61"/>
      <c r="M481" s="61"/>
      <c r="N481" s="61"/>
      <c r="O481" s="61"/>
      <c r="P481" s="61"/>
      <c r="Q481" s="61"/>
      <c r="S481" s="61"/>
      <c r="T481" s="61"/>
      <c r="U481" s="61"/>
    </row>
    <row r="482" spans="1:122">
      <c r="D482" s="61"/>
      <c r="E482" s="61"/>
      <c r="F482" s="61"/>
      <c r="G482" s="61"/>
      <c r="H482" s="61"/>
      <c r="I482" s="61"/>
      <c r="J482" s="61"/>
      <c r="K482" s="61"/>
      <c r="L482" s="61"/>
      <c r="M482" s="61"/>
      <c r="N482" s="61"/>
      <c r="O482" s="61"/>
      <c r="P482" s="61"/>
      <c r="Q482" s="61"/>
      <c r="S482" s="61"/>
      <c r="T482" s="61"/>
      <c r="U482" s="61"/>
    </row>
    <row r="483" spans="1:122">
      <c r="D483" s="61"/>
      <c r="E483" s="61"/>
      <c r="F483" s="61"/>
      <c r="G483" s="61"/>
      <c r="H483" s="61"/>
      <c r="I483" s="61"/>
      <c r="J483" s="61"/>
      <c r="K483" s="61"/>
      <c r="L483" s="61"/>
      <c r="M483" s="61"/>
      <c r="N483" s="61"/>
      <c r="O483" s="61"/>
      <c r="P483" s="61"/>
      <c r="Q483" s="61"/>
      <c r="S483" s="61"/>
      <c r="T483" s="61"/>
      <c r="U483" s="61"/>
    </row>
    <row r="484" spans="1:122">
      <c r="D484" s="61"/>
      <c r="E484" s="61"/>
      <c r="F484" s="61"/>
      <c r="G484" s="61"/>
      <c r="H484" s="61"/>
      <c r="I484" s="61"/>
      <c r="J484" s="61"/>
      <c r="K484" s="61"/>
      <c r="L484" s="61"/>
      <c r="M484" s="61"/>
      <c r="N484" s="61"/>
      <c r="O484" s="61"/>
      <c r="P484" s="61"/>
      <c r="Q484" s="61"/>
      <c r="S484" s="61"/>
      <c r="T484" s="61"/>
      <c r="U484" s="61"/>
    </row>
    <row r="485" spans="1:122">
      <c r="D485" s="61"/>
      <c r="E485" s="61"/>
      <c r="F485" s="61"/>
      <c r="G485" s="61"/>
      <c r="H485" s="61"/>
      <c r="I485" s="61"/>
      <c r="J485" s="61"/>
      <c r="K485" s="61"/>
      <c r="L485" s="61"/>
      <c r="M485" s="61"/>
      <c r="N485" s="61"/>
      <c r="O485" s="61"/>
      <c r="P485" s="61"/>
      <c r="Q485" s="61"/>
      <c r="S485" s="61"/>
      <c r="T485" s="61"/>
      <c r="U485" s="61"/>
    </row>
    <row r="486" spans="1:122">
      <c r="D486" s="61"/>
      <c r="E486" s="61"/>
      <c r="F486" s="61"/>
      <c r="G486" s="61"/>
      <c r="H486" s="61"/>
      <c r="I486" s="61"/>
      <c r="J486" s="61"/>
      <c r="K486" s="61"/>
      <c r="L486" s="61"/>
      <c r="M486" s="61"/>
      <c r="N486" s="61"/>
      <c r="O486" s="61"/>
      <c r="P486" s="61"/>
      <c r="Q486" s="61"/>
      <c r="S486" s="61"/>
      <c r="T486" s="61"/>
      <c r="U486" s="61"/>
    </row>
    <row r="487" spans="1:122">
      <c r="D487" s="61"/>
      <c r="E487" s="61"/>
      <c r="F487" s="61"/>
      <c r="G487" s="61"/>
      <c r="H487" s="61"/>
      <c r="I487" s="61"/>
      <c r="J487" s="61"/>
      <c r="K487" s="61"/>
      <c r="L487" s="61"/>
      <c r="M487" s="61"/>
      <c r="N487" s="61"/>
      <c r="O487" s="61"/>
      <c r="P487" s="61"/>
      <c r="Q487" s="61"/>
      <c r="S487" s="61"/>
      <c r="T487" s="61"/>
      <c r="U487" s="61"/>
    </row>
    <row r="488" spans="1:122">
      <c r="D488" s="61"/>
      <c r="E488" s="61"/>
      <c r="F488" s="61"/>
      <c r="G488" s="61"/>
      <c r="H488" s="61"/>
      <c r="I488" s="61"/>
      <c r="J488" s="61"/>
      <c r="K488" s="61"/>
      <c r="L488" s="61"/>
      <c r="M488" s="61"/>
      <c r="N488" s="61"/>
      <c r="O488" s="61"/>
      <c r="P488" s="61"/>
      <c r="Q488" s="61"/>
      <c r="S488" s="61"/>
      <c r="T488" s="61"/>
      <c r="U488" s="61"/>
    </row>
    <row r="489" spans="1:122">
      <c r="D489" s="61"/>
      <c r="E489" s="61"/>
      <c r="F489" s="61"/>
      <c r="G489" s="61"/>
      <c r="H489" s="61"/>
      <c r="I489" s="61"/>
      <c r="J489" s="61"/>
      <c r="K489" s="61"/>
      <c r="L489" s="61"/>
      <c r="M489" s="61"/>
      <c r="N489" s="61"/>
      <c r="O489" s="61"/>
      <c r="P489" s="61"/>
      <c r="Q489" s="61"/>
      <c r="S489" s="61"/>
      <c r="T489" s="61"/>
      <c r="U489" s="61"/>
    </row>
    <row r="490" spans="1:122">
      <c r="D490" s="61"/>
      <c r="E490" s="61"/>
      <c r="F490" s="61"/>
      <c r="G490" s="61"/>
      <c r="H490" s="61"/>
      <c r="I490" s="61"/>
      <c r="J490" s="61"/>
      <c r="K490" s="61"/>
      <c r="L490" s="61"/>
      <c r="M490" s="61"/>
      <c r="N490" s="61"/>
      <c r="O490" s="61"/>
      <c r="P490" s="61"/>
      <c r="Q490" s="61"/>
      <c r="S490" s="61"/>
      <c r="T490" s="61"/>
      <c r="U490" s="61"/>
    </row>
    <row r="491" spans="1:122">
      <c r="D491" s="61"/>
      <c r="E491" s="61"/>
      <c r="F491" s="61"/>
      <c r="G491" s="61"/>
      <c r="H491" s="61"/>
      <c r="I491" s="61"/>
      <c r="J491" s="61"/>
      <c r="K491" s="61"/>
      <c r="L491" s="61"/>
      <c r="M491" s="61"/>
      <c r="N491" s="61"/>
      <c r="O491" s="61"/>
      <c r="P491" s="61"/>
      <c r="Q491" s="61"/>
      <c r="S491" s="61"/>
      <c r="T491" s="61"/>
      <c r="U491" s="61"/>
    </row>
    <row r="492" spans="1:122">
      <c r="D492" s="61"/>
      <c r="E492" s="61"/>
      <c r="F492" s="61"/>
      <c r="G492" s="61"/>
      <c r="H492" s="61"/>
      <c r="I492" s="61"/>
      <c r="J492" s="61"/>
      <c r="K492" s="61"/>
      <c r="L492" s="61"/>
      <c r="M492" s="61"/>
      <c r="N492" s="61"/>
      <c r="O492" s="61"/>
      <c r="P492" s="61"/>
      <c r="Q492" s="61"/>
      <c r="S492" s="61"/>
      <c r="T492" s="61"/>
      <c r="U492" s="61"/>
    </row>
    <row r="493" spans="1:122">
      <c r="D493" s="61"/>
      <c r="E493" s="61"/>
      <c r="F493" s="61"/>
      <c r="G493" s="61"/>
      <c r="H493" s="61"/>
      <c r="I493" s="61"/>
      <c r="J493" s="61"/>
      <c r="K493" s="61"/>
      <c r="L493" s="61"/>
      <c r="M493" s="61"/>
      <c r="N493" s="61"/>
      <c r="O493" s="61"/>
      <c r="P493" s="61"/>
      <c r="Q493" s="61"/>
      <c r="S493" s="61"/>
      <c r="T493" s="61"/>
      <c r="U493" s="61"/>
    </row>
    <row r="494" spans="1:122">
      <c r="D494" s="61"/>
      <c r="E494" s="61"/>
      <c r="F494" s="61"/>
      <c r="G494" s="61"/>
      <c r="H494" s="61"/>
      <c r="I494" s="61"/>
      <c r="J494" s="61"/>
      <c r="K494" s="61"/>
      <c r="L494" s="61"/>
      <c r="M494" s="61"/>
      <c r="N494" s="61"/>
      <c r="O494" s="61"/>
      <c r="P494" s="61"/>
      <c r="Q494" s="61"/>
      <c r="S494" s="61"/>
      <c r="T494" s="61"/>
      <c r="U494" s="61"/>
    </row>
    <row r="495" spans="1:122">
      <c r="D495" s="61"/>
      <c r="E495" s="61"/>
      <c r="F495" s="61"/>
      <c r="G495" s="61"/>
      <c r="H495" s="61"/>
      <c r="I495" s="61"/>
      <c r="J495" s="61"/>
      <c r="K495" s="61"/>
      <c r="L495" s="61"/>
      <c r="M495" s="61"/>
      <c r="N495" s="61"/>
      <c r="O495" s="61"/>
      <c r="P495" s="61"/>
      <c r="Q495" s="61"/>
      <c r="S495" s="61"/>
      <c r="T495" s="61"/>
      <c r="U495" s="61"/>
    </row>
    <row r="496" spans="1:122">
      <c r="D496" s="61"/>
      <c r="E496" s="61"/>
      <c r="F496" s="61"/>
      <c r="G496" s="61"/>
      <c r="H496" s="61"/>
      <c r="I496" s="61"/>
      <c r="J496" s="61"/>
      <c r="K496" s="61"/>
      <c r="L496" s="61"/>
      <c r="M496" s="61"/>
      <c r="N496" s="61"/>
      <c r="O496" s="61"/>
      <c r="P496" s="61"/>
      <c r="Q496" s="61"/>
      <c r="S496" s="61"/>
      <c r="T496" s="61"/>
      <c r="U496" s="61"/>
    </row>
    <row r="497" spans="1:122">
      <c r="D497" s="61"/>
      <c r="E497" s="61"/>
      <c r="F497" s="61"/>
      <c r="G497" s="61"/>
      <c r="H497" s="61"/>
      <c r="I497" s="61"/>
      <c r="J497" s="61"/>
      <c r="K497" s="61"/>
      <c r="L497" s="61"/>
      <c r="M497" s="61"/>
      <c r="N497" s="61"/>
      <c r="O497" s="61"/>
      <c r="P497" s="61"/>
      <c r="Q497" s="61"/>
      <c r="S497" s="61"/>
      <c r="T497" s="61"/>
      <c r="U497" s="61"/>
    </row>
    <row r="498" spans="1:122">
      <c r="D498" s="61"/>
      <c r="E498" s="61"/>
      <c r="F498" s="61"/>
      <c r="G498" s="61"/>
      <c r="H498" s="61"/>
      <c r="I498" s="61"/>
      <c r="J498" s="61"/>
      <c r="K498" s="61"/>
      <c r="L498" s="61"/>
      <c r="M498" s="61"/>
      <c r="N498" s="61"/>
      <c r="O498" s="61"/>
      <c r="P498" s="61"/>
      <c r="Q498" s="61"/>
      <c r="S498" s="61"/>
      <c r="T498" s="61"/>
      <c r="U498" s="61"/>
    </row>
    <row r="499" spans="1:122">
      <c r="D499" s="61"/>
      <c r="E499" s="61"/>
      <c r="F499" s="61"/>
      <c r="G499" s="61"/>
      <c r="H499" s="61"/>
      <c r="I499" s="61"/>
      <c r="J499" s="61"/>
      <c r="K499" s="61"/>
      <c r="L499" s="61"/>
      <c r="M499" s="61"/>
      <c r="N499" s="61"/>
      <c r="O499" s="61"/>
      <c r="P499" s="61"/>
      <c r="Q499" s="61"/>
      <c r="S499" s="61"/>
      <c r="T499" s="61"/>
      <c r="U499" s="61"/>
    </row>
    <row r="500" spans="1:122">
      <c r="D500" s="61"/>
      <c r="E500" s="61"/>
      <c r="F500" s="61"/>
      <c r="G500" s="61"/>
      <c r="H500" s="61"/>
      <c r="I500" s="61"/>
      <c r="J500" s="61"/>
      <c r="K500" s="61"/>
      <c r="L500" s="61"/>
      <c r="M500" s="61"/>
      <c r="N500" s="61"/>
      <c r="O500" s="61"/>
      <c r="P500" s="61"/>
      <c r="Q500" s="61"/>
      <c r="S500" s="61"/>
      <c r="T500" s="61"/>
      <c r="U500" s="61"/>
    </row>
    <row r="501" spans="1:122">
      <c r="D501" s="61"/>
      <c r="E501" s="61"/>
      <c r="F501" s="61"/>
      <c r="G501" s="61"/>
      <c r="H501" s="61"/>
      <c r="I501" s="61"/>
      <c r="J501" s="61"/>
      <c r="K501" s="61"/>
      <c r="L501" s="61"/>
      <c r="M501" s="61"/>
      <c r="N501" s="61"/>
      <c r="O501" s="61"/>
      <c r="P501" s="61"/>
      <c r="Q501" s="61"/>
      <c r="S501" s="61"/>
      <c r="T501" s="61"/>
      <c r="U501" s="61"/>
    </row>
    <row r="502" spans="1:122">
      <c r="D502" s="61"/>
      <c r="E502" s="61"/>
      <c r="F502" s="61"/>
      <c r="G502" s="61"/>
      <c r="H502" s="61"/>
      <c r="I502" s="61"/>
      <c r="J502" s="61"/>
      <c r="K502" s="61"/>
      <c r="L502" s="61"/>
      <c r="M502" s="61"/>
      <c r="N502" s="61"/>
      <c r="O502" s="61"/>
      <c r="P502" s="61"/>
      <c r="Q502" s="61"/>
      <c r="S502" s="61"/>
      <c r="T502" s="61"/>
      <c r="U502" s="61"/>
    </row>
    <row r="503" spans="1:122">
      <c r="D503" s="61"/>
      <c r="E503" s="61"/>
      <c r="F503" s="61"/>
      <c r="G503" s="61"/>
      <c r="H503" s="61"/>
      <c r="I503" s="61"/>
      <c r="J503" s="61"/>
      <c r="K503" s="61"/>
      <c r="L503" s="61"/>
      <c r="M503" s="61"/>
      <c r="N503" s="61"/>
      <c r="O503" s="61"/>
      <c r="P503" s="61"/>
      <c r="Q503" s="61"/>
      <c r="S503" s="61"/>
      <c r="T503" s="61"/>
      <c r="U503" s="61"/>
    </row>
    <row r="504" spans="1:122">
      <c r="D504" s="61"/>
      <c r="E504" s="61"/>
      <c r="F504" s="61"/>
      <c r="G504" s="61"/>
      <c r="H504" s="61"/>
      <c r="I504" s="61"/>
      <c r="J504" s="61"/>
      <c r="K504" s="61"/>
      <c r="L504" s="61"/>
      <c r="M504" s="61"/>
      <c r="N504" s="61"/>
      <c r="O504" s="61"/>
      <c r="P504" s="61"/>
      <c r="Q504" s="61"/>
      <c r="S504" s="61"/>
      <c r="T504" s="61"/>
      <c r="U504" s="61"/>
    </row>
    <row r="505" spans="1:122">
      <c r="D505" s="61"/>
      <c r="E505" s="61"/>
      <c r="F505" s="61"/>
      <c r="G505" s="61"/>
      <c r="H505" s="61"/>
      <c r="I505" s="61"/>
      <c r="J505" s="61"/>
      <c r="K505" s="61"/>
      <c r="L505" s="61"/>
      <c r="M505" s="61"/>
      <c r="N505" s="61"/>
      <c r="O505" s="61"/>
      <c r="P505" s="61"/>
      <c r="Q505" s="61"/>
      <c r="S505" s="61"/>
      <c r="T505" s="61"/>
      <c r="U505" s="61"/>
    </row>
    <row r="506" spans="1:122">
      <c r="D506" s="61"/>
      <c r="E506" s="61"/>
      <c r="F506" s="61"/>
      <c r="G506" s="61"/>
      <c r="H506" s="61"/>
      <c r="I506" s="61"/>
      <c r="J506" s="61"/>
      <c r="K506" s="61"/>
      <c r="L506" s="61"/>
      <c r="M506" s="61"/>
      <c r="N506" s="61"/>
      <c r="O506" s="61"/>
      <c r="P506" s="61"/>
      <c r="Q506" s="61"/>
      <c r="S506" s="61"/>
      <c r="T506" s="61"/>
      <c r="U506" s="61"/>
    </row>
    <row r="507" spans="1:122">
      <c r="D507" s="61"/>
      <c r="E507" s="61"/>
      <c r="F507" s="61"/>
      <c r="G507" s="61"/>
      <c r="H507" s="61"/>
      <c r="I507" s="61"/>
      <c r="J507" s="61"/>
      <c r="K507" s="61"/>
      <c r="L507" s="61"/>
      <c r="M507" s="61"/>
      <c r="N507" s="61"/>
      <c r="O507" s="61"/>
      <c r="P507" s="61"/>
      <c r="Q507" s="61"/>
      <c r="S507" s="61"/>
      <c r="T507" s="61"/>
      <c r="U507" s="61"/>
    </row>
    <row r="508" spans="1:122">
      <c r="D508" s="61"/>
      <c r="E508" s="61"/>
      <c r="F508" s="61"/>
      <c r="G508" s="61"/>
      <c r="H508" s="61"/>
      <c r="I508" s="61"/>
      <c r="J508" s="61"/>
      <c r="K508" s="61"/>
      <c r="L508" s="61"/>
      <c r="M508" s="61"/>
      <c r="N508" s="61"/>
      <c r="O508" s="61"/>
      <c r="P508" s="61"/>
      <c r="Q508" s="61"/>
      <c r="S508" s="61"/>
      <c r="T508" s="61"/>
      <c r="U508" s="61"/>
    </row>
    <row r="509" spans="1:122">
      <c r="D509" s="61"/>
      <c r="E509" s="61"/>
      <c r="F509" s="61"/>
      <c r="G509" s="61"/>
      <c r="H509" s="61"/>
      <c r="I509" s="61"/>
      <c r="J509" s="61"/>
      <c r="K509" s="61"/>
      <c r="L509" s="61"/>
      <c r="M509" s="61"/>
      <c r="N509" s="61"/>
      <c r="O509" s="61"/>
      <c r="P509" s="61"/>
      <c r="Q509" s="61"/>
      <c r="S509" s="61"/>
      <c r="T509" s="61"/>
      <c r="U509" s="61"/>
    </row>
    <row r="510" spans="1:122">
      <c r="D510" s="61"/>
      <c r="E510" s="61"/>
      <c r="F510" s="61"/>
      <c r="G510" s="61"/>
      <c r="H510" s="61"/>
      <c r="I510" s="61"/>
      <c r="J510" s="61"/>
      <c r="K510" s="61"/>
      <c r="L510" s="61"/>
      <c r="M510" s="61"/>
      <c r="N510" s="61"/>
      <c r="O510" s="61"/>
      <c r="P510" s="61"/>
      <c r="Q510" s="61"/>
      <c r="S510" s="61"/>
      <c r="T510" s="61"/>
      <c r="U510" s="61"/>
    </row>
    <row r="511" spans="1:122">
      <c r="D511" s="61"/>
      <c r="E511" s="61"/>
      <c r="F511" s="61"/>
      <c r="G511" s="61"/>
      <c r="H511" s="61"/>
      <c r="I511" s="61"/>
      <c r="J511" s="61"/>
      <c r="K511" s="61"/>
      <c r="L511" s="61"/>
      <c r="M511" s="61"/>
      <c r="N511" s="61"/>
      <c r="O511" s="61"/>
      <c r="P511" s="61"/>
      <c r="Q511" s="61"/>
      <c r="S511" s="61"/>
      <c r="T511" s="61"/>
      <c r="U511" s="61"/>
    </row>
    <row r="512" spans="1:122">
      <c r="D512" s="61"/>
      <c r="E512" s="61"/>
      <c r="F512" s="61"/>
      <c r="G512" s="61"/>
      <c r="H512" s="61"/>
      <c r="I512" s="61"/>
      <c r="J512" s="61"/>
      <c r="K512" s="61"/>
      <c r="L512" s="61"/>
      <c r="M512" s="61"/>
      <c r="N512" s="61"/>
      <c r="O512" s="61"/>
      <c r="P512" s="61"/>
      <c r="Q512" s="61"/>
      <c r="S512" s="61"/>
      <c r="T512" s="61"/>
      <c r="U512" s="61"/>
    </row>
    <row r="513" spans="1:122">
      <c r="D513" s="61"/>
      <c r="E513" s="61"/>
      <c r="F513" s="61"/>
      <c r="G513" s="61"/>
      <c r="H513" s="61"/>
      <c r="I513" s="61"/>
      <c r="J513" s="61"/>
      <c r="K513" s="61"/>
      <c r="L513" s="61"/>
      <c r="M513" s="61"/>
      <c r="N513" s="61"/>
      <c r="O513" s="61"/>
      <c r="P513" s="61"/>
      <c r="Q513" s="61"/>
      <c r="S513" s="61"/>
      <c r="T513" s="61"/>
      <c r="U513" s="61"/>
    </row>
    <row r="514" spans="1:122">
      <c r="D514" s="61"/>
      <c r="E514" s="61"/>
      <c r="F514" s="61"/>
      <c r="G514" s="61"/>
      <c r="H514" s="61"/>
      <c r="I514" s="61"/>
      <c r="J514" s="61"/>
      <c r="K514" s="61"/>
      <c r="L514" s="61"/>
      <c r="M514" s="61"/>
      <c r="N514" s="61"/>
      <c r="O514" s="61"/>
      <c r="P514" s="61"/>
      <c r="Q514" s="61"/>
      <c r="S514" s="61"/>
      <c r="T514" s="61"/>
      <c r="U514" s="61"/>
    </row>
    <row r="515" spans="1:122">
      <c r="D515" s="61"/>
      <c r="E515" s="61"/>
      <c r="F515" s="61"/>
      <c r="G515" s="61"/>
      <c r="H515" s="61"/>
      <c r="I515" s="61"/>
      <c r="J515" s="61"/>
      <c r="K515" s="61"/>
      <c r="L515" s="61"/>
      <c r="M515" s="61"/>
      <c r="N515" s="61"/>
      <c r="O515" s="61"/>
      <c r="P515" s="61"/>
      <c r="Q515" s="61"/>
      <c r="S515" s="61"/>
      <c r="T515" s="61"/>
      <c r="U515" s="61"/>
    </row>
    <row r="516" spans="1:122">
      <c r="D516" s="61"/>
      <c r="E516" s="61"/>
      <c r="F516" s="61"/>
      <c r="G516" s="61"/>
      <c r="H516" s="61"/>
      <c r="I516" s="61"/>
      <c r="J516" s="61"/>
      <c r="K516" s="61"/>
      <c r="L516" s="61"/>
      <c r="M516" s="61"/>
      <c r="N516" s="61"/>
      <c r="O516" s="61"/>
      <c r="P516" s="61"/>
      <c r="Q516" s="61"/>
      <c r="S516" s="61"/>
      <c r="T516" s="61"/>
      <c r="U516" s="61"/>
    </row>
    <row r="517" spans="1:122">
      <c r="D517" s="61"/>
      <c r="E517" s="61"/>
      <c r="F517" s="61"/>
      <c r="G517" s="61"/>
      <c r="H517" s="61"/>
      <c r="I517" s="61"/>
      <c r="J517" s="61"/>
      <c r="K517" s="61"/>
      <c r="L517" s="61"/>
      <c r="M517" s="61"/>
      <c r="N517" s="61"/>
      <c r="O517" s="61"/>
      <c r="P517" s="61"/>
      <c r="Q517" s="61"/>
      <c r="S517" s="61"/>
      <c r="T517" s="61"/>
      <c r="U517" s="61"/>
    </row>
    <row r="518" spans="1:122">
      <c r="D518" s="61"/>
      <c r="E518" s="61"/>
      <c r="F518" s="61"/>
      <c r="G518" s="61"/>
      <c r="H518" s="61"/>
      <c r="I518" s="61"/>
      <c r="J518" s="61"/>
      <c r="K518" s="61"/>
      <c r="L518" s="61"/>
      <c r="M518" s="61"/>
      <c r="N518" s="61"/>
      <c r="O518" s="61"/>
      <c r="P518" s="61"/>
      <c r="Q518" s="61"/>
      <c r="S518" s="61"/>
      <c r="T518" s="61"/>
      <c r="U518" s="61"/>
    </row>
    <row r="519" spans="1:122">
      <c r="D519" s="61"/>
      <c r="E519" s="61"/>
      <c r="F519" s="61"/>
      <c r="G519" s="61"/>
      <c r="H519" s="61"/>
      <c r="I519" s="61"/>
      <c r="J519" s="61"/>
      <c r="K519" s="61"/>
      <c r="L519" s="61"/>
      <c r="M519" s="61"/>
      <c r="N519" s="61"/>
      <c r="O519" s="61"/>
      <c r="P519" s="61"/>
      <c r="Q519" s="61"/>
      <c r="S519" s="61"/>
      <c r="T519" s="61"/>
      <c r="U519" s="61"/>
    </row>
    <row r="520" spans="1:122">
      <c r="D520" s="61"/>
      <c r="E520" s="61"/>
      <c r="F520" s="61"/>
      <c r="G520" s="61"/>
      <c r="H520" s="61"/>
      <c r="I520" s="61"/>
      <c r="J520" s="61"/>
      <c r="K520" s="61"/>
      <c r="L520" s="61"/>
      <c r="M520" s="61"/>
      <c r="N520" s="61"/>
      <c r="O520" s="61"/>
      <c r="P520" s="61"/>
      <c r="Q520" s="61"/>
      <c r="S520" s="61"/>
      <c r="T520" s="61"/>
      <c r="U520" s="61"/>
    </row>
    <row r="521" spans="1:122">
      <c r="D521" s="61"/>
      <c r="E521" s="61"/>
      <c r="F521" s="61"/>
      <c r="G521" s="61"/>
      <c r="H521" s="61"/>
      <c r="I521" s="61"/>
      <c r="J521" s="61"/>
      <c r="K521" s="61"/>
      <c r="L521" s="61"/>
      <c r="M521" s="61"/>
      <c r="N521" s="61"/>
      <c r="O521" s="61"/>
      <c r="P521" s="61"/>
      <c r="Q521" s="61"/>
      <c r="S521" s="61"/>
      <c r="T521" s="61"/>
      <c r="U521" s="61"/>
    </row>
    <row r="522" spans="1:122">
      <c r="D522" s="61"/>
      <c r="E522" s="61"/>
      <c r="F522" s="61"/>
      <c r="G522" s="61"/>
      <c r="H522" s="61"/>
      <c r="I522" s="61"/>
      <c r="J522" s="61"/>
      <c r="K522" s="61"/>
      <c r="L522" s="61"/>
      <c r="M522" s="61"/>
      <c r="N522" s="61"/>
      <c r="O522" s="61"/>
      <c r="P522" s="61"/>
      <c r="Q522" s="61"/>
      <c r="S522" s="61"/>
      <c r="T522" s="61"/>
      <c r="U522" s="61"/>
    </row>
    <row r="523" spans="1:122">
      <c r="D523" s="61"/>
      <c r="E523" s="61"/>
      <c r="F523" s="61"/>
      <c r="G523" s="61"/>
      <c r="H523" s="61"/>
      <c r="I523" s="61"/>
      <c r="J523" s="61"/>
      <c r="K523" s="61"/>
      <c r="L523" s="61"/>
      <c r="M523" s="61"/>
      <c r="N523" s="61"/>
      <c r="O523" s="61"/>
      <c r="P523" s="61"/>
      <c r="Q523" s="61"/>
      <c r="S523" s="61"/>
      <c r="T523" s="61"/>
      <c r="U523" s="61"/>
    </row>
    <row r="524" spans="1:122">
      <c r="D524" s="61"/>
      <c r="E524" s="61"/>
      <c r="F524" s="61"/>
      <c r="G524" s="61"/>
      <c r="H524" s="61"/>
      <c r="I524" s="61"/>
      <c r="J524" s="61"/>
      <c r="K524" s="61"/>
      <c r="L524" s="61"/>
      <c r="M524" s="61"/>
      <c r="N524" s="61"/>
      <c r="O524" s="61"/>
      <c r="P524" s="61"/>
      <c r="Q524" s="61"/>
      <c r="S524" s="61"/>
      <c r="T524" s="61"/>
      <c r="U524" s="61"/>
    </row>
    <row r="525" spans="1:122">
      <c r="D525" s="61"/>
      <c r="E525" s="61"/>
      <c r="F525" s="61"/>
      <c r="G525" s="61"/>
      <c r="H525" s="61"/>
      <c r="I525" s="61"/>
      <c r="J525" s="61"/>
      <c r="K525" s="61"/>
      <c r="L525" s="61"/>
      <c r="M525" s="61"/>
      <c r="N525" s="61"/>
      <c r="O525" s="61"/>
      <c r="P525" s="61"/>
      <c r="Q525" s="61"/>
      <c r="S525" s="61"/>
      <c r="T525" s="61"/>
      <c r="U525" s="61"/>
    </row>
    <row r="526" spans="1:122">
      <c r="D526" s="61"/>
      <c r="E526" s="61"/>
      <c r="F526" s="61"/>
      <c r="G526" s="61"/>
      <c r="H526" s="61"/>
      <c r="I526" s="61"/>
      <c r="J526" s="61"/>
      <c r="K526" s="61"/>
      <c r="L526" s="61"/>
      <c r="M526" s="61"/>
      <c r="N526" s="61"/>
      <c r="O526" s="61"/>
      <c r="P526" s="61"/>
      <c r="Q526" s="61"/>
      <c r="S526" s="61"/>
      <c r="T526" s="61"/>
      <c r="U526" s="61"/>
    </row>
    <row r="527" spans="1:122">
      <c r="D527" s="61"/>
      <c r="E527" s="61"/>
      <c r="F527" s="61"/>
      <c r="G527" s="61"/>
      <c r="H527" s="61"/>
      <c r="I527" s="61"/>
      <c r="J527" s="61"/>
      <c r="K527" s="61"/>
      <c r="L527" s="61"/>
      <c r="M527" s="61"/>
      <c r="N527" s="61"/>
      <c r="O527" s="61"/>
      <c r="P527" s="61"/>
      <c r="Q527" s="61"/>
      <c r="S527" s="61"/>
      <c r="T527" s="61"/>
      <c r="U527" s="61"/>
    </row>
    <row r="528" spans="1:122">
      <c r="D528" s="61"/>
      <c r="E528" s="61"/>
      <c r="F528" s="61"/>
      <c r="G528" s="61"/>
      <c r="H528" s="61"/>
      <c r="I528" s="61"/>
      <c r="J528" s="61"/>
      <c r="K528" s="61"/>
      <c r="L528" s="61"/>
      <c r="M528" s="61"/>
      <c r="N528" s="61"/>
      <c r="O528" s="61"/>
      <c r="P528" s="61"/>
      <c r="Q528" s="61"/>
      <c r="S528" s="61"/>
      <c r="T528" s="61"/>
      <c r="U528" s="61"/>
    </row>
    <row r="529" spans="1:122">
      <c r="D529" s="61"/>
      <c r="E529" s="61"/>
      <c r="F529" s="61"/>
      <c r="G529" s="61"/>
      <c r="H529" s="61"/>
      <c r="I529" s="61"/>
      <c r="J529" s="61"/>
      <c r="K529" s="61"/>
      <c r="L529" s="61"/>
      <c r="M529" s="61"/>
      <c r="N529" s="61"/>
      <c r="O529" s="61"/>
      <c r="P529" s="61"/>
      <c r="Q529" s="61"/>
      <c r="S529" s="61"/>
      <c r="T529" s="61"/>
      <c r="U529" s="61"/>
    </row>
    <row r="530" spans="1:122">
      <c r="D530" s="61"/>
      <c r="E530" s="61"/>
      <c r="F530" s="61"/>
      <c r="G530" s="61"/>
      <c r="H530" s="61"/>
      <c r="I530" s="61"/>
      <c r="J530" s="61"/>
      <c r="K530" s="61"/>
      <c r="L530" s="61"/>
      <c r="M530" s="61"/>
      <c r="N530" s="61"/>
      <c r="O530" s="61"/>
      <c r="P530" s="61"/>
      <c r="Q530" s="61"/>
      <c r="S530" s="61"/>
      <c r="T530" s="61"/>
      <c r="U530" s="61"/>
    </row>
    <row r="531" spans="1:122">
      <c r="D531" s="61"/>
      <c r="E531" s="61"/>
      <c r="F531" s="61"/>
      <c r="G531" s="61"/>
      <c r="H531" s="61"/>
      <c r="I531" s="61"/>
      <c r="J531" s="61"/>
      <c r="K531" s="61"/>
      <c r="L531" s="61"/>
      <c r="M531" s="61"/>
      <c r="N531" s="61"/>
      <c r="O531" s="61"/>
      <c r="P531" s="61"/>
      <c r="Q531" s="61"/>
      <c r="S531" s="61"/>
      <c r="T531" s="61"/>
      <c r="U531" s="61"/>
    </row>
    <row r="532" spans="1:122">
      <c r="D532" s="61"/>
      <c r="E532" s="61"/>
      <c r="F532" s="61"/>
      <c r="G532" s="61"/>
      <c r="H532" s="61"/>
      <c r="I532" s="61"/>
      <c r="J532" s="61"/>
      <c r="K532" s="61"/>
      <c r="L532" s="61"/>
      <c r="M532" s="61"/>
      <c r="N532" s="61"/>
      <c r="O532" s="61"/>
      <c r="P532" s="61"/>
      <c r="Q532" s="61"/>
      <c r="S532" s="61"/>
      <c r="T532" s="61"/>
      <c r="U532" s="61"/>
    </row>
    <row r="533" spans="1:122">
      <c r="D533" s="61"/>
      <c r="E533" s="61"/>
      <c r="F533" s="61"/>
      <c r="G533" s="61"/>
      <c r="H533" s="61"/>
      <c r="I533" s="61"/>
      <c r="J533" s="61"/>
      <c r="K533" s="61"/>
      <c r="L533" s="61"/>
      <c r="M533" s="61"/>
      <c r="N533" s="61"/>
      <c r="O533" s="61"/>
      <c r="P533" s="61"/>
      <c r="Q533" s="61"/>
      <c r="S533" s="61"/>
      <c r="T533" s="61"/>
      <c r="U533" s="61"/>
    </row>
    <row r="534" spans="1:122">
      <c r="D534" s="61"/>
      <c r="E534" s="61"/>
      <c r="F534" s="61"/>
      <c r="G534" s="61"/>
      <c r="H534" s="61"/>
      <c r="I534" s="61"/>
      <c r="J534" s="61"/>
      <c r="K534" s="61"/>
      <c r="L534" s="61"/>
      <c r="M534" s="61"/>
      <c r="N534" s="61"/>
      <c r="O534" s="61"/>
      <c r="P534" s="61"/>
      <c r="Q534" s="61"/>
      <c r="S534" s="61"/>
      <c r="T534" s="61"/>
      <c r="U534" s="61"/>
    </row>
    <row r="535" spans="1:122">
      <c r="D535" s="61"/>
      <c r="E535" s="61"/>
      <c r="F535" s="61"/>
      <c r="G535" s="61"/>
      <c r="H535" s="61"/>
      <c r="I535" s="61"/>
      <c r="J535" s="61"/>
      <c r="K535" s="61"/>
      <c r="L535" s="61"/>
      <c r="M535" s="61"/>
      <c r="N535" s="61"/>
      <c r="O535" s="61"/>
      <c r="P535" s="61"/>
      <c r="Q535" s="61"/>
      <c r="S535" s="61"/>
      <c r="T535" s="61"/>
      <c r="U535" s="61"/>
    </row>
    <row r="536" spans="1:122">
      <c r="D536" s="61"/>
      <c r="E536" s="61"/>
      <c r="F536" s="61"/>
      <c r="G536" s="61"/>
      <c r="H536" s="61"/>
      <c r="I536" s="61"/>
      <c r="J536" s="61"/>
      <c r="K536" s="61"/>
      <c r="L536" s="61"/>
      <c r="M536" s="61"/>
      <c r="N536" s="61"/>
      <c r="O536" s="61"/>
      <c r="P536" s="61"/>
      <c r="Q536" s="61"/>
      <c r="S536" s="61"/>
      <c r="T536" s="61"/>
      <c r="U536" s="61"/>
    </row>
    <row r="537" spans="1:122">
      <c r="D537" s="61"/>
      <c r="E537" s="61"/>
      <c r="F537" s="61"/>
      <c r="G537" s="61"/>
      <c r="H537" s="61"/>
      <c r="I537" s="61"/>
      <c r="J537" s="61"/>
      <c r="K537" s="61"/>
      <c r="L537" s="61"/>
      <c r="M537" s="61"/>
      <c r="N537" s="61"/>
      <c r="O537" s="61"/>
      <c r="P537" s="61"/>
      <c r="Q537" s="61"/>
      <c r="S537" s="61"/>
      <c r="T537" s="61"/>
      <c r="U537" s="61"/>
    </row>
    <row r="538" spans="1:122">
      <c r="D538" s="61"/>
      <c r="E538" s="61"/>
      <c r="F538" s="61"/>
      <c r="G538" s="61"/>
      <c r="H538" s="61"/>
      <c r="I538" s="61"/>
      <c r="J538" s="61"/>
      <c r="K538" s="61"/>
      <c r="L538" s="61"/>
      <c r="M538" s="61"/>
      <c r="N538" s="61"/>
      <c r="O538" s="61"/>
      <c r="P538" s="61"/>
      <c r="Q538" s="61"/>
      <c r="S538" s="61"/>
      <c r="T538" s="61"/>
      <c r="U538" s="61"/>
    </row>
    <row r="539" spans="1:122">
      <c r="D539" s="61"/>
      <c r="E539" s="61"/>
      <c r="F539" s="61"/>
      <c r="G539" s="61"/>
      <c r="H539" s="61"/>
      <c r="I539" s="61"/>
      <c r="J539" s="61"/>
      <c r="K539" s="61"/>
      <c r="L539" s="61"/>
      <c r="M539" s="61"/>
      <c r="N539" s="61"/>
      <c r="O539" s="61"/>
      <c r="P539" s="61"/>
      <c r="Q539" s="61"/>
      <c r="S539" s="61"/>
      <c r="T539" s="61"/>
      <c r="U539" s="61"/>
    </row>
    <row r="540" spans="1:122">
      <c r="D540" s="61"/>
      <c r="E540" s="61"/>
      <c r="F540" s="61"/>
      <c r="G540" s="61"/>
      <c r="H540" s="61"/>
      <c r="I540" s="61"/>
      <c r="J540" s="61"/>
      <c r="K540" s="61"/>
      <c r="L540" s="61"/>
      <c r="M540" s="61"/>
      <c r="N540" s="61"/>
      <c r="O540" s="61"/>
      <c r="P540" s="61"/>
      <c r="Q540" s="61"/>
      <c r="S540" s="61"/>
      <c r="T540" s="61"/>
      <c r="U540" s="61"/>
    </row>
    <row r="541" spans="1:122">
      <c r="D541" s="61"/>
      <c r="E541" s="61"/>
      <c r="F541" s="61"/>
      <c r="G541" s="61"/>
      <c r="H541" s="61"/>
      <c r="I541" s="61"/>
      <c r="J541" s="61"/>
      <c r="K541" s="61"/>
      <c r="L541" s="61"/>
      <c r="M541" s="61"/>
      <c r="N541" s="61"/>
      <c r="O541" s="61"/>
      <c r="P541" s="61"/>
      <c r="Q541" s="61"/>
      <c r="S541" s="61"/>
      <c r="T541" s="61"/>
      <c r="U541" s="61"/>
    </row>
    <row r="542" spans="1:122">
      <c r="D542" s="61"/>
      <c r="E542" s="61"/>
      <c r="F542" s="61"/>
      <c r="G542" s="61"/>
      <c r="H542" s="61"/>
      <c r="I542" s="61"/>
      <c r="J542" s="61"/>
      <c r="K542" s="61"/>
      <c r="L542" s="61"/>
      <c r="M542" s="61"/>
      <c r="N542" s="61"/>
      <c r="O542" s="61"/>
      <c r="P542" s="61"/>
      <c r="Q542" s="61"/>
      <c r="S542" s="61"/>
      <c r="T542" s="61"/>
      <c r="U542" s="61"/>
    </row>
    <row r="543" spans="1:122">
      <c r="D543" s="61"/>
      <c r="E543" s="61"/>
      <c r="F543" s="61"/>
      <c r="G543" s="61"/>
      <c r="H543" s="61"/>
      <c r="I543" s="61"/>
      <c r="J543" s="61"/>
      <c r="K543" s="61"/>
      <c r="L543" s="61"/>
      <c r="M543" s="61"/>
      <c r="N543" s="61"/>
      <c r="O543" s="61"/>
      <c r="P543" s="61"/>
      <c r="Q543" s="61"/>
      <c r="S543" s="61"/>
      <c r="T543" s="61"/>
      <c r="U543" s="61"/>
    </row>
    <row r="544" spans="1:122">
      <c r="D544" s="61"/>
      <c r="E544" s="61"/>
      <c r="F544" s="61"/>
      <c r="G544" s="61"/>
      <c r="H544" s="61"/>
      <c r="I544" s="61"/>
      <c r="J544" s="61"/>
      <c r="K544" s="61"/>
      <c r="L544" s="61"/>
      <c r="M544" s="61"/>
      <c r="N544" s="61"/>
      <c r="O544" s="61"/>
      <c r="P544" s="61"/>
      <c r="Q544" s="61"/>
      <c r="S544" s="61"/>
      <c r="T544" s="61"/>
      <c r="U544" s="61"/>
    </row>
    <row r="545" spans="1:122">
      <c r="D545" s="61"/>
      <c r="E545" s="61"/>
      <c r="F545" s="61"/>
      <c r="G545" s="61"/>
      <c r="H545" s="61"/>
      <c r="I545" s="61"/>
      <c r="J545" s="61"/>
      <c r="K545" s="61"/>
      <c r="L545" s="61"/>
      <c r="M545" s="61"/>
      <c r="N545" s="61"/>
      <c r="O545" s="61"/>
      <c r="P545" s="61"/>
      <c r="Q545" s="61"/>
      <c r="S545" s="61"/>
      <c r="T545" s="61"/>
      <c r="U545" s="61"/>
    </row>
    <row r="546" spans="1:122">
      <c r="D546" s="61"/>
      <c r="E546" s="61"/>
      <c r="F546" s="61"/>
      <c r="G546" s="61"/>
      <c r="H546" s="61"/>
      <c r="I546" s="61"/>
      <c r="J546" s="61"/>
      <c r="K546" s="61"/>
      <c r="L546" s="61"/>
      <c r="M546" s="61"/>
      <c r="N546" s="61"/>
      <c r="O546" s="61"/>
      <c r="P546" s="61"/>
      <c r="Q546" s="61"/>
      <c r="S546" s="61"/>
      <c r="T546" s="61"/>
      <c r="U546" s="61"/>
    </row>
    <row r="547" spans="1:122">
      <c r="D547" s="61"/>
      <c r="E547" s="61"/>
      <c r="F547" s="61"/>
      <c r="G547" s="61"/>
      <c r="H547" s="61"/>
      <c r="I547" s="61"/>
      <c r="J547" s="61"/>
      <c r="K547" s="61"/>
      <c r="L547" s="61"/>
      <c r="M547" s="61"/>
      <c r="N547" s="61"/>
      <c r="O547" s="61"/>
      <c r="P547" s="61"/>
      <c r="Q547" s="61"/>
      <c r="S547" s="61"/>
      <c r="T547" s="61"/>
      <c r="U547" s="61"/>
    </row>
    <row r="548" spans="1:122">
      <c r="D548" s="61"/>
      <c r="E548" s="61"/>
      <c r="F548" s="61"/>
      <c r="G548" s="61"/>
      <c r="H548" s="61"/>
      <c r="I548" s="61"/>
      <c r="J548" s="61"/>
      <c r="K548" s="61"/>
      <c r="L548" s="61"/>
      <c r="M548" s="61"/>
      <c r="N548" s="61"/>
      <c r="O548" s="61"/>
      <c r="P548" s="61"/>
      <c r="Q548" s="61"/>
      <c r="S548" s="61"/>
      <c r="T548" s="61"/>
      <c r="U548" s="61"/>
    </row>
    <row r="549" spans="1:122">
      <c r="D549" s="61"/>
      <c r="E549" s="61"/>
      <c r="F549" s="61"/>
      <c r="G549" s="61"/>
      <c r="H549" s="61"/>
      <c r="I549" s="61"/>
      <c r="J549" s="61"/>
      <c r="K549" s="61"/>
      <c r="L549" s="61"/>
      <c r="M549" s="61"/>
      <c r="N549" s="61"/>
      <c r="O549" s="61"/>
      <c r="P549" s="61"/>
      <c r="Q549" s="61"/>
      <c r="S549" s="61"/>
      <c r="T549" s="61"/>
      <c r="U549" s="61"/>
    </row>
    <row r="550" spans="1:122">
      <c r="D550" s="61"/>
      <c r="E550" s="61"/>
      <c r="F550" s="61"/>
      <c r="G550" s="61"/>
      <c r="H550" s="61"/>
      <c r="I550" s="61"/>
      <c r="J550" s="61"/>
      <c r="K550" s="61"/>
      <c r="L550" s="61"/>
      <c r="M550" s="61"/>
      <c r="N550" s="61"/>
      <c r="O550" s="61"/>
      <c r="P550" s="61"/>
      <c r="Q550" s="61"/>
      <c r="S550" s="61"/>
      <c r="T550" s="61"/>
      <c r="U550" s="61"/>
    </row>
    <row r="551" spans="1:122">
      <c r="D551" s="61"/>
      <c r="E551" s="61"/>
      <c r="F551" s="61"/>
      <c r="G551" s="61"/>
      <c r="H551" s="61"/>
      <c r="I551" s="61"/>
      <c r="J551" s="61"/>
      <c r="K551" s="61"/>
      <c r="L551" s="61"/>
      <c r="M551" s="61"/>
      <c r="N551" s="61"/>
      <c r="O551" s="61"/>
      <c r="P551" s="61"/>
      <c r="Q551" s="61"/>
      <c r="S551" s="61"/>
      <c r="T551" s="61"/>
      <c r="U551" s="61"/>
    </row>
    <row r="552" spans="1:122">
      <c r="D552" s="61"/>
      <c r="E552" s="61"/>
      <c r="F552" s="61"/>
      <c r="G552" s="61"/>
      <c r="H552" s="61"/>
      <c r="I552" s="61"/>
      <c r="J552" s="61"/>
      <c r="K552" s="61"/>
      <c r="L552" s="61"/>
      <c r="M552" s="61"/>
      <c r="N552" s="61"/>
      <c r="O552" s="61"/>
      <c r="P552" s="61"/>
      <c r="Q552" s="61"/>
      <c r="S552" s="61"/>
      <c r="T552" s="61"/>
      <c r="U552" s="61"/>
    </row>
    <row r="553" spans="1:122">
      <c r="D553" s="61"/>
      <c r="E553" s="61"/>
      <c r="F553" s="61"/>
      <c r="G553" s="61"/>
      <c r="H553" s="61"/>
      <c r="I553" s="61"/>
      <c r="J553" s="61"/>
      <c r="K553" s="61"/>
      <c r="L553" s="61"/>
      <c r="M553" s="61"/>
      <c r="N553" s="61"/>
      <c r="O553" s="61"/>
      <c r="P553" s="61"/>
      <c r="Q553" s="61"/>
      <c r="S553" s="61"/>
      <c r="T553" s="61"/>
      <c r="U553" s="61"/>
    </row>
    <row r="554" spans="1:122">
      <c r="D554" s="61"/>
      <c r="E554" s="61"/>
      <c r="F554" s="61"/>
      <c r="G554" s="61"/>
      <c r="H554" s="61"/>
      <c r="I554" s="61"/>
      <c r="J554" s="61"/>
      <c r="K554" s="61"/>
      <c r="L554" s="61"/>
      <c r="M554" s="61"/>
      <c r="N554" s="61"/>
      <c r="O554" s="61"/>
      <c r="P554" s="61"/>
      <c r="Q554" s="61"/>
      <c r="S554" s="61"/>
      <c r="T554" s="61"/>
      <c r="U554" s="61"/>
    </row>
    <row r="555" spans="1:122">
      <c r="D555" s="61"/>
      <c r="E555" s="61"/>
      <c r="F555" s="61"/>
      <c r="G555" s="61"/>
      <c r="H555" s="61"/>
      <c r="I555" s="61"/>
      <c r="J555" s="61"/>
      <c r="K555" s="61"/>
      <c r="L555" s="61"/>
      <c r="M555" s="61"/>
      <c r="N555" s="61"/>
      <c r="O555" s="61"/>
      <c r="P555" s="61"/>
      <c r="Q555" s="61"/>
      <c r="S555" s="61"/>
      <c r="T555" s="61"/>
      <c r="U555" s="61"/>
    </row>
    <row r="556" spans="1:122">
      <c r="D556" s="61"/>
      <c r="E556" s="61"/>
      <c r="F556" s="61"/>
      <c r="G556" s="61"/>
      <c r="H556" s="61"/>
      <c r="I556" s="61"/>
      <c r="J556" s="61"/>
      <c r="K556" s="61"/>
      <c r="L556" s="61"/>
      <c r="M556" s="61"/>
      <c r="N556" s="61"/>
      <c r="O556" s="61"/>
      <c r="P556" s="61"/>
      <c r="Q556" s="61"/>
      <c r="S556" s="61"/>
      <c r="T556" s="61"/>
      <c r="U556" s="61"/>
    </row>
    <row r="557" spans="1:122">
      <c r="D557" s="61"/>
      <c r="E557" s="61"/>
      <c r="F557" s="61"/>
      <c r="G557" s="61"/>
      <c r="H557" s="61"/>
      <c r="I557" s="61"/>
      <c r="J557" s="61"/>
      <c r="K557" s="61"/>
      <c r="L557" s="61"/>
      <c r="M557" s="61"/>
      <c r="N557" s="61"/>
      <c r="O557" s="61"/>
      <c r="P557" s="61"/>
      <c r="Q557" s="61"/>
      <c r="S557" s="61"/>
      <c r="T557" s="61"/>
      <c r="U557" s="61"/>
    </row>
    <row r="558" spans="1:122">
      <c r="D558" s="61"/>
      <c r="E558" s="61"/>
      <c r="F558" s="61"/>
      <c r="G558" s="61"/>
      <c r="H558" s="61"/>
      <c r="I558" s="61"/>
      <c r="J558" s="61"/>
      <c r="K558" s="61"/>
      <c r="L558" s="61"/>
      <c r="M558" s="61"/>
      <c r="N558" s="61"/>
      <c r="O558" s="61"/>
      <c r="P558" s="61"/>
      <c r="Q558" s="61"/>
      <c r="S558" s="61"/>
      <c r="T558" s="61"/>
      <c r="U558" s="61"/>
    </row>
    <row r="559" spans="1:122">
      <c r="D559" s="61"/>
      <c r="E559" s="61"/>
      <c r="F559" s="61"/>
      <c r="G559" s="61"/>
      <c r="H559" s="61"/>
      <c r="I559" s="61"/>
      <c r="J559" s="61"/>
      <c r="K559" s="61"/>
      <c r="L559" s="61"/>
      <c r="M559" s="61"/>
      <c r="N559" s="61"/>
      <c r="O559" s="61"/>
      <c r="P559" s="61"/>
      <c r="Q559" s="61"/>
      <c r="S559" s="61"/>
      <c r="T559" s="61"/>
      <c r="U559" s="61"/>
    </row>
    <row r="560" spans="1:122">
      <c r="D560" s="61"/>
      <c r="E560" s="61"/>
      <c r="F560" s="61"/>
      <c r="G560" s="61"/>
      <c r="H560" s="61"/>
      <c r="I560" s="61"/>
      <c r="J560" s="61"/>
      <c r="K560" s="61"/>
      <c r="L560" s="61"/>
      <c r="M560" s="61"/>
      <c r="N560" s="61"/>
      <c r="O560" s="61"/>
      <c r="P560" s="61"/>
      <c r="Q560" s="61"/>
      <c r="S560" s="61"/>
      <c r="T560" s="61"/>
      <c r="U560" s="61"/>
    </row>
    <row r="561" spans="1:122">
      <c r="D561" s="61"/>
      <c r="E561" s="61"/>
      <c r="F561" s="61"/>
      <c r="G561" s="61"/>
      <c r="H561" s="61"/>
      <c r="I561" s="61"/>
      <c r="J561" s="61"/>
      <c r="K561" s="61"/>
      <c r="L561" s="61"/>
      <c r="M561" s="61"/>
      <c r="N561" s="61"/>
      <c r="O561" s="61"/>
      <c r="P561" s="61"/>
      <c r="Q561" s="61"/>
      <c r="S561" s="61"/>
      <c r="T561" s="61"/>
      <c r="U561" s="61"/>
    </row>
    <row r="562" spans="1:122">
      <c r="D562" s="61"/>
      <c r="E562" s="61"/>
      <c r="F562" s="61"/>
      <c r="G562" s="61"/>
      <c r="H562" s="61"/>
      <c r="I562" s="61"/>
      <c r="J562" s="61"/>
      <c r="K562" s="61"/>
      <c r="L562" s="61"/>
      <c r="M562" s="61"/>
      <c r="N562" s="61"/>
      <c r="O562" s="61"/>
      <c r="P562" s="61"/>
      <c r="Q562" s="61"/>
      <c r="S562" s="61"/>
      <c r="T562" s="61"/>
      <c r="U562" s="61"/>
    </row>
    <row r="563" spans="1:122">
      <c r="D563" s="61"/>
      <c r="E563" s="61"/>
      <c r="F563" s="61"/>
      <c r="G563" s="61"/>
      <c r="H563" s="61"/>
      <c r="I563" s="61"/>
      <c r="J563" s="61"/>
      <c r="K563" s="61"/>
      <c r="L563" s="61"/>
      <c r="M563" s="61"/>
      <c r="N563" s="61"/>
      <c r="O563" s="61"/>
      <c r="P563" s="61"/>
      <c r="Q563" s="61"/>
      <c r="S563" s="61"/>
      <c r="T563" s="61"/>
      <c r="U563" s="61"/>
    </row>
    <row r="564" spans="1:122">
      <c r="D564" s="61"/>
      <c r="E564" s="61"/>
      <c r="F564" s="61"/>
      <c r="G564" s="61"/>
      <c r="H564" s="61"/>
      <c r="I564" s="61"/>
      <c r="J564" s="61"/>
      <c r="K564" s="61"/>
      <c r="L564" s="61"/>
      <c r="M564" s="61"/>
      <c r="N564" s="61"/>
      <c r="O564" s="61"/>
      <c r="P564" s="61"/>
      <c r="Q564" s="61"/>
      <c r="S564" s="61"/>
      <c r="T564" s="61"/>
      <c r="U564" s="61"/>
    </row>
    <row r="565" spans="1:122">
      <c r="D565" s="61"/>
      <c r="E565" s="61"/>
      <c r="F565" s="61"/>
      <c r="G565" s="61"/>
      <c r="H565" s="61"/>
      <c r="I565" s="61"/>
      <c r="J565" s="61"/>
      <c r="K565" s="61"/>
      <c r="L565" s="61"/>
      <c r="M565" s="61"/>
      <c r="N565" s="61"/>
      <c r="O565" s="61"/>
      <c r="P565" s="61"/>
      <c r="Q565" s="61"/>
      <c r="S565" s="61"/>
      <c r="T565" s="61"/>
      <c r="U565" s="61"/>
    </row>
    <row r="566" spans="1:122">
      <c r="D566" s="61"/>
      <c r="E566" s="61"/>
      <c r="F566" s="61"/>
      <c r="G566" s="61"/>
      <c r="H566" s="61"/>
      <c r="I566" s="61"/>
      <c r="J566" s="61"/>
      <c r="K566" s="61"/>
      <c r="L566" s="61"/>
      <c r="M566" s="61"/>
      <c r="N566" s="61"/>
      <c r="O566" s="61"/>
      <c r="P566" s="61"/>
      <c r="Q566" s="61"/>
      <c r="S566" s="61"/>
      <c r="T566" s="61"/>
      <c r="U566" s="61"/>
    </row>
    <row r="567" spans="1:122">
      <c r="D567" s="61"/>
      <c r="E567" s="61"/>
      <c r="F567" s="61"/>
      <c r="G567" s="61"/>
      <c r="H567" s="61"/>
      <c r="I567" s="61"/>
      <c r="J567" s="61"/>
      <c r="K567" s="61"/>
      <c r="L567" s="61"/>
      <c r="M567" s="61"/>
      <c r="N567" s="61"/>
      <c r="O567" s="61"/>
      <c r="P567" s="61"/>
      <c r="Q567" s="61"/>
      <c r="S567" s="61"/>
      <c r="T567" s="61"/>
      <c r="U567" s="61"/>
    </row>
    <row r="568" spans="1:122">
      <c r="D568" s="61"/>
      <c r="E568" s="61"/>
      <c r="F568" s="61"/>
      <c r="G568" s="61"/>
      <c r="H568" s="61"/>
      <c r="I568" s="61"/>
      <c r="J568" s="61"/>
      <c r="K568" s="61"/>
      <c r="L568" s="61"/>
      <c r="M568" s="61"/>
      <c r="N568" s="61"/>
      <c r="O568" s="61"/>
      <c r="P568" s="61"/>
      <c r="Q568" s="61"/>
      <c r="S568" s="61"/>
      <c r="T568" s="61"/>
      <c r="U568" s="61"/>
    </row>
    <row r="569" spans="1:122">
      <c r="D569" s="61"/>
      <c r="E569" s="61"/>
      <c r="F569" s="61"/>
      <c r="G569" s="61"/>
      <c r="H569" s="61"/>
      <c r="I569" s="61"/>
      <c r="J569" s="61"/>
      <c r="K569" s="61"/>
      <c r="L569" s="61"/>
      <c r="M569" s="61"/>
      <c r="N569" s="61"/>
      <c r="O569" s="61"/>
      <c r="P569" s="61"/>
      <c r="Q569" s="61"/>
      <c r="S569" s="61"/>
      <c r="T569" s="61"/>
      <c r="U569" s="61"/>
    </row>
    <row r="570" spans="1:122">
      <c r="D570" s="61"/>
      <c r="E570" s="61"/>
      <c r="F570" s="61"/>
      <c r="G570" s="61"/>
      <c r="H570" s="61"/>
      <c r="I570" s="61"/>
      <c r="J570" s="61"/>
      <c r="K570" s="61"/>
      <c r="L570" s="61"/>
      <c r="M570" s="61"/>
      <c r="N570" s="61"/>
      <c r="O570" s="61"/>
      <c r="P570" s="61"/>
      <c r="Q570" s="61"/>
      <c r="S570" s="61"/>
      <c r="T570" s="61"/>
      <c r="U570" s="61"/>
    </row>
    <row r="571" spans="1:122">
      <c r="D571" s="61"/>
      <c r="E571" s="61"/>
      <c r="F571" s="61"/>
      <c r="G571" s="61"/>
      <c r="H571" s="61"/>
      <c r="I571" s="61"/>
      <c r="J571" s="61"/>
      <c r="K571" s="61"/>
      <c r="L571" s="61"/>
      <c r="M571" s="61"/>
      <c r="N571" s="61"/>
      <c r="O571" s="61"/>
      <c r="P571" s="61"/>
      <c r="Q571" s="61"/>
      <c r="S571" s="61"/>
      <c r="T571" s="61"/>
      <c r="U571" s="61"/>
    </row>
    <row r="572" spans="1:122">
      <c r="D572" s="61"/>
      <c r="E572" s="61"/>
      <c r="F572" s="61"/>
      <c r="G572" s="61"/>
      <c r="H572" s="61"/>
      <c r="I572" s="61"/>
      <c r="J572" s="61"/>
      <c r="K572" s="61"/>
      <c r="L572" s="61"/>
      <c r="M572" s="61"/>
      <c r="N572" s="61"/>
      <c r="O572" s="61"/>
      <c r="P572" s="61"/>
      <c r="Q572" s="61"/>
      <c r="S572" s="61"/>
      <c r="T572" s="61"/>
      <c r="U572" s="61"/>
    </row>
    <row r="573" spans="1:122">
      <c r="D573" s="61"/>
      <c r="E573" s="61"/>
      <c r="F573" s="61"/>
      <c r="G573" s="61"/>
      <c r="H573" s="61"/>
      <c r="I573" s="61"/>
      <c r="J573" s="61"/>
      <c r="K573" s="61"/>
      <c r="L573" s="61"/>
      <c r="M573" s="61"/>
      <c r="N573" s="61"/>
      <c r="O573" s="61"/>
      <c r="P573" s="61"/>
      <c r="Q573" s="61"/>
      <c r="S573" s="61"/>
      <c r="T573" s="61"/>
      <c r="U573" s="61"/>
    </row>
    <row r="574" spans="1:122">
      <c r="D574" s="61"/>
      <c r="E574" s="61"/>
      <c r="F574" s="61"/>
      <c r="G574" s="61"/>
      <c r="H574" s="61"/>
      <c r="I574" s="61"/>
      <c r="J574" s="61"/>
      <c r="K574" s="61"/>
      <c r="L574" s="61"/>
      <c r="M574" s="61"/>
      <c r="N574" s="61"/>
      <c r="O574" s="61"/>
      <c r="P574" s="61"/>
      <c r="Q574" s="61"/>
      <c r="S574" s="61"/>
      <c r="T574" s="61"/>
      <c r="U574" s="61"/>
    </row>
    <row r="575" spans="1:122">
      <c r="D575" s="61"/>
      <c r="E575" s="61"/>
      <c r="F575" s="61"/>
      <c r="G575" s="61"/>
      <c r="H575" s="61"/>
      <c r="I575" s="61"/>
      <c r="J575" s="61"/>
      <c r="K575" s="61"/>
      <c r="L575" s="61"/>
      <c r="M575" s="61"/>
      <c r="N575" s="61"/>
      <c r="O575" s="61"/>
      <c r="P575" s="61"/>
      <c r="Q575" s="61"/>
      <c r="S575" s="61"/>
      <c r="T575" s="61"/>
      <c r="U575" s="61"/>
    </row>
    <row r="576" spans="1:122">
      <c r="D576" s="61"/>
      <c r="E576" s="61"/>
      <c r="F576" s="61"/>
      <c r="G576" s="61"/>
      <c r="H576" s="61"/>
      <c r="I576" s="61"/>
      <c r="J576" s="61"/>
      <c r="K576" s="61"/>
      <c r="L576" s="61"/>
      <c r="M576" s="61"/>
      <c r="N576" s="61"/>
      <c r="O576" s="61"/>
      <c r="P576" s="61"/>
      <c r="Q576" s="61"/>
      <c r="S576" s="61"/>
      <c r="T576" s="61"/>
      <c r="U576" s="61"/>
    </row>
    <row r="577" spans="1:122">
      <c r="D577" s="61"/>
      <c r="E577" s="61"/>
      <c r="F577" s="61"/>
      <c r="G577" s="61"/>
      <c r="H577" s="61"/>
      <c r="I577" s="61"/>
      <c r="J577" s="61"/>
      <c r="K577" s="61"/>
      <c r="L577" s="61"/>
      <c r="M577" s="61"/>
      <c r="N577" s="61"/>
      <c r="O577" s="61"/>
      <c r="P577" s="61"/>
      <c r="Q577" s="61"/>
      <c r="S577" s="61"/>
      <c r="T577" s="61"/>
      <c r="U577" s="61"/>
    </row>
    <row r="578" spans="1:122">
      <c r="D578" s="61"/>
      <c r="E578" s="61"/>
      <c r="F578" s="61"/>
      <c r="G578" s="61"/>
      <c r="H578" s="61"/>
      <c r="I578" s="61"/>
      <c r="J578" s="61"/>
      <c r="K578" s="61"/>
      <c r="L578" s="61"/>
      <c r="M578" s="61"/>
      <c r="N578" s="61"/>
      <c r="O578" s="61"/>
      <c r="P578" s="61"/>
      <c r="Q578" s="61"/>
      <c r="S578" s="61"/>
      <c r="T578" s="61"/>
      <c r="U578" s="61"/>
    </row>
    <row r="579" spans="1:122">
      <c r="D579" s="61"/>
      <c r="E579" s="61"/>
      <c r="F579" s="61"/>
      <c r="G579" s="61"/>
      <c r="H579" s="61"/>
      <c r="I579" s="61"/>
      <c r="J579" s="61"/>
      <c r="K579" s="61"/>
      <c r="L579" s="61"/>
      <c r="M579" s="61"/>
      <c r="N579" s="61"/>
      <c r="O579" s="61"/>
      <c r="P579" s="61"/>
      <c r="Q579" s="61"/>
      <c r="S579" s="61"/>
      <c r="T579" s="61"/>
      <c r="U579" s="61"/>
    </row>
    <row r="580" spans="1:122">
      <c r="D580" s="61"/>
      <c r="E580" s="61"/>
      <c r="F580" s="61"/>
      <c r="G580" s="61"/>
      <c r="H580" s="61"/>
      <c r="I580" s="61"/>
      <c r="J580" s="61"/>
      <c r="K580" s="61"/>
      <c r="L580" s="61"/>
      <c r="M580" s="61"/>
      <c r="N580" s="61"/>
      <c r="O580" s="61"/>
      <c r="P580" s="61"/>
      <c r="Q580" s="61"/>
      <c r="S580" s="61"/>
      <c r="T580" s="61"/>
      <c r="U580" s="61"/>
    </row>
    <row r="581" spans="1:122">
      <c r="D581" s="61"/>
      <c r="E581" s="61"/>
      <c r="F581" s="61"/>
      <c r="G581" s="61"/>
      <c r="H581" s="61"/>
      <c r="I581" s="61"/>
      <c r="J581" s="61"/>
      <c r="K581" s="61"/>
      <c r="L581" s="61"/>
      <c r="M581" s="61"/>
      <c r="N581" s="61"/>
      <c r="O581" s="61"/>
      <c r="P581" s="61"/>
      <c r="Q581" s="61"/>
      <c r="S581" s="61"/>
      <c r="T581" s="61"/>
      <c r="U581" s="61"/>
    </row>
    <row r="582" spans="1:122">
      <c r="D582" s="61"/>
      <c r="E582" s="61"/>
      <c r="F582" s="61"/>
      <c r="G582" s="61"/>
      <c r="H582" s="61"/>
      <c r="I582" s="61"/>
      <c r="J582" s="61"/>
      <c r="K582" s="61"/>
      <c r="L582" s="61"/>
      <c r="M582" s="61"/>
      <c r="N582" s="61"/>
      <c r="O582" s="61"/>
      <c r="P582" s="61"/>
      <c r="Q582" s="61"/>
      <c r="S582" s="61"/>
      <c r="T582" s="61"/>
      <c r="U582" s="61"/>
    </row>
    <row r="583" spans="1:122">
      <c r="D583" s="61"/>
      <c r="E583" s="61"/>
      <c r="F583" s="61"/>
      <c r="G583" s="61"/>
      <c r="H583" s="61"/>
      <c r="I583" s="61"/>
      <c r="J583" s="61"/>
      <c r="K583" s="61"/>
      <c r="L583" s="61"/>
      <c r="M583" s="61"/>
      <c r="N583" s="61"/>
      <c r="O583" s="61"/>
      <c r="P583" s="61"/>
      <c r="Q583" s="61"/>
      <c r="S583" s="61"/>
      <c r="T583" s="61"/>
      <c r="U583" s="61"/>
    </row>
    <row r="584" spans="1:122">
      <c r="D584" s="61"/>
      <c r="E584" s="61"/>
      <c r="F584" s="61"/>
      <c r="G584" s="61"/>
      <c r="H584" s="61"/>
      <c r="I584" s="61"/>
      <c r="J584" s="61"/>
      <c r="K584" s="61"/>
      <c r="L584" s="61"/>
      <c r="M584" s="61"/>
      <c r="N584" s="61"/>
      <c r="O584" s="61"/>
      <c r="P584" s="61"/>
      <c r="Q584" s="61"/>
      <c r="S584" s="61"/>
      <c r="T584" s="61"/>
      <c r="U584" s="61"/>
    </row>
    <row r="585" spans="1:122">
      <c r="D585" s="61"/>
      <c r="E585" s="61"/>
      <c r="F585" s="61"/>
      <c r="G585" s="61"/>
      <c r="H585" s="61"/>
      <c r="I585" s="61"/>
      <c r="J585" s="61"/>
      <c r="K585" s="61"/>
      <c r="L585" s="61"/>
      <c r="M585" s="61"/>
      <c r="N585" s="61"/>
      <c r="O585" s="61"/>
      <c r="P585" s="61"/>
      <c r="Q585" s="61"/>
      <c r="S585" s="61"/>
      <c r="T585" s="61"/>
      <c r="U585" s="61"/>
    </row>
    <row r="586" spans="1:122">
      <c r="D586" s="61"/>
      <c r="E586" s="61"/>
      <c r="F586" s="61"/>
      <c r="G586" s="61"/>
      <c r="H586" s="61"/>
      <c r="I586" s="61"/>
      <c r="J586" s="61"/>
      <c r="K586" s="61"/>
      <c r="L586" s="61"/>
      <c r="M586" s="61"/>
      <c r="N586" s="61"/>
      <c r="O586" s="61"/>
      <c r="P586" s="61"/>
      <c r="Q586" s="61"/>
      <c r="S586" s="61"/>
      <c r="T586" s="61"/>
      <c r="U586" s="61"/>
    </row>
    <row r="587" spans="1:122">
      <c r="D587" s="61"/>
      <c r="E587" s="61"/>
      <c r="F587" s="61"/>
      <c r="G587" s="61"/>
      <c r="H587" s="61"/>
      <c r="I587" s="61"/>
      <c r="J587" s="61"/>
      <c r="K587" s="61"/>
      <c r="L587" s="61"/>
      <c r="M587" s="61"/>
      <c r="N587" s="61"/>
      <c r="O587" s="61"/>
      <c r="P587" s="61"/>
      <c r="Q587" s="61"/>
      <c r="S587" s="61"/>
      <c r="T587" s="61"/>
      <c r="U587" s="61"/>
    </row>
    <row r="588" spans="1:122">
      <c r="D588" s="61"/>
      <c r="E588" s="61"/>
      <c r="F588" s="61"/>
      <c r="G588" s="61"/>
      <c r="H588" s="61"/>
      <c r="I588" s="61"/>
      <c r="J588" s="61"/>
      <c r="K588" s="61"/>
      <c r="L588" s="61"/>
      <c r="M588" s="61"/>
      <c r="N588" s="61"/>
      <c r="O588" s="61"/>
      <c r="P588" s="61"/>
      <c r="Q588" s="61"/>
      <c r="S588" s="61"/>
      <c r="T588" s="61"/>
      <c r="U588" s="61"/>
    </row>
    <row r="589" spans="1:122">
      <c r="D589" s="61"/>
      <c r="E589" s="61"/>
      <c r="F589" s="61"/>
      <c r="G589" s="61"/>
      <c r="H589" s="61"/>
      <c r="I589" s="61"/>
      <c r="J589" s="61"/>
      <c r="K589" s="61"/>
      <c r="L589" s="61"/>
      <c r="M589" s="61"/>
      <c r="N589" s="61"/>
      <c r="O589" s="61"/>
      <c r="P589" s="61"/>
      <c r="Q589" s="61"/>
      <c r="S589" s="61"/>
      <c r="T589" s="61"/>
      <c r="U589" s="61"/>
    </row>
    <row r="590" spans="1:122">
      <c r="D590" s="61"/>
      <c r="E590" s="61"/>
      <c r="F590" s="61"/>
      <c r="G590" s="61"/>
      <c r="H590" s="61"/>
      <c r="I590" s="61"/>
      <c r="J590" s="61"/>
      <c r="K590" s="61"/>
      <c r="L590" s="61"/>
      <c r="M590" s="61"/>
      <c r="N590" s="61"/>
      <c r="O590" s="61"/>
      <c r="P590" s="61"/>
      <c r="Q590" s="61"/>
      <c r="S590" s="61"/>
      <c r="T590" s="61"/>
      <c r="U590" s="61"/>
    </row>
    <row r="591" spans="1:122">
      <c r="D591" s="61"/>
      <c r="E591" s="61"/>
      <c r="F591" s="61"/>
      <c r="G591" s="61"/>
      <c r="H591" s="61"/>
      <c r="I591" s="61"/>
      <c r="J591" s="61"/>
      <c r="K591" s="61"/>
      <c r="L591" s="61"/>
      <c r="M591" s="61"/>
      <c r="N591" s="61"/>
      <c r="O591" s="61"/>
      <c r="P591" s="61"/>
      <c r="Q591" s="61"/>
      <c r="S591" s="61"/>
      <c r="T591" s="61"/>
      <c r="U591" s="61"/>
    </row>
    <row r="592" spans="1:122">
      <c r="D592" s="61"/>
      <c r="E592" s="61"/>
      <c r="F592" s="61"/>
      <c r="G592" s="61"/>
      <c r="H592" s="61"/>
      <c r="I592" s="61"/>
      <c r="J592" s="61"/>
      <c r="K592" s="61"/>
      <c r="L592" s="61"/>
      <c r="M592" s="61"/>
      <c r="N592" s="61"/>
      <c r="O592" s="61"/>
      <c r="P592" s="61"/>
      <c r="Q592" s="61"/>
      <c r="S592" s="61"/>
      <c r="T592" s="61"/>
      <c r="U592" s="61"/>
    </row>
    <row r="593" spans="1:122">
      <c r="D593" s="61"/>
      <c r="E593" s="61"/>
      <c r="F593" s="61"/>
      <c r="G593" s="61"/>
      <c r="H593" s="61"/>
      <c r="I593" s="61"/>
      <c r="J593" s="61"/>
      <c r="K593" s="61"/>
      <c r="L593" s="61"/>
      <c r="M593" s="61"/>
      <c r="N593" s="61"/>
      <c r="O593" s="61"/>
      <c r="P593" s="61"/>
      <c r="Q593" s="61"/>
      <c r="S593" s="61"/>
      <c r="T593" s="61"/>
      <c r="U593" s="61"/>
    </row>
    <row r="594" spans="1:122">
      <c r="D594" s="61"/>
      <c r="E594" s="61"/>
      <c r="F594" s="61"/>
      <c r="G594" s="61"/>
      <c r="H594" s="61"/>
      <c r="I594" s="61"/>
      <c r="J594" s="61"/>
      <c r="K594" s="61"/>
      <c r="L594" s="61"/>
      <c r="M594" s="61"/>
      <c r="N594" s="61"/>
      <c r="O594" s="61"/>
      <c r="P594" s="61"/>
      <c r="Q594" s="61"/>
      <c r="S594" s="61"/>
      <c r="T594" s="61"/>
      <c r="U594" s="61"/>
    </row>
    <row r="595" spans="1:122">
      <c r="D595" s="61"/>
      <c r="E595" s="61"/>
      <c r="F595" s="61"/>
      <c r="G595" s="61"/>
      <c r="H595" s="61"/>
      <c r="I595" s="61"/>
      <c r="J595" s="61"/>
      <c r="K595" s="61"/>
      <c r="L595" s="61"/>
      <c r="M595" s="61"/>
      <c r="N595" s="61"/>
      <c r="O595" s="61"/>
      <c r="P595" s="61"/>
      <c r="Q595" s="61"/>
      <c r="S595" s="61"/>
      <c r="T595" s="61"/>
      <c r="U595" s="61"/>
    </row>
    <row r="596" spans="1:122">
      <c r="D596" s="61"/>
      <c r="E596" s="61"/>
      <c r="F596" s="61"/>
      <c r="G596" s="61"/>
      <c r="H596" s="61"/>
      <c r="I596" s="61"/>
      <c r="J596" s="61"/>
      <c r="K596" s="61"/>
      <c r="L596" s="61"/>
      <c r="M596" s="61"/>
      <c r="N596" s="61"/>
      <c r="O596" s="61"/>
      <c r="P596" s="61"/>
      <c r="Q596" s="61"/>
      <c r="S596" s="61"/>
      <c r="T596" s="61"/>
      <c r="U596" s="61"/>
    </row>
    <row r="597" spans="1:122">
      <c r="D597" s="61"/>
      <c r="E597" s="61"/>
      <c r="F597" s="61"/>
      <c r="G597" s="61"/>
      <c r="H597" s="61"/>
      <c r="I597" s="61"/>
      <c r="J597" s="61"/>
      <c r="K597" s="61"/>
      <c r="L597" s="61"/>
      <c r="M597" s="61"/>
      <c r="N597" s="61"/>
      <c r="O597" s="61"/>
      <c r="P597" s="61"/>
      <c r="Q597" s="61"/>
      <c r="S597" s="61"/>
      <c r="T597" s="61"/>
      <c r="U597" s="61"/>
    </row>
    <row r="598" spans="1:122">
      <c r="D598" s="61"/>
      <c r="E598" s="61"/>
      <c r="F598" s="61"/>
      <c r="G598" s="61"/>
      <c r="H598" s="61"/>
      <c r="I598" s="61"/>
      <c r="J598" s="61"/>
      <c r="K598" s="61"/>
      <c r="L598" s="61"/>
      <c r="M598" s="61"/>
      <c r="N598" s="61"/>
      <c r="O598" s="61"/>
      <c r="P598" s="61"/>
      <c r="Q598" s="61"/>
      <c r="S598" s="61"/>
      <c r="T598" s="61"/>
      <c r="U598" s="61"/>
    </row>
    <row r="599" spans="1:122">
      <c r="D599" s="61"/>
      <c r="E599" s="61"/>
      <c r="F599" s="61"/>
      <c r="G599" s="61"/>
      <c r="H599" s="61"/>
      <c r="I599" s="61"/>
      <c r="J599" s="61"/>
      <c r="K599" s="61"/>
      <c r="L599" s="61"/>
      <c r="M599" s="61"/>
      <c r="N599" s="61"/>
      <c r="O599" s="61"/>
      <c r="P599" s="61"/>
      <c r="Q599" s="61"/>
      <c r="S599" s="61"/>
      <c r="T599" s="61"/>
      <c r="U599" s="61"/>
    </row>
    <row r="600" spans="1:122">
      <c r="D600" s="61"/>
      <c r="E600" s="61"/>
      <c r="F600" s="61"/>
      <c r="G600" s="61"/>
      <c r="H600" s="61"/>
      <c r="I600" s="61"/>
      <c r="J600" s="61"/>
      <c r="K600" s="61"/>
      <c r="L600" s="61"/>
      <c r="M600" s="61"/>
      <c r="N600" s="61"/>
      <c r="O600" s="61"/>
      <c r="P600" s="61"/>
      <c r="Q600" s="61"/>
      <c r="S600" s="61"/>
      <c r="T600" s="61"/>
      <c r="U600" s="61"/>
    </row>
    <row r="601" spans="1:122">
      <c r="D601" s="61"/>
      <c r="E601" s="61"/>
      <c r="F601" s="61"/>
      <c r="G601" s="61"/>
      <c r="H601" s="61"/>
      <c r="I601" s="61"/>
      <c r="J601" s="61"/>
      <c r="K601" s="61"/>
      <c r="L601" s="61"/>
      <c r="M601" s="61"/>
      <c r="N601" s="61"/>
      <c r="O601" s="61"/>
      <c r="P601" s="61"/>
      <c r="Q601" s="61"/>
      <c r="S601" s="61"/>
      <c r="T601" s="61"/>
      <c r="U601" s="61"/>
    </row>
    <row r="602" spans="1:122">
      <c r="D602" s="61"/>
      <c r="E602" s="61"/>
      <c r="F602" s="61"/>
      <c r="G602" s="61"/>
      <c r="H602" s="61"/>
      <c r="I602" s="61"/>
      <c r="J602" s="61"/>
      <c r="K602" s="61"/>
      <c r="L602" s="61"/>
      <c r="M602" s="61"/>
      <c r="N602" s="61"/>
      <c r="O602" s="61"/>
      <c r="P602" s="61"/>
      <c r="Q602" s="61"/>
      <c r="S602" s="61"/>
      <c r="T602" s="61"/>
      <c r="U602" s="61"/>
    </row>
    <row r="603" spans="1:122">
      <c r="D603" s="61"/>
      <c r="E603" s="61"/>
      <c r="F603" s="61"/>
      <c r="G603" s="61"/>
      <c r="H603" s="61"/>
      <c r="I603" s="61"/>
      <c r="J603" s="61"/>
      <c r="K603" s="61"/>
      <c r="L603" s="61"/>
      <c r="M603" s="61"/>
      <c r="N603" s="61"/>
      <c r="O603" s="61"/>
      <c r="P603" s="61"/>
      <c r="Q603" s="61"/>
      <c r="S603" s="61"/>
      <c r="T603" s="61"/>
      <c r="U603" s="61"/>
    </row>
    <row r="604" spans="1:122">
      <c r="D604" s="61"/>
      <c r="E604" s="61"/>
      <c r="F604" s="61"/>
      <c r="G604" s="61"/>
      <c r="H604" s="61"/>
      <c r="I604" s="61"/>
      <c r="J604" s="61"/>
      <c r="K604" s="61"/>
      <c r="L604" s="61"/>
      <c r="M604" s="61"/>
      <c r="N604" s="61"/>
      <c r="O604" s="61"/>
      <c r="P604" s="61"/>
      <c r="Q604" s="61"/>
      <c r="S604" s="61"/>
      <c r="T604" s="61"/>
      <c r="U604" s="61"/>
    </row>
    <row r="605" spans="1:122">
      <c r="D605" s="61"/>
      <c r="E605" s="61"/>
      <c r="F605" s="61"/>
      <c r="G605" s="61"/>
      <c r="H605" s="61"/>
      <c r="I605" s="61"/>
      <c r="J605" s="61"/>
      <c r="K605" s="61"/>
      <c r="L605" s="61"/>
      <c r="M605" s="61"/>
      <c r="N605" s="61"/>
      <c r="O605" s="61"/>
      <c r="P605" s="61"/>
      <c r="Q605" s="61"/>
      <c r="S605" s="61"/>
      <c r="T605" s="61"/>
      <c r="U605" s="61"/>
    </row>
    <row r="606" spans="1:122">
      <c r="D606" s="61"/>
      <c r="E606" s="61"/>
      <c r="F606" s="61"/>
      <c r="G606" s="61"/>
      <c r="H606" s="61"/>
      <c r="I606" s="61"/>
      <c r="J606" s="61"/>
      <c r="K606" s="61"/>
      <c r="L606" s="61"/>
      <c r="M606" s="61"/>
      <c r="N606" s="61"/>
      <c r="O606" s="61"/>
      <c r="P606" s="61"/>
      <c r="Q606" s="61"/>
      <c r="S606" s="61"/>
      <c r="T606" s="61"/>
      <c r="U606" s="61"/>
    </row>
    <row r="607" spans="1:122">
      <c r="D607" s="61"/>
      <c r="E607" s="61"/>
      <c r="F607" s="61"/>
      <c r="G607" s="61"/>
      <c r="H607" s="61"/>
      <c r="I607" s="61"/>
      <c r="J607" s="61"/>
      <c r="K607" s="61"/>
      <c r="L607" s="61"/>
      <c r="M607" s="61"/>
      <c r="N607" s="61"/>
      <c r="O607" s="61"/>
      <c r="P607" s="61"/>
      <c r="Q607" s="61"/>
      <c r="S607" s="61"/>
      <c r="T607" s="61"/>
      <c r="U607" s="61"/>
    </row>
    <row r="608" spans="1:122">
      <c r="D608" s="61"/>
      <c r="E608" s="61"/>
      <c r="F608" s="61"/>
      <c r="G608" s="61"/>
      <c r="H608" s="61"/>
      <c r="I608" s="61"/>
      <c r="J608" s="61"/>
      <c r="K608" s="61"/>
      <c r="L608" s="61"/>
      <c r="M608" s="61"/>
      <c r="N608" s="61"/>
      <c r="O608" s="61"/>
      <c r="P608" s="61"/>
      <c r="Q608" s="61"/>
      <c r="S608" s="61"/>
      <c r="T608" s="61"/>
      <c r="U608" s="61"/>
    </row>
    <row r="609" spans="1:122">
      <c r="D609" s="61"/>
      <c r="E609" s="61"/>
      <c r="F609" s="61"/>
      <c r="G609" s="61"/>
      <c r="H609" s="61"/>
      <c r="I609" s="61"/>
      <c r="J609" s="61"/>
      <c r="K609" s="61"/>
      <c r="L609" s="61"/>
      <c r="M609" s="61"/>
      <c r="N609" s="61"/>
      <c r="O609" s="61"/>
      <c r="P609" s="61"/>
      <c r="Q609" s="61"/>
      <c r="S609" s="61"/>
      <c r="T609" s="61"/>
      <c r="U609" s="61"/>
    </row>
    <row r="610" spans="1:122">
      <c r="D610" s="61"/>
      <c r="E610" s="61"/>
      <c r="F610" s="61"/>
      <c r="G610" s="61"/>
      <c r="H610" s="61"/>
      <c r="I610" s="61"/>
      <c r="J610" s="61"/>
      <c r="K610" s="61"/>
      <c r="L610" s="61"/>
      <c r="M610" s="61"/>
      <c r="N610" s="61"/>
      <c r="O610" s="61"/>
      <c r="P610" s="61"/>
      <c r="Q610" s="61"/>
      <c r="S610" s="61"/>
      <c r="T610" s="61"/>
      <c r="U610" s="61"/>
    </row>
    <row r="611" spans="1:122">
      <c r="D611" s="61"/>
      <c r="E611" s="61"/>
      <c r="F611" s="61"/>
      <c r="G611" s="61"/>
      <c r="H611" s="61"/>
      <c r="I611" s="61"/>
      <c r="J611" s="61"/>
      <c r="K611" s="61"/>
      <c r="L611" s="61"/>
      <c r="M611" s="61"/>
      <c r="N611" s="61"/>
      <c r="O611" s="61"/>
      <c r="P611" s="61"/>
      <c r="Q611" s="61"/>
      <c r="S611" s="61"/>
      <c r="T611" s="61"/>
      <c r="U611" s="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J99:CJ100"/>
    <mergeCell ref="CK99:CK100"/>
    <mergeCell ref="CE99:CE100"/>
    <mergeCell ref="CF99:CF100"/>
    <mergeCell ref="CG99:CG100"/>
    <mergeCell ref="CH99:CH100"/>
    <mergeCell ref="CI99:CI100"/>
    <mergeCell ref="BZ99:BZ100"/>
    <mergeCell ref="CA99:CA100"/>
    <mergeCell ref="CB99:CB100"/>
    <mergeCell ref="CC99:CC100"/>
    <mergeCell ref="CD99:CD100"/>
    <mergeCell ref="BZ98:CB98"/>
    <mergeCell ref="CC98:CE98"/>
    <mergeCell ref="CF98:CH98"/>
    <mergeCell ref="CI98:CK98"/>
    <mergeCell ref="AD99:AK99"/>
    <mergeCell ref="AM99:AM100"/>
    <mergeCell ref="AN99:AN100"/>
    <mergeCell ref="AO99:AO100"/>
    <mergeCell ref="AP99:AP100"/>
    <mergeCell ref="AQ99:AR99"/>
    <mergeCell ref="AS99:AT99"/>
    <mergeCell ref="AU99:AV99"/>
    <mergeCell ref="AW99:AX99"/>
    <mergeCell ref="AY99:BL99"/>
    <mergeCell ref="BW99:BW100"/>
    <mergeCell ref="BX99:BX100"/>
    <mergeCell ref="AA98:AC98"/>
    <mergeCell ref="AD98:AK98"/>
    <mergeCell ref="AL98:AL100"/>
    <mergeCell ref="BW98:BY98"/>
    <mergeCell ref="BY99:BY100"/>
    <mergeCell ref="B98:B100"/>
    <mergeCell ref="C98:C100"/>
    <mergeCell ref="D98:D99"/>
    <mergeCell ref="E98:E99"/>
    <mergeCell ref="F98:F99"/>
    <mergeCell ref="T98:T99"/>
    <mergeCell ref="U98:W98"/>
    <mergeCell ref="K67:M67"/>
    <mergeCell ref="L1:O1"/>
    <mergeCell ref="D5:E5"/>
    <mergeCell ref="F5:S5"/>
    <mergeCell ref="K91:M91"/>
    <mergeCell ref="D63:E63"/>
    <mergeCell ref="F63:S63"/>
    <mergeCell ref="G98:G99"/>
    <mergeCell ref="H98:H99"/>
    <mergeCell ref="I98:I99"/>
    <mergeCell ref="J98:J99"/>
    <mergeCell ref="K98:M99"/>
    <mergeCell ref="N98:P99"/>
    <mergeCell ref="Q98:S99"/>
  </mergeCells>
  <conditionalFormatting sqref="Y27:AR27">
    <cfRule type="cellIs" dxfId="0" priority="1" operator="equal">
      <formula>"L"</formula>
    </cfRule>
  </conditionalFormatting>
  <conditionalFormatting sqref="Y27:AR27">
    <cfRule type="cellIs" dxfId="1" priority="2" operator="equal" stopIfTrue="1">
      <formula>"W"</formula>
    </cfRule>
  </conditionalFormatting>
  <conditionalFormatting sqref="Y27:AR27">
    <cfRule type="cellIs" dxfId="2" priority="3" operator="equal" stopIfTrue="1">
      <formula>"D"</formula>
    </cfRule>
  </conditionalFormatting>
  <conditionalFormatting sqref="BD55:BD70">
    <cfRule type="cellIs" dxfId="3" priority="4" operator="lessThanOrEqual" stopIfTrue="1">
      <formula>6</formula>
    </cfRule>
  </conditionalFormatting>
  <conditionalFormatting sqref="BD55:BD70">
    <cfRule type="cellIs" dxfId="4" priority="5" operator="equal" stopIfTrue="1">
      <formula>7</formula>
    </cfRule>
  </conditionalFormatting>
  <conditionalFormatting sqref="BC55:BC70">
    <cfRule type="cellIs" dxfId="3" priority="6" operator="lessThanOrEqual" stopIfTrue="1">
      <formula>6</formula>
    </cfRule>
  </conditionalFormatting>
  <conditionalFormatting sqref="BC55:BC70">
    <cfRule type="cellIs" dxfId="4" priority="7" operator="equal" stopIfTrue="1">
      <formula>7</formula>
    </cfRule>
  </conditionalFormatting>
  <conditionalFormatting sqref="AJ36:AN36">
    <cfRule type="cellIs" dxfId="0" priority="8" operator="equal">
      <formula>"L"</formula>
    </cfRule>
  </conditionalFormatting>
  <conditionalFormatting sqref="AJ36:AN36">
    <cfRule type="cellIs" dxfId="1" priority="9" operator="equal" stopIfTrue="1">
      <formula>"W"</formula>
    </cfRule>
  </conditionalFormatting>
  <conditionalFormatting sqref="AJ36:AN36">
    <cfRule type="cellIs" dxfId="2" priority="10" operator="equal" stopIfTrue="1">
      <formula>"D"</formula>
    </cfRule>
  </conditionalFormatting>
  <conditionalFormatting sqref="AJ35:AN35">
    <cfRule type="cellIs" dxfId="0" priority="11" operator="equal">
      <formula>"L"</formula>
    </cfRule>
  </conditionalFormatting>
  <conditionalFormatting sqref="AJ35:AN35">
    <cfRule type="cellIs" dxfId="1" priority="12" operator="equal" stopIfTrue="1">
      <formula>"W"</formula>
    </cfRule>
  </conditionalFormatting>
  <conditionalFormatting sqref="AJ35:AN35">
    <cfRule type="cellIs" dxfId="2" priority="13" operator="equal" stopIfTrue="1">
      <formula>"D"</formula>
    </cfRule>
  </conditionalFormatting>
  <conditionalFormatting sqref="Y31:AR31">
    <cfRule type="cellIs" dxfId="0" priority="14" operator="equal">
      <formula>"L"</formula>
    </cfRule>
  </conditionalFormatting>
  <conditionalFormatting sqref="Y31:AR31">
    <cfRule type="cellIs" dxfId="1" priority="15" operator="equal" stopIfTrue="1">
      <formula>"W"</formula>
    </cfRule>
  </conditionalFormatting>
  <conditionalFormatting sqref="Y31:AR31">
    <cfRule type="cellIs" dxfId="2" priority="16" operator="equal" stopIfTrue="1">
      <formula>"D"</formula>
    </cfRule>
  </conditionalFormatting>
  <conditionalFormatting sqref="BF55:BF69">
    <cfRule type="cellIs" dxfId="5" priority="17" operator="equal">
      <formula>#REF!</formula>
    </cfRule>
  </conditionalFormatting>
  <conditionalFormatting sqref="DE3:DE5">
    <cfRule type="cellIs" dxfId="3" priority="18" operator="lessThanOrEqual" stopIfTrue="1">
      <formula>6</formula>
    </cfRule>
  </conditionalFormatting>
  <conditionalFormatting sqref="DE3:DE5">
    <cfRule type="cellIs" dxfId="4" priority="19" operator="equal" stopIfTrue="1">
      <formula>7</formula>
    </cfRule>
  </conditionalFormatting>
  <conditionalFormatting sqref="DE7:DE11">
    <cfRule type="cellIs" dxfId="3" priority="20" operator="lessThanOrEqual" stopIfTrue="1">
      <formula>6</formula>
    </cfRule>
  </conditionalFormatting>
  <conditionalFormatting sqref="DE7:DE11">
    <cfRule type="cellIs" dxfId="4" priority="21" operator="equal" stopIfTrue="1">
      <formula>7</formula>
    </cfRule>
  </conditionalFormatting>
  <conditionalFormatting sqref="DF3:DF5">
    <cfRule type="cellIs" dxfId="3" priority="22" operator="lessThanOrEqual" stopIfTrue="1">
      <formula>6</formula>
    </cfRule>
  </conditionalFormatting>
  <conditionalFormatting sqref="DF3:DF5">
    <cfRule type="cellIs" dxfId="4" priority="23" operator="equal" stopIfTrue="1">
      <formula>7</formula>
    </cfRule>
  </conditionalFormatting>
  <conditionalFormatting sqref="DF7:DF11">
    <cfRule type="cellIs" dxfId="3" priority="24" operator="lessThanOrEqual" stopIfTrue="1">
      <formula>6</formula>
    </cfRule>
  </conditionalFormatting>
  <conditionalFormatting sqref="DF7:DF11">
    <cfRule type="cellIs" dxfId="4" priority="25" operator="equal" stopIfTrue="1">
      <formula>7</formula>
    </cfRule>
  </conditionalFormatting>
  <conditionalFormatting sqref="C30">
    <cfRule type="cellIs" dxfId="6" priority="26" operator="between">
      <formula>-0.2</formula>
      <formula>0.2</formula>
    </cfRule>
  </conditionalFormatting>
  <conditionalFormatting sqref="C93">
    <cfRule type="cellIs" dxfId="6" priority="27" operator="between">
      <formula>-0.2</formula>
      <formula>0.2</formula>
    </cfRule>
  </conditionalFormatting>
  <conditionalFormatting sqref="D26">
    <cfRule type="cellIs" dxfId="7" priority="28" operator="greaterThan">
      <formula>60.9375</formula>
    </cfRule>
  </conditionalFormatting>
  <conditionalFormatting sqref="C2">
    <cfRule type="cellIs" dxfId="8" priority="29" operator="equal">
      <formula>"OK"</formula>
    </cfRule>
  </conditionalFormatting>
  <conditionalFormatting sqref="C2">
    <cfRule type="cellIs" dxfId="9" priority="30" operator="equal">
      <formula>"ERROR"</formula>
    </cfRule>
  </conditionalFormatting>
  <conditionalFormatting sqref="D18">
    <cfRule type="cellIs" dxfId="6" priority="31" operator="between">
      <formula>-0.2</formula>
      <formula>0.2</formula>
    </cfRule>
  </conditionalFormatting>
  <conditionalFormatting sqref="DM3:DM11">
    <cfRule type="cellIs" dxfId="3" priority="32" operator="lessThanOrEqual" stopIfTrue="1">
      <formula>6</formula>
    </cfRule>
  </conditionalFormatting>
  <conditionalFormatting sqref="DM3:DM11">
    <cfRule type="cellIs" dxfId="4" priority="33" operator="equal" stopIfTrue="1">
      <formula>7</formula>
    </cfRule>
  </conditionalFormatting>
  <conditionalFormatting sqref="DN3:DN11">
    <cfRule type="cellIs" dxfId="3" priority="34" operator="lessThanOrEqual" stopIfTrue="1">
      <formula>6</formula>
    </cfRule>
  </conditionalFormatting>
  <conditionalFormatting sqref="DN3:DN11">
    <cfRule type="cellIs" dxfId="4" priority="35" operator="equal" stopIfTrue="1">
      <formula>7</formula>
    </cfRule>
  </conditionalFormatting>
  <conditionalFormatting sqref="DE6">
    <cfRule type="cellIs" dxfId="3" priority="36" operator="lessThanOrEqual" stopIfTrue="1">
      <formula>6</formula>
    </cfRule>
  </conditionalFormatting>
  <conditionalFormatting sqref="DE6">
    <cfRule type="cellIs" dxfId="4" priority="37" operator="equal" stopIfTrue="1">
      <formula>7</formula>
    </cfRule>
  </conditionalFormatting>
  <conditionalFormatting sqref="DF6">
    <cfRule type="cellIs" dxfId="3" priority="38" operator="lessThanOrEqual" stopIfTrue="1">
      <formula>6</formula>
    </cfRule>
  </conditionalFormatting>
  <conditionalFormatting sqref="DF6">
    <cfRule type="cellIs" dxfId="4" priority="39" operator="equal" stopIfTrue="1">
      <formula>7</formula>
    </cfRule>
  </conditionalFormatting>
  <printOptions gridLines="false" gridLinesSet="true"/>
  <pageMargins left="0.7" right="0.7" top="0.75" bottom="0.75" header="0.3" footer="0.3"/>
  <pageSetup paperSize="1" orientation="portrait" scale="100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U12"/>
  <sheetViews>
    <sheetView tabSelected="0" workbookViewId="0" showGridLines="true" showRowColHeaders="1">
      <selection activeCell="AB12" sqref="AB12"/>
    </sheetView>
  </sheetViews>
  <sheetFormatPr defaultRowHeight="14.4" defaultColWidth="9.140625" outlineLevelRow="0" outlineLevelCol="0"/>
  <cols>
    <col min="3" max="3" width="33.7109375" customWidth="true" style="0"/>
    <col min="5" max="5" width="31.28515625" customWidth="true" style="0"/>
  </cols>
  <sheetData>
    <row r="1" spans="1:47">
      <c r="C1" s="25"/>
      <c r="D1" s="26"/>
      <c r="F1" s="2"/>
      <c r="G1" s="2"/>
      <c r="H1" s="2"/>
      <c r="I1" s="2"/>
      <c r="J1" s="2"/>
      <c r="K1" s="2" t="s">
        <v>227</v>
      </c>
      <c r="L1" s="2"/>
      <c r="M1" s="22"/>
      <c r="N1" s="2" t="s">
        <v>227</v>
      </c>
      <c r="O1" s="22"/>
      <c r="P1" s="2"/>
      <c r="Q1" s="2"/>
      <c r="R1" s="2"/>
      <c r="S1" t="s">
        <v>227</v>
      </c>
      <c r="U1" s="323" t="s">
        <v>228</v>
      </c>
      <c r="V1" s="323"/>
      <c r="W1" s="323"/>
      <c r="X1" s="323"/>
    </row>
    <row r="2" spans="1:47">
      <c r="C2" s="2" t="s">
        <v>229</v>
      </c>
      <c r="D2" s="2"/>
      <c r="E2" s="2"/>
      <c r="F2" s="2"/>
      <c r="G2" s="2"/>
      <c r="H2" s="2"/>
      <c r="I2" s="2"/>
      <c r="J2" s="2"/>
      <c r="K2" s="324" t="s">
        <v>230</v>
      </c>
      <c r="L2" s="324"/>
      <c r="M2" s="324"/>
      <c r="N2" s="324" t="s">
        <v>231</v>
      </c>
      <c r="O2" s="324"/>
      <c r="P2" s="2"/>
      <c r="Q2" s="2" t="s">
        <v>232</v>
      </c>
      <c r="R2" s="2"/>
      <c r="S2" t="s">
        <v>233</v>
      </c>
      <c r="U2" s="324" t="s">
        <v>234</v>
      </c>
      <c r="V2" s="324"/>
      <c r="W2" s="324"/>
      <c r="X2" s="324"/>
    </row>
    <row r="3" spans="1:47">
      <c r="B3" s="19" t="s">
        <v>235</v>
      </c>
      <c r="C3" s="27" t="s">
        <v>202</v>
      </c>
      <c r="D3" s="28" t="s">
        <v>203</v>
      </c>
      <c r="E3" s="29" t="s">
        <v>154</v>
      </c>
      <c r="F3" s="30" t="s">
        <v>204</v>
      </c>
      <c r="G3" s="31" t="s">
        <v>205</v>
      </c>
      <c r="H3" s="32" t="s">
        <v>206</v>
      </c>
      <c r="I3" s="32" t="s">
        <v>207</v>
      </c>
      <c r="J3" s="32" t="s">
        <v>208</v>
      </c>
      <c r="K3" s="1" t="s">
        <v>14</v>
      </c>
      <c r="L3" s="1" t="s">
        <v>209</v>
      </c>
      <c r="M3" s="33" t="s">
        <v>82</v>
      </c>
      <c r="N3" s="7" t="s">
        <v>14</v>
      </c>
      <c r="O3" s="14" t="s">
        <v>82</v>
      </c>
      <c r="P3" s="34" t="s">
        <v>14</v>
      </c>
      <c r="Q3" s="34" t="s">
        <v>82</v>
      </c>
      <c r="R3" s="1"/>
      <c r="S3" s="3" t="s">
        <v>210</v>
      </c>
      <c r="U3" s="13" t="s">
        <v>236</v>
      </c>
      <c r="V3" s="13" t="s">
        <v>237</v>
      </c>
      <c r="W3" s="13" t="s">
        <v>238</v>
      </c>
      <c r="X3" s="13" t="s">
        <v>239</v>
      </c>
    </row>
    <row r="4" spans="1:47">
      <c r="A4">
        <v>1</v>
      </c>
      <c r="B4" s="86">
        <v>4</v>
      </c>
      <c r="C4" s="25" t="s">
        <v>240</v>
      </c>
      <c r="D4" s="22" t="s">
        <v>241</v>
      </c>
      <c r="E4" s="25" t="s">
        <v>242</v>
      </c>
      <c r="F4" s="262" t="s">
        <v>243</v>
      </c>
      <c r="G4" s="37">
        <v>1.64</v>
      </c>
      <c r="H4" s="37">
        <v>2.1</v>
      </c>
      <c r="I4" s="37">
        <v>1.96</v>
      </c>
      <c r="J4" s="64">
        <v>12</v>
      </c>
      <c r="K4" s="64" t="s">
        <v>42</v>
      </c>
      <c r="L4" s="64" t="s">
        <v>244</v>
      </c>
      <c r="M4" s="22" t="s">
        <v>245</v>
      </c>
      <c r="N4" s="64">
        <v>2</v>
      </c>
      <c r="O4" s="22" t="s">
        <v>246</v>
      </c>
      <c r="P4" s="64" t="s">
        <v>42</v>
      </c>
      <c r="Q4" s="22" t="s">
        <v>247</v>
      </c>
      <c r="R4" s="22" t="s">
        <v>248</v>
      </c>
      <c r="S4" s="278" t="s">
        <v>249</v>
      </c>
      <c r="U4" s="62" t="str">
        <f>IF(AI12="","",AI12)</f>
        <v>1:0</v>
      </c>
      <c r="V4" s="63" t="str">
        <f>IF(AJ12="","",AJ12)</f>
        <v>10</v>
      </c>
      <c r="W4" s="63">
        <f>IF(AK12="","",AN12)</f>
        <v>1</v>
      </c>
      <c r="X4" s="63">
        <f>IF(AI12="","",AO12)</f>
        <v>1</v>
      </c>
    </row>
    <row r="5" spans="1:47">
      <c r="B5" s="35"/>
      <c r="C5" s="25"/>
      <c r="D5" s="22"/>
      <c r="E5" s="2"/>
      <c r="F5" s="36"/>
      <c r="G5" s="37"/>
      <c r="H5" s="37"/>
      <c r="I5" s="37"/>
      <c r="J5" s="2"/>
      <c r="K5" s="2"/>
      <c r="L5" s="2"/>
      <c r="M5" s="22"/>
      <c r="N5" s="2"/>
      <c r="O5" s="22"/>
      <c r="P5" s="2"/>
      <c r="Q5" s="22"/>
      <c r="R5" s="2"/>
      <c r="S5" s="38"/>
      <c r="U5" s="39"/>
      <c r="V5" s="35"/>
      <c r="W5" s="40"/>
      <c r="X5" s="40"/>
    </row>
    <row r="6" spans="1:47" customHeight="1" ht="15.75">
      <c r="F6" s="3" t="s">
        <v>250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T6" s="15" t="s">
        <v>251</v>
      </c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H6" s="41" t="s">
        <v>252</v>
      </c>
      <c r="AI6" s="41"/>
      <c r="AJ6" s="41"/>
      <c r="AK6" s="41"/>
      <c r="AL6" s="41"/>
      <c r="AM6" s="41"/>
      <c r="AN6" s="41"/>
      <c r="AO6" s="41"/>
      <c r="AP6" s="41"/>
      <c r="AQ6" s="41"/>
      <c r="AR6" s="41"/>
      <c r="AS6" s="41"/>
      <c r="AT6" s="41"/>
    </row>
    <row r="7" spans="1:47">
      <c r="B7" s="19" t="str">
        <f>B3</f>
        <v>S/n</v>
      </c>
      <c r="C7" s="27" t="str">
        <f>C3</f>
        <v>COMPETITION</v>
      </c>
      <c r="D7" s="28" t="str">
        <f>D3</f>
        <v>TIME</v>
      </c>
      <c r="E7" s="29" t="str">
        <f>E3</f>
        <v>MATCH</v>
      </c>
      <c r="F7" s="42" t="s">
        <v>253</v>
      </c>
      <c r="G7" s="23" t="s">
        <v>5</v>
      </c>
      <c r="H7" s="43" t="s">
        <v>204</v>
      </c>
      <c r="I7" s="43" t="s">
        <v>254</v>
      </c>
      <c r="J7" s="43" t="s">
        <v>255</v>
      </c>
      <c r="K7" s="43" t="s">
        <v>256</v>
      </c>
      <c r="L7" s="43" t="s">
        <v>257</v>
      </c>
      <c r="M7" s="23"/>
      <c r="N7" s="43" t="s">
        <v>258</v>
      </c>
      <c r="O7" s="43" t="s">
        <v>259</v>
      </c>
      <c r="P7" s="23"/>
      <c r="T7" s="42" t="s">
        <v>253</v>
      </c>
      <c r="U7" s="23" t="s">
        <v>5</v>
      </c>
      <c r="V7" s="43" t="s">
        <v>204</v>
      </c>
      <c r="W7" s="43" t="s">
        <v>254</v>
      </c>
      <c r="X7" s="43" t="s">
        <v>255</v>
      </c>
      <c r="Y7" s="43" t="s">
        <v>256</v>
      </c>
      <c r="Z7" s="43" t="s">
        <v>257</v>
      </c>
      <c r="AA7" s="23"/>
      <c r="AB7" s="43" t="s">
        <v>258</v>
      </c>
      <c r="AC7" s="43" t="s">
        <v>259</v>
      </c>
      <c r="AD7" s="23"/>
      <c r="AH7" s="42" t="s">
        <v>253</v>
      </c>
      <c r="AI7" s="23" t="s">
        <v>5</v>
      </c>
      <c r="AJ7" s="43" t="s">
        <v>204</v>
      </c>
      <c r="AK7" s="43" t="s">
        <v>254</v>
      </c>
      <c r="AL7" s="43" t="s">
        <v>255</v>
      </c>
      <c r="AM7" s="43" t="s">
        <v>256</v>
      </c>
      <c r="AN7" s="43" t="s">
        <v>257</v>
      </c>
      <c r="AO7" s="23"/>
      <c r="AP7" s="43" t="s">
        <v>258</v>
      </c>
      <c r="AQ7" s="43" t="s">
        <v>259</v>
      </c>
      <c r="AR7" s="23"/>
    </row>
    <row r="8" spans="1:47">
      <c r="B8" s="35">
        <f>B4</f>
        <v>4</v>
      </c>
      <c r="C8" s="25" t="str">
        <f>C4</f>
        <v>Italy &gt;&gt; Serie A</v>
      </c>
      <c r="D8" s="22" t="str">
        <f>D4</f>
        <v>19:45</v>
      </c>
      <c r="E8" s="25" t="str">
        <f>E4</f>
        <v>Torino - Udinese</v>
      </c>
      <c r="F8" s="44" t="str">
        <f>IF(M4="","",M4)</f>
        <v>2:2</v>
      </c>
      <c r="G8" s="45" t="str">
        <f>IF(F8="","",TRIM(O8))</f>
        <v>22</v>
      </c>
      <c r="H8" s="46" t="str">
        <f>IF(F8="","",CONCATENATE(I8,J8))</f>
        <v>22</v>
      </c>
      <c r="I8" s="47">
        <f>IF(F8="","",HOUR(F8))</f>
        <v>2</v>
      </c>
      <c r="J8" s="47">
        <f>IF(F8="","",MINUTE(F8))</f>
        <v>2</v>
      </c>
      <c r="K8" s="48" t="str">
        <f>IF(F8="","",IF(AND(I8="M",J8="M"),"X",(IF(AND(I8="M",J8&lt;&gt;"M"),1,(IF(AND(I8&lt;&gt;"M",J8="M"),2,(IF(I8=J8,"X",(IF(I8&gt;J8,1,2))))))))))</f>
        <v>X</v>
      </c>
      <c r="L8" s="49">
        <f>IF(F8="","",(I8+J8))</f>
        <v>4</v>
      </c>
      <c r="M8" s="50">
        <f>IF(F8="","",IF((I8&gt;=3),"M",I8))</f>
        <v>2</v>
      </c>
      <c r="N8" s="50">
        <f>IF(F8="","",IF((J8&gt;=3),"M",J8))</f>
        <v>2</v>
      </c>
      <c r="O8" s="24" t="str">
        <f>IF(F8="","",CONCATENATE(M8,N8))</f>
        <v>22</v>
      </c>
      <c r="P8" s="24" t="str">
        <f>IF(F8="","",CONCATENATE(I8,J8))</f>
        <v>22</v>
      </c>
      <c r="Q8" t="str">
        <f>IF(F8="","",IF(L8&gt;2,"O15","U15"))</f>
        <v>O15</v>
      </c>
      <c r="R8" t="str">
        <f>IF(F8="","",IF(L8&gt;3,"O25","U25"))</f>
        <v>O25</v>
      </c>
      <c r="T8" s="44" t="str">
        <f>IF(O4="","",O4)</f>
        <v>0:1</v>
      </c>
      <c r="U8" s="45" t="str">
        <f>IF(T8="","",TRIM(AC8))</f>
        <v>01</v>
      </c>
      <c r="V8" s="46" t="str">
        <f>IF(T8="","",CONCATENATE(W8,X8))</f>
        <v>01</v>
      </c>
      <c r="W8" s="47">
        <f>IF(T8="","",HOUR(T8))</f>
        <v>0</v>
      </c>
      <c r="X8" s="47">
        <f>IF(T8="","",MINUTE(T8))</f>
        <v>1</v>
      </c>
      <c r="Y8" s="48">
        <f>IF(T8="","",IF(AND(W8="M",X8="M"),"X",(IF(AND(W8="M",X8&lt;&gt;"M"),1,(IF(AND(W8&lt;&gt;"M",X8="M"),2,(IF(W8=X8,"X",(IF(W8&gt;X8,1,2))))))))))</f>
        <v>2</v>
      </c>
      <c r="Z8" s="49">
        <f>IF(T8="","",(W8+X8))</f>
        <v>1</v>
      </c>
      <c r="AA8" s="50">
        <f>IF(T8="","",IF((W8&gt;=3),"M",W8))</f>
        <v>0</v>
      </c>
      <c r="AB8" s="50">
        <f>IF(T8="","",IF((X8&gt;=3),"M",X8))</f>
        <v>1</v>
      </c>
      <c r="AC8" s="24" t="str">
        <f>IF(T8="","",CONCATENATE(AA8,AB8))</f>
        <v>01</v>
      </c>
      <c r="AD8" s="24" t="str">
        <f>IF(T8="","",CONCATENATE(W8,X8))</f>
        <v>01</v>
      </c>
      <c r="AE8" t="str">
        <f>IF(T8="","",IF(Z8&gt;2,"O15","U15"))</f>
        <v>U15</v>
      </c>
      <c r="AF8" t="str">
        <f>IF(T8="","",IF(Z8&gt;3,"O25","U25"))</f>
        <v>U25</v>
      </c>
      <c r="AH8" s="44" t="str">
        <f>IF(Q4="","",Q4)</f>
        <v>0:0</v>
      </c>
      <c r="AI8" s="45" t="str">
        <f>IF(AH8="","",TRIM(AQ8))</f>
        <v>00</v>
      </c>
      <c r="AJ8" s="46" t="str">
        <f>IF(AH8="","",CONCATENATE(AK8,AL8))</f>
        <v>00</v>
      </c>
      <c r="AK8" s="47">
        <f>IF(AH8="","",HOUR(AH8))</f>
        <v>0</v>
      </c>
      <c r="AL8" s="47">
        <f>IF(AH8="","",MINUTE(AH8))</f>
        <v>0</v>
      </c>
      <c r="AM8" s="48" t="str">
        <f>IF(AH8="","",IF(AND(AK8="M",AL8="M"),"X",(IF(AND(AK8="M",AL8&lt;&gt;"M"),1,(IF(AND(AK8&lt;&gt;"M",AL8="M"),2,(IF(AK8=AL8,"X",(IF(AK8&gt;AL8,1,2))))))))))</f>
        <v>X</v>
      </c>
      <c r="AN8" s="49">
        <f>IF(AH8="","",(AK8+AL8))</f>
        <v>0</v>
      </c>
      <c r="AO8" s="50">
        <f>IF(AH8="","",IF((AK8&gt;=3),"M",AK8))</f>
        <v>0</v>
      </c>
      <c r="AP8" s="50">
        <f>IF(AH8="","",IF((AL8&gt;=3),"M",AL8))</f>
        <v>0</v>
      </c>
      <c r="AQ8" s="24" t="str">
        <f>IF(AH8="","",CONCATENATE(AO8,AP8))</f>
        <v>00</v>
      </c>
      <c r="AR8" s="24" t="str">
        <f>IF(AH8="","",CONCATENATE(AK8,AL8))</f>
        <v>00</v>
      </c>
      <c r="AS8" t="str">
        <f>IF(AH8="","",IF(AN8&gt;2,"O15","U15"))</f>
        <v>U15</v>
      </c>
      <c r="AT8" t="str">
        <f>IF(AH8="","",IF(AN8&gt;3,"O25","U25"))</f>
        <v>U25</v>
      </c>
    </row>
    <row r="10" spans="1:47" customHeight="1" ht="15.75">
      <c r="A10" s="51" t="s">
        <v>260</v>
      </c>
      <c r="C10" s="2" t="s">
        <v>229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 t="s">
        <v>230</v>
      </c>
      <c r="O10" s="2"/>
      <c r="P10" s="2"/>
      <c r="Q10" s="2"/>
      <c r="R10" s="2"/>
      <c r="S10" t="s">
        <v>231</v>
      </c>
      <c r="T10" s="2"/>
      <c r="U10" s="2"/>
      <c r="V10" s="2"/>
      <c r="W10" s="2"/>
      <c r="X10" s="2" t="s">
        <v>232</v>
      </c>
      <c r="Y10" s="2"/>
      <c r="Z10" s="2"/>
      <c r="AB10" s="2" t="s">
        <v>233</v>
      </c>
      <c r="AD10" s="2" t="s">
        <v>234</v>
      </c>
      <c r="AE10" s="2"/>
      <c r="AF10" s="2"/>
      <c r="AG10" s="2"/>
    </row>
    <row r="11" spans="1:47">
      <c r="A11" s="51"/>
      <c r="B11" s="19" t="s">
        <v>235</v>
      </c>
      <c r="C11" s="27" t="s">
        <v>202</v>
      </c>
      <c r="D11" s="28" t="s">
        <v>203</v>
      </c>
      <c r="E11" s="29" t="s">
        <v>154</v>
      </c>
      <c r="F11" s="52" t="s">
        <v>204</v>
      </c>
      <c r="G11" s="31" t="s">
        <v>205</v>
      </c>
      <c r="H11" s="32" t="s">
        <v>206</v>
      </c>
      <c r="I11" s="32" t="s">
        <v>207</v>
      </c>
      <c r="J11" s="31" t="s">
        <v>205</v>
      </c>
      <c r="K11" s="32" t="s">
        <v>206</v>
      </c>
      <c r="L11" s="32" t="s">
        <v>207</v>
      </c>
      <c r="M11" s="29" t="s">
        <v>208</v>
      </c>
      <c r="N11" s="1" t="s">
        <v>14</v>
      </c>
      <c r="O11" s="1" t="s">
        <v>209</v>
      </c>
      <c r="P11" s="33" t="s">
        <v>82</v>
      </c>
      <c r="Q11" s="33"/>
      <c r="R11" s="33"/>
      <c r="S11" s="15" t="s">
        <v>14</v>
      </c>
      <c r="T11" s="7" t="s">
        <v>82</v>
      </c>
      <c r="U11" s="7" t="s">
        <v>49</v>
      </c>
      <c r="V11" s="7" t="s">
        <v>50</v>
      </c>
      <c r="W11" s="53" t="s">
        <v>14</v>
      </c>
      <c r="X11" s="53" t="s">
        <v>82</v>
      </c>
      <c r="Y11" s="54" t="s">
        <v>49</v>
      </c>
      <c r="Z11" s="54" t="s">
        <v>50</v>
      </c>
      <c r="AA11" s="1"/>
      <c r="AB11" s="25" t="s">
        <v>210</v>
      </c>
      <c r="AC11" s="55" t="s">
        <v>236</v>
      </c>
      <c r="AD11" s="13" t="s">
        <v>237</v>
      </c>
      <c r="AE11" s="13" t="s">
        <v>238</v>
      </c>
      <c r="AF11" s="13" t="s">
        <v>239</v>
      </c>
      <c r="AG11" s="13" t="s">
        <v>239</v>
      </c>
      <c r="AI11" s="42" t="s">
        <v>253</v>
      </c>
      <c r="AJ11" s="23" t="s">
        <v>5</v>
      </c>
      <c r="AK11" s="43" t="s">
        <v>204</v>
      </c>
      <c r="AL11" s="43" t="s">
        <v>254</v>
      </c>
      <c r="AM11" s="43" t="s">
        <v>255</v>
      </c>
      <c r="AN11" s="43" t="s">
        <v>256</v>
      </c>
      <c r="AO11" s="43" t="s">
        <v>257</v>
      </c>
      <c r="AP11" s="23"/>
      <c r="AQ11" s="43" t="s">
        <v>258</v>
      </c>
      <c r="AR11" s="43" t="s">
        <v>259</v>
      </c>
      <c r="AS11" s="23"/>
    </row>
    <row r="12" spans="1:47">
      <c r="A12" s="51"/>
      <c r="B12" s="35">
        <f>IF(B4="","",B4)</f>
        <v>4</v>
      </c>
      <c r="C12" s="25" t="str">
        <f>IF(C4="","",C4)</f>
        <v>Italy &gt;&gt; Serie A</v>
      </c>
      <c r="D12" s="22" t="str">
        <f>IF(D4="","",D4)</f>
        <v>19:45</v>
      </c>
      <c r="E12" s="25" t="str">
        <f>IF(E4="","",E4)</f>
        <v>Torino - Udinese</v>
      </c>
      <c r="F12" s="56" t="str">
        <f>F4</f>
        <v>1:0</v>
      </c>
      <c r="G12" s="37">
        <f>IF(G4="","",G4)</f>
        <v>1.64</v>
      </c>
      <c r="H12" s="37">
        <f>IF(H4="","",H4)</f>
        <v>2.1</v>
      </c>
      <c r="I12" s="37">
        <f>IF(I4="","",I4)</f>
        <v>1.96</v>
      </c>
      <c r="J12" s="57">
        <f>IF(G12="","",(((100)*(1/G12))/((1/G12)+(1/H12)+(1/I12)))+0.01)</f>
        <v>38.211663201663</v>
      </c>
      <c r="K12" s="57">
        <f>IF(H12="","",(((100)*(1/H12))/((1/G12)+(1/H12)+(1/I12)))+0.01)</f>
        <v>29.84367983368</v>
      </c>
      <c r="L12" s="57">
        <f>IF(I12="","",(((100)*(1/I12))/((1/G12)+(1/H12)+(1/I12)))+0.01)</f>
        <v>31.974656964657</v>
      </c>
      <c r="M12" s="2">
        <f>IF(J4="","",J4)</f>
        <v>12</v>
      </c>
      <c r="N12" s="2" t="str">
        <f>IF(K4="","",K4)</f>
        <v>X</v>
      </c>
      <c r="O12" s="2" t="str">
        <f>IF(L4="","",L4)</f>
        <v>O</v>
      </c>
      <c r="P12" s="22" t="str">
        <f>IF(M4="","",M4)</f>
        <v>2:2</v>
      </c>
      <c r="Q12" s="2" t="str">
        <f>IF(M4="","",G8)</f>
        <v>22</v>
      </c>
      <c r="R12" s="2" t="str">
        <f>IF(M4="","",K8)</f>
        <v>X</v>
      </c>
      <c r="S12">
        <f>IF(N4="","",N4)</f>
        <v>2</v>
      </c>
      <c r="T12" s="22" t="str">
        <f>IF(O4="","",O4)</f>
        <v>0:1</v>
      </c>
      <c r="U12" s="2" t="str">
        <f>IF(O4="","",U8)</f>
        <v>01</v>
      </c>
      <c r="V12" s="2">
        <f>IF(O4="","",Y8)</f>
        <v>2</v>
      </c>
      <c r="W12" s="2" t="str">
        <f>IF(P4="","",P4)</f>
        <v>X</v>
      </c>
      <c r="X12" s="22" t="str">
        <f>IF(Q4="","",Q4)</f>
        <v>0:0</v>
      </c>
      <c r="Y12" s="2" t="str">
        <f>IF(Q4="","",AI8)</f>
        <v>00</v>
      </c>
      <c r="Z12" s="2" t="str">
        <f>IF(Q4="","",AM8)</f>
        <v>X</v>
      </c>
      <c r="AB12" s="58" t="str">
        <f>S4</f>
        <v>https://int.soccerway.com/matches/2020/06/23/italy/serie-a/torino-fc/udinese-calcio/3111969/</v>
      </c>
      <c r="AC12" s="26" t="str">
        <f>IF(AI12="","",AI12)</f>
        <v>1:0</v>
      </c>
      <c r="AD12" s="2" t="str">
        <f>IF(AI12="","",AJ12)</f>
        <v>10</v>
      </c>
      <c r="AE12" s="2">
        <f>IF(AI12="","",AN12)</f>
        <v>1</v>
      </c>
      <c r="AF12" s="2">
        <f>IF(AI12="","",AO12)</f>
        <v>1</v>
      </c>
      <c r="AG12" s="40" t="str">
        <f>IF(AI12="","",AT12)</f>
        <v>U15</v>
      </c>
      <c r="AH12" t="str">
        <f>IF(AI12="","",AU12)</f>
        <v>U25</v>
      </c>
      <c r="AI12" s="44" t="str">
        <f>IF(F12="","",F12)</f>
        <v>1:0</v>
      </c>
      <c r="AJ12" s="45" t="str">
        <f>IF(AI12="","",TRIM(AR12))</f>
        <v>10</v>
      </c>
      <c r="AK12" s="46" t="str">
        <f>IF(AI12="","",CONCATENATE(AL12,AM12))</f>
        <v>10</v>
      </c>
      <c r="AL12" s="47">
        <f>IF(AI12="","",HOUR(AI12))</f>
        <v>1</v>
      </c>
      <c r="AM12" s="47">
        <f>IF(AI12="","",MINUTE(AI12))</f>
        <v>0</v>
      </c>
      <c r="AN12" s="48">
        <f>IF(AI12="","",IF(AND(AL12="M",AM12="M"),"X",(IF(AND(AL12="M",AM12&lt;&gt;"M"),1,(IF(AND(AL12&lt;&gt;"M",AM12="M"),2,(IF(AL12=AM12,"X",(IF(AL12&gt;AM12,1,2))))))))))</f>
        <v>1</v>
      </c>
      <c r="AO12" s="49">
        <f>IF(AI12="","",(AL12+AM12))</f>
        <v>1</v>
      </c>
      <c r="AP12" s="50">
        <f>IF(AI12="","",IF((AL12&gt;=3),"M",AL12))</f>
        <v>1</v>
      </c>
      <c r="AQ12" s="50">
        <f>IF(AI12="","",IF((AM12&gt;=3),"M",AM12))</f>
        <v>0</v>
      </c>
      <c r="AR12" s="24" t="str">
        <f>IF(AI12="","",CONCATENATE(AP12,AQ12))</f>
        <v>10</v>
      </c>
      <c r="AS12" s="24" t="str">
        <f>IF(AI12="","",CONCATENATE(AL12,AM12))</f>
        <v>10</v>
      </c>
      <c r="AT12" t="str">
        <f>IF(AI12="","",IF(AO12&gt;2,"O15","U15"))</f>
        <v>U15</v>
      </c>
      <c r="AU12" t="str">
        <f>IF(AI12="","",IF(AO12&gt;3,"O25","U25"))</f>
        <v>U25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U1:X1"/>
    <mergeCell ref="K2:M2"/>
    <mergeCell ref="N2:O2"/>
    <mergeCell ref="U2:X2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Torino v Udinese</vt:lpstr>
      <vt:lpstr>IN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Yuan</dc:creator>
  <cp:lastModifiedBy>Yuan</cp:lastModifiedBy>
  <dcterms:created xsi:type="dcterms:W3CDTF">2020-06-20T03:34:26+08:00</dcterms:created>
  <dcterms:modified xsi:type="dcterms:W3CDTF">2020-06-25T10:55:26+08:00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fa09d683-2e25-4f6e-a0f7-e6a76e095d1d</vt:lpwstr>
  </property>
</Properties>
</file>