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castle v Aston Vill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<sst xmlns="http://schemas.openxmlformats.org/spreadsheetml/2006/main" uniqueCount="263">
  <si>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</si>
  <si>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</si>
  <si>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</si>
  <si>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</si>
  <si>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</si>
  <si>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</si>
  <si>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</si>
  <si>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Newcastle</t>
  </si>
  <si>
    <t>Aston Villa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</si>
  <si>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</si>
  <si>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</si>
  <si>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</si>
  <si>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</si>
  <si>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</si>
  <si>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</si>
  <si>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</si>
  <si>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</si>
  <si>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</si>
  <si>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</si>
  <si>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</si>
  <si>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2020-06-21</t>
  </si>
  <si>
    <t>Sheffield United</t>
  </si>
  <si>
    <t>Leicester City</t>
  </si>
  <si>
    <t>SG</t>
  </si>
  <si>
    <t>"%"</t>
  </si>
  <si>
    <t>2020-02-29</t>
  </si>
  <si>
    <t>Burnley</t>
  </si>
  <si>
    <t>Southampton</t>
  </si>
  <si>
    <t>RACHA</t>
  </si>
  <si>
    <t>ULT</t>
  </si>
  <si>
    <t>CD</t>
  </si>
  <si>
    <t>"C"</t>
  </si>
  <si>
    <t>"D"</t>
  </si>
  <si>
    <t>P1</t>
  </si>
  <si>
    <t>2020-02-01</t>
  </si>
  <si>
    <t>Norwich City</t>
  </si>
  <si>
    <t>AFC Bournemouth</t>
  </si>
  <si>
    <t>TIPS_ROY_PICKS</t>
  </si>
  <si>
    <t>picks</t>
  </si>
  <si>
    <t>roySYS</t>
  </si>
  <si>
    <t>rFZ</t>
  </si>
  <si>
    <t>2020-01-25</t>
  </si>
  <si>
    <t>Oxford United</t>
  </si>
  <si>
    <t>Brighton &amp; Hove Albion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</si>
  <si>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</si>
  <si>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</si>
  <si>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</si>
  <si>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</si>
  <si>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</si>
  <si>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</si>
  <si>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</si>
  <si>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</si>
  <si>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</si>
  <si>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</si>
  <si>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Chelsea</t>
  </si>
  <si>
    <t>2020-01-15</t>
  </si>
  <si>
    <t>Rochdale</t>
  </si>
  <si>
    <t>Fulham</t>
  </si>
  <si>
    <t>2020-01-01</t>
  </si>
  <si>
    <t>max</t>
  </si>
  <si>
    <t>2019-12-28</t>
  </si>
  <si>
    <t>Everton</t>
  </si>
  <si>
    <t>Watford</t>
  </si>
  <si>
    <t>2019-12-21</t>
  </si>
  <si>
    <t>Crystal Palace</t>
  </si>
  <si>
    <t>2019-12-08</t>
  </si>
  <si>
    <t>2019-11-30</t>
  </si>
  <si>
    <t>Manchester City</t>
  </si>
  <si>
    <t>Manchester United</t>
  </si>
  <si>
    <t>2019-11-09</t>
  </si>
  <si>
    <t>Wolverhampton Wanderers</t>
  </si>
  <si>
    <t>2019-10-27</t>
  </si>
  <si>
    <t>2019-10-06</t>
  </si>
  <si>
    <t>DOUBLE Chance PICKS</t>
  </si>
  <si>
    <t>pForce</t>
  </si>
  <si>
    <t>2019-09-22</t>
  </si>
  <si>
    <t>%</t>
  </si>
  <si>
    <t>Ps_Diff</t>
  </si>
  <si>
    <t>Fz-101</t>
  </si>
  <si>
    <t>Avg_Gol</t>
  </si>
  <si>
    <t>CS</t>
  </si>
  <si>
    <t>2019-08-31</t>
  </si>
  <si>
    <t>Arsenal</t>
  </si>
  <si>
    <t>2019-08-29</t>
  </si>
  <si>
    <t>2019-08-11</t>
  </si>
  <si>
    <t>Crewe Alexandra</t>
  </si>
  <si>
    <t>CORRECT SCORES PICKS</t>
  </si>
  <si>
    <t>1st</t>
  </si>
  <si>
    <t>2nd</t>
  </si>
  <si>
    <t>3rd</t>
  </si>
  <si>
    <t>4th</t>
  </si>
  <si>
    <t>2019-08-03</t>
  </si>
  <si>
    <t>Saint-Etienne</t>
  </si>
  <si>
    <t>Tottenham Hotspur</t>
  </si>
  <si>
    <t>2019-07-20</t>
  </si>
  <si>
    <t>West Ham United</t>
  </si>
  <si>
    <t>RB Leipzig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</si>
  <si>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</si>
  <si>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</si>
  <si>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</si>
  <si>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</si>
  <si>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</si>
  <si>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</si>
  <si>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</si>
  <si>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</si>
  <si>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</si>
  <si>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</si>
  <si>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</si>
  <si>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</si>
  <si>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</si>
  <si>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</si>
  <si>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</si>
  <si>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</si>
  <si>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</si>
  <si>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</si>
  <si>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</si>
  <si>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</si>
  <si>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</si>
  <si>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</si>
  <si>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</si>
  <si>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</si>
  <si>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</si>
  <si>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</si>
  <si>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</si>
  <si>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</si>
  <si>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Liverpool</t>
  </si>
  <si>
    <t>DWLWW</t>
  </si>
  <si>
    <t>CLASIFICATION</t>
  </si>
  <si>
    <t>ATO Z trend</t>
  </si>
  <si>
    <t>WWLWW</t>
  </si>
  <si>
    <t>Leicester</t>
  </si>
  <si>
    <t>DDWLL</t>
  </si>
  <si>
    <t>WWDLL</t>
  </si>
  <si>
    <t>pronox Home Capacities</t>
  </si>
  <si>
    <t>WWDWL</t>
  </si>
  <si>
    <t>LDLLL</t>
  </si>
  <si>
    <t>Manchester Utd</t>
  </si>
  <si>
    <t>DWDWW</t>
  </si>
  <si>
    <t>Wolves</t>
  </si>
  <si>
    <t>WDWWD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</si>
  <si>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</si>
  <si>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</si>
  <si>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</si>
  <si>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</si>
  <si>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</si>
  <si>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</si>
  <si>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</si>
  <si>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</si>
  <si>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</si>
  <si>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</si>
  <si>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</si>
  <si>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Sheffield Utd</t>
  </si>
  <si>
    <t>LDWDW</t>
  </si>
  <si>
    <t>WWWWL</t>
  </si>
  <si>
    <t>MATCH</t>
  </si>
  <si>
    <t>LLWWW</t>
  </si>
  <si>
    <t>LDDWW</t>
  </si>
  <si>
    <t>DLDLW</t>
  </si>
  <si>
    <t>WLLWL</t>
  </si>
  <si>
    <t>Brighton</t>
  </si>
  <si>
    <t>DWDLD</t>
  </si>
  <si>
    <t>DLWLD</t>
  </si>
  <si>
    <t>West Ham</t>
  </si>
  <si>
    <t>LLLWL</t>
  </si>
  <si>
    <t>Bournemouth</t>
  </si>
  <si>
    <t>LLDLL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</si>
  <si>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</si>
  <si>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</si>
  <si>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</si>
  <si>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</si>
  <si>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</si>
  <si>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</si>
  <si>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</si>
  <si>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</si>
  <si>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</si>
  <si>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</si>
  <si>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</si>
  <si>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</si>
  <si>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</si>
  <si>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</si>
  <si>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</si>
  <si>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</si>
  <si>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</si>
  <si>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</si>
  <si>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</si>
  <si>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</si>
  <si>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</si>
  <si>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</si>
  <si>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</si>
  <si>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</si>
  <si>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</si>
  <si>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</si>
  <si>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</si>
  <si>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</si>
  <si>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</si>
  <si>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</si>
  <si>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</si>
  <si>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</si>
  <si>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</si>
  <si>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</si>
  <si>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</si>
  <si>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</si>
  <si>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</si>
  <si>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</si>
  <si>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</si>
  <si>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</si>
  <si>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</si>
  <si>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</si>
  <si>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</si>
  <si>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</si>
  <si>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</si>
  <si>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</si>
  <si>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</si>
  <si>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</si>
  <si>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</si>
  <si>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</si>
  <si>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</si>
  <si>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</si>
  <si>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</si>
  <si>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</si>
  <si>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</si>
  <si>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</si>
  <si>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</si>
  <si>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</si>
  <si>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</si>
  <si>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2020-06-24</t>
  </si>
  <si>
    <t>2020-06-24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</si>
  <si>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</si>
  <si>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</si>
  <si>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</si>
  <si>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</si>
  <si>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</si>
  <si>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</si>
  <si>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</si>
  <si>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</si>
  <si>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</si>
  <si>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</si>
  <si>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</si>
  <si>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</si>
  <si>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</si>
  <si>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</si>
  <si>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</si>
  <si>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</si>
  <si>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</si>
  <si>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</si>
  <si>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Newcastle - Aston Villa</t>
  </si>
  <si>
    <t>1:1</t>
  </si>
  <si>
    <t>O</t>
  </si>
  <si>
    <t>3:0</t>
  </si>
  <si>
    <t>2:0</t>
  </si>
  <si>
    <t>1:0</t>
  </si>
  <si>
    <t>https://int.soccerway.com/matches/2020/06/24/england/premier-league/newcastle-united-football-club/aston-villa-football-club/3029378/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</si>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</sst>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Newcastle - Aston Villa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Newcastle - Aston Villa</v>
      </c>
      <c r="C2" t="str">
        <f>IF(B1=B2,"OK","ERROR")</f>
        <v>OK</v>
      </c>
      <c r="E2">
        <v>13</v>
      </c>
      <c r="F2">
        <v>19</v>
      </c>
      <c r="G2" s="80">
        <f>E2-F2</f>
        <v>-6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0</v>
      </c>
      <c r="AA2" s="10">
        <v>4</v>
      </c>
      <c r="AB2" s="10">
        <v>0</v>
      </c>
      <c r="AC2" s="85">
        <f>Y2+Z2</f>
        <v>3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Newcastle-Aston Villa</v>
      </c>
      <c r="CA2" t="str">
        <f>V24</f>
        <v>Newcastle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2</v>
      </c>
      <c r="AB3" s="10">
        <v>0</v>
      </c>
      <c r="AC3" s="85">
        <f>Y3+Z3</f>
        <v>0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Newcastle</v>
      </c>
      <c r="BZ3" s="85" t="str">
        <f>X1</f>
        <v>Aston Villa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2</v>
      </c>
      <c r="AB4" s="9">
        <v>1</v>
      </c>
      <c r="AC4" s="85">
        <f>Y4+Z4</f>
        <v>0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4</v>
      </c>
      <c r="BX4">
        <f>Z2</f>
        <v>0</v>
      </c>
      <c r="BY4" s="85">
        <f>BW23</f>
        <v>1</v>
      </c>
      <c r="BZ4" s="85">
        <f>BX23</f>
        <v>0</v>
      </c>
      <c r="CA4" s="61" t="str">
        <f>IF((BW4&gt;=3),"M",BW4)</f>
        <v>M</v>
      </c>
      <c r="CB4" s="61">
        <f>IF((BX4&gt;=3),"M",BX4)</f>
        <v>0</v>
      </c>
      <c r="CC4">
        <v>20</v>
      </c>
      <c r="CD4">
        <f>BW4</f>
        <v>4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3</v>
      </c>
      <c r="CS4">
        <f>AD2</f>
        <v>4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4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0</v>
      </c>
      <c r="AA5" s="9">
        <v>1</v>
      </c>
      <c r="AB5" s="9">
        <v>1</v>
      </c>
      <c r="AC5" s="85">
        <f>Y5+Z5</f>
        <v>0</v>
      </c>
      <c r="AD5" s="85">
        <f>AA5+AB5</f>
        <v>2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3</v>
      </c>
      <c r="BZ5" s="85">
        <f>BX22</f>
        <v>1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3</v>
      </c>
      <c r="CG5" s="85">
        <f>CE22</f>
        <v>1</v>
      </c>
      <c r="CQ5">
        <v>19</v>
      </c>
      <c r="CR5">
        <f>AC3</f>
        <v>0</v>
      </c>
      <c r="CS5">
        <f>AD3</f>
        <v>2</v>
      </c>
      <c r="CT5" s="85">
        <f>CR22</f>
        <v>3</v>
      </c>
      <c r="CU5" s="85">
        <f>CS22</f>
        <v>4</v>
      </c>
      <c r="CV5" s="61"/>
      <c r="CW5" s="61"/>
      <c r="CX5">
        <v>19</v>
      </c>
      <c r="CY5">
        <f>CR5</f>
        <v>0</v>
      </c>
      <c r="CZ5">
        <f>CS5</f>
        <v>2</v>
      </c>
      <c r="DA5" s="85">
        <f>CY22</f>
        <v>3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22</v>
      </c>
      <c r="Y6" s="9">
        <v>1</v>
      </c>
      <c r="Z6" s="9">
        <v>0</v>
      </c>
      <c r="AA6" s="9">
        <v>1</v>
      </c>
      <c r="AB6" s="9">
        <v>1</v>
      </c>
      <c r="AC6" s="85">
        <f>Y6+Z6</f>
        <v>1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0</v>
      </c>
      <c r="CS6">
        <f>AD4</f>
        <v>3</v>
      </c>
      <c r="CT6" s="85">
        <f>CR21</f>
        <v>1</v>
      </c>
      <c r="CU6" s="85">
        <f>CS21</f>
        <v>7</v>
      </c>
      <c r="CV6" s="61"/>
      <c r="CW6" s="61"/>
      <c r="CX6">
        <v>18</v>
      </c>
      <c r="CY6">
        <f>CR6</f>
        <v>0</v>
      </c>
      <c r="CZ6">
        <f>CS6</f>
        <v>3</v>
      </c>
      <c r="DA6" s="85">
        <f>CY21</f>
        <v>1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Newcastle - Aston Villa</v>
      </c>
      <c r="C7" s="114">
        <f>Y41</f>
        <v>1.25</v>
      </c>
      <c r="D7" s="114" t="str">
        <f>BH36</f>
        <v>1</v>
      </c>
      <c r="E7" s="114" t="str">
        <f>BI36</f>
        <v>1X2</v>
      </c>
      <c r="F7" s="114">
        <f>Z41</f>
        <v>43.75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50</v>
      </c>
      <c r="N7" s="114">
        <f>AI39</f>
        <v>37.5</v>
      </c>
      <c r="O7" s="116">
        <f>C22</f>
        <v>20</v>
      </c>
      <c r="P7" s="117" t="str">
        <f>E22</f>
        <v>M0</v>
      </c>
      <c r="Q7" s="116">
        <f>G22</f>
        <v>21</v>
      </c>
      <c r="R7" s="116">
        <f>D26</f>
        <v>50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57</v>
      </c>
      <c r="Y7" s="9">
        <v>4</v>
      </c>
      <c r="Z7" s="9">
        <v>1</v>
      </c>
      <c r="AA7" s="9">
        <v>2</v>
      </c>
      <c r="AB7" s="9">
        <v>1</v>
      </c>
      <c r="AC7" s="85">
        <f>Y7+Z7</f>
        <v>5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1</v>
      </c>
      <c r="BZ7" s="85">
        <f>BX20</f>
        <v>1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1</v>
      </c>
      <c r="CG7" s="85">
        <f>CE20</f>
        <v>1</v>
      </c>
      <c r="CQ7">
        <v>17</v>
      </c>
      <c r="CR7">
        <f>AC5</f>
        <v>0</v>
      </c>
      <c r="CS7">
        <f>AD5</f>
        <v>2</v>
      </c>
      <c r="CT7" s="85">
        <f>CR20</f>
        <v>2</v>
      </c>
      <c r="CU7" s="85">
        <f>CS20</f>
        <v>1</v>
      </c>
      <c r="CV7" s="61"/>
      <c r="CW7" s="61"/>
      <c r="CX7">
        <v>17</v>
      </c>
      <c r="CY7">
        <f>CR7</f>
        <v>0</v>
      </c>
      <c r="CZ7">
        <f>CS7</f>
        <v>2</v>
      </c>
      <c r="DA7" s="85">
        <f>CY20</f>
        <v>2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22</v>
      </c>
      <c r="X8" t="s">
        <v>26</v>
      </c>
      <c r="Y8" s="9">
        <v>0</v>
      </c>
      <c r="Z8" s="9">
        <v>3</v>
      </c>
      <c r="AA8" s="9">
        <v>1</v>
      </c>
      <c r="AB8" s="9">
        <v>2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0</v>
      </c>
      <c r="BY8" s="85">
        <f>BW19</f>
        <v>3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3</v>
      </c>
      <c r="CG8" s="85">
        <f>CE19</f>
        <v>1</v>
      </c>
      <c r="CQ8">
        <v>16</v>
      </c>
      <c r="CR8">
        <f>AC6</f>
        <v>1</v>
      </c>
      <c r="CS8">
        <f>AD6</f>
        <v>2</v>
      </c>
      <c r="CT8" s="85">
        <f>CR19</f>
        <v>2</v>
      </c>
      <c r="CU8" s="85">
        <f>CS19</f>
        <v>5</v>
      </c>
      <c r="CV8" s="61"/>
      <c r="CW8" s="61"/>
      <c r="CX8">
        <v>16</v>
      </c>
      <c r="CY8">
        <f>CR8</f>
        <v>1</v>
      </c>
      <c r="CZ8">
        <f>CS8</f>
        <v>2</v>
      </c>
      <c r="DA8" s="85">
        <f>CY19</f>
        <v>2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1</v>
      </c>
      <c r="Z9" s="9">
        <v>2</v>
      </c>
      <c r="AA9" s="9">
        <v>3</v>
      </c>
      <c r="AB9" s="9">
        <v>0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40</v>
      </c>
      <c r="AU9" s="99">
        <f>(AS6/AS7)*100</f>
        <v>15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5</v>
      </c>
      <c r="CS9">
        <f>AD7</f>
        <v>3</v>
      </c>
      <c r="CT9" s="85">
        <f>CR18</f>
        <v>0</v>
      </c>
      <c r="CU9" s="85">
        <f>CS18</f>
        <v>4</v>
      </c>
      <c r="CV9" s="61"/>
      <c r="CW9" s="61"/>
      <c r="CX9">
        <v>15</v>
      </c>
      <c r="CY9">
        <f>CR9</f>
        <v>5</v>
      </c>
      <c r="CZ9">
        <f>CS9</f>
        <v>3</v>
      </c>
      <c r="DA9" s="85">
        <f>CY18</f>
        <v>0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21</v>
      </c>
      <c r="Y10" s="9">
        <v>1</v>
      </c>
      <c r="Z10" s="9">
        <v>0</v>
      </c>
      <c r="AA10" s="9">
        <v>2</v>
      </c>
      <c r="AB10" s="9">
        <v>0</v>
      </c>
      <c r="AC10" s="85">
        <f>Y10+Z10</f>
        <v>1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3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 t="str">
        <f>IF((BX10&gt;=3),"M",BX10)</f>
        <v>M</v>
      </c>
      <c r="CC10">
        <v>14</v>
      </c>
      <c r="CD10">
        <f>BW10</f>
        <v>1</v>
      </c>
      <c r="CE10">
        <f>BX10</f>
        <v>3</v>
      </c>
      <c r="CF10" s="85">
        <f>CD17</f>
        <v>1</v>
      </c>
      <c r="CG10" s="85">
        <f>CE17</f>
        <v>0</v>
      </c>
      <c r="CQ10">
        <v>14</v>
      </c>
      <c r="CR10">
        <f>AC8</f>
        <v>3</v>
      </c>
      <c r="CS10">
        <f>AD8</f>
        <v>3</v>
      </c>
      <c r="CT10" s="85">
        <f>CR17</f>
        <v>1</v>
      </c>
      <c r="CU10" s="85">
        <f>CS17</f>
        <v>6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1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27</v>
      </c>
      <c r="X11" t="s">
        <v>54</v>
      </c>
      <c r="Y11" s="9">
        <v>2</v>
      </c>
      <c r="Z11" s="9">
        <v>1</v>
      </c>
      <c r="AA11" s="9">
        <v>2</v>
      </c>
      <c r="AB11" s="9">
        <v>1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3</v>
      </c>
      <c r="BZ11" s="85">
        <f>BX16</f>
        <v>1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3</v>
      </c>
      <c r="CG11" s="85">
        <f>CE16</f>
        <v>1</v>
      </c>
      <c r="CQ11">
        <v>13</v>
      </c>
      <c r="CR11">
        <f>AC9</f>
        <v>3</v>
      </c>
      <c r="CS11">
        <f>AD9</f>
        <v>3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68</v>
      </c>
      <c r="Y12" s="9">
        <v>2</v>
      </c>
      <c r="Z12" s="9">
        <v>2</v>
      </c>
      <c r="AA12" s="9">
        <v>2</v>
      </c>
      <c r="AB12" s="9">
        <v>2</v>
      </c>
      <c r="AC12" s="85">
        <f>Y12+Z12</f>
        <v>4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2</v>
      </c>
      <c r="BZ12" s="85">
        <f>BX15</f>
        <v>1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2</v>
      </c>
      <c r="CG12" s="85">
        <f>CE15</f>
        <v>1</v>
      </c>
      <c r="CQ12">
        <v>12</v>
      </c>
      <c r="CR12">
        <f>AC10</f>
        <v>1</v>
      </c>
      <c r="CS12">
        <f>AD10</f>
        <v>2</v>
      </c>
      <c r="CT12" s="85">
        <f>CR15</f>
        <v>3</v>
      </c>
      <c r="CU12" s="85">
        <f>CS15</f>
        <v>3</v>
      </c>
      <c r="CV12" s="61"/>
      <c r="CW12" s="61"/>
      <c r="CX12">
        <v>12</v>
      </c>
      <c r="CY12">
        <f>CR12</f>
        <v>1</v>
      </c>
      <c r="CZ12">
        <f>CS12</f>
        <v>2</v>
      </c>
      <c r="DA12" s="85">
        <f>CY15</f>
        <v>3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36</v>
      </c>
      <c r="X13" t="s">
        <v>70</v>
      </c>
      <c r="Y13" s="9">
        <v>2</v>
      </c>
      <c r="Z13" s="9">
        <v>1</v>
      </c>
      <c r="AA13" s="9">
        <v>2</v>
      </c>
      <c r="AB13" s="9">
        <v>1</v>
      </c>
      <c r="AC13" s="85">
        <f>Y13+Z13</f>
        <v>3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2</v>
      </c>
      <c r="BZ13" s="85">
        <f>BX14</f>
        <v>2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3</v>
      </c>
      <c r="CT13" s="85">
        <f>CR14</f>
        <v>4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4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70</v>
      </c>
      <c r="X14" t="s">
        <v>67</v>
      </c>
      <c r="Y14" s="9">
        <v>1</v>
      </c>
      <c r="Z14" s="9">
        <v>1</v>
      </c>
      <c r="AA14" s="9">
        <v>3</v>
      </c>
      <c r="AB14" s="9">
        <v>0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2</v>
      </c>
      <c r="BZ14" s="85">
        <f>BX13</f>
        <v>1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2</v>
      </c>
      <c r="CG14" s="85">
        <f>CE13</f>
        <v>1</v>
      </c>
      <c r="CQ14">
        <v>10</v>
      </c>
      <c r="CR14">
        <f>AC12</f>
        <v>4</v>
      </c>
      <c r="CS14">
        <f>AD12</f>
        <v>4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4</v>
      </c>
      <c r="CZ14">
        <f>CS14</f>
        <v>4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100.001</v>
      </c>
      <c r="N15" s="129">
        <f>BD36</f>
        <v>0.001</v>
      </c>
      <c r="O15" s="129">
        <f>BE36</f>
        <v>0.001</v>
      </c>
      <c r="U15" s="84">
        <f>U14+1</f>
        <v>14</v>
      </c>
      <c r="V15" t="s">
        <v>72</v>
      </c>
      <c r="W15" t="s">
        <v>68</v>
      </c>
      <c r="X15" t="s">
        <v>35</v>
      </c>
      <c r="Y15" s="9">
        <v>1</v>
      </c>
      <c r="Z15" s="9">
        <v>0</v>
      </c>
      <c r="AA15" s="9">
        <v>1</v>
      </c>
      <c r="AB15" s="9">
        <v>5</v>
      </c>
      <c r="AC15" s="85">
        <f>Y15+Z15</f>
        <v>1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2</v>
      </c>
      <c r="BZ15" s="85">
        <f>BX12</f>
        <v>0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2</v>
      </c>
      <c r="CG15" s="85">
        <f>CE12</f>
        <v>0</v>
      </c>
      <c r="CI15">
        <f>TREND(BW4:BW23,BX4:BX23,,BW4)</f>
        <v>1.8181818181818</v>
      </c>
      <c r="CQ15">
        <v>9</v>
      </c>
      <c r="CR15">
        <f>AC13</f>
        <v>3</v>
      </c>
      <c r="CS15">
        <f>AD13</f>
        <v>3</v>
      </c>
      <c r="CT15" s="85">
        <f>CR12</f>
        <v>1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3</v>
      </c>
      <c r="DA15" s="85">
        <f>CY12</f>
        <v>1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0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5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40</v>
      </c>
      <c r="O16" s="129">
        <f>BE37</f>
        <v>15</v>
      </c>
      <c r="U16" s="84">
        <f>U15+1</f>
        <v>15</v>
      </c>
      <c r="V16" t="s">
        <v>75</v>
      </c>
      <c r="W16" t="s">
        <v>43</v>
      </c>
      <c r="X16" t="s">
        <v>43</v>
      </c>
      <c r="Y16" s="9">
        <v>0</v>
      </c>
      <c r="Z16" s="9">
        <v>0</v>
      </c>
      <c r="AA16" s="9">
        <v>1</v>
      </c>
      <c r="AB16" s="9">
        <v>3</v>
      </c>
      <c r="AC16" s="85">
        <f>Y16+Z16</f>
        <v>0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1</v>
      </c>
      <c r="BY16" s="85">
        <f>BW11</f>
        <v>3</v>
      </c>
      <c r="BZ16" s="85">
        <f>BX11</f>
        <v>2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3</v>
      </c>
      <c r="CE16">
        <f>BX16</f>
        <v>1</v>
      </c>
      <c r="CF16" s="85">
        <f>CD11</f>
        <v>3</v>
      </c>
      <c r="CG16" s="85">
        <f>CE11</f>
        <v>2</v>
      </c>
      <c r="CI16">
        <f>TREND(BW4:BW23,BX4:BX23,,BW7)</f>
        <v>1.8181818181818</v>
      </c>
      <c r="CQ16">
        <v>8</v>
      </c>
      <c r="CR16">
        <f>AC14</f>
        <v>2</v>
      </c>
      <c r="CS16">
        <f>AD14</f>
        <v>3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3</v>
      </c>
      <c r="DB16" s="85">
        <f>CZ11</f>
        <v>3</v>
      </c>
      <c r="DG16" s="135" t="s">
        <v>76</v>
      </c>
      <c r="DH16" s="136">
        <f>VLOOKUP(1,DE3:DJ11,6,FALSE)</f>
        <v>50</v>
      </c>
      <c r="DI16" s="136">
        <f>VLOOKUP(2,DE3:DJ11,6,FALSE)</f>
        <v>37.5</v>
      </c>
      <c r="DJ16" s="137">
        <f>VLOOKUP(3,DE3:DJ11,6,FALSE)</f>
        <v>6.25</v>
      </c>
      <c r="DO16" s="135" t="s">
        <v>76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48</v>
      </c>
      <c r="J17" s="141" t="s">
        <v>49</v>
      </c>
      <c r="K17" s="142" t="s">
        <v>23</v>
      </c>
      <c r="L17" s="142" t="s">
        <v>80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81</v>
      </c>
      <c r="W17" t="s">
        <v>62</v>
      </c>
      <c r="X17" t="s">
        <v>82</v>
      </c>
      <c r="Y17" s="9">
        <v>1</v>
      </c>
      <c r="Z17" s="9">
        <v>1</v>
      </c>
      <c r="AA17" s="9">
        <v>3</v>
      </c>
      <c r="AB17" s="9">
        <v>2</v>
      </c>
      <c r="AC17" s="85">
        <f>Y17+Z17</f>
        <v>2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3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3</v>
      </c>
      <c r="CI17">
        <f>TREND(BW4:BW23,BX4:BX23,,BW11)</f>
        <v>1.8181818181818</v>
      </c>
      <c r="CQ17">
        <v>7</v>
      </c>
      <c r="CR17">
        <f>AC15</f>
        <v>1</v>
      </c>
      <c r="CS17">
        <f>AD15</f>
        <v>6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6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Newcastle - Aston Villa</v>
      </c>
      <c r="C18" s="115">
        <f>W39</f>
        <v>-6</v>
      </c>
      <c r="D18" s="143">
        <f>AA68</f>
        <v>0.86842105263158</v>
      </c>
      <c r="E18">
        <f>Y41</f>
        <v>1.25</v>
      </c>
      <c r="F18" s="115" t="str">
        <f>W41</f>
        <v>1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68.333666666667</v>
      </c>
      <c r="N18" s="129">
        <f>BD39</f>
        <v>18.333666666667</v>
      </c>
      <c r="O18" s="129">
        <f>BE39</f>
        <v>13.333666666667</v>
      </c>
      <c r="U18" s="84">
        <f>U17+1</f>
        <v>17</v>
      </c>
      <c r="V18" t="s">
        <v>83</v>
      </c>
      <c r="W18" t="s">
        <v>22</v>
      </c>
      <c r="X18" t="s">
        <v>64</v>
      </c>
      <c r="Y18" s="9">
        <v>1</v>
      </c>
      <c r="Z18" s="9">
        <v>1</v>
      </c>
      <c r="AA18" s="9">
        <v>1</v>
      </c>
      <c r="AB18" s="9">
        <v>0</v>
      </c>
      <c r="AC18" s="85">
        <f>Y18+Z18</f>
        <v>2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1</v>
      </c>
      <c r="CI18">
        <f>TREND(BW4:BW23,BX4:BX23,,BW19)</f>
        <v>1.8181818181818</v>
      </c>
      <c r="CQ18">
        <v>6</v>
      </c>
      <c r="CR18">
        <f>AC16</f>
        <v>0</v>
      </c>
      <c r="CS18">
        <f>AD16</f>
        <v>4</v>
      </c>
      <c r="CT18" s="85">
        <f>CR9</f>
        <v>5</v>
      </c>
      <c r="CU18" s="85">
        <f>CS9</f>
        <v>3</v>
      </c>
      <c r="CV18" s="61"/>
      <c r="CW18" s="61"/>
      <c r="CX18">
        <v>6</v>
      </c>
      <c r="CY18">
        <f>CR18</f>
        <v>0</v>
      </c>
      <c r="CZ18">
        <f>CS18</f>
        <v>4</v>
      </c>
      <c r="DA18" s="85">
        <f>CY9</f>
        <v>5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82</v>
      </c>
      <c r="X19" t="s">
        <v>85</v>
      </c>
      <c r="Y19" s="9">
        <v>0</v>
      </c>
      <c r="Z19" s="9">
        <v>1</v>
      </c>
      <c r="AA19" s="9">
        <v>1</v>
      </c>
      <c r="AB19" s="9">
        <v>6</v>
      </c>
      <c r="AC19" s="85">
        <f>Y19+Z19</f>
        <v>1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1</v>
      </c>
      <c r="BY19" s="85">
        <f>BW8</f>
        <v>1</v>
      </c>
      <c r="BZ19" s="85">
        <f>BX8</f>
        <v>0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3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2</v>
      </c>
      <c r="CS19">
        <f>AD17</f>
        <v>5</v>
      </c>
      <c r="CT19" s="85">
        <f>CR8</f>
        <v>1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5</v>
      </c>
      <c r="DA19" s="85">
        <f>CY8</f>
        <v>1</v>
      </c>
      <c r="DB19" s="85">
        <f>CZ8</f>
        <v>2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93</v>
      </c>
      <c r="Y20" s="9">
        <v>2</v>
      </c>
      <c r="Z20" s="9">
        <v>1</v>
      </c>
      <c r="AA20" s="9">
        <v>3</v>
      </c>
      <c r="AB20" s="9">
        <v>1</v>
      </c>
      <c r="AC20" s="85">
        <f>Y20+Z20</f>
        <v>3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1</v>
      </c>
      <c r="BZ20" s="85">
        <f>BX7</f>
        <v>0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1</v>
      </c>
      <c r="CG20" s="85">
        <f>CE7</f>
        <v>0</v>
      </c>
      <c r="CQ20">
        <v>4</v>
      </c>
      <c r="CR20">
        <f>AC18</f>
        <v>2</v>
      </c>
      <c r="CS20">
        <f>AD18</f>
        <v>1</v>
      </c>
      <c r="CT20" s="85">
        <f>CR7</f>
        <v>0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1</v>
      </c>
      <c r="DA20" s="85">
        <f>CY7</f>
        <v>0</v>
      </c>
      <c r="DB20" s="85">
        <f>CZ7</f>
        <v>2</v>
      </c>
    </row>
    <row r="21" spans="1:122" customHeight="1" ht="15.75">
      <c r="A21" s="104" t="s">
        <v>45</v>
      </c>
      <c r="B21" s="105" t="s">
        <v>46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96</v>
      </c>
      <c r="Y21" s="9">
        <v>1</v>
      </c>
      <c r="Z21" s="9">
        <v>0</v>
      </c>
      <c r="AA21" s="9">
        <v>1</v>
      </c>
      <c r="AB21" s="9">
        <v>3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2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2</v>
      </c>
      <c r="CG21" s="85">
        <f>CE6</f>
        <v>0</v>
      </c>
      <c r="CQ21">
        <v>3</v>
      </c>
      <c r="CR21">
        <f>AC19</f>
        <v>1</v>
      </c>
      <c r="CS21">
        <f>AD19</f>
        <v>7</v>
      </c>
      <c r="CT21" s="85">
        <f>CR6</f>
        <v>0</v>
      </c>
      <c r="CU21" s="85">
        <f>CS6</f>
        <v>3</v>
      </c>
      <c r="CV21" s="61"/>
      <c r="CW21" s="61"/>
      <c r="CX21">
        <v>3</v>
      </c>
      <c r="CY21">
        <f>CR21</f>
        <v>1</v>
      </c>
      <c r="CZ21">
        <f>CS21</f>
        <v>7</v>
      </c>
      <c r="DA21" s="85">
        <f>CY6</f>
        <v>0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Newcastle - Aston Villa</v>
      </c>
      <c r="C22" s="115">
        <f>BF42</f>
        <v>20</v>
      </c>
      <c r="D22" s="61">
        <f>BF43</f>
        <v>50.01</v>
      </c>
      <c r="E22" s="154" t="str">
        <f>BG42</f>
        <v>M0</v>
      </c>
      <c r="F22" s="115">
        <f>BG43</f>
        <v>25.01</v>
      </c>
      <c r="G22" s="115">
        <f>BH42</f>
        <v>21</v>
      </c>
      <c r="H22" s="61">
        <f>BH43</f>
        <v>25.01</v>
      </c>
      <c r="I22" s="115">
        <f>BI42</f>
        <v>0</v>
      </c>
      <c r="J22" s="155">
        <f>BI43</f>
        <v>0.02</v>
      </c>
      <c r="K22" s="61"/>
      <c r="L22" s="144"/>
      <c r="M22" s="129">
        <f>BC36</f>
        <v>100.001</v>
      </c>
      <c r="N22" s="129">
        <f>BD36</f>
        <v>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1</v>
      </c>
      <c r="BY22" s="85">
        <f>BW5</f>
        <v>2</v>
      </c>
      <c r="BZ22" s="85">
        <f>BX5</f>
        <v>0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3</v>
      </c>
      <c r="CE22">
        <f>BX22</f>
        <v>1</v>
      </c>
      <c r="CF22" s="85">
        <f>CD5</f>
        <v>2</v>
      </c>
      <c r="CG22" s="85">
        <f>CE5</f>
        <v>0</v>
      </c>
      <c r="CQ22">
        <v>2</v>
      </c>
      <c r="CR22">
        <f>AC20</f>
        <v>3</v>
      </c>
      <c r="CS22">
        <f>AD20</f>
        <v>4</v>
      </c>
      <c r="CT22" s="85">
        <f>CR5</f>
        <v>0</v>
      </c>
      <c r="CU22" s="85">
        <f>CS5</f>
        <v>2</v>
      </c>
      <c r="CV22" s="61"/>
      <c r="CW22" s="61"/>
      <c r="CX22">
        <v>2</v>
      </c>
      <c r="CY22">
        <f>CR22</f>
        <v>3</v>
      </c>
      <c r="CZ22">
        <f>CS22</f>
        <v>4</v>
      </c>
      <c r="DA22" s="85">
        <f>CY5</f>
        <v>0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Newcastle-Aston Villa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Newcastle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4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4</v>
      </c>
      <c r="CG23" s="85">
        <f>CE4</f>
        <v>0</v>
      </c>
      <c r="CQ23">
        <v>1</v>
      </c>
      <c r="CR23">
        <f>AC21</f>
        <v>1</v>
      </c>
      <c r="CS23">
        <f>AD21</f>
        <v>4</v>
      </c>
      <c r="CT23" s="85">
        <f>CR4</f>
        <v>3</v>
      </c>
      <c r="CU23" s="85">
        <f>CS4</f>
        <v>4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3</v>
      </c>
      <c r="DB23" s="85">
        <f>CZ4</f>
        <v>4</v>
      </c>
    </row>
    <row r="24" spans="1:122">
      <c r="A24" s="133"/>
      <c r="B24" s="80" t="s">
        <v>101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Newcastle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Aston Villa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0</v>
      </c>
      <c r="AD24">
        <f>IF(Z5&gt;0,1,0)</f>
        <v>0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0</v>
      </c>
      <c r="AU24">
        <f>COUNTIF($Z$2:$Z$17,AS24)</f>
        <v>8</v>
      </c>
      <c r="AX24" s="161" t="str">
        <f>V23</f>
        <v>Newcastle-Aston Villa</v>
      </c>
      <c r="AY24" s="162">
        <f>((AS9+BM9)/(AS9+AT9+AU9+BM9+BN9+BO9))*100</f>
        <v>52.5</v>
      </c>
      <c r="AZ24" s="162">
        <f>((AT9+BN9)/(AS9+AT9+AU9+BM9+BN9+BO9))*100</f>
        <v>27.5</v>
      </c>
      <c r="BA24" s="162">
        <f>((AU9+BO9)/(AS9+AT9+AU9+BM9+BN9+BO9))*100</f>
        <v>20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2.2545454545455</v>
      </c>
      <c r="BX24">
        <f>IF(FORECAST(BX4,BX4:BX23,BW4:BW23)&lt;=0,0,FORECAST(BX4,BX4:BX23,BW4:BW23))</f>
        <v>0.56962025316456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2.2315789473684</v>
      </c>
      <c r="CE24" s="164">
        <f>IF(FORECAST(CC24,CE4:CE23,CC4:CC23)&lt;=0,0,FORECAST(CC24,CE4:CE23,CC4:CC23))</f>
        <v>0.55263157894737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1.8917525773196</v>
      </c>
      <c r="CS24">
        <f>IF(FORECAST(CS4,CS4:CS23,CR4:CR23)&lt;=0,0,FORECAST(CS4,CS4:CS23,CR4:CR23))</f>
        <v>3.4422110552764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1.8368421052632</v>
      </c>
      <c r="CZ24" s="164">
        <f>IF(FORECAST(CX24,CZ4:CZ23,CX4:CX23)&lt;=0,0,FORECAST(CX24,CZ4:CZ23,CX4:CX23))</f>
        <v>2.2315789473684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76</v>
      </c>
      <c r="E25" s="142" t="s">
        <v>87</v>
      </c>
      <c r="F25" s="142" t="s">
        <v>76</v>
      </c>
      <c r="G25" s="148" t="s">
        <v>88</v>
      </c>
      <c r="H25" s="148" t="s">
        <v>76</v>
      </c>
      <c r="I25" s="149" t="s">
        <v>89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1.9272727272727</v>
      </c>
      <c r="BX25">
        <f>IF(FORECAST(BX5,BX5:BX24,BW5:BW24)&lt;=0,0,FORECAST(BX5,BX5:BX24,BW5:BW24))</f>
        <v>0.29021729499951</v>
      </c>
      <c r="BY25">
        <f>ROUND(BW25,0)</f>
        <v>2</v>
      </c>
      <c r="BZ25">
        <f>ROUND(BX25,0)</f>
        <v>0</v>
      </c>
      <c r="CA25" s="61">
        <f>IF((BY25&gt;=3),"M",BY25)</f>
        <v>2</v>
      </c>
      <c r="CB25" s="61">
        <f>IF((BZ25&gt;=3),"M",BZ25)</f>
        <v>0</v>
      </c>
      <c r="CD25" s="164">
        <f>IF(FORECAST(CC24,CD4:CD19,CC4:CC19)&lt;=0,0,FORECAST(CC24,CD4:CD19,CC4:CC19))</f>
        <v>2.15</v>
      </c>
      <c r="CE25" s="164">
        <f>IF(FORECAST(CC24,CE4:CE19,CC4:CC19)&lt;=0,0,FORECAST(CC24,CE4:CE19,CC4:CC19))</f>
        <v>0.4</v>
      </c>
      <c r="CF25">
        <f>ROUND(CD25,0)</f>
        <v>2</v>
      </c>
      <c r="CG25">
        <f>ROUND(CE25,0)</f>
        <v>0</v>
      </c>
      <c r="CH25" s="61">
        <f>IF((CF25&gt;=3),"M",CF25)</f>
        <v>2</v>
      </c>
      <c r="CI25" s="61">
        <f>IF((CG25&gt;=3),"M",CG25)</f>
        <v>0</v>
      </c>
      <c r="CR25">
        <f>IF(FORECAST(CR7,CR4:CR23,CS4:CS23)&lt;=0,0,FORECAST(CR7,CR4:CR23,CS4:CS23))</f>
        <v>1.8298969072165</v>
      </c>
      <c r="CS25">
        <f>IF(FORECAST(CS7,CS4:CS23,CR4:CR23)&lt;=0,0,FORECAST(CS7,CS4:CS23,CR4:CR23))</f>
        <v>3.4020100502513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1.675</v>
      </c>
      <c r="CZ25" s="164">
        <f>IF(FORECAST(CX24,CZ4:CZ19,CX4:CX19)&lt;=0,0,FORECAST(CX24,CZ4:CZ19,CX4:CX19))</f>
        <v>2.075</v>
      </c>
      <c r="DA25">
        <f>ROUND(CY25,0)</f>
        <v>2</v>
      </c>
      <c r="DB25">
        <f>ROUND(CZ25,0)</f>
        <v>2</v>
      </c>
    </row>
    <row r="26" spans="1:122">
      <c r="A26" s="84">
        <f>A1</f>
        <v>1</v>
      </c>
      <c r="B26" s="61" t="str">
        <f>B1</f>
        <v>Newcastle - Aston Villa</v>
      </c>
      <c r="C26" s="115" t="str">
        <f>"+2,5"</f>
        <v>+2,5</v>
      </c>
      <c r="D26">
        <f>BR46</f>
        <v>50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37.5</v>
      </c>
      <c r="I26" s="115">
        <f>BH45</f>
        <v>0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3-0</v>
      </c>
      <c r="Z26" t="str">
        <f>Y3&amp;"-"&amp;Z3</f>
        <v>0-0</v>
      </c>
      <c r="AA26" t="str">
        <f>Y4&amp;"-"&amp;Z4</f>
        <v>0-0</v>
      </c>
      <c r="AB26" t="str">
        <f>Y5&amp;"-"&amp;Z5</f>
        <v>0-0</v>
      </c>
      <c r="AC26" t="str">
        <f>Y6&amp;"-"&amp;Z6</f>
        <v>1-0</v>
      </c>
      <c r="AD26" t="str">
        <f>Y7&amp;"-"&amp;Z7</f>
        <v>4-1</v>
      </c>
      <c r="AE26" t="str">
        <f>Y8&amp;"-"&amp;Z8</f>
        <v>0-3</v>
      </c>
      <c r="AF26" t="str">
        <f>Y9&amp;"-"&amp;Z9</f>
        <v>1-2</v>
      </c>
      <c r="AG26" t="str">
        <f>Y10&amp;"-"&amp;Z10</f>
        <v>1-0</v>
      </c>
      <c r="AH26" t="str">
        <f>Y11&amp;"-"&amp;Z11</f>
        <v>2-1</v>
      </c>
      <c r="AR26" s="166"/>
      <c r="AS26" s="131">
        <v>2</v>
      </c>
      <c r="AT26">
        <f>COUNTIF($AA$2:$AA$17,AS26)</f>
        <v>7</v>
      </c>
      <c r="AU26">
        <f>COUNTIF($Z$2:$Z$17,AS26)</f>
        <v>2</v>
      </c>
      <c r="BW26">
        <f>IF(FORECAST(BW11,BW4:BW23,BX4:BX23)&lt;=0,0,FORECAST(BW11,BW4:BW23,BX4:BX23))</f>
        <v>2.1454545454545</v>
      </c>
      <c r="BX26">
        <f>IF(FORECAST(BX6,BX6:BX25,BW6:BW25)&lt;=0,0,FORECAST(BX6,BX6:BX25,BW6:BW25))</f>
        <v>0.29025075146618</v>
      </c>
      <c r="BY26">
        <f>ROUND(BW26,0)</f>
        <v>2</v>
      </c>
      <c r="BZ26">
        <f>ROUND(BX26,0)</f>
        <v>0</v>
      </c>
      <c r="CA26" s="61">
        <f>IF((BY26&gt;=3),"M",BY26)</f>
        <v>2</v>
      </c>
      <c r="CB26" s="61">
        <f>IF((BZ26&gt;=3),"M",BZ26)</f>
        <v>0</v>
      </c>
      <c r="CD26" s="164">
        <f>IF(FORECAST(CC24,CD4:CD11,CC4:CC11)&lt;=0,0,FORECAST(CC24,CD4:CD11,CC4:CC11))</f>
        <v>2.6428571428571</v>
      </c>
      <c r="CE26" s="164">
        <f>IF(FORECAST(CC24,CE4:CE11,CC4:CC11)&lt;=0,0,FORECAST(CC24,CE4:CE11,CC4:CC11))</f>
        <v>0</v>
      </c>
      <c r="CF26">
        <f>ROUND(CD26,0)</f>
        <v>3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1.8917525773196</v>
      </c>
      <c r="CS26">
        <f>IF(FORECAST(CS11,CS4:CS23,CR4:CR23)&lt;=0,0,FORECAST(CS11,CS4:CS23,CR4:CR23))</f>
        <v>3.4221105527638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0.21428571428571</v>
      </c>
      <c r="CZ26" s="164">
        <f>IF(FORECAST(CX24,CZ4:CZ11,CX4:CX11)&lt;=0,0,FORECAST(CX24,CZ4:CZ11,CX4:CX11))</f>
        <v>2.8571428571429</v>
      </c>
      <c r="DA26">
        <f>ROUND(CY26,0)</f>
        <v>0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Newcastle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2.1454545454545</v>
      </c>
      <c r="BX27">
        <f>IF(FORECAST(BX7,BX7:BX26,BW7:BW26)&lt;=0,0,FORECAST(BX7,BX7:BX26,BW7:BW26))</f>
        <v>0.30924040925384</v>
      </c>
      <c r="BY27">
        <f>ROUND(BW27,0)</f>
        <v>2</v>
      </c>
      <c r="BZ27">
        <f>ROUND(BX27,0)</f>
        <v>0</v>
      </c>
      <c r="CA27" s="61">
        <f>IF((BY27&gt;=3),"M",BY27)</f>
        <v>2</v>
      </c>
      <c r="CB27" s="61">
        <f>IF((BZ27&gt;=3),"M",BZ27)</f>
        <v>0</v>
      </c>
      <c r="CD27" s="164">
        <f>IF(FORECAST(CC24,CD4:CD7,CC4:CC7)&lt;=0,0,FORECAST(CC24,CD4:CD7,CC4:CC7))</f>
        <v>4.5</v>
      </c>
      <c r="CE27" s="164">
        <f>IF(FORECAST(CC24,CE4:CE7,CC4:CC7)&lt;=0,0,FORECAST(CC24,CE4:CE7,CC4:CC7))</f>
        <v>0</v>
      </c>
      <c r="CF27">
        <f>ROUND(CD27,0)</f>
        <v>5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1.8711340206186</v>
      </c>
      <c r="CS27">
        <f>IF(FORECAST(CS19,CS4:CS23,CR4:CR23)&lt;=0,0,FORECAST(CS19,CS4:CS23,CR4:CR23))</f>
        <v>3.4623115577889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4</v>
      </c>
      <c r="DA27">
        <f>ROUND(CY27,0)</f>
        <v>3</v>
      </c>
      <c r="DB27">
        <f>ROUND(CZ27,0)</f>
        <v>4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( 13)  vrs  AW ( 19 )</v>
      </c>
      <c r="BD28" s="173">
        <f>W35</f>
        <v>13</v>
      </c>
      <c r="BE28" s="174">
        <f>W36</f>
        <v>19</v>
      </c>
      <c r="BF28" s="85">
        <f>BE28-BD28</f>
        <v>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Newcastle-Aston Villa</v>
      </c>
      <c r="BW28" s="61" t="str">
        <f>CONCATENATE(CA24,CB24)</f>
        <v>21</v>
      </c>
      <c r="BX28" t="str">
        <f>CONCATENATE(CA25,CB25)</f>
        <v>20</v>
      </c>
      <c r="BY28" s="61" t="str">
        <f>CONCATENATE(CA26,CB26)</f>
        <v>20</v>
      </c>
      <c r="BZ28" s="61" t="str">
        <f>CONCATENATE(CA27,CB27)</f>
        <v>20</v>
      </c>
      <c r="CC28" s="61"/>
      <c r="CD28" s="61" t="str">
        <f>CONCATENATE(CH24,CI24)</f>
        <v>21</v>
      </c>
      <c r="CE28" s="61" t="str">
        <f>CONCATENATE(CH25,CI25)</f>
        <v>20</v>
      </c>
      <c r="CF28" s="61" t="str">
        <f>CONCATENATE(CH26,CI26)</f>
        <v>M0</v>
      </c>
      <c r="CG28" s="61" t="str">
        <f>CONCATENATE(CH27,CI27)</f>
        <v>M0</v>
      </c>
      <c r="CQ28" s="177" t="s">
        <v>108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0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77</v>
      </c>
      <c r="D29" s="140" t="s">
        <v>109</v>
      </c>
      <c r="E29" s="142" t="s">
        <v>87</v>
      </c>
      <c r="F29" s="142" t="s">
        <v>76</v>
      </c>
      <c r="G29" s="148" t="s">
        <v>88</v>
      </c>
      <c r="H29" s="148" t="s">
        <v>76</v>
      </c>
      <c r="I29" s="149" t="s">
        <v>89</v>
      </c>
      <c r="J29" s="149" t="s">
        <v>76</v>
      </c>
      <c r="K29" s="141" t="s">
        <v>90</v>
      </c>
      <c r="L29" s="181" t="s">
        <v>76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Newcastle-Aston Villa</v>
      </c>
      <c r="BW29" s="61" t="str">
        <f>CONCATENATE(BY24,BZ24)</f>
        <v>21</v>
      </c>
      <c r="BX29" t="str">
        <f>CONCATENATE(CA25,CB25)</f>
        <v>20</v>
      </c>
      <c r="BY29" s="61" t="str">
        <f>CONCATENATE(BY26,BZ26)</f>
        <v>20</v>
      </c>
      <c r="BZ29" s="61" t="str">
        <f>CONCATENATE(BY27,BZ27)</f>
        <v>20</v>
      </c>
      <c r="CB29" s="61"/>
      <c r="CC29" s="61"/>
      <c r="CD29" s="61" t="str">
        <f>CONCATENATE(CF24,CG24)</f>
        <v>21</v>
      </c>
      <c r="CE29" s="61" t="str">
        <f>CONCATENATE(CF25,CG25)</f>
        <v>20</v>
      </c>
      <c r="CF29" s="61" t="str">
        <f>CONCATENATE(CF26,CG26)</f>
        <v>30</v>
      </c>
      <c r="CG29" s="61" t="str">
        <f>CONCATENATE(CF27,CG27)</f>
        <v>50</v>
      </c>
      <c r="CI29" s="61"/>
      <c r="CR29" s="183">
        <v>2.0</v>
      </c>
      <c r="CS29" s="184">
        <v>3.0</v>
      </c>
      <c r="CT29" s="184">
        <v>0.0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Newcastle - Aston Villa</v>
      </c>
      <c r="C30" s="186">
        <f>W39</f>
        <v>-6</v>
      </c>
      <c r="D30" s="115" t="str">
        <f>W41</f>
        <v>1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4-0</v>
      </c>
      <c r="Z30" t="str">
        <f>AA3&amp;"-"&amp;AB3</f>
        <v>2-0</v>
      </c>
      <c r="AA30" t="str">
        <f>AA4&amp;"-"&amp;AB4</f>
        <v>2-1</v>
      </c>
      <c r="AB30" t="str">
        <f>AA5&amp;"-"&amp;AB5</f>
        <v>1-1</v>
      </c>
      <c r="AC30" t="str">
        <f>AA6&amp;"-"&amp;AB6</f>
        <v>1-1</v>
      </c>
      <c r="AD30" t="str">
        <f>AA7&amp;"-"&amp;AB7</f>
        <v>2-1</v>
      </c>
      <c r="AE30" t="str">
        <f>AA8&amp;"-"&amp;AB8</f>
        <v>1-2</v>
      </c>
      <c r="AF30" t="str">
        <f>AA9&amp;"-"&amp;AB9</f>
        <v>3-0</v>
      </c>
      <c r="AG30" t="str">
        <f>AA10&amp;"-"&amp;AB10</f>
        <v>2-0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Newcastle-Aston Villa</v>
      </c>
      <c r="BV30" t="s">
        <v>80</v>
      </c>
      <c r="BW30" t="str">
        <f>BW28</f>
        <v>21</v>
      </c>
      <c r="BX30">
        <f>IF(FORECAST(BX10,BX10:BX29,BW10:BW29)&lt;=0,0,FORECAST(BX10,BX10:BX29,BW10:BW29))</f>
        <v>1.0243353653295</v>
      </c>
      <c r="BY30" t="str">
        <f>BY28</f>
        <v>20</v>
      </c>
      <c r="BZ30" t="str">
        <f>BZ28</f>
        <v>20</v>
      </c>
      <c r="CA30" t="str">
        <f>CD28</f>
        <v>21</v>
      </c>
      <c r="CB30" t="str">
        <f>CE28</f>
        <v>20</v>
      </c>
      <c r="CC30" t="str">
        <f>CF28</f>
        <v>M0</v>
      </c>
      <c r="CD30" t="str">
        <f>CG28</f>
        <v>M0</v>
      </c>
      <c r="CE30" s="21"/>
      <c r="CF30" s="187">
        <v>21</v>
      </c>
      <c r="CG30" s="187">
        <v>1.0243353653295</v>
      </c>
      <c r="CH30" s="187">
        <v>20</v>
      </c>
      <c r="CI30" s="187" t="s">
        <v>112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Aston Villa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Newcastle-Aston Villa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2-3; and ResuExact of →21::20::20::20:::; and ResuSigno of →21::20::20::20; and nº of goles→ ::3::2::2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2-5; and ResuExact of →21::20::30::50:::; and ResuSigno of →21::20::M0::M0; and nº of goles→ ::3::2::3</v>
      </c>
      <c r="CQ31" s="177" t="s">
        <v>108</v>
      </c>
      <c r="CR31" s="178">
        <f>BX38</f>
        <v>3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2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125</v>
      </c>
      <c r="D33" s="9">
        <v>30</v>
      </c>
      <c r="E33" s="9">
        <v>27</v>
      </c>
      <c r="F33" s="9">
        <v>2</v>
      </c>
      <c r="G33" s="9">
        <v>1</v>
      </c>
      <c r="H33" s="9">
        <v>66</v>
      </c>
      <c r="I33" s="9">
        <v>21</v>
      </c>
      <c r="J33" s="9">
        <v>45</v>
      </c>
      <c r="K33" s="9">
        <v>83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Newcastle-Aston Villa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67</v>
      </c>
      <c r="D34" s="9">
        <v>30</v>
      </c>
      <c r="E34" s="9">
        <v>20</v>
      </c>
      <c r="F34" s="9">
        <v>3</v>
      </c>
      <c r="G34" s="9">
        <v>7</v>
      </c>
      <c r="H34" s="9">
        <v>76</v>
      </c>
      <c r="I34" s="9">
        <v>31</v>
      </c>
      <c r="J34" s="9">
        <v>45</v>
      </c>
      <c r="K34" s="9">
        <v>63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2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3</v>
      </c>
      <c r="C35" t="s">
        <v>130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131</v>
      </c>
      <c r="U35" s="74"/>
      <c r="W35" s="201">
        <v>13</v>
      </c>
      <c r="X35" s="85" t="s">
        <v>7</v>
      </c>
      <c r="Y35" s="85">
        <v>30</v>
      </c>
      <c r="Z35" s="85">
        <v>10</v>
      </c>
      <c r="AA35" s="85">
        <v>8</v>
      </c>
      <c r="AB35" s="85">
        <v>12</v>
      </c>
      <c r="AC35" s="85">
        <v>28</v>
      </c>
      <c r="AD35" s="85">
        <v>41</v>
      </c>
      <c r="AE35" s="85">
        <v>-13</v>
      </c>
      <c r="AF35" s="85">
        <v>38</v>
      </c>
      <c r="AG35" t="s">
        <v>132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20</v>
      </c>
      <c r="BZ35" t="str">
        <f>BY28</f>
        <v>20</v>
      </c>
      <c r="CA35" t="str">
        <f>BZ28</f>
        <v>20</v>
      </c>
      <c r="CB35" t="str">
        <f>CD28</f>
        <v>21</v>
      </c>
      <c r="CC35" t="str">
        <f>CE28</f>
        <v>20</v>
      </c>
      <c r="CD35" t="str">
        <f>CF28</f>
        <v>M0</v>
      </c>
      <c r="CE35" t="str">
        <f>CG28</f>
        <v>M0</v>
      </c>
      <c r="CG35" s="187">
        <v>21</v>
      </c>
      <c r="CH35" s="187">
        <v>20</v>
      </c>
      <c r="CI35" s="187" t="s">
        <v>112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54</v>
      </c>
      <c r="D36" s="9">
        <v>30</v>
      </c>
      <c r="E36" s="9">
        <v>15</v>
      </c>
      <c r="F36" s="9">
        <v>6</v>
      </c>
      <c r="G36" s="9">
        <v>9</v>
      </c>
      <c r="H36" s="9">
        <v>53</v>
      </c>
      <c r="I36" s="9">
        <v>40</v>
      </c>
      <c r="J36" s="9">
        <v>13</v>
      </c>
      <c r="K36" s="9">
        <v>51</v>
      </c>
      <c r="L36" s="196" t="s">
        <v>134</v>
      </c>
      <c r="U36" s="74"/>
      <c r="W36" s="202">
        <v>19</v>
      </c>
      <c r="X36" s="203" t="s">
        <v>8</v>
      </c>
      <c r="Y36" s="203">
        <v>30</v>
      </c>
      <c r="Z36" s="203">
        <v>7</v>
      </c>
      <c r="AA36" s="203">
        <v>5</v>
      </c>
      <c r="AB36" s="203">
        <v>18</v>
      </c>
      <c r="AC36" s="203">
        <v>35</v>
      </c>
      <c r="AD36" s="203">
        <v>58</v>
      </c>
      <c r="AE36" s="203">
        <v>-23</v>
      </c>
      <c r="AF36" s="203">
        <v>26</v>
      </c>
      <c r="AG36" s="203" t="s">
        <v>135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Newcastle-Aston Villa</v>
      </c>
      <c r="BC36">
        <f>CG37</f>
        <v>100.001</v>
      </c>
      <c r="BD36">
        <f>CH37</f>
        <v>0.001</v>
      </c>
      <c r="BE36">
        <f>CI37</f>
        <v>0.001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1.37</v>
      </c>
      <c r="BL36">
        <f>I101</f>
        <v>2.38</v>
      </c>
      <c r="BM36">
        <f>J101</f>
        <v>2.15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csPr=#21,1.0243353653295,20,M0,,,,#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30</v>
      </c>
      <c r="E37" s="9">
        <v>12</v>
      </c>
      <c r="F37" s="9">
        <v>10</v>
      </c>
      <c r="G37" s="9">
        <v>8</v>
      </c>
      <c r="H37" s="9">
        <v>45</v>
      </c>
      <c r="I37" s="9">
        <v>31</v>
      </c>
      <c r="J37" s="9">
        <v>14</v>
      </c>
      <c r="K37" s="9">
        <v>46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Newcastle-Aston Villa</v>
      </c>
      <c r="BC37" s="210">
        <f>AS9</f>
        <v>45</v>
      </c>
      <c r="BD37" s="210">
        <f>AT9</f>
        <v>40</v>
      </c>
      <c r="BE37" s="210">
        <f>AU9</f>
        <v>15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45.200804638306</v>
      </c>
      <c r="BL37">
        <f>IF(BL36="","",(((100)*(1/BL36))/((1/BL36)+(1/BL36)+(1/BM36)))+0.01)</f>
        <v>32.195628742515</v>
      </c>
      <c r="BM37">
        <f>IF(BM36="","",(((100)*(1/BM36))/((1/BM36)+(1/BL36)+(1/BM36)))+0.01)</f>
        <v>34.452836468886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Newcastle-Aston Villa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100.001</v>
      </c>
      <c r="CH37" s="99">
        <f>(((COUNTIF(BX37:CE37,"X"))/8)*100)+0.001</f>
        <v>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138</v>
      </c>
      <c r="D38" s="9">
        <v>30</v>
      </c>
      <c r="E38" s="9">
        <v>11</v>
      </c>
      <c r="F38" s="9">
        <v>13</v>
      </c>
      <c r="G38" s="9">
        <v>6</v>
      </c>
      <c r="H38" s="9">
        <v>43</v>
      </c>
      <c r="I38" s="9">
        <v>34</v>
      </c>
      <c r="J38" s="9">
        <v>9</v>
      </c>
      <c r="K38" s="9">
        <v>46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SG_2</v>
      </c>
      <c r="AI38" t="str">
        <f>"SG_"&amp;BG45</f>
        <v>SG_3</v>
      </c>
      <c r="AJ38" t="str">
        <f>"SG_"&amp;BH45</f>
        <v>SG_0</v>
      </c>
      <c r="AL38" t="str">
        <f>"SG_"&amp;BJ45</f>
        <v>SG_2</v>
      </c>
      <c r="AM38" t="str">
        <f>"SG_"&amp;BK45</f>
        <v>SG_3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Newcastle-Aston Villa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Newcastle-Aston Villa</v>
      </c>
      <c r="BX38" s="99">
        <f>BX34</f>
        <v>3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2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8</v>
      </c>
      <c r="C39" t="s">
        <v>149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150</v>
      </c>
      <c r="W39" s="214">
        <f>W35-W36</f>
        <v>-6</v>
      </c>
      <c r="X39" t="s">
        <v>1</v>
      </c>
      <c r="Y39">
        <f>SUM(AA2:AA17)/16</f>
        <v>2</v>
      </c>
      <c r="Z39">
        <f>((SUM(AT26:AT33))/16)*100</f>
        <v>68.75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100</v>
      </c>
      <c r="AE39">
        <f>(((COUNTIF(AA23:AP23,0)/16)*100))</f>
        <v>0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50</v>
      </c>
      <c r="AI39">
        <f>BG46</f>
        <v>37.5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Newcastle-Aston Villa</v>
      </c>
      <c r="BC39">
        <f>(BC36+BC37+BC38)/3</f>
        <v>68.333666666667</v>
      </c>
      <c r="BD39">
        <f>(BD36+BD37+BD38)/3</f>
        <v>18.333666666667</v>
      </c>
      <c r="BE39">
        <f>(BE36+BE37+BE38)/3</f>
        <v>13.333666666667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6</v>
      </c>
      <c r="C40" t="s">
        <v>151</v>
      </c>
      <c r="D40" s="9">
        <v>30</v>
      </c>
      <c r="E40" s="9">
        <v>11</v>
      </c>
      <c r="F40" s="9">
        <v>11</v>
      </c>
      <c r="G40" s="9">
        <v>8</v>
      </c>
      <c r="H40" s="9">
        <v>30</v>
      </c>
      <c r="I40" s="9">
        <v>28</v>
      </c>
      <c r="J40" s="9">
        <v>2</v>
      </c>
      <c r="K40" s="9">
        <v>44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64</v>
      </c>
      <c r="D41" s="9">
        <v>30</v>
      </c>
      <c r="E41" s="9">
        <v>11</v>
      </c>
      <c r="F41" s="9">
        <v>9</v>
      </c>
      <c r="G41" s="9">
        <v>10</v>
      </c>
      <c r="H41" s="9">
        <v>28</v>
      </c>
      <c r="I41" s="9">
        <v>32</v>
      </c>
      <c r="J41" s="9">
        <v>-4</v>
      </c>
      <c r="K41" s="9">
        <v>42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154</v>
      </c>
      <c r="Y41" s="219">
        <f>Y39-Y40</f>
        <v>1.25</v>
      </c>
      <c r="Z41" s="220">
        <f>(Z39+Z40)/2</f>
        <v>43.75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9</v>
      </c>
      <c r="C42" t="s">
        <v>82</v>
      </c>
      <c r="D42" s="9">
        <v>30</v>
      </c>
      <c r="E42" s="9">
        <v>9</v>
      </c>
      <c r="F42" s="9">
        <v>13</v>
      </c>
      <c r="G42" s="9">
        <v>8</v>
      </c>
      <c r="H42" s="9">
        <v>41</v>
      </c>
      <c r="I42" s="9">
        <v>41</v>
      </c>
      <c r="J42" s="9">
        <v>0</v>
      </c>
      <c r="K42" s="9">
        <v>40</v>
      </c>
      <c r="L42" s="196" t="s">
        <v>155</v>
      </c>
      <c r="Y42">
        <f>(SUM(AA2:AA17)/16)-(SUM(Z2:Z17)/16)</f>
        <v>1.25</v>
      </c>
      <c r="AU42" s="74"/>
      <c r="AV42" s="74"/>
      <c r="AW42" s="74"/>
      <c r="AX42" s="155"/>
      <c r="BA42" s="205">
        <f>BA27</f>
        <v>1</v>
      </c>
      <c r="BB42" s="206" t="str">
        <f>V23</f>
        <v>Newcastle-Aston Villa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20</v>
      </c>
      <c r="BG42" s="222" t="str">
        <f>VLOOKUP(2,BC55:BF70,4,FALSE)</f>
        <v>M0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26</v>
      </c>
      <c r="D43" s="9">
        <v>30</v>
      </c>
      <c r="E43" s="9">
        <v>11</v>
      </c>
      <c r="F43" s="9">
        <v>6</v>
      </c>
      <c r="G43" s="9">
        <v>13</v>
      </c>
      <c r="H43" s="9">
        <v>34</v>
      </c>
      <c r="I43" s="9">
        <v>45</v>
      </c>
      <c r="J43" s="9">
        <v>-11</v>
      </c>
      <c r="K43" s="9">
        <v>39</v>
      </c>
      <c r="L43" s="196" t="s">
        <v>156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61</v>
      </c>
      <c r="D44" s="9">
        <v>30</v>
      </c>
      <c r="E44" s="9">
        <v>10</v>
      </c>
      <c r="F44" s="9">
        <v>8</v>
      </c>
      <c r="G44" s="9">
        <v>12</v>
      </c>
      <c r="H44" s="9">
        <v>37</v>
      </c>
      <c r="I44" s="9">
        <v>46</v>
      </c>
      <c r="J44" s="9">
        <v>-9</v>
      </c>
      <c r="K44" s="9">
        <v>38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7</v>
      </c>
      <c r="D45" s="9">
        <v>30</v>
      </c>
      <c r="E45" s="9">
        <v>10</v>
      </c>
      <c r="F45" s="9">
        <v>8</v>
      </c>
      <c r="G45" s="9">
        <v>12</v>
      </c>
      <c r="H45" s="9">
        <v>28</v>
      </c>
      <c r="I45" s="9">
        <v>41</v>
      </c>
      <c r="J45" s="9">
        <v>-13</v>
      </c>
      <c r="K45" s="9">
        <v>38</v>
      </c>
      <c r="L45" s="196" t="s">
        <v>132</v>
      </c>
      <c r="BA45" s="205">
        <f>BA27</f>
        <v>1</v>
      </c>
      <c r="BB45" s="206" t="str">
        <f>V23</f>
        <v>Newcastle-Aston Villa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0</v>
      </c>
      <c r="BI45" s="222"/>
      <c r="BJ45" s="222">
        <f>DP15</f>
        <v>2</v>
      </c>
      <c r="BK45" s="222">
        <f>DQ15</f>
        <v>3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27</v>
      </c>
      <c r="D46" s="9">
        <v>30</v>
      </c>
      <c r="E46" s="9">
        <v>11</v>
      </c>
      <c r="F46" s="9">
        <v>4</v>
      </c>
      <c r="G46" s="9">
        <v>15</v>
      </c>
      <c r="H46" s="9">
        <v>38</v>
      </c>
      <c r="I46" s="9">
        <v>52</v>
      </c>
      <c r="J46" s="9">
        <v>-14</v>
      </c>
      <c r="K46" s="9">
        <v>37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37.5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15</v>
      </c>
      <c r="C47" t="s">
        <v>159</v>
      </c>
      <c r="D47" s="9">
        <v>31</v>
      </c>
      <c r="E47" s="9">
        <v>7</v>
      </c>
      <c r="F47" s="9">
        <v>12</v>
      </c>
      <c r="G47" s="9">
        <v>12</v>
      </c>
      <c r="H47" s="9">
        <v>34</v>
      </c>
      <c r="I47" s="9">
        <v>41</v>
      </c>
      <c r="J47" s="9">
        <v>-7</v>
      </c>
      <c r="K47" s="9">
        <v>33</v>
      </c>
      <c r="L47" s="196" t="s">
        <v>160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Newcastle-Aston Villa</v>
      </c>
      <c r="BC47" s="223" t="str">
        <f>BW28</f>
        <v>21</v>
      </c>
      <c r="BD47" s="223" t="str">
        <f>BX28</f>
        <v>20</v>
      </c>
      <c r="BE47" s="223" t="str">
        <f>BY28</f>
        <v>20</v>
      </c>
      <c r="BF47" s="223" t="str">
        <f>BZ28</f>
        <v>20</v>
      </c>
      <c r="BG47" s="223" t="str">
        <f>CD28</f>
        <v>21</v>
      </c>
      <c r="BH47" s="223" t="str">
        <f>CE28</f>
        <v>20</v>
      </c>
      <c r="BI47" s="223" t="str">
        <f>CF28</f>
        <v>M0</v>
      </c>
      <c r="BJ47" s="223" t="str">
        <f>CG28</f>
        <v>M0</v>
      </c>
    </row>
    <row r="48" spans="1:122" customHeight="1" ht="15.75">
      <c r="A48" s="195">
        <v>16</v>
      </c>
      <c r="B48" s="64">
        <v>17</v>
      </c>
      <c r="C48" t="s">
        <v>62</v>
      </c>
      <c r="D48" s="9">
        <v>30</v>
      </c>
      <c r="E48" s="9">
        <v>6</v>
      </c>
      <c r="F48" s="9">
        <v>10</v>
      </c>
      <c r="G48" s="9">
        <v>14</v>
      </c>
      <c r="H48" s="9">
        <v>28</v>
      </c>
      <c r="I48" s="9">
        <v>45</v>
      </c>
      <c r="J48" s="9">
        <v>-17</v>
      </c>
      <c r="K48" s="9">
        <v>28</v>
      </c>
      <c r="L48" s="196" t="s">
        <v>161</v>
      </c>
      <c r="X48">
        <v>2</v>
      </c>
      <c r="Y48" s="84">
        <f>AA20</f>
        <v>3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162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163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Newcastle-Aston Villa</v>
      </c>
      <c r="BC49" s="224">
        <v>21</v>
      </c>
      <c r="BD49" s="224">
        <v>20</v>
      </c>
      <c r="BE49" s="224" t="s">
        <v>112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164</v>
      </c>
      <c r="D50" s="9">
        <v>30</v>
      </c>
      <c r="E50" s="9">
        <v>7</v>
      </c>
      <c r="F50" s="9">
        <v>6</v>
      </c>
      <c r="G50" s="9">
        <v>17</v>
      </c>
      <c r="H50" s="9">
        <v>29</v>
      </c>
      <c r="I50" s="9">
        <v>49</v>
      </c>
      <c r="J50" s="9">
        <v>-20</v>
      </c>
      <c r="K50" s="9">
        <v>27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8</v>
      </c>
      <c r="D51" s="9">
        <v>30</v>
      </c>
      <c r="E51" s="9">
        <v>7</v>
      </c>
      <c r="F51" s="9">
        <v>5</v>
      </c>
      <c r="G51" s="9">
        <v>18</v>
      </c>
      <c r="H51" s="9">
        <v>35</v>
      </c>
      <c r="I51" s="9">
        <v>58</v>
      </c>
      <c r="J51" s="9">
        <v>-23</v>
      </c>
      <c r="K51" s="9">
        <v>26</v>
      </c>
      <c r="L51" s="196" t="s">
        <v>135</v>
      </c>
      <c r="X51">
        <v>5</v>
      </c>
      <c r="Y51" s="84">
        <f>AA17</f>
        <v>3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167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20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M0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3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4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1.9272727272727</v>
      </c>
      <c r="Z68" s="239">
        <f>IF(FORECAST(Z62,Z47:Z66,Y47:Y66)&lt;=0,0,FORECAST(Z62,Z47:Z66,Y47:Y66))</f>
        <v>0.56962025316456</v>
      </c>
      <c r="AA68" s="240">
        <f>IF(FORECAST(X62,AA47:AA66,X47:X66)&lt;=0,0,FORECAST(Z62,AA47:AA66,X47:X66))</f>
        <v>0.86842105263158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290" t="s">
        <v>177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Newcastle - Aston Villa</v>
      </c>
      <c r="C93" s="246">
        <f>Y41</f>
        <v>1.25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M0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1X2</v>
      </c>
      <c r="L93" s="114">
        <f>C22</f>
        <v>20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182</v>
      </c>
      <c r="C98" s="309" t="s">
        <v>183</v>
      </c>
      <c r="D98" s="312" t="s">
        <v>184</v>
      </c>
      <c r="E98" s="312" t="s">
        <v>185</v>
      </c>
      <c r="F98" s="312" t="s">
        <v>186</v>
      </c>
      <c r="G98" s="292" t="s">
        <v>187</v>
      </c>
      <c r="H98" s="294" t="s">
        <v>188</v>
      </c>
      <c r="I98" s="294" t="s">
        <v>189</v>
      </c>
      <c r="J98" s="294" t="s">
        <v>190</v>
      </c>
      <c r="K98" s="296" t="s">
        <v>191</v>
      </c>
      <c r="L98" s="297"/>
      <c r="M98" s="298"/>
      <c r="N98" s="300" t="s">
        <v>192</v>
      </c>
      <c r="O98" s="301"/>
      <c r="P98" s="302"/>
      <c r="Q98" s="296" t="s">
        <v>193</v>
      </c>
      <c r="R98" s="297"/>
      <c r="S98" s="298"/>
      <c r="T98" s="279" t="s">
        <v>194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107</v>
      </c>
      <c r="AE98" s="304"/>
      <c r="AF98" s="304"/>
      <c r="AG98" s="304"/>
      <c r="AH98" s="304"/>
      <c r="AI98" s="304"/>
      <c r="AJ98" s="304"/>
      <c r="AK98" s="305"/>
      <c r="AL98" s="306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197</v>
      </c>
      <c r="BX98" s="316"/>
      <c r="BY98" s="316"/>
      <c r="BZ98" s="316" t="s">
        <v>198</v>
      </c>
      <c r="CA98" s="316"/>
      <c r="CB98" s="316"/>
      <c r="CC98" s="316" t="s">
        <v>199</v>
      </c>
      <c r="CD98" s="316"/>
      <c r="CE98" s="316"/>
      <c r="CF98" s="316" t="s">
        <v>198</v>
      </c>
      <c r="CG98" s="316"/>
      <c r="CH98" s="316"/>
      <c r="CI98" s="316" t="s">
        <v>199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317" t="s">
        <v>177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200</v>
      </c>
      <c r="AN99" s="318" t="s">
        <v>201</v>
      </c>
      <c r="AO99" s="319" t="s">
        <v>187</v>
      </c>
      <c r="AP99" s="319" t="s">
        <v>187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322" t="s">
        <v>202</v>
      </c>
      <c r="BX99" s="306" t="s">
        <v>203</v>
      </c>
      <c r="BY99" s="306" t="s">
        <v>204</v>
      </c>
      <c r="BZ99" s="322" t="s">
        <v>202</v>
      </c>
      <c r="CA99" s="306" t="s">
        <v>203</v>
      </c>
      <c r="CB99" s="306" t="s">
        <v>204</v>
      </c>
      <c r="CC99" s="322" t="s">
        <v>202</v>
      </c>
      <c r="CD99" s="306" t="s">
        <v>203</v>
      </c>
      <c r="CE99" s="306" t="s">
        <v>204</v>
      </c>
      <c r="CF99" s="322" t="s">
        <v>202</v>
      </c>
      <c r="CG99" s="306" t="s">
        <v>203</v>
      </c>
      <c r="CH99" s="306" t="s">
        <v>204</v>
      </c>
      <c r="CI99" s="322" t="s">
        <v>202</v>
      </c>
      <c r="CJ99" s="306" t="s">
        <v>203</v>
      </c>
      <c r="CK99" s="306" t="s">
        <v>204</v>
      </c>
    </row>
    <row r="100" spans="1:122" customHeight="1" ht="39" s="86" customFormat="1">
      <c r="B100" s="308"/>
      <c r="C100" s="311"/>
      <c r="D100" s="256" t="s">
        <v>205</v>
      </c>
      <c r="E100" s="257" t="s">
        <v>206</v>
      </c>
      <c r="F100" s="121" t="s">
        <v>154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213</v>
      </c>
      <c r="U100" s="262" t="s">
        <v>47</v>
      </c>
      <c r="V100" s="167" t="s">
        <v>78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214</v>
      </c>
      <c r="AF100" s="167" t="s">
        <v>76</v>
      </c>
      <c r="AG100" s="263" t="s">
        <v>23</v>
      </c>
      <c r="AH100" s="263" t="s">
        <v>215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221</v>
      </c>
      <c r="BG100" s="109" t="s">
        <v>222</v>
      </c>
      <c r="BH100" s="110" t="s">
        <v>50</v>
      </c>
      <c r="BI100" s="110" t="s">
        <v>51</v>
      </c>
      <c r="BJ100" s="110" t="s">
        <v>52</v>
      </c>
      <c r="BK100" s="111" t="s">
        <v>223</v>
      </c>
      <c r="BL100" s="80" t="s">
        <v>23</v>
      </c>
      <c r="BM100" s="145" t="s">
        <v>224</v>
      </c>
      <c r="BN100" s="140" t="s">
        <v>109</v>
      </c>
      <c r="BO100" s="142" t="s">
        <v>87</v>
      </c>
      <c r="BP100" s="142" t="s">
        <v>76</v>
      </c>
      <c r="BQ100" s="148" t="s">
        <v>88</v>
      </c>
      <c r="BR100" s="148" t="s">
        <v>76</v>
      </c>
      <c r="BS100" s="149" t="s">
        <v>89</v>
      </c>
      <c r="BT100" s="149" t="s">
        <v>76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225</v>
      </c>
      <c r="C101" s="269" t="s">
        <v>226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Newcastle - Aston Villa</v>
      </c>
      <c r="G101" s="262" t="str">
        <f>IN!F4</f>
        <v>1:1</v>
      </c>
      <c r="H101" s="263">
        <f>IN!G4</f>
        <v>1.37</v>
      </c>
      <c r="I101" s="263">
        <f>IN!H4</f>
        <v>2.38</v>
      </c>
      <c r="J101" s="263">
        <f>IN!I4</f>
        <v>2.15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3:0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1:0</v>
      </c>
      <c r="S101" s="167" t="str">
        <f>IN!R4</f>
        <v>p1</v>
      </c>
      <c r="T101" s="271" t="str">
        <f>IN!S4</f>
        <v>https://int.soccerway.com/matches/2020/06/24/england/premier-league/newcastle-united-football-club/aston-villa-football-club/3029378/</v>
      </c>
      <c r="U101" s="167">
        <f>(SUM(AA2:AA17)/16)-(SUM(Z2:Z17)/16)</f>
        <v>1.25</v>
      </c>
      <c r="V101" s="263">
        <f>IF(FORECAST(X62,AA47:AA66,X47:X66)&lt;=0,0,FORECAST(Z62,AA47:AA66,X47:X66))</f>
        <v>0.86842105263158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M0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20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68.333666666667</v>
      </c>
      <c r="AJ101" s="167">
        <f>BD39</f>
        <v>18.333666666667</v>
      </c>
      <c r="AK101" s="167">
        <f>BE39</f>
        <v>13.333666666667</v>
      </c>
      <c r="AL101" s="167">
        <v>1</v>
      </c>
      <c r="AM101" s="263" t="str">
        <f>IN!C4</f>
        <v>England &gt;&gt; Premier League</v>
      </c>
      <c r="AN101" s="263" t="str">
        <f>IN!E4</f>
        <v>Newcastle - Aston Villa</v>
      </c>
      <c r="AO101" s="167" t="str">
        <f>M2</f>
        <v>11</v>
      </c>
      <c r="AP101" s="167" t="str">
        <f>N2</f>
        <v>X</v>
      </c>
      <c r="AQ101" s="263">
        <f>VLOOKUP(1,BC55:BF70,4,FALSE)</f>
        <v>20</v>
      </c>
      <c r="AR101" s="263">
        <f>VLOOKUP(1,BC55:BF70,3,FALSE)</f>
        <v>50.01</v>
      </c>
      <c r="AS101" s="263" t="str">
        <f>VLOOKUP(2,BC55:BF70,4,FALSE)</f>
        <v>M0</v>
      </c>
      <c r="AT101" s="263">
        <f>VLOOKUP(2,BC55:BF70,3,FALSE)</f>
        <v>25.01</v>
      </c>
      <c r="AU101" s="263">
        <f>VLOOKUP(3,BC55:BF70,4,FALSE)</f>
        <v>21</v>
      </c>
      <c r="AV101" s="263">
        <f>VLOOKUP(3,BC55:BF70,3,FALSE)</f>
        <v>25.01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43.75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50</v>
      </c>
      <c r="BG101" s="263">
        <f>BG46</f>
        <v>37.5</v>
      </c>
      <c r="BH101" s="263">
        <f>VLOOKUP(1,BC55:BF70,4,FALSE)</f>
        <v>20</v>
      </c>
      <c r="BI101" s="263" t="str">
        <f>VLOOKUP(2,BC55:BF70,4,FALSE)</f>
        <v>M0</v>
      </c>
      <c r="BJ101" s="263">
        <f>VLOOKUP(3,BC55:BF70,4,FALSE)</f>
        <v>21</v>
      </c>
      <c r="BK101" s="263">
        <f>(BF46+BJ46)/2</f>
        <v>50</v>
      </c>
      <c r="BL101" s="167">
        <f>S7</f>
        <v>2</v>
      </c>
      <c r="BM101" s="167">
        <f>W35-W36</f>
        <v>-6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45.200804638306</v>
      </c>
      <c r="BX101" s="272">
        <f>IF(I101="","",(((100)*(1/I101))/((1/H101)+(1/I101)+(1/J101)))+0.01)</f>
        <v>26.023194266588</v>
      </c>
      <c r="BY101" s="272">
        <f>IF(J101="","",(((100)*(1/J101))/((1/H101)+(1/I101)+(1/J101)))+0.01)</f>
        <v>28.806001095106</v>
      </c>
      <c r="BZ101" s="273">
        <f>(((COUNTIF(BX37:CE37,1))/8)*100)+0.001</f>
        <v>100.001</v>
      </c>
      <c r="CA101" s="273">
        <f>(((COUNTIF(BX37:CE37,"X"))/8)*100)+0.001</f>
        <v>0.001</v>
      </c>
      <c r="CB101" s="273">
        <f>(((COUNTIF(BX37:CE37,2))/8)*100)+0.001</f>
        <v>0.001</v>
      </c>
      <c r="CC101" s="274">
        <f>M16</f>
        <v>45</v>
      </c>
      <c r="CD101" s="274">
        <f>N16</f>
        <v>40</v>
      </c>
      <c r="CE101" s="274">
        <f>O16</f>
        <v>15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68.333666666667</v>
      </c>
      <c r="CJ101" s="274">
        <f>(CA101+CD101+CG101)/3</f>
        <v>18.333666666667</v>
      </c>
      <c r="CK101" s="274">
        <f>(CB101+CE101+CH101)/3</f>
        <v>13.333666666667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1.25</v>
      </c>
      <c r="V104" s="276">
        <f>AA68</f>
        <v>0.86842105263158</v>
      </c>
      <c r="W104" s="275" t="str">
        <f>AG39</f>
        <v>1</v>
      </c>
      <c r="X104" s="275">
        <f>E93</f>
        <v>1</v>
      </c>
      <c r="Y104" s="275" t="str">
        <f>F93</f>
        <v>M0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10</v>
      </c>
      <c r="AD104" s="275" t="str">
        <f>BI36</f>
        <v>1X2</v>
      </c>
      <c r="AE104" s="275">
        <f>L93</f>
        <v>20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68.333666666667</v>
      </c>
      <c r="AJ104" s="275">
        <f>BD39</f>
        <v>18.333666666667</v>
      </c>
      <c r="AK104" s="275">
        <f>BE39</f>
        <v>13.333666666667</v>
      </c>
      <c r="AL104" s="275">
        <v>1</v>
      </c>
      <c r="AM104" s="275" t="s">
        <v>228</v>
      </c>
      <c r="AN104" s="275" t="str">
        <f>B7</f>
        <v>Newcastle - Aston Villa</v>
      </c>
      <c r="AO104" s="275" t="str">
        <f>M2</f>
        <v>11</v>
      </c>
      <c r="AP104" s="275" t="str">
        <f>N2</f>
        <v>X</v>
      </c>
      <c r="AQ104" s="275">
        <f>BF42</f>
        <v>20</v>
      </c>
      <c r="AR104" s="275">
        <f>BF43</f>
        <v>50.01</v>
      </c>
      <c r="AS104" s="277" t="str">
        <f>BG42</f>
        <v>M0</v>
      </c>
      <c r="AT104" s="275">
        <f>BG43</f>
        <v>25.01</v>
      </c>
      <c r="AU104" s="275">
        <f>BH42</f>
        <v>21</v>
      </c>
      <c r="AV104" s="275">
        <f>BH43</f>
        <v>25.01</v>
      </c>
      <c r="AW104" s="275">
        <f>BI42</f>
        <v>0</v>
      </c>
      <c r="AX104" s="275">
        <f>BI43</f>
        <v>0.02</v>
      </c>
      <c r="AY104" s="275">
        <f>F7</f>
        <v>43.75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50</v>
      </c>
      <c r="BG104" s="275">
        <f>BG46</f>
        <v>37.5</v>
      </c>
      <c r="BH104" s="275">
        <f>BF42</f>
        <v>20</v>
      </c>
      <c r="BI104" s="277" t="str">
        <f>BG42</f>
        <v>M0</v>
      </c>
      <c r="BJ104" s="275">
        <f>BH42</f>
        <v>21</v>
      </c>
      <c r="BK104" s="275">
        <f>BR46</f>
        <v>50</v>
      </c>
      <c r="BL104" s="275">
        <f>S7</f>
        <v>2</v>
      </c>
      <c r="BM104" s="275">
        <f>W39</f>
        <v>-6</v>
      </c>
      <c r="BN104" s="275" t="s">
        <v>229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45.200804638306</v>
      </c>
      <c r="BX104" s="275">
        <f>BL37</f>
        <v>32.195628742515</v>
      </c>
      <c r="BY104" s="275">
        <f>BM37</f>
        <v>34.452836468886</v>
      </c>
      <c r="BZ104" s="275">
        <f>CG37</f>
        <v>100.001</v>
      </c>
      <c r="CA104" s="275">
        <f>CH37</f>
        <v>0.001</v>
      </c>
      <c r="CB104" s="275">
        <f>CI37</f>
        <v>0.001</v>
      </c>
      <c r="CC104" s="275">
        <f>AS9</f>
        <v>45</v>
      </c>
      <c r="CD104" s="275">
        <f>AT9</f>
        <v>40</v>
      </c>
      <c r="CE104" s="275">
        <f>AU9</f>
        <v>15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68.333666666667</v>
      </c>
      <c r="CJ104" s="275">
        <f>BD39</f>
        <v>18.333666666667</v>
      </c>
      <c r="CK104" s="275">
        <f>BE39</f>
        <v>13.333666666667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205</v>
      </c>
      <c r="D3" s="28" t="s">
        <v>206</v>
      </c>
      <c r="E3" s="29" t="s">
        <v>154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213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1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1.37</v>
      </c>
      <c r="H4" s="37">
        <v>2.38</v>
      </c>
      <c r="I4" s="37">
        <v>2.15</v>
      </c>
      <c r="J4" s="64">
        <v>12</v>
      </c>
      <c r="K4" s="64">
        <v>1</v>
      </c>
      <c r="L4" s="64" t="s">
        <v>247</v>
      </c>
      <c r="M4" s="22" t="s">
        <v>248</v>
      </c>
      <c r="N4" s="64">
        <v>1</v>
      </c>
      <c r="O4" s="22" t="s">
        <v>249</v>
      </c>
      <c r="P4" s="64">
        <v>1</v>
      </c>
      <c r="Q4" s="22" t="s">
        <v>250</v>
      </c>
      <c r="R4" s="22" t="s">
        <v>169</v>
      </c>
      <c r="S4" s="278" t="s">
        <v>251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207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207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207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17:00</v>
      </c>
      <c r="E8" s="25" t="str">
        <f>E4</f>
        <v>Newcastle - Aston Villa</v>
      </c>
      <c r="F8" s="44" t="str">
        <f>IF(M4="","",M4)</f>
        <v>3:0</v>
      </c>
      <c r="G8" s="45" t="str">
        <f>IF(F8="","",TRIM(O8))</f>
        <v>M0</v>
      </c>
      <c r="H8" s="46" t="str">
        <f>IF(F8="","",CONCATENATE(I8,J8))</f>
        <v>30</v>
      </c>
      <c r="I8" s="47">
        <f>IF(F8="","",HOUR(F8))</f>
        <v>3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 t="str">
        <f>IF(F8="","",IF((I8&gt;=3),"M",I8))</f>
        <v>M</v>
      </c>
      <c r="N8" s="50">
        <f>IF(F8="","",IF((J8&gt;=3),"M",J8))</f>
        <v>0</v>
      </c>
      <c r="O8" s="24" t="str">
        <f>IF(F8="","",CONCATENATE(M8,N8))</f>
        <v>M0</v>
      </c>
      <c r="P8" s="24" t="str">
        <f>IF(F8="","",CONCATENATE(I8,J8))</f>
        <v>30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205</v>
      </c>
      <c r="D11" s="28" t="s">
        <v>206</v>
      </c>
      <c r="E11" s="29" t="s">
        <v>154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51</v>
      </c>
      <c r="V11" s="7" t="s">
        <v>52</v>
      </c>
      <c r="W11" s="53" t="s">
        <v>14</v>
      </c>
      <c r="X11" s="53" t="s">
        <v>80</v>
      </c>
      <c r="Y11" s="54" t="s">
        <v>51</v>
      </c>
      <c r="Z11" s="54" t="s">
        <v>52</v>
      </c>
      <c r="AA11" s="1"/>
      <c r="AB11" s="25" t="s">
        <v>213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255</v>
      </c>
      <c r="AJ11" s="23" t="s">
        <v>5</v>
      </c>
      <c r="AK11" s="43" t="s">
        <v>207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Newcastle - Aston Villa</v>
      </c>
      <c r="F12" s="56" t="str">
        <f>F4</f>
        <v>1:1</v>
      </c>
      <c r="G12" s="37">
        <f>IF(G4="","",G4)</f>
        <v>1.37</v>
      </c>
      <c r="H12" s="37">
        <f>IF(H4="","",H4)</f>
        <v>2.38</v>
      </c>
      <c r="I12" s="37">
        <f>IF(I4="","",I4)</f>
        <v>2.15</v>
      </c>
      <c r="J12" s="57">
        <f>IF(G12="","",(((100)*(1/G12))/((1/G12)+(1/H12)+(1/I12)))+0.01)</f>
        <v>45.200804638306</v>
      </c>
      <c r="K12" s="57">
        <f>IF(H12="","",(((100)*(1/H12))/((1/G12)+(1/H12)+(1/I12)))+0.01)</f>
        <v>26.023194266588</v>
      </c>
      <c r="L12" s="57">
        <f>IF(I12="","",(((100)*(1/I12))/((1/G12)+(1/H12)+(1/I12)))+0.01)</f>
        <v>28.806001095106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3:0</v>
      </c>
      <c r="Q12" s="2" t="str">
        <f>IF(M4="","",G8)</f>
        <v>M0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https://int.soccerway.com/matches/2020/06/24/england/premier-league/newcastle-united-football-club/aston-villa-football-club/3029378/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Newcastle v Aston Villa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