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verton v Southampton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<sst xmlns="http://schemas.openxmlformats.org/spreadsheetml/2006/main" uniqueCount="257">
  <si>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</si>
  <si>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</si>
  <si>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</si>
  <si>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</si>
  <si>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</si>
  <si>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</si>
  <si>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</si>
  <si>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Everton</t>
  </si>
  <si>
    <t>Southampton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</si>
  <si>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</si>
  <si>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</si>
  <si>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</si>
  <si>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</si>
  <si>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</si>
  <si>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</si>
  <si>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</si>
  <si>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</si>
  <si>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</si>
  <si>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</si>
  <si>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</si>
  <si>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2020-07-02</t>
  </si>
  <si>
    <t>Leicester City</t>
  </si>
  <si>
    <t>Watford</t>
  </si>
  <si>
    <t>SG</t>
  </si>
  <si>
    <t>"%"</t>
  </si>
  <si>
    <t>2020-06-22</t>
  </si>
  <si>
    <t>Liverpool</t>
  </si>
  <si>
    <t>Norwich City</t>
  </si>
  <si>
    <t>RACHA</t>
  </si>
  <si>
    <t>ULT</t>
  </si>
  <si>
    <t>CD</t>
  </si>
  <si>
    <t>"C"</t>
  </si>
  <si>
    <t>"D"</t>
  </si>
  <si>
    <t>P1</t>
  </si>
  <si>
    <t>2020-03-01</t>
  </si>
  <si>
    <t>Manchester United</t>
  </si>
  <si>
    <t>West Ham United</t>
  </si>
  <si>
    <t>TIPS_ROY_PICKS</t>
  </si>
  <si>
    <t>picks</t>
  </si>
  <si>
    <t>roySYS</t>
  </si>
  <si>
    <t>rFZ</t>
  </si>
  <si>
    <t>2020-02-08</t>
  </si>
  <si>
    <t>Crystal Palace</t>
  </si>
  <si>
    <t>Tottenham Hotspur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</si>
  <si>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</si>
  <si>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</si>
  <si>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</si>
  <si>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</si>
  <si>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</si>
  <si>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</si>
  <si>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</si>
  <si>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</si>
  <si>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</si>
  <si>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2020-01-22</t>
  </si>
  <si>
    <t>Newcastle United</t>
  </si>
  <si>
    <t>2020-01-11</t>
  </si>
  <si>
    <t>Brighton &amp; Hove Albion</t>
  </si>
  <si>
    <t>2019-12-26</t>
  </si>
  <si>
    <t>Burnley</t>
  </si>
  <si>
    <t>max</t>
  </si>
  <si>
    <t>2019-12-21</t>
  </si>
  <si>
    <t>Arsenal</t>
  </si>
  <si>
    <t>Chelsea</t>
  </si>
  <si>
    <t>2019-12-19</t>
  </si>
  <si>
    <t>Aston Villa</t>
  </si>
  <si>
    <t>2019-12-07</t>
  </si>
  <si>
    <t>2019-11-23</t>
  </si>
  <si>
    <t>2019-11-04</t>
  </si>
  <si>
    <t>Manchester City</t>
  </si>
  <si>
    <t>2019-10-30</t>
  </si>
  <si>
    <t>2019-10-19</t>
  </si>
  <si>
    <t>Wolverhampton Wanderers</t>
  </si>
  <si>
    <t>DOUBLE Chance PICKS</t>
  </si>
  <si>
    <t>pForce</t>
  </si>
  <si>
    <t>2019-09-29</t>
  </si>
  <si>
    <t>%</t>
  </si>
  <si>
    <t>Ps_Diff</t>
  </si>
  <si>
    <t>Fz-101</t>
  </si>
  <si>
    <t>Avg_Gol</t>
  </si>
  <si>
    <t>CS</t>
  </si>
  <si>
    <t>2019-09-21</t>
  </si>
  <si>
    <t>Sheffield United</t>
  </si>
  <si>
    <t>Portsmouth</t>
  </si>
  <si>
    <t>2019-09-01</t>
  </si>
  <si>
    <t>2019-08-17</t>
  </si>
  <si>
    <t>Fulham</t>
  </si>
  <si>
    <t>CORRECT SCORES PICKS</t>
  </si>
  <si>
    <t>1st</t>
  </si>
  <si>
    <t>2nd</t>
  </si>
  <si>
    <t>3rd</t>
  </si>
  <si>
    <t>4th</t>
  </si>
  <si>
    <t>2019-05-04</t>
  </si>
  <si>
    <t>2019-04-21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</si>
  <si>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</si>
  <si>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</si>
  <si>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</si>
  <si>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</si>
  <si>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</si>
  <si>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</si>
  <si>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</si>
  <si>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</si>
  <si>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</si>
  <si>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</si>
  <si>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</si>
  <si>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</si>
  <si>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</si>
  <si>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</si>
  <si>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</si>
  <si>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</si>
  <si>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</si>
  <si>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</si>
  <si>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</si>
  <si>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</si>
  <si>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</si>
  <si>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</si>
  <si>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</si>
  <si>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</si>
  <si>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</si>
  <si>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</si>
  <si>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</si>
  <si>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</si>
  <si>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WWLWD</t>
  </si>
  <si>
    <t>CLASIFICATION</t>
  </si>
  <si>
    <t>ATO Z trend</t>
  </si>
  <si>
    <t>WLWLW</t>
  </si>
  <si>
    <t>WWLWW</t>
  </si>
  <si>
    <t>LWWDL</t>
  </si>
  <si>
    <t>pronox Home Capacities</t>
  </si>
  <si>
    <t>Leicester</t>
  </si>
  <si>
    <t>DWLDD</t>
  </si>
  <si>
    <t>WWLWL</t>
  </si>
  <si>
    <t>Manchester Utd</t>
  </si>
  <si>
    <t>WWWDW</t>
  </si>
  <si>
    <t>Wolves</t>
  </si>
  <si>
    <t>LLWWW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</si>
  <si>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</si>
  <si>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</si>
  <si>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</si>
  <si>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</si>
  <si>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</si>
  <si>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</si>
  <si>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</si>
  <si>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</si>
  <si>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</si>
  <si>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Sheffield Utd</t>
  </si>
  <si>
    <t>WDWLL</t>
  </si>
  <si>
    <t>DWWWL</t>
  </si>
  <si>
    <t>WDWWL</t>
  </si>
  <si>
    <t>MATCH</t>
  </si>
  <si>
    <t>Tottenham</t>
  </si>
  <si>
    <t>WLWDD</t>
  </si>
  <si>
    <t>Newcastle</t>
  </si>
  <si>
    <t>LDWDW</t>
  </si>
  <si>
    <t>LLLLW</t>
  </si>
  <si>
    <t>Brighton</t>
  </si>
  <si>
    <t>LWLDW</t>
  </si>
  <si>
    <t>West Ham</t>
  </si>
  <si>
    <t>LDWLL</t>
  </si>
  <si>
    <t>WLLLD</t>
  </si>
  <si>
    <t>LLDLD</t>
  </si>
  <si>
    <t>Bournemouth</t>
  </si>
  <si>
    <t>LLLLL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</si>
  <si>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</si>
  <si>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</si>
  <si>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</si>
  <si>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</si>
  <si>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</si>
  <si>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</si>
  <si>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</si>
  <si>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</si>
  <si>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</si>
  <si>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</si>
  <si>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</si>
  <si>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</si>
  <si>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</si>
  <si>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</si>
  <si>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</si>
  <si>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</si>
  <si>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</si>
  <si>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</si>
  <si>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</si>
  <si>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</si>
  <si>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</si>
  <si>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</si>
  <si>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</si>
  <si>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</si>
  <si>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</si>
  <si>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</si>
  <si>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</si>
  <si>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</si>
  <si>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</si>
  <si>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</si>
  <si>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</si>
  <si>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</si>
  <si>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</si>
  <si>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</si>
  <si>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</si>
  <si>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</si>
  <si>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</si>
  <si>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</si>
  <si>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</si>
  <si>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</si>
  <si>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</si>
  <si>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</si>
  <si>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</si>
  <si>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</si>
  <si>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</si>
  <si>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</si>
  <si>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</si>
  <si>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</si>
  <si>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</si>
  <si>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</si>
  <si>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</si>
  <si>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</si>
  <si>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</si>
  <si>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</si>
  <si>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</si>
  <si>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</si>
  <si>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</si>
  <si>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</si>
  <si>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2020-07-09 17:00:00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</si>
  <si>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</si>
  <si>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</si>
  <si>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</si>
  <si>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</si>
  <si>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</si>
  <si>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</si>
  <si>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</si>
  <si>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</si>
  <si>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</si>
  <si>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</si>
  <si>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</si>
  <si>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</si>
  <si>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</si>
  <si>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</si>
  <si>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</si>
  <si>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</si>
  <si>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</si>
  <si>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17:00</t>
  </si>
  <si>
    <t>Everton - Southampton</t>
  </si>
  <si>
    <t>1:1</t>
  </si>
  <si>
    <t>O</t>
  </si>
  <si>
    <t>2:2</t>
  </si>
  <si>
    <t>0:1</t>
  </si>
  <si>
    <t>0:2</t>
  </si>
  <si>
    <t>https://int.soccerway.com/matches/2020/07/09/england/premier-league/everton-football-club/southampton-fc/3029408/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</si>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</sst>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Everton - Southampton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Everton - Southampton</v>
      </c>
      <c r="C2" t="str">
        <f>IF(B1=B2,"OK","ERROR")</f>
        <v>OK</v>
      </c>
      <c r="E2">
        <v>11</v>
      </c>
      <c r="F2">
        <v>12</v>
      </c>
      <c r="G2" s="80">
        <f>E2-F2</f>
        <v>-1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1</v>
      </c>
      <c r="AB2" s="10">
        <v>3</v>
      </c>
      <c r="AC2" s="85">
        <f>Y2+Z2</f>
        <v>3</v>
      </c>
      <c r="AD2" s="85">
        <f>AA2+AB2</f>
        <v>4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Everton-Southampton</v>
      </c>
      <c r="CA2" t="str">
        <f>V24</f>
        <v>Everton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0</v>
      </c>
      <c r="AA3" s="10">
        <v>0</v>
      </c>
      <c r="AB3" s="10">
        <v>3</v>
      </c>
      <c r="AC3" s="85">
        <f>Y3+Z3</f>
        <v>0</v>
      </c>
      <c r="AD3" s="85">
        <f>AA3+AB3</f>
        <v>3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Everton</v>
      </c>
      <c r="BZ3" s="85" t="str">
        <f>X1</f>
        <v>Southampton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3</v>
      </c>
      <c r="AB4" s="9">
        <v>1</v>
      </c>
      <c r="AC4" s="85">
        <f>Y4+Z4</f>
        <v>2</v>
      </c>
      <c r="AD4" s="85">
        <f>AA4+AB4</f>
        <v>4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3</v>
      </c>
      <c r="BZ4" s="85">
        <f>BX23</f>
        <v>0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3</v>
      </c>
      <c r="CG4" s="85">
        <f>CE23</f>
        <v>0</v>
      </c>
      <c r="CQ4">
        <v>20</v>
      </c>
      <c r="CR4">
        <f>AC2</f>
        <v>3</v>
      </c>
      <c r="CS4">
        <f>AD2</f>
        <v>4</v>
      </c>
      <c r="CT4" s="85">
        <f>CR23</f>
        <v>4</v>
      </c>
      <c r="CU4" s="85">
        <f>CS23</f>
        <v>3</v>
      </c>
      <c r="CV4" s="61"/>
      <c r="CW4" s="61"/>
      <c r="CX4">
        <v>20</v>
      </c>
      <c r="CY4">
        <f>CR4</f>
        <v>3</v>
      </c>
      <c r="CZ4">
        <f>CS4</f>
        <v>4</v>
      </c>
      <c r="DA4" s="85">
        <f>CY23</f>
        <v>4</v>
      </c>
      <c r="DB4" s="85">
        <f>CZ23</f>
        <v>3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3</v>
      </c>
      <c r="Z5" s="9">
        <v>1</v>
      </c>
      <c r="AA5" s="9">
        <v>3</v>
      </c>
      <c r="AB5" s="9">
        <v>2</v>
      </c>
      <c r="AC5" s="85">
        <f>Y5+Z5</f>
        <v>4</v>
      </c>
      <c r="AD5" s="85">
        <f>AA5+AB5</f>
        <v>5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0</v>
      </c>
      <c r="BY5" s="85">
        <f>BW22</f>
        <v>0</v>
      </c>
      <c r="BZ5" s="85">
        <f>BX22</f>
        <v>0</v>
      </c>
      <c r="CA5" s="61">
        <f>IF((BW5&gt;=3),"M",BW5)</f>
        <v>0</v>
      </c>
      <c r="CB5" s="61">
        <f>IF((BX5&gt;=3),"M",BX5)</f>
        <v>0</v>
      </c>
      <c r="CC5">
        <v>19</v>
      </c>
      <c r="CD5">
        <f>BW5</f>
        <v>0</v>
      </c>
      <c r="CE5">
        <f>BX5</f>
        <v>0</v>
      </c>
      <c r="CF5" s="85">
        <f>CD22</f>
        <v>0</v>
      </c>
      <c r="CG5" s="85">
        <f>CE22</f>
        <v>0</v>
      </c>
      <c r="CQ5">
        <v>19</v>
      </c>
      <c r="CR5">
        <f>AC3</f>
        <v>0</v>
      </c>
      <c r="CS5">
        <f>AD3</f>
        <v>3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0</v>
      </c>
      <c r="CZ5">
        <f>CS5</f>
        <v>3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26</v>
      </c>
      <c r="Y6" s="9">
        <v>2</v>
      </c>
      <c r="Z6" s="9">
        <v>2</v>
      </c>
      <c r="AA6" s="9">
        <v>4</v>
      </c>
      <c r="AB6" s="9">
        <v>0</v>
      </c>
      <c r="AC6" s="85">
        <f>Y6+Z6</f>
        <v>4</v>
      </c>
      <c r="AD6" s="85">
        <f>AA6+AB6</f>
        <v>4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1</v>
      </c>
      <c r="BY6" s="85">
        <f>BW21</f>
        <v>0</v>
      </c>
      <c r="BZ6" s="85">
        <f>BX21</f>
        <v>0</v>
      </c>
      <c r="CA6" s="61" t="str">
        <f>IF((BW6&gt;=3),"M",BW6)</f>
        <v>M</v>
      </c>
      <c r="CB6" s="61">
        <f>IF((BX6&gt;=3),"M",BX6)</f>
        <v>1</v>
      </c>
      <c r="CC6">
        <v>18</v>
      </c>
      <c r="CD6">
        <f>BW6</f>
        <v>3</v>
      </c>
      <c r="CE6">
        <f>BX6</f>
        <v>1</v>
      </c>
      <c r="CF6" s="85">
        <f>CD21</f>
        <v>0</v>
      </c>
      <c r="CG6" s="85">
        <f>CE21</f>
        <v>0</v>
      </c>
      <c r="CQ6">
        <v>18</v>
      </c>
      <c r="CR6">
        <f>AC4</f>
        <v>2</v>
      </c>
      <c r="CS6">
        <f>AD4</f>
        <v>4</v>
      </c>
      <c r="CT6" s="85">
        <f>CR21</f>
        <v>1</v>
      </c>
      <c r="CU6" s="85">
        <f>CS21</f>
        <v>1</v>
      </c>
      <c r="CV6" s="61"/>
      <c r="CW6" s="61"/>
      <c r="CX6">
        <v>18</v>
      </c>
      <c r="CY6">
        <f>CR6</f>
        <v>2</v>
      </c>
      <c r="CZ6">
        <f>CS6</f>
        <v>4</v>
      </c>
      <c r="DA6" s="85">
        <f>CY21</f>
        <v>1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Everton - Southampton</v>
      </c>
      <c r="C7" s="114">
        <f>Y41</f>
        <v>0.5625</v>
      </c>
      <c r="D7" s="114" t="str">
        <f>BH36</f>
        <v>1</v>
      </c>
      <c r="E7" s="114" t="str">
        <f>BI36</f>
        <v>1X</v>
      </c>
      <c r="F7" s="114">
        <f>Z41</f>
        <v>40.625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68.75</v>
      </c>
      <c r="K7" s="114">
        <f>AE41</f>
        <v>31.25</v>
      </c>
      <c r="L7" s="115">
        <f>AF39</f>
        <v>56.25</v>
      </c>
      <c r="M7" s="114">
        <f>AH39</f>
        <v>37.5</v>
      </c>
      <c r="N7" s="114">
        <f>AI39</f>
        <v>25</v>
      </c>
      <c r="O7" s="116">
        <f>C22</f>
        <v>21</v>
      </c>
      <c r="P7" s="117">
        <f>E22</f>
        <v>11</v>
      </c>
      <c r="Q7" s="116" t="str">
        <f>G22</f>
        <v>01</v>
      </c>
      <c r="R7" s="116">
        <f>D26</f>
        <v>43.75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42</v>
      </c>
      <c r="Y7" s="9">
        <v>1</v>
      </c>
      <c r="Z7" s="9">
        <v>0</v>
      </c>
      <c r="AA7" s="9">
        <v>0</v>
      </c>
      <c r="AB7" s="9">
        <v>2</v>
      </c>
      <c r="AC7" s="85">
        <f>Y7+Z7</f>
        <v>1</v>
      </c>
      <c r="AD7" s="85">
        <f>AA7+AB7</f>
        <v>2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1</v>
      </c>
      <c r="BY7" s="85">
        <f>BW20</f>
        <v>0</v>
      </c>
      <c r="BZ7" s="85">
        <f>BX20</f>
        <v>2</v>
      </c>
      <c r="CA7" s="61" t="str">
        <f>IF((BW7&gt;=3),"M",BW7)</f>
        <v>M</v>
      </c>
      <c r="CB7" s="61">
        <f>IF((BX7&gt;=3),"M",BX7)</f>
        <v>1</v>
      </c>
      <c r="CC7">
        <v>17</v>
      </c>
      <c r="CD7">
        <f>BW7</f>
        <v>3</v>
      </c>
      <c r="CE7">
        <f>BX7</f>
        <v>1</v>
      </c>
      <c r="CF7" s="85">
        <f>CD20</f>
        <v>0</v>
      </c>
      <c r="CG7" s="85">
        <f>CE20</f>
        <v>2</v>
      </c>
      <c r="CQ7">
        <v>17</v>
      </c>
      <c r="CR7">
        <f>AC5</f>
        <v>4</v>
      </c>
      <c r="CS7">
        <f>AD5</f>
        <v>5</v>
      </c>
      <c r="CT7" s="85">
        <f>CR20</f>
        <v>5</v>
      </c>
      <c r="CU7" s="85">
        <f>CS20</f>
        <v>1</v>
      </c>
      <c r="CV7" s="61"/>
      <c r="CW7" s="61"/>
      <c r="CX7">
        <v>17</v>
      </c>
      <c r="CY7">
        <f>CR7</f>
        <v>4</v>
      </c>
      <c r="CZ7">
        <f>CS7</f>
        <v>5</v>
      </c>
      <c r="DA7" s="85">
        <f>CY20</f>
        <v>5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21</v>
      </c>
      <c r="Y8" s="9">
        <v>1</v>
      </c>
      <c r="Z8" s="9">
        <v>0</v>
      </c>
      <c r="AA8" s="9">
        <v>1</v>
      </c>
      <c r="AB8" s="9">
        <v>2</v>
      </c>
      <c r="AC8" s="85">
        <f>Y8+Z8</f>
        <v>1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59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59</v>
      </c>
      <c r="BQ8" s="93" t="s">
        <v>48</v>
      </c>
      <c r="BR8" s="120" t="s">
        <v>49</v>
      </c>
      <c r="BV8">
        <v>16</v>
      </c>
      <c r="BW8">
        <f>AA6</f>
        <v>4</v>
      </c>
      <c r="BX8">
        <f>Z6</f>
        <v>2</v>
      </c>
      <c r="BY8" s="85">
        <f>BW19</f>
        <v>0</v>
      </c>
      <c r="BZ8" s="85">
        <f>BX19</f>
        <v>2</v>
      </c>
      <c r="CA8" s="61" t="str">
        <f>IF((BW8&gt;=3),"M",BW8)</f>
        <v>M</v>
      </c>
      <c r="CB8" s="61">
        <f>IF((BX8&gt;=3),"M",BX8)</f>
        <v>2</v>
      </c>
      <c r="CC8">
        <v>16</v>
      </c>
      <c r="CD8">
        <f>BW8</f>
        <v>4</v>
      </c>
      <c r="CE8">
        <f>BX8</f>
        <v>2</v>
      </c>
      <c r="CF8" s="85">
        <f>CD19</f>
        <v>0</v>
      </c>
      <c r="CG8" s="85">
        <f>CE19</f>
        <v>2</v>
      </c>
      <c r="CQ8">
        <v>16</v>
      </c>
      <c r="CR8">
        <f>AC6</f>
        <v>4</v>
      </c>
      <c r="CS8">
        <f>AD6</f>
        <v>4</v>
      </c>
      <c r="CT8" s="85">
        <f>CR19</f>
        <v>2</v>
      </c>
      <c r="CU8" s="85">
        <f>CS19</f>
        <v>4</v>
      </c>
      <c r="CV8" s="61"/>
      <c r="CW8" s="61"/>
      <c r="CX8">
        <v>16</v>
      </c>
      <c r="CY8">
        <f>CR8</f>
        <v>4</v>
      </c>
      <c r="CZ8">
        <f>CS8</f>
        <v>4</v>
      </c>
      <c r="DA8" s="85">
        <f>CY19</f>
        <v>2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0</v>
      </c>
      <c r="Z9" s="9">
        <v>0</v>
      </c>
      <c r="AA9" s="9">
        <v>0</v>
      </c>
      <c r="AB9" s="9">
        <v>2</v>
      </c>
      <c r="AC9" s="85">
        <f>Y9+Z9</f>
        <v>0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30</v>
      </c>
      <c r="AU9" s="99">
        <f>(AS6/AS7)*100</f>
        <v>15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10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0</v>
      </c>
      <c r="BY9" s="85">
        <f>BW18</f>
        <v>2</v>
      </c>
      <c r="BZ9" s="85">
        <f>BX18</f>
        <v>3</v>
      </c>
      <c r="CA9" s="61">
        <f>IF((BW9&gt;=3),"M",BW9)</f>
        <v>0</v>
      </c>
      <c r="CB9" s="61">
        <f>IF((BX9&gt;=3),"M",BX9)</f>
        <v>0</v>
      </c>
      <c r="CC9">
        <v>15</v>
      </c>
      <c r="CD9">
        <f>BW9</f>
        <v>0</v>
      </c>
      <c r="CE9">
        <f>BX9</f>
        <v>0</v>
      </c>
      <c r="CF9" s="85">
        <f>CD18</f>
        <v>2</v>
      </c>
      <c r="CG9" s="85">
        <f>CE18</f>
        <v>3</v>
      </c>
      <c r="CQ9">
        <v>15</v>
      </c>
      <c r="CR9">
        <f>AC7</f>
        <v>1</v>
      </c>
      <c r="CS9">
        <f>AD7</f>
        <v>2</v>
      </c>
      <c r="CT9" s="85">
        <f>CR18</f>
        <v>4</v>
      </c>
      <c r="CU9" s="85">
        <f>CS18</f>
        <v>3</v>
      </c>
      <c r="CV9" s="61"/>
      <c r="CW9" s="61"/>
      <c r="CX9">
        <v>15</v>
      </c>
      <c r="CY9">
        <f>CR9</f>
        <v>1</v>
      </c>
      <c r="CZ9">
        <f>CS9</f>
        <v>2</v>
      </c>
      <c r="DA9" s="85">
        <f>CY18</f>
        <v>4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21</v>
      </c>
      <c r="X10" t="s">
        <v>64</v>
      </c>
      <c r="Y10" s="9">
        <v>2</v>
      </c>
      <c r="Z10" s="9">
        <v>2</v>
      </c>
      <c r="AA10" s="9">
        <v>1</v>
      </c>
      <c r="AB10" s="9">
        <v>3</v>
      </c>
      <c r="AC10" s="85">
        <f>Y10+Z10</f>
        <v>4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0</v>
      </c>
      <c r="BY10" s="85">
        <f>BW17</f>
        <v>1</v>
      </c>
      <c r="BZ10" s="85">
        <f>BX17</f>
        <v>0</v>
      </c>
      <c r="CA10" s="61">
        <f>IF((BW10&gt;=3),"M",BW10)</f>
        <v>1</v>
      </c>
      <c r="CB10" s="61">
        <f>IF((BX10&gt;=3),"M",BX10)</f>
        <v>0</v>
      </c>
      <c r="CC10">
        <v>14</v>
      </c>
      <c r="CD10">
        <f>BW10</f>
        <v>1</v>
      </c>
      <c r="CE10">
        <f>BX10</f>
        <v>0</v>
      </c>
      <c r="CF10" s="85">
        <f>CD17</f>
        <v>1</v>
      </c>
      <c r="CG10" s="85">
        <f>CE17</f>
        <v>0</v>
      </c>
      <c r="CQ10">
        <v>14</v>
      </c>
      <c r="CR10">
        <f>AC8</f>
        <v>1</v>
      </c>
      <c r="CS10">
        <f>AD8</f>
        <v>3</v>
      </c>
      <c r="CT10" s="85">
        <f>CR17</f>
        <v>2</v>
      </c>
      <c r="CU10" s="85">
        <f>CS17</f>
        <v>2</v>
      </c>
      <c r="CV10" s="61"/>
      <c r="CW10" s="61"/>
      <c r="CX10">
        <v>14</v>
      </c>
      <c r="CY10">
        <f>CR10</f>
        <v>1</v>
      </c>
      <c r="CZ10">
        <f>CS10</f>
        <v>3</v>
      </c>
      <c r="DA10" s="85">
        <f>CY17</f>
        <v>2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62</v>
      </c>
      <c r="X11" t="s">
        <v>54</v>
      </c>
      <c r="Y11" s="9">
        <v>3</v>
      </c>
      <c r="Z11" s="9">
        <v>1</v>
      </c>
      <c r="AA11" s="9">
        <v>2</v>
      </c>
      <c r="AB11" s="9">
        <v>1</v>
      </c>
      <c r="AC11" s="85">
        <f>Y11+Z11</f>
        <v>4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3</v>
      </c>
      <c r="BZ11" s="85">
        <f>BX16</f>
        <v>0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3</v>
      </c>
      <c r="CG11" s="85">
        <f>CE16</f>
        <v>0</v>
      </c>
      <c r="CQ11">
        <v>13</v>
      </c>
      <c r="CR11">
        <f>AC9</f>
        <v>0</v>
      </c>
      <c r="CS11">
        <f>AD9</f>
        <v>2</v>
      </c>
      <c r="CT11" s="85">
        <f>CR16</f>
        <v>2</v>
      </c>
      <c r="CU11" s="85">
        <f>CS16</f>
        <v>4</v>
      </c>
      <c r="CV11" s="61"/>
      <c r="CW11" s="61"/>
      <c r="CX11">
        <v>13</v>
      </c>
      <c r="CY11">
        <f>CR11</f>
        <v>0</v>
      </c>
      <c r="CZ11">
        <f>CS11</f>
        <v>2</v>
      </c>
      <c r="DA11" s="85">
        <f>CY16</f>
        <v>2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27</v>
      </c>
      <c r="X12" t="s">
        <v>61</v>
      </c>
      <c r="Y12" s="9">
        <v>0</v>
      </c>
      <c r="Z12" s="9">
        <v>2</v>
      </c>
      <c r="AA12" s="9">
        <v>2</v>
      </c>
      <c r="AB12" s="9">
        <v>2</v>
      </c>
      <c r="AC12" s="85">
        <f>Y12+Z12</f>
        <v>2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2</v>
      </c>
      <c r="BZ12" s="85">
        <f>BX15</f>
        <v>1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2</v>
      </c>
      <c r="CG12" s="85">
        <f>CE15</f>
        <v>1</v>
      </c>
      <c r="CQ12">
        <v>12</v>
      </c>
      <c r="CR12">
        <f>AC10</f>
        <v>4</v>
      </c>
      <c r="CS12">
        <f>AD10</f>
        <v>4</v>
      </c>
      <c r="CT12" s="85">
        <f>CR15</f>
        <v>2</v>
      </c>
      <c r="CU12" s="85">
        <f>CS15</f>
        <v>3</v>
      </c>
      <c r="CV12" s="61"/>
      <c r="CW12" s="61"/>
      <c r="CX12">
        <v>12</v>
      </c>
      <c r="CY12">
        <f>CR12</f>
        <v>4</v>
      </c>
      <c r="CZ12">
        <f>CS12</f>
        <v>4</v>
      </c>
      <c r="DA12" s="85">
        <f>CY15</f>
        <v>2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43</v>
      </c>
      <c r="X13" t="s">
        <v>68</v>
      </c>
      <c r="Y13" s="9">
        <v>1</v>
      </c>
      <c r="Z13" s="9">
        <v>1</v>
      </c>
      <c r="AA13" s="9">
        <v>2</v>
      </c>
      <c r="AB13" s="9">
        <v>1</v>
      </c>
      <c r="AC13" s="85">
        <f>Y13+Z13</f>
        <v>2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2</v>
      </c>
      <c r="BZ13" s="85">
        <f>BX14</f>
        <v>2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2</v>
      </c>
      <c r="CG13" s="85">
        <f>CE14</f>
        <v>2</v>
      </c>
      <c r="CQ13">
        <v>11</v>
      </c>
      <c r="CR13">
        <f>AC11</f>
        <v>4</v>
      </c>
      <c r="CS13">
        <f>AD11</f>
        <v>3</v>
      </c>
      <c r="CT13" s="85">
        <f>CR14</f>
        <v>2</v>
      </c>
      <c r="CU13" s="85">
        <f>CS14</f>
        <v>4</v>
      </c>
      <c r="CV13" s="61"/>
      <c r="CW13" s="61"/>
      <c r="CX13">
        <v>11</v>
      </c>
      <c r="CY13">
        <f>CR13</f>
        <v>4</v>
      </c>
      <c r="CZ13">
        <f>CS13</f>
        <v>3</v>
      </c>
      <c r="DA13" s="85">
        <f>CY14</f>
        <v>2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22</v>
      </c>
      <c r="X14" t="s">
        <v>68</v>
      </c>
      <c r="Y14" s="9">
        <v>2</v>
      </c>
      <c r="Z14" s="9">
        <v>0</v>
      </c>
      <c r="AA14" s="9">
        <v>3</v>
      </c>
      <c r="AB14" s="9">
        <v>1</v>
      </c>
      <c r="AC14" s="85">
        <f>Y14+Z14</f>
        <v>2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2</v>
      </c>
      <c r="BY14" s="85">
        <f>BW13</f>
        <v>2</v>
      </c>
      <c r="BZ14" s="85">
        <f>BX13</f>
        <v>1</v>
      </c>
      <c r="CA14" s="61">
        <f>IF((BW14&gt;=3),"M",BW14)</f>
        <v>2</v>
      </c>
      <c r="CB14" s="61">
        <f>IF((BX14&gt;=3),"M",BX14)</f>
        <v>2</v>
      </c>
      <c r="CC14">
        <v>10</v>
      </c>
      <c r="CD14">
        <f>BW14</f>
        <v>2</v>
      </c>
      <c r="CE14">
        <f>BX14</f>
        <v>2</v>
      </c>
      <c r="CF14" s="85">
        <f>CD13</f>
        <v>2</v>
      </c>
      <c r="CG14" s="85">
        <f>CE13</f>
        <v>1</v>
      </c>
      <c r="CQ14">
        <v>10</v>
      </c>
      <c r="CR14">
        <f>AC12</f>
        <v>2</v>
      </c>
      <c r="CS14">
        <f>AD12</f>
        <v>4</v>
      </c>
      <c r="CT14" s="85">
        <f>CR13</f>
        <v>4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4</v>
      </c>
      <c r="DA14" s="85">
        <f>CY13</f>
        <v>4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37.501</v>
      </c>
      <c r="O15" s="129">
        <f>BE36</f>
        <v>12.501</v>
      </c>
      <c r="U15" s="84">
        <f>U14+1</f>
        <v>14</v>
      </c>
      <c r="V15" t="s">
        <v>70</v>
      </c>
      <c r="W15" t="s">
        <v>36</v>
      </c>
      <c r="X15" t="s">
        <v>71</v>
      </c>
      <c r="Y15" s="9">
        <v>2</v>
      </c>
      <c r="Z15" s="9">
        <v>0</v>
      </c>
      <c r="AA15" s="9">
        <v>1</v>
      </c>
      <c r="AB15" s="9">
        <v>1</v>
      </c>
      <c r="AC15" s="85">
        <f>Y15+Z15</f>
        <v>2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1</v>
      </c>
      <c r="BZ15" s="85">
        <f>BX12</f>
        <v>2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1</v>
      </c>
      <c r="CG15" s="85">
        <f>CE12</f>
        <v>2</v>
      </c>
      <c r="CI15">
        <f>TREND(BW4:BW23,BX4:BX23,,BW4)</f>
        <v>1.4325842696629</v>
      </c>
      <c r="CQ15">
        <v>9</v>
      </c>
      <c r="CR15">
        <f>AC13</f>
        <v>2</v>
      </c>
      <c r="CS15">
        <f>AD13</f>
        <v>3</v>
      </c>
      <c r="CT15" s="85">
        <f>CR12</f>
        <v>4</v>
      </c>
      <c r="CU15" s="85">
        <f>CS12</f>
        <v>4</v>
      </c>
      <c r="CV15" s="61"/>
      <c r="CW15" s="61"/>
      <c r="CX15">
        <v>9</v>
      </c>
      <c r="CY15">
        <f>CR15</f>
        <v>2</v>
      </c>
      <c r="CZ15">
        <f>CS15</f>
        <v>3</v>
      </c>
      <c r="DA15" s="85">
        <f>CY12</f>
        <v>4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1</v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30</v>
      </c>
      <c r="O16" s="129">
        <f>BE37</f>
        <v>15</v>
      </c>
      <c r="U16" s="84">
        <f>U15+1</f>
        <v>15</v>
      </c>
      <c r="V16" t="s">
        <v>74</v>
      </c>
      <c r="W16" t="s">
        <v>68</v>
      </c>
      <c r="X16" t="s">
        <v>43</v>
      </c>
      <c r="Y16" s="9">
        <v>1</v>
      </c>
      <c r="Z16" s="9">
        <v>3</v>
      </c>
      <c r="AA16" s="9">
        <v>2</v>
      </c>
      <c r="AB16" s="9">
        <v>1</v>
      </c>
      <c r="AC16" s="85">
        <f>Y16+Z16</f>
        <v>4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0</v>
      </c>
      <c r="BY16" s="85">
        <f>BW11</f>
        <v>0</v>
      </c>
      <c r="BZ16" s="85">
        <f>BX11</f>
        <v>0</v>
      </c>
      <c r="CA16" s="61" t="str">
        <f>IF((BW16&gt;=3),"M",BW16)</f>
        <v>M</v>
      </c>
      <c r="CB16" s="61">
        <f>IF((BX16&gt;=3),"M",BX16)</f>
        <v>0</v>
      </c>
      <c r="CC16">
        <v>8</v>
      </c>
      <c r="CD16">
        <f>BW16</f>
        <v>3</v>
      </c>
      <c r="CE16">
        <f>BX16</f>
        <v>0</v>
      </c>
      <c r="CF16" s="85">
        <f>CD11</f>
        <v>0</v>
      </c>
      <c r="CG16" s="85">
        <f>CE11</f>
        <v>0</v>
      </c>
      <c r="CI16">
        <f>TREND(BW4:BW23,BX4:BX23,,BW7)</f>
        <v>1.4325842696629</v>
      </c>
      <c r="CQ16">
        <v>8</v>
      </c>
      <c r="CR16">
        <f>AC14</f>
        <v>2</v>
      </c>
      <c r="CS16">
        <f>AD14</f>
        <v>4</v>
      </c>
      <c r="CT16" s="85">
        <f>CR11</f>
        <v>0</v>
      </c>
      <c r="CU16" s="85">
        <f>CS11</f>
        <v>2</v>
      </c>
      <c r="CV16" s="61"/>
      <c r="CW16" s="61"/>
      <c r="CX16">
        <v>8</v>
      </c>
      <c r="CY16">
        <f>CR16</f>
        <v>2</v>
      </c>
      <c r="CZ16">
        <f>CS16</f>
        <v>4</v>
      </c>
      <c r="DA16" s="85">
        <f>CY11</f>
        <v>0</v>
      </c>
      <c r="DB16" s="85">
        <f>CZ11</f>
        <v>2</v>
      </c>
      <c r="DG16" s="135" t="s">
        <v>75</v>
      </c>
      <c r="DH16" s="136">
        <f>VLOOKUP(1,DE3:DJ11,6,FALSE)</f>
        <v>37.5</v>
      </c>
      <c r="DI16" s="136">
        <f>VLOOKUP(2,DE3:DJ11,6,FALSE)</f>
        <v>25</v>
      </c>
      <c r="DJ16" s="137">
        <f>VLOOKUP(3,DE3:DJ11,6,FALSE)</f>
        <v>12.5</v>
      </c>
      <c r="DO16" s="135" t="s">
        <v>75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76</v>
      </c>
      <c r="D17" s="138" t="s">
        <v>77</v>
      </c>
      <c r="E17" s="139" t="s">
        <v>78</v>
      </c>
      <c r="F17" s="140" t="s">
        <v>76</v>
      </c>
      <c r="G17" s="140" t="s">
        <v>77</v>
      </c>
      <c r="H17" s="140" t="s">
        <v>78</v>
      </c>
      <c r="I17" s="141" t="s">
        <v>48</v>
      </c>
      <c r="J17" s="141" t="s">
        <v>49</v>
      </c>
      <c r="K17" s="142" t="s">
        <v>23</v>
      </c>
      <c r="L17" s="142" t="s">
        <v>79</v>
      </c>
      <c r="M17" s="129">
        <f>BC38</f>
        <v>40</v>
      </c>
      <c r="N17" s="129">
        <f>BD38</f>
        <v>10</v>
      </c>
      <c r="O17" s="129">
        <f>BE38</f>
        <v>50</v>
      </c>
      <c r="U17" s="84">
        <f>U16+1</f>
        <v>16</v>
      </c>
      <c r="V17" t="s">
        <v>80</v>
      </c>
      <c r="W17" t="s">
        <v>81</v>
      </c>
      <c r="X17" t="s">
        <v>82</v>
      </c>
      <c r="Y17" s="9">
        <v>0</v>
      </c>
      <c r="Z17" s="9">
        <v>2</v>
      </c>
      <c r="AA17" s="9">
        <v>0</v>
      </c>
      <c r="AB17" s="9">
        <v>4</v>
      </c>
      <c r="AC17" s="85">
        <f>Y17+Z17</f>
        <v>2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1</v>
      </c>
      <c r="BZ17" s="85">
        <f>BX10</f>
        <v>0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1</v>
      </c>
      <c r="CG17" s="85">
        <f>CE10</f>
        <v>0</v>
      </c>
      <c r="CI17">
        <f>TREND(BW4:BW23,BX4:BX23,,BW11)</f>
        <v>0.91176470588235</v>
      </c>
      <c r="CQ17">
        <v>7</v>
      </c>
      <c r="CR17">
        <f>AC15</f>
        <v>2</v>
      </c>
      <c r="CS17">
        <f>AD15</f>
        <v>2</v>
      </c>
      <c r="CT17" s="85">
        <f>CR10</f>
        <v>1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2</v>
      </c>
      <c r="DA17" s="85">
        <f>CY10</f>
        <v>1</v>
      </c>
      <c r="DB17" s="85">
        <f>CZ10</f>
        <v>3</v>
      </c>
      <c r="DE17" s="131"/>
      <c r="DF17" s="131"/>
    </row>
    <row r="18" spans="1:122">
      <c r="A18" s="84">
        <f>A1</f>
        <v>1</v>
      </c>
      <c r="B18" s="61" t="str">
        <f>B1</f>
        <v>Everton - Southampton</v>
      </c>
      <c r="C18" s="115">
        <f>W39</f>
        <v>-1</v>
      </c>
      <c r="D18" s="143">
        <f>AA68</f>
        <v>0.52481203007519</v>
      </c>
      <c r="E18">
        <f>Y41</f>
        <v>0.5625</v>
      </c>
      <c r="F18" s="115" t="str">
        <f>W41</f>
        <v>1X</v>
      </c>
      <c r="G18" s="115">
        <f>AH68</f>
        <v>1</v>
      </c>
      <c r="H18" s="115" t="str">
        <f>AG39</f>
        <v>1X</v>
      </c>
      <c r="I18" s="115" t="str">
        <f>BH36</f>
        <v>1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48.333666666667</v>
      </c>
      <c r="N18" s="129">
        <f>BD39</f>
        <v>25.833666666667</v>
      </c>
      <c r="O18" s="129">
        <f>BE39</f>
        <v>25.833666666667</v>
      </c>
      <c r="U18" s="84">
        <f>U17+1</f>
        <v>17</v>
      </c>
      <c r="V18" t="s">
        <v>83</v>
      </c>
      <c r="W18" t="s">
        <v>71</v>
      </c>
      <c r="X18" t="s">
        <v>81</v>
      </c>
      <c r="Y18" s="9">
        <v>3</v>
      </c>
      <c r="Z18" s="9">
        <v>2</v>
      </c>
      <c r="AA18" s="9">
        <v>0</v>
      </c>
      <c r="AB18" s="9">
        <v>1</v>
      </c>
      <c r="AC18" s="85">
        <f>Y18+Z18</f>
        <v>5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3</v>
      </c>
      <c r="BY18" s="85">
        <f>BW9</f>
        <v>0</v>
      </c>
      <c r="BZ18" s="85">
        <f>BX9</f>
        <v>0</v>
      </c>
      <c r="CA18" s="61">
        <f>IF((BW18&gt;=3),"M",BW18)</f>
        <v>2</v>
      </c>
      <c r="CB18" s="61" t="str">
        <f>IF((BX18&gt;=3),"M",BX18)</f>
        <v>M</v>
      </c>
      <c r="CC18">
        <v>6</v>
      </c>
      <c r="CD18">
        <f>BW18</f>
        <v>2</v>
      </c>
      <c r="CE18">
        <f>BX18</f>
        <v>3</v>
      </c>
      <c r="CF18" s="85">
        <f>CD9</f>
        <v>0</v>
      </c>
      <c r="CG18" s="85">
        <f>CE9</f>
        <v>0</v>
      </c>
      <c r="CI18">
        <f>TREND(BW4:BW23,BX4:BX23,,BW19)</f>
        <v>0.91176470588235</v>
      </c>
      <c r="CQ18">
        <v>6</v>
      </c>
      <c r="CR18">
        <f>AC16</f>
        <v>4</v>
      </c>
      <c r="CS18">
        <f>AD16</f>
        <v>3</v>
      </c>
      <c r="CT18" s="85">
        <f>CR9</f>
        <v>1</v>
      </c>
      <c r="CU18" s="85">
        <f>CS9</f>
        <v>2</v>
      </c>
      <c r="CV18" s="61"/>
      <c r="CW18" s="61"/>
      <c r="CX18">
        <v>6</v>
      </c>
      <c r="CY18">
        <f>CR18</f>
        <v>4</v>
      </c>
      <c r="CZ18">
        <f>CS18</f>
        <v>3</v>
      </c>
      <c r="DA18" s="85">
        <f>CY9</f>
        <v>1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22</v>
      </c>
      <c r="X19" t="s">
        <v>85</v>
      </c>
      <c r="Y19" s="9">
        <v>1</v>
      </c>
      <c r="Z19" s="9">
        <v>0</v>
      </c>
      <c r="AA19" s="9">
        <v>0</v>
      </c>
      <c r="AB19" s="9">
        <v>1</v>
      </c>
      <c r="AC19" s="85">
        <f>Y19+Z19</f>
        <v>1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2</v>
      </c>
      <c r="BY19" s="85">
        <f>BW8</f>
        <v>4</v>
      </c>
      <c r="BZ19" s="85">
        <f>BX8</f>
        <v>2</v>
      </c>
      <c r="CA19" s="61">
        <f>IF((BW19&gt;=3),"M",BW19)</f>
        <v>0</v>
      </c>
      <c r="CB19" s="61">
        <f>IF((BX19&gt;=3),"M",BX19)</f>
        <v>2</v>
      </c>
      <c r="CC19">
        <v>5</v>
      </c>
      <c r="CD19">
        <f>BW19</f>
        <v>0</v>
      </c>
      <c r="CE19">
        <f>BX19</f>
        <v>2</v>
      </c>
      <c r="CF19" s="85">
        <f>CD8</f>
        <v>4</v>
      </c>
      <c r="CG19" s="85">
        <f>CE8</f>
        <v>2</v>
      </c>
      <c r="CQ19">
        <v>5</v>
      </c>
      <c r="CR19">
        <f>AC17</f>
        <v>2</v>
      </c>
      <c r="CS19">
        <f>AD17</f>
        <v>4</v>
      </c>
      <c r="CT19" s="85">
        <f>CR8</f>
        <v>4</v>
      </c>
      <c r="CU19" s="85">
        <f>CS8</f>
        <v>4</v>
      </c>
      <c r="CV19" s="61"/>
      <c r="CW19" s="61"/>
      <c r="CX19">
        <v>5</v>
      </c>
      <c r="CY19">
        <f>CR19</f>
        <v>2</v>
      </c>
      <c r="CZ19">
        <f>CS19</f>
        <v>4</v>
      </c>
      <c r="DA19" s="85">
        <f>CY8</f>
        <v>4</v>
      </c>
      <c r="DB19" s="85">
        <f>CZ8</f>
        <v>4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58</v>
      </c>
      <c r="X20" t="s">
        <v>56</v>
      </c>
      <c r="Y20" s="9">
        <v>2</v>
      </c>
      <c r="Z20" s="9">
        <v>0</v>
      </c>
      <c r="AA20" s="9">
        <v>0</v>
      </c>
      <c r="AB20" s="9">
        <v>2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2</v>
      </c>
      <c r="BY20" s="85">
        <f>BW7</f>
        <v>3</v>
      </c>
      <c r="BZ20" s="85">
        <f>BX7</f>
        <v>1</v>
      </c>
      <c r="CA20" s="61">
        <f>IF((BW20&gt;=3),"M",BW20)</f>
        <v>0</v>
      </c>
      <c r="CB20" s="61">
        <f>IF((BX20&gt;=3),"M",BX20)</f>
        <v>2</v>
      </c>
      <c r="CC20">
        <v>4</v>
      </c>
      <c r="CD20">
        <f>BW20</f>
        <v>0</v>
      </c>
      <c r="CE20">
        <f>BX20</f>
        <v>2</v>
      </c>
      <c r="CF20" s="85">
        <f>CD7</f>
        <v>3</v>
      </c>
      <c r="CG20" s="85">
        <f>CE7</f>
        <v>1</v>
      </c>
      <c r="CQ20">
        <v>4</v>
      </c>
      <c r="CR20">
        <f>AC18</f>
        <v>5</v>
      </c>
      <c r="CS20">
        <f>AD18</f>
        <v>1</v>
      </c>
      <c r="CT20" s="85">
        <f>CR7</f>
        <v>4</v>
      </c>
      <c r="CU20" s="85">
        <f>CS7</f>
        <v>5</v>
      </c>
      <c r="CV20" s="61"/>
      <c r="CW20" s="61"/>
      <c r="CX20">
        <v>4</v>
      </c>
      <c r="CY20">
        <f>CR20</f>
        <v>5</v>
      </c>
      <c r="CZ20">
        <f>CS20</f>
        <v>1</v>
      </c>
      <c r="DA20" s="85">
        <f>CY7</f>
        <v>4</v>
      </c>
      <c r="DB20" s="85">
        <f>CZ7</f>
        <v>5</v>
      </c>
    </row>
    <row r="21" spans="1:122" customHeight="1" ht="15.75">
      <c r="A21" s="104" t="s">
        <v>45</v>
      </c>
      <c r="B21" s="105" t="s">
        <v>46</v>
      </c>
      <c r="C21" s="145" t="s">
        <v>79</v>
      </c>
      <c r="D21" s="146" t="s">
        <v>75</v>
      </c>
      <c r="E21" s="147" t="s">
        <v>79</v>
      </c>
      <c r="F21" s="147" t="s">
        <v>75</v>
      </c>
      <c r="G21" s="148" t="s">
        <v>79</v>
      </c>
      <c r="H21" s="148" t="s">
        <v>75</v>
      </c>
      <c r="I21" s="149" t="s">
        <v>79</v>
      </c>
      <c r="J21" s="149" t="s">
        <v>75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92</v>
      </c>
      <c r="W21" t="s">
        <v>35</v>
      </c>
      <c r="X21" t="s">
        <v>58</v>
      </c>
      <c r="Y21" s="9">
        <v>4</v>
      </c>
      <c r="Z21" s="9">
        <v>0</v>
      </c>
      <c r="AA21" s="9">
        <v>3</v>
      </c>
      <c r="AB21" s="9">
        <v>0</v>
      </c>
      <c r="AC21" s="85">
        <f>Y21+Z21</f>
        <v>4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0</v>
      </c>
      <c r="BY21" s="85">
        <f>BW6</f>
        <v>3</v>
      </c>
      <c r="BZ21" s="85">
        <f>BX6</f>
        <v>1</v>
      </c>
      <c r="CA21" s="61">
        <f>IF((BW21&gt;=3),"M",BW21)</f>
        <v>0</v>
      </c>
      <c r="CB21" s="61">
        <f>IF((BX21&gt;=3),"M",BX21)</f>
        <v>0</v>
      </c>
      <c r="CC21">
        <v>3</v>
      </c>
      <c r="CD21">
        <f>BW21</f>
        <v>0</v>
      </c>
      <c r="CE21">
        <f>BX21</f>
        <v>0</v>
      </c>
      <c r="CF21" s="85">
        <f>CD6</f>
        <v>3</v>
      </c>
      <c r="CG21" s="85">
        <f>CE6</f>
        <v>1</v>
      </c>
      <c r="CQ21">
        <v>3</v>
      </c>
      <c r="CR21">
        <f>AC19</f>
        <v>1</v>
      </c>
      <c r="CS21">
        <f>AD19</f>
        <v>1</v>
      </c>
      <c r="CT21" s="85">
        <f>CR6</f>
        <v>2</v>
      </c>
      <c r="CU21" s="85">
        <f>CS6</f>
        <v>4</v>
      </c>
      <c r="CV21" s="61"/>
      <c r="CW21" s="61"/>
      <c r="CX21">
        <v>3</v>
      </c>
      <c r="CY21">
        <f>CR21</f>
        <v>1</v>
      </c>
      <c r="CZ21">
        <f>CS21</f>
        <v>1</v>
      </c>
      <c r="DA21" s="85">
        <f>CY6</f>
        <v>2</v>
      </c>
      <c r="DB21" s="85">
        <f>CZ6</f>
        <v>4</v>
      </c>
    </row>
    <row r="22" spans="1:122" customHeight="1" ht="15.75">
      <c r="A22" s="84">
        <f>A1</f>
        <v>1</v>
      </c>
      <c r="B22" s="61" t="str">
        <f>B1</f>
        <v>Everton - Southampton</v>
      </c>
      <c r="C22" s="115">
        <f>BF42</f>
        <v>21</v>
      </c>
      <c r="D22" s="61">
        <f>BF43</f>
        <v>37.51</v>
      </c>
      <c r="E22" s="154">
        <f>BG42</f>
        <v>11</v>
      </c>
      <c r="F22" s="115">
        <f>BG43</f>
        <v>37.51</v>
      </c>
      <c r="G22" s="115" t="str">
        <f>BH42</f>
        <v>01</v>
      </c>
      <c r="H22" s="61">
        <f>BH43</f>
        <v>12.51</v>
      </c>
      <c r="I22" s="115">
        <f>BI42</f>
        <v>20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37.501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0</v>
      </c>
      <c r="BZ22" s="85">
        <f>BX5</f>
        <v>0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0</v>
      </c>
      <c r="CG22" s="85">
        <f>CE5</f>
        <v>0</v>
      </c>
      <c r="CQ22">
        <v>2</v>
      </c>
      <c r="CR22">
        <f>AC20</f>
        <v>2</v>
      </c>
      <c r="CS22">
        <f>AD20</f>
        <v>2</v>
      </c>
      <c r="CT22" s="85">
        <f>CR5</f>
        <v>0</v>
      </c>
      <c r="CU22" s="85">
        <f>CS5</f>
        <v>3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0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Everton-Southampton</v>
      </c>
      <c r="W23" s="156" t="s">
        <v>93</v>
      </c>
      <c r="X23" s="157" t="str">
        <f>"MAXIMA DE VICTORIA SEGUIDAS COMO LOCAL  DE "&amp;W1&amp;"  A  "&amp;AW4&amp;"  Y CONTANDO CON  "&amp;AX4&amp;"VICTORIA SEGUIDOS"&amp;X28</f>
        <v>MAXIMA DE VICTORIA SEGUIDAS COMO LOCAL  DE Everton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94</v>
      </c>
      <c r="AT23" s="70" t="s">
        <v>95</v>
      </c>
      <c r="AU23" s="70" t="s">
        <v>96</v>
      </c>
      <c r="AV23" s="70"/>
      <c r="AW23" s="70"/>
      <c r="AY23" s="95">
        <v>1</v>
      </c>
      <c r="AZ23" s="95" t="s">
        <v>44</v>
      </c>
      <c r="BA23" s="95">
        <v>2</v>
      </c>
      <c r="BB23" t="s">
        <v>59</v>
      </c>
      <c r="BC23" s="93" t="s">
        <v>48</v>
      </c>
      <c r="BD23" s="95" t="s">
        <v>49</v>
      </c>
      <c r="BV23">
        <v>1</v>
      </c>
      <c r="BW23">
        <f>AA21</f>
        <v>3</v>
      </c>
      <c r="BX23">
        <f>Z21</f>
        <v>0</v>
      </c>
      <c r="BY23" s="85">
        <f>BW4</f>
        <v>1</v>
      </c>
      <c r="BZ23" s="85">
        <f>BX4</f>
        <v>1</v>
      </c>
      <c r="CA23" s="61" t="str">
        <f>IF((BW23&gt;=3),"M",BW23)</f>
        <v>M</v>
      </c>
      <c r="CB23" s="61">
        <f>IF((BX23&gt;=3),"M",BX23)</f>
        <v>0</v>
      </c>
      <c r="CC23">
        <v>1</v>
      </c>
      <c r="CD23">
        <f>BW23</f>
        <v>3</v>
      </c>
      <c r="CE23">
        <f>BX23</f>
        <v>0</v>
      </c>
      <c r="CF23" s="85">
        <f>CD4</f>
        <v>1</v>
      </c>
      <c r="CG23" s="85">
        <f>CE4</f>
        <v>1</v>
      </c>
      <c r="CQ23">
        <v>1</v>
      </c>
      <c r="CR23">
        <f>AC21</f>
        <v>4</v>
      </c>
      <c r="CS23">
        <f>AD21</f>
        <v>3</v>
      </c>
      <c r="CT23" s="85">
        <f>CR4</f>
        <v>3</v>
      </c>
      <c r="CU23" s="85">
        <f>CS4</f>
        <v>4</v>
      </c>
      <c r="CV23" s="61"/>
      <c r="CW23" s="61"/>
      <c r="CX23">
        <v>1</v>
      </c>
      <c r="CY23">
        <f>CR23</f>
        <v>4</v>
      </c>
      <c r="CZ23">
        <f>CS23</f>
        <v>3</v>
      </c>
      <c r="DA23" s="85">
        <f>CY4</f>
        <v>3</v>
      </c>
      <c r="DB23" s="85">
        <f>CZ4</f>
        <v>4</v>
      </c>
    </row>
    <row r="24" spans="1:122">
      <c r="A24" s="133"/>
      <c r="B24" s="80" t="s">
        <v>97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Everton</v>
      </c>
      <c r="W24" s="84" t="s">
        <v>93</v>
      </c>
      <c r="X24" s="159" t="str">
        <f>"MAXIMA DE VICTORIA SEGUIDAS COMO VISITANTE DE "&amp;X1&amp;"  A  "&amp;BQ4&amp;"  Y CONTANDO CON  "&amp;BR4&amp;"   VICTORIA SEGUIDOS"&amp;X28</f>
        <v>MAXIMA DE VICTORIA SEGUIDAS COMO VISITANTE DE Southampton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6</v>
      </c>
      <c r="AX24" s="161" t="str">
        <f>V23</f>
        <v>Everton-Southampton</v>
      </c>
      <c r="AY24" s="162">
        <f>((AS9+BM9)/(AS9+AT9+AU9+BM9+BN9+BO9))*100</f>
        <v>47.5</v>
      </c>
      <c r="AZ24" s="162">
        <f>((AT9+BN9)/(AS9+AT9+AU9+BM9+BN9+BO9))*100</f>
        <v>20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1.4325842696629</v>
      </c>
      <c r="BX24">
        <f>IF(FORECAST(BX4,BX4:BX23,BW4:BW23)&lt;=0,0,FORECAST(BX4,BX4:BX23,BW4:BW23))</f>
        <v>0.82926829268293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1.8263157894737</v>
      </c>
      <c r="CE24" s="164">
        <f>IF(FORECAST(CC24,CE4:CE23,CC4:CC23)&lt;=0,0,FORECAST(CC24,CE4:CE23,CC4:CC23))</f>
        <v>0.86842105263158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2.4335511982571</v>
      </c>
      <c r="CS24">
        <f>IF(FORECAST(CS4,CS4:CS23,CR4:CR23)&lt;=0,0,FORECAST(CS4,CS4:CS23,CR4:CR23))</f>
        <v>3.3357753357753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1.9368421052632</v>
      </c>
      <c r="CZ24" s="164">
        <f>IF(FORECAST(CX24,CZ4:CZ23,CX4:CX23)&lt;=0,0,FORECAST(CX24,CZ4:CZ23,CX4:CX23))</f>
        <v>4.0210526315789</v>
      </c>
      <c r="DA24">
        <f>ROUND(CY24,0)</f>
        <v>2</v>
      </c>
      <c r="DB24">
        <f>ROUND(CZ24,0)</f>
        <v>4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75</v>
      </c>
      <c r="E25" s="142" t="s">
        <v>87</v>
      </c>
      <c r="F25" s="142" t="s">
        <v>75</v>
      </c>
      <c r="G25" s="148" t="s">
        <v>88</v>
      </c>
      <c r="H25" s="148" t="s">
        <v>75</v>
      </c>
      <c r="I25" s="149" t="s">
        <v>89</v>
      </c>
      <c r="J25" s="149" t="s">
        <v>75</v>
      </c>
      <c r="K25" s="61"/>
      <c r="L25" s="144"/>
      <c r="M25" s="61"/>
      <c r="V25" s="85" t="str">
        <f>V1</f>
        <v>Main→</v>
      </c>
      <c r="W25" s="165" t="s">
        <v>98</v>
      </c>
      <c r="X25" t="s">
        <v>99</v>
      </c>
      <c r="Y25" s="20" t="s">
        <v>100</v>
      </c>
      <c r="Z25" t="s">
        <v>101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5</v>
      </c>
      <c r="BW25">
        <f>IF(FORECAST(BW7,BW4:BW23,BX4:BX23)&lt;=0,0,FORECAST(BW7,BW4:BW23,BX4:BX23))</f>
        <v>2.0842696629213</v>
      </c>
      <c r="BX25">
        <f>IF(FORECAST(BX5,BX5:BX24,BW5:BW24)&lt;=0,0,FORECAST(BX5,BX5:BX24,BW5:BW24))</f>
        <v>0.63697815770954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1.7</v>
      </c>
      <c r="CE25" s="164">
        <f>IF(FORECAST(CC24,CE4:CE19,CC4:CC19)&lt;=0,0,FORECAST(CC24,CE4:CE19,CC4:CC19))</f>
        <v>0.475</v>
      </c>
      <c r="CF25">
        <f>ROUND(CD25,0)</f>
        <v>2</v>
      </c>
      <c r="CG25">
        <f>ROUND(CE25,0)</f>
        <v>0</v>
      </c>
      <c r="CH25" s="61">
        <f>IF((CF25&gt;=3),"M",CF25)</f>
        <v>2</v>
      </c>
      <c r="CI25" s="61">
        <f>IF((CG25&gt;=3),"M",CG25)</f>
        <v>0</v>
      </c>
      <c r="CR25">
        <f>IF(FORECAST(CR7,CR4:CR23,CS4:CS23)&lt;=0,0,FORECAST(CR7,CR4:CR23,CS4:CS23))</f>
        <v>2.7625272331155</v>
      </c>
      <c r="CS25">
        <f>IF(FORECAST(CS7,CS4:CS23,CR4:CR23)&lt;=0,0,FORECAST(CS7,CS4:CS23,CR4:CR23))</f>
        <v>3.5201465201465</v>
      </c>
      <c r="CT25">
        <f>ROUND(CR25,0)</f>
        <v>3</v>
      </c>
      <c r="CU25">
        <f>ROUND(CS25,0)</f>
        <v>4</v>
      </c>
      <c r="CV25" s="61"/>
      <c r="CW25" s="61"/>
      <c r="CY25" s="164">
        <f>IF(FORECAST(CX24,CY4:CY19,CX4:CX19)&lt;=0,0,FORECAST(CX24,CY4:CY19,CX4:CX19))</f>
        <v>2.025</v>
      </c>
      <c r="CZ25" s="164">
        <f>IF(FORECAST(CX24,CZ4:CZ19,CX4:CX19)&lt;=0,0,FORECAST(CX24,CZ4:CZ19,CX4:CX19))</f>
        <v>3.7</v>
      </c>
      <c r="DA25">
        <f>ROUND(CY25,0)</f>
        <v>2</v>
      </c>
      <c r="DB25">
        <f>ROUND(CZ25,0)</f>
        <v>4</v>
      </c>
    </row>
    <row r="26" spans="1:122">
      <c r="A26" s="84">
        <f>A1</f>
        <v>1</v>
      </c>
      <c r="B26" s="61" t="str">
        <f>B1</f>
        <v>Everton - Southampton</v>
      </c>
      <c r="C26" s="115" t="str">
        <f>"+2,5"</f>
        <v>+2,5</v>
      </c>
      <c r="D26">
        <f>BR46</f>
        <v>43.75</v>
      </c>
      <c r="E26" s="115">
        <f>BF45</f>
        <v>3</v>
      </c>
      <c r="F26" s="115">
        <f>BF46</f>
        <v>37.5</v>
      </c>
      <c r="G26" s="115">
        <f>BG45</f>
        <v>2</v>
      </c>
      <c r="H26" s="61">
        <f>BG46</f>
        <v>25</v>
      </c>
      <c r="I26" s="115">
        <f>BH45</f>
        <v>1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0-0</v>
      </c>
      <c r="AA26" t="str">
        <f>Y4&amp;"-"&amp;Z4</f>
        <v>1-1</v>
      </c>
      <c r="AB26" t="str">
        <f>Y5&amp;"-"&amp;Z5</f>
        <v>3-1</v>
      </c>
      <c r="AC26" t="str">
        <f>Y6&amp;"-"&amp;Z6</f>
        <v>2-2</v>
      </c>
      <c r="AD26" t="str">
        <f>Y7&amp;"-"&amp;Z7</f>
        <v>1-0</v>
      </c>
      <c r="AE26" t="str">
        <f>Y8&amp;"-"&amp;Z8</f>
        <v>1-0</v>
      </c>
      <c r="AF26" t="str">
        <f>Y9&amp;"-"&amp;Z9</f>
        <v>0-0</v>
      </c>
      <c r="AG26" t="str">
        <f>Y10&amp;"-"&amp;Z10</f>
        <v>2-2</v>
      </c>
      <c r="AH26" t="str">
        <f>Y11&amp;"-"&amp;Z11</f>
        <v>3-1</v>
      </c>
      <c r="AR26" s="166"/>
      <c r="AS26" s="131">
        <v>2</v>
      </c>
      <c r="AT26">
        <f>COUNTIF($AA$2:$AA$17,AS26)</f>
        <v>4</v>
      </c>
      <c r="AU26">
        <f>COUNTIF($Z$2:$Z$17,AS26)</f>
        <v>4</v>
      </c>
      <c r="BW26">
        <f>IF(FORECAST(BW11,BW4:BW23,BX4:BX23)&lt;=0,0,FORECAST(BW11,BW4:BW23,BX4:BX23))</f>
        <v>1.1067415730337</v>
      </c>
      <c r="BX26">
        <f>IF(FORECAST(BX6,BX6:BX25,BW6:BW25)&lt;=0,0,FORECAST(BX6,BX6:BX25,BW6:BW25))</f>
        <v>0.8493108609963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2.0357142857143</v>
      </c>
      <c r="CE26" s="164">
        <f>IF(FORECAST(CC24,CE4:CE11,CC4:CC11)&lt;=0,0,FORECAST(CC24,CE4:CE11,CC4:CC11))</f>
        <v>1.1071428571429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1.4466230936819</v>
      </c>
      <c r="CS26">
        <f>IF(FORECAST(CS11,CS4:CS23,CR4:CR23)&lt;=0,0,FORECAST(CS11,CS4:CS23,CR4:CR23))</f>
        <v>2.967032967033</v>
      </c>
      <c r="CT26">
        <f>ROUND(CR26,0)</f>
        <v>1</v>
      </c>
      <c r="CU26">
        <f>ROUND(CS26,0)</f>
        <v>3</v>
      </c>
      <c r="CV26" s="61"/>
      <c r="CW26" s="61"/>
      <c r="CY26" s="164">
        <f>IF(FORECAST(CX24,CY4:CY11,CX4:CX11)&lt;=0,0,FORECAST(CX24,CY4:CY11,CX4:CX11))</f>
        <v>2.8928571428571</v>
      </c>
      <c r="CZ26" s="164">
        <f>IF(FORECAST(CX24,CZ4:CZ11,CX4:CX11)&lt;=0,0,FORECAST(CX24,CZ4:CZ11,CX4:CX11))</f>
        <v>4.5</v>
      </c>
      <c r="DA26">
        <f>ROUND(CY26,0)</f>
        <v>3</v>
      </c>
      <c r="DB26">
        <f>ROUND(CZ26,0)</f>
        <v>5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98</v>
      </c>
      <c r="X27" t="str">
        <f>W1</f>
        <v>Everton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1</v>
      </c>
      <c r="BA27" s="169">
        <v>1</v>
      </c>
      <c r="BC27" s="86"/>
      <c r="BG27" s="170" t="s">
        <v>102</v>
      </c>
      <c r="BK27" s="74"/>
      <c r="BN27" s="74"/>
      <c r="BO27" s="74"/>
      <c r="BP27" s="74"/>
      <c r="BQ27" s="74"/>
      <c r="BW27">
        <f>IF(FORECAST(BW19,BW4:BW23,BX4:BX23)&lt;=0,0,FORECAST(BW19,BW4:BW23,BX4:BX23))</f>
        <v>1.1067415730337</v>
      </c>
      <c r="BX27">
        <f>IF(FORECAST(BX7,BX7:BX26,BW7:BW26)&lt;=0,0,FORECAST(BX7,BX7:BX26,BW7:BW26))</f>
        <v>0.85193800205957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0.5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2.1045751633987</v>
      </c>
      <c r="CS27">
        <f>IF(FORECAST(CS19,CS4:CS23,CR4:CR23)&lt;=0,0,FORECAST(CS19,CS4:CS23,CR4:CR23))</f>
        <v>3.3357753357753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3</v>
      </c>
      <c r="DA27">
        <f>ROUND(CY27,0)</f>
        <v>1</v>
      </c>
      <c r="DB27">
        <f>ROUND(CZ27,0)</f>
        <v>3</v>
      </c>
    </row>
    <row r="28" spans="1:122" customHeight="1" ht="15.75">
      <c r="A28" s="133"/>
      <c r="B28" s="80" t="s">
        <v>103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( 11)  vrs  AW ( 12 )</v>
      </c>
      <c r="BD28" s="173">
        <f>W35</f>
        <v>11</v>
      </c>
      <c r="BE28" s="174">
        <f>W36</f>
        <v>12</v>
      </c>
      <c r="BF28" s="85">
        <f>BE28-BD28</f>
        <v>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Everton-Southampton</v>
      </c>
      <c r="BW28" s="61" t="str">
        <f>CONCATENATE(CA24,CB24)</f>
        <v>11</v>
      </c>
      <c r="BX28" t="str">
        <f>CONCATENATE(CA25,CB25)</f>
        <v>21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21</v>
      </c>
      <c r="CE28" s="61" t="str">
        <f>CONCATENATE(CH25,CI25)</f>
        <v>20</v>
      </c>
      <c r="CF28" s="61" t="str">
        <f>CONCATENATE(CH26,CI26)</f>
        <v>21</v>
      </c>
      <c r="CG28" s="61" t="str">
        <f>CONCATENATE(CH27,CI27)</f>
        <v>01</v>
      </c>
      <c r="CQ28" s="177" t="s">
        <v>104</v>
      </c>
      <c r="CR28" s="178">
        <f>CT24</f>
        <v>2</v>
      </c>
      <c r="CS28" s="178">
        <f>CT25</f>
        <v>3</v>
      </c>
      <c r="CT28" s="178">
        <f>CT26</f>
        <v>1</v>
      </c>
      <c r="CU28" s="178">
        <f>CT27</f>
        <v>2</v>
      </c>
      <c r="CV28" s="179">
        <f>CU24</f>
        <v>3</v>
      </c>
      <c r="CW28" s="179">
        <f>CU25</f>
        <v>4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3</v>
      </c>
      <c r="DC28" s="179">
        <f>DA27</f>
        <v>1</v>
      </c>
      <c r="DD28" s="179">
        <f>DB24</f>
        <v>4</v>
      </c>
      <c r="DE28" s="179">
        <f>DB25</f>
        <v>4</v>
      </c>
      <c r="DF28" s="179">
        <f>DB26</f>
        <v>5</v>
      </c>
      <c r="DG28" s="180">
        <f>DB27</f>
        <v>3</v>
      </c>
    </row>
    <row r="29" spans="1:122" customHeight="1" ht="15.75">
      <c r="A29" s="104" t="s">
        <v>45</v>
      </c>
      <c r="B29" s="105" t="s">
        <v>46</v>
      </c>
      <c r="C29" s="145" t="s">
        <v>76</v>
      </c>
      <c r="D29" s="140" t="s">
        <v>105</v>
      </c>
      <c r="E29" s="142" t="s">
        <v>87</v>
      </c>
      <c r="F29" s="142" t="s">
        <v>75</v>
      </c>
      <c r="G29" s="148" t="s">
        <v>88</v>
      </c>
      <c r="H29" s="148" t="s">
        <v>75</v>
      </c>
      <c r="I29" s="149" t="s">
        <v>89</v>
      </c>
      <c r="J29" s="149" t="s">
        <v>75</v>
      </c>
      <c r="K29" s="141" t="s">
        <v>90</v>
      </c>
      <c r="L29" s="181" t="s">
        <v>75</v>
      </c>
      <c r="M29" s="61"/>
      <c r="V29" s="12"/>
      <c r="W29" s="182"/>
      <c r="X29" t="s">
        <v>99</v>
      </c>
      <c r="Y29" s="20" t="s">
        <v>100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Everton-Southampton</v>
      </c>
      <c r="BW29" s="61" t="str">
        <f>CONCATENATE(BY24,BZ24)</f>
        <v>11</v>
      </c>
      <c r="BX29" t="str">
        <f>CONCATENATE(CA25,CB25)</f>
        <v>21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21</v>
      </c>
      <c r="CE29" s="61" t="str">
        <f>CONCATENATE(CF25,CG25)</f>
        <v>20</v>
      </c>
      <c r="CF29" s="61" t="str">
        <f>CONCATENATE(CF26,CG26)</f>
        <v>21</v>
      </c>
      <c r="CG29" s="61" t="str">
        <f>CONCATENATE(CF27,CG27)</f>
        <v>01</v>
      </c>
      <c r="CI29" s="61"/>
      <c r="CR29" s="183">
        <v>2.0</v>
      </c>
      <c r="CS29" s="184">
        <v>3.0</v>
      </c>
      <c r="CT29" s="184">
        <v>1.0</v>
      </c>
      <c r="CU29" s="184">
        <v>4.0</v>
      </c>
      <c r="CV29" s="184">
        <v>5.0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Everton - Southampton</v>
      </c>
      <c r="C30" s="186">
        <f>W39</f>
        <v>-1</v>
      </c>
      <c r="D30" s="115" t="str">
        <f>W41</f>
        <v>1X</v>
      </c>
      <c r="E30" s="61" t="str">
        <f>BH36</f>
        <v>1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1X2</v>
      </c>
      <c r="M30" s="61"/>
      <c r="V30" s="12"/>
      <c r="W30" s="182"/>
      <c r="Y30" t="str">
        <f>AA2&amp;"-"&amp;AB2</f>
        <v>1-3</v>
      </c>
      <c r="Z30" t="str">
        <f>AA3&amp;"-"&amp;AB3</f>
        <v>0-3</v>
      </c>
      <c r="AA30" t="str">
        <f>AA4&amp;"-"&amp;AB4</f>
        <v>3-1</v>
      </c>
      <c r="AB30" t="str">
        <f>AA5&amp;"-"&amp;AB5</f>
        <v>3-2</v>
      </c>
      <c r="AC30" t="str">
        <f>AA6&amp;"-"&amp;AB6</f>
        <v>4-0</v>
      </c>
      <c r="AD30" t="str">
        <f>AA7&amp;"-"&amp;AB7</f>
        <v>0-2</v>
      </c>
      <c r="AE30" t="str">
        <f>AA8&amp;"-"&amp;AB8</f>
        <v>1-2</v>
      </c>
      <c r="AF30" t="str">
        <f>AA9&amp;"-"&amp;AB9</f>
        <v>0-2</v>
      </c>
      <c r="AG30" t="str">
        <f>AA10&amp;"-"&amp;AB10</f>
        <v>1-3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106</v>
      </c>
      <c r="BF30" t="s">
        <v>107</v>
      </c>
      <c r="BK30" s="115"/>
      <c r="BL30" s="115"/>
      <c r="BM30" s="115"/>
      <c r="BN30" s="115"/>
      <c r="BO30" s="115"/>
      <c r="BP30" s="115"/>
      <c r="BQ30" s="115"/>
      <c r="BU30" s="9" t="str">
        <f>$V$23</f>
        <v>Everton-Southampton</v>
      </c>
      <c r="BV30" t="s">
        <v>79</v>
      </c>
      <c r="BW30" t="str">
        <f>BW28</f>
        <v>11</v>
      </c>
      <c r="BX30">
        <f>IF(FORECAST(BX10,BX10:BX29,BW10:BW29)&lt;=0,0,FORECAST(BX10,BX10:BX29,BW10:BW29))</f>
        <v>0.899504149748</v>
      </c>
      <c r="BY30" t="str">
        <f>BY28</f>
        <v>11</v>
      </c>
      <c r="BZ30" t="str">
        <f>BZ28</f>
        <v>11</v>
      </c>
      <c r="CA30" t="str">
        <f>CD28</f>
        <v>21</v>
      </c>
      <c r="CB30" t="str">
        <f>CE28</f>
        <v>20</v>
      </c>
      <c r="CC30" t="str">
        <f>CF28</f>
        <v>21</v>
      </c>
      <c r="CD30" t="str">
        <f>CG28</f>
        <v>01</v>
      </c>
      <c r="CE30" s="21"/>
      <c r="CF30" s="187">
        <v>11</v>
      </c>
      <c r="CG30" s="187">
        <v>0.899504149748</v>
      </c>
      <c r="CH30" s="187">
        <v>21</v>
      </c>
      <c r="CI30" s="187">
        <v>20</v>
      </c>
      <c r="CJ30" s="187" t="s">
        <v>108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Southampton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Everton-Southampton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X::1::X::X::: GolRange ofmnmx→ 2-3; and ResuExact of →11::21::11::11:::; and ResuSigno of →11::21::11::11; and nº of goles→ ::2::3::2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1::1::1::2::: GolRange ofmnmx→ 1-3; and ResuExact of →21::20::21::01:::; and ResuSigno of →21::20::21::01; and nº of goles→ ::3::2::3</v>
      </c>
      <c r="CQ31" s="177" t="s">
        <v>104</v>
      </c>
      <c r="CR31" s="178">
        <f>BX38</f>
        <v>2</v>
      </c>
      <c r="CS31" s="178">
        <f>BY38</f>
        <v>3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2</v>
      </c>
      <c r="CX31" s="178">
        <f>CD38</f>
        <v>3</v>
      </c>
      <c r="CY31" s="190">
        <f>CE38</f>
        <v>1</v>
      </c>
    </row>
    <row r="32" spans="1:122" customHeight="1" ht="15.75">
      <c r="A32" s="191" t="s">
        <v>109</v>
      </c>
      <c r="B32" s="61" t="s">
        <v>110</v>
      </c>
      <c r="C32" s="61" t="s">
        <v>111</v>
      </c>
      <c r="D32" s="61" t="s">
        <v>112</v>
      </c>
      <c r="E32" s="61" t="s">
        <v>113</v>
      </c>
      <c r="F32" s="61" t="s">
        <v>114</v>
      </c>
      <c r="G32" s="192" t="s">
        <v>115</v>
      </c>
      <c r="H32" s="193" t="s">
        <v>116</v>
      </c>
      <c r="I32" s="115" t="s">
        <v>117</v>
      </c>
      <c r="J32" s="115" t="s">
        <v>114</v>
      </c>
      <c r="K32" s="115" t="s">
        <v>118</v>
      </c>
      <c r="L32" s="194" t="s">
        <v>119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120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26</v>
      </c>
      <c r="D33" s="9">
        <v>34</v>
      </c>
      <c r="E33" s="9">
        <v>30</v>
      </c>
      <c r="F33" s="9">
        <v>2</v>
      </c>
      <c r="G33" s="9">
        <v>2</v>
      </c>
      <c r="H33" s="9">
        <v>75</v>
      </c>
      <c r="I33" s="9">
        <v>26</v>
      </c>
      <c r="J33" s="9">
        <v>49</v>
      </c>
      <c r="K33" s="9">
        <v>92</v>
      </c>
      <c r="L33" s="196" t="s">
        <v>121</v>
      </c>
      <c r="U33" s="63"/>
      <c r="V33" s="63"/>
      <c r="W33" s="84"/>
      <c r="X33" s="197" t="s">
        <v>122</v>
      </c>
      <c r="AG33" s="198" t="s">
        <v>123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120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Everton-Southampton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68</v>
      </c>
      <c r="D34" s="9">
        <v>34</v>
      </c>
      <c r="E34" s="9">
        <v>22</v>
      </c>
      <c r="F34" s="9">
        <v>3</v>
      </c>
      <c r="G34" s="9">
        <v>9</v>
      </c>
      <c r="H34" s="9">
        <v>86</v>
      </c>
      <c r="I34" s="9">
        <v>34</v>
      </c>
      <c r="J34" s="9">
        <v>52</v>
      </c>
      <c r="K34" s="9">
        <v>69</v>
      </c>
      <c r="L34" s="196" t="s">
        <v>124</v>
      </c>
      <c r="U34" s="74"/>
      <c r="V34" s="74"/>
      <c r="W34" s="200" t="s">
        <v>109</v>
      </c>
      <c r="X34" t="s">
        <v>111</v>
      </c>
      <c r="Y34" t="s">
        <v>112</v>
      </c>
      <c r="Z34" t="s">
        <v>113</v>
      </c>
      <c r="AA34" t="s">
        <v>114</v>
      </c>
      <c r="AB34" t="s">
        <v>115</v>
      </c>
      <c r="AC34" t="s">
        <v>116</v>
      </c>
      <c r="AD34" t="s">
        <v>117</v>
      </c>
      <c r="AE34" t="s">
        <v>114</v>
      </c>
      <c r="AF34" t="s">
        <v>118</v>
      </c>
      <c r="AG34" t="s">
        <v>119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2</v>
      </c>
      <c r="CG34" s="61">
        <f>CF26+CG26</f>
        <v>3</v>
      </c>
      <c r="CH34" s="61">
        <f>CF27+CG27</f>
        <v>1</v>
      </c>
    </row>
    <row r="35" spans="1:122" customHeight="1" ht="15.75">
      <c r="A35" s="195">
        <v>3</v>
      </c>
      <c r="B35" s="64">
        <v>4</v>
      </c>
      <c r="C35" t="s">
        <v>62</v>
      </c>
      <c r="D35" s="9">
        <v>34</v>
      </c>
      <c r="E35" s="9">
        <v>18</v>
      </c>
      <c r="F35" s="9">
        <v>6</v>
      </c>
      <c r="G35" s="9">
        <v>10</v>
      </c>
      <c r="H35" s="9">
        <v>63</v>
      </c>
      <c r="I35" s="9">
        <v>46</v>
      </c>
      <c r="J35" s="9">
        <v>17</v>
      </c>
      <c r="K35" s="9">
        <v>60</v>
      </c>
      <c r="L35" s="196" t="s">
        <v>125</v>
      </c>
      <c r="U35" s="74"/>
      <c r="W35" s="201">
        <v>11</v>
      </c>
      <c r="X35" s="85" t="s">
        <v>7</v>
      </c>
      <c r="Y35" s="85">
        <v>33</v>
      </c>
      <c r="Z35" s="85">
        <v>12</v>
      </c>
      <c r="AA35" s="85">
        <v>8</v>
      </c>
      <c r="AB35" s="85">
        <v>13</v>
      </c>
      <c r="AC35" s="85">
        <v>40</v>
      </c>
      <c r="AD35" s="85">
        <v>48</v>
      </c>
      <c r="AE35" s="85">
        <v>-8</v>
      </c>
      <c r="AF35" s="85">
        <v>44</v>
      </c>
      <c r="AG35" t="s">
        <v>126</v>
      </c>
      <c r="AJ35" s="167" t="str">
        <f>AC27</f>
        <v>D</v>
      </c>
      <c r="AK35" s="167" t="str">
        <f>AB27</f>
        <v>W</v>
      </c>
      <c r="AL35" s="167" t="str">
        <f>AA27</f>
        <v>D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127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21</v>
      </c>
      <c r="BZ35" t="str">
        <f>BY28</f>
        <v>11</v>
      </c>
      <c r="CA35" t="str">
        <f>BZ28</f>
        <v>11</v>
      </c>
      <c r="CB35" t="str">
        <f>CD28</f>
        <v>21</v>
      </c>
      <c r="CC35" t="str">
        <f>CE28</f>
        <v>20</v>
      </c>
      <c r="CD35" t="str">
        <f>CF28</f>
        <v>21</v>
      </c>
      <c r="CE35" t="str">
        <f>CG28</f>
        <v>01</v>
      </c>
      <c r="CG35" s="187">
        <v>11</v>
      </c>
      <c r="CH35" s="187">
        <v>21</v>
      </c>
      <c r="CI35" s="187">
        <v>20</v>
      </c>
      <c r="CJ35" s="187" t="s">
        <v>108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128</v>
      </c>
      <c r="D36" s="9">
        <v>34</v>
      </c>
      <c r="E36" s="9">
        <v>17</v>
      </c>
      <c r="F36" s="9">
        <v>8</v>
      </c>
      <c r="G36" s="9">
        <v>9</v>
      </c>
      <c r="H36" s="9">
        <v>64</v>
      </c>
      <c r="I36" s="9">
        <v>32</v>
      </c>
      <c r="J36" s="9">
        <v>32</v>
      </c>
      <c r="K36" s="9">
        <v>59</v>
      </c>
      <c r="L36" s="196" t="s">
        <v>129</v>
      </c>
      <c r="U36" s="74"/>
      <c r="W36" s="202">
        <v>12</v>
      </c>
      <c r="X36" s="203" t="s">
        <v>8</v>
      </c>
      <c r="Y36" s="203">
        <v>33</v>
      </c>
      <c r="Z36" s="203">
        <v>13</v>
      </c>
      <c r="AA36" s="203">
        <v>4</v>
      </c>
      <c r="AB36" s="203">
        <v>16</v>
      </c>
      <c r="AC36" s="203">
        <v>42</v>
      </c>
      <c r="AD36" s="203">
        <v>55</v>
      </c>
      <c r="AE36" s="203">
        <v>-13</v>
      </c>
      <c r="AF36" s="203">
        <v>43</v>
      </c>
      <c r="AG36" s="203" t="s">
        <v>130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Everton-Southampton</v>
      </c>
      <c r="BC36">
        <f>CG37</f>
        <v>50.001</v>
      </c>
      <c r="BD36">
        <f>CH37</f>
        <v>37.501</v>
      </c>
      <c r="BE36">
        <f>CI37</f>
        <v>12.501</v>
      </c>
      <c r="BF36" s="207" t="str">
        <f>IFERROR(VLOOKUP(BA36,IN!$B$12:$AU$12,39),"")</f>
        <v>X</v>
      </c>
      <c r="BG36" s="208" t="str">
        <f>IFERROR(VLOOKUP(BA36,IN!$B$12:$AU$12,35),"")</f>
        <v>11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2.17</v>
      </c>
      <c r="BL36">
        <f>I101</f>
        <v>3.49</v>
      </c>
      <c r="BM36">
        <f>J101</f>
        <v>3.49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csPr=#11,0.899504149748,21,20,01,,,#</v>
      </c>
    </row>
    <row r="37" spans="1:122" customHeight="1" ht="15.75">
      <c r="A37" s="195">
        <v>5</v>
      </c>
      <c r="B37" s="64">
        <v>5</v>
      </c>
      <c r="C37" t="s">
        <v>131</v>
      </c>
      <c r="D37" s="9">
        <v>33</v>
      </c>
      <c r="E37" s="9">
        <v>15</v>
      </c>
      <c r="F37" s="9">
        <v>10</v>
      </c>
      <c r="G37" s="9">
        <v>8</v>
      </c>
      <c r="H37" s="9">
        <v>56</v>
      </c>
      <c r="I37" s="9">
        <v>33</v>
      </c>
      <c r="J37" s="9">
        <v>23</v>
      </c>
      <c r="K37" s="9">
        <v>55</v>
      </c>
      <c r="L37" s="196" t="s">
        <v>132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Everton-Southampton</v>
      </c>
      <c r="BC37" s="210">
        <f>AS9</f>
        <v>55</v>
      </c>
      <c r="BD37" s="210">
        <f>AT9</f>
        <v>30</v>
      </c>
      <c r="BE37" s="210">
        <f>AU9</f>
        <v>15</v>
      </c>
      <c r="BF37" s="211" t="str">
        <f>IFERROR(VLOOKUP(BA37,IN!$B$12:$AU$12,39),"")</f>
        <v>X</v>
      </c>
      <c r="BG37" s="212" t="str">
        <f>IFERROR(VLOOKUP(BA37,IN!$B$12:$AU$12,35),"")</f>
        <v>11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44.582158365262</v>
      </c>
      <c r="BL37">
        <f>IF(BL36="","",(((100)*(1/BL36))/((1/BL36)+(1/BL36)+(1/BM36)))+0.01)</f>
        <v>33.343333333333</v>
      </c>
      <c r="BM37">
        <f>IF(BM36="","",(((100)*(1/BM36))/((1/BM36)+(1/BL36)+(1/BM36)))+0.01)</f>
        <v>33.343333333333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1X2</v>
      </c>
      <c r="BV37" s="161" t="str">
        <f>"Pr3_"&amp;BU3</f>
        <v>Pr3_CD</v>
      </c>
      <c r="BW37" s="162" t="str">
        <f>V23</f>
        <v>Everton-Southampton</v>
      </c>
      <c r="BX37" s="99" t="str">
        <f>BX33</f>
        <v>X</v>
      </c>
      <c r="BY37" s="99">
        <f>BY33</f>
        <v>1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2</v>
      </c>
      <c r="CG37" s="99">
        <f>(((COUNTIF(BX37:CE37,1))/8)*100)+0.001</f>
        <v>50.001</v>
      </c>
      <c r="CH37" s="99">
        <f>(((COUNTIF(BX37:CE37,"X"))/8)*100)+0.001</f>
        <v>37.501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133</v>
      </c>
      <c r="D38" s="9">
        <v>34</v>
      </c>
      <c r="E38" s="9">
        <v>13</v>
      </c>
      <c r="F38" s="9">
        <v>13</v>
      </c>
      <c r="G38" s="9">
        <v>8</v>
      </c>
      <c r="H38" s="9">
        <v>45</v>
      </c>
      <c r="I38" s="9">
        <v>37</v>
      </c>
      <c r="J38" s="9">
        <v>8</v>
      </c>
      <c r="K38" s="9">
        <v>52</v>
      </c>
      <c r="L38" s="196" t="s">
        <v>134</v>
      </c>
      <c r="W38" s="213" t="s">
        <v>3</v>
      </c>
      <c r="Y38" s="197" t="s">
        <v>135</v>
      </c>
      <c r="Z38" t="s">
        <v>136</v>
      </c>
      <c r="AA38" t="s">
        <v>137</v>
      </c>
      <c r="AB38" t="s">
        <v>138</v>
      </c>
      <c r="AC38" t="s">
        <v>139</v>
      </c>
      <c r="AD38" t="s">
        <v>140</v>
      </c>
      <c r="AE38" t="s">
        <v>141</v>
      </c>
      <c r="AF38" t="s">
        <v>142</v>
      </c>
      <c r="AG38" s="86" t="s">
        <v>143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SG_2</v>
      </c>
      <c r="AM38" t="str">
        <f>"SG_"&amp;BK45</f>
        <v>SG_3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Everton-Southampton</v>
      </c>
      <c r="BC38">
        <f>BM9</f>
        <v>40</v>
      </c>
      <c r="BD38">
        <f>BN9</f>
        <v>10</v>
      </c>
      <c r="BE38">
        <f>BO9</f>
        <v>50</v>
      </c>
      <c r="BF38" s="211" t="str">
        <f>IFERROR(VLOOKUP(BA38,IN!$B$12:$AU$12,39),"")</f>
        <v>X</v>
      </c>
      <c r="BG38" s="212" t="str">
        <f>IFERROR(VLOOKUP(BA38,IN!$B$12:$AU$12,35),"")</f>
        <v>11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Everton-Southampton</v>
      </c>
      <c r="BX38" s="99">
        <f>BX34</f>
        <v>2</v>
      </c>
      <c r="BY38" s="99">
        <f>BY34</f>
        <v>3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2</v>
      </c>
      <c r="CD38" s="99">
        <f>CG34</f>
        <v>3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144</v>
      </c>
      <c r="D39" s="9">
        <v>34</v>
      </c>
      <c r="E39" s="9">
        <v>13</v>
      </c>
      <c r="F39" s="9">
        <v>12</v>
      </c>
      <c r="G39" s="9">
        <v>9</v>
      </c>
      <c r="H39" s="9">
        <v>35</v>
      </c>
      <c r="I39" s="9">
        <v>33</v>
      </c>
      <c r="J39" s="9">
        <v>2</v>
      </c>
      <c r="K39" s="9">
        <v>51</v>
      </c>
      <c r="L39" s="196" t="s">
        <v>145</v>
      </c>
      <c r="W39" s="214">
        <f>W35-W36</f>
        <v>-1</v>
      </c>
      <c r="X39" t="s">
        <v>1</v>
      </c>
      <c r="Y39">
        <f>SUM(AA2:AA17)/16</f>
        <v>1.5625</v>
      </c>
      <c r="Z39">
        <f>((SUM(AT26:AT33))/16)*100</f>
        <v>50</v>
      </c>
      <c r="AA39">
        <f>((SUM(AT27:AT33))/16)*100</f>
        <v>25</v>
      </c>
      <c r="AB39">
        <f>((SUM(AT27:AT33))/16)*100</f>
        <v>25</v>
      </c>
      <c r="AC39">
        <f>((SUM(AT28:AT33))/16)*100</f>
        <v>6.25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37.5</v>
      </c>
      <c r="AI39">
        <f>BG46</f>
        <v>25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Everton-Southampton</v>
      </c>
      <c r="BC39">
        <f>(BC36+BC37+BC38)/3</f>
        <v>48.333666666667</v>
      </c>
      <c r="BD39">
        <f>(BD36+BD37+BD38)/3</f>
        <v>25.833666666667</v>
      </c>
      <c r="BE39">
        <f>(BE36+BE37+BE38)/3</f>
        <v>25.833666666667</v>
      </c>
      <c r="BF39" s="216" t="str">
        <f>IFERROR(VLOOKUP(BA39,IN!$B$12:$AU$12,39),"")</f>
        <v>X</v>
      </c>
      <c r="BG39" s="217" t="str">
        <f>IFERROR(VLOOKUP(BA39,IN!$B$12:$AU$12,35),"")</f>
        <v>11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</row>
    <row r="40" spans="1:122">
      <c r="A40" s="195">
        <v>8</v>
      </c>
      <c r="B40" s="64">
        <v>8</v>
      </c>
      <c r="C40" t="s">
        <v>61</v>
      </c>
      <c r="D40" s="9">
        <v>34</v>
      </c>
      <c r="E40" s="9">
        <v>12</v>
      </c>
      <c r="F40" s="9">
        <v>14</v>
      </c>
      <c r="G40" s="9">
        <v>8</v>
      </c>
      <c r="H40" s="9">
        <v>50</v>
      </c>
      <c r="I40" s="9">
        <v>42</v>
      </c>
      <c r="J40" s="9">
        <v>8</v>
      </c>
      <c r="K40" s="9">
        <v>50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</v>
      </c>
      <c r="Z40">
        <f>((SUM(AU26:AU33))/16)*100</f>
        <v>31.25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58</v>
      </c>
      <c r="D41" s="9">
        <v>34</v>
      </c>
      <c r="E41" s="9">
        <v>14</v>
      </c>
      <c r="F41" s="9">
        <v>7</v>
      </c>
      <c r="G41" s="9">
        <v>13</v>
      </c>
      <c r="H41" s="9">
        <v>38</v>
      </c>
      <c r="I41" s="9">
        <v>46</v>
      </c>
      <c r="J41" s="9">
        <v>-8</v>
      </c>
      <c r="K41" s="9">
        <v>49</v>
      </c>
      <c r="L41" s="196" t="s">
        <v>147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148</v>
      </c>
      <c r="Y41" s="219">
        <f>Y39-Y40</f>
        <v>0.5625</v>
      </c>
      <c r="Z41" s="220">
        <f>(Z39+Z40)/2</f>
        <v>40.625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68.75</v>
      </c>
      <c r="AE41" s="220">
        <f>(AE39+AE40)/2</f>
        <v>31.25</v>
      </c>
      <c r="AU41" s="74"/>
      <c r="AV41" s="74"/>
      <c r="AW41" s="74"/>
      <c r="AX41" s="155"/>
      <c r="BB41" t="s">
        <v>79</v>
      </c>
    </row>
    <row r="42" spans="1:122" customHeight="1" ht="15.75">
      <c r="A42" s="195">
        <v>10</v>
      </c>
      <c r="B42" s="64">
        <v>9</v>
      </c>
      <c r="C42" t="s">
        <v>149</v>
      </c>
      <c r="D42" s="9">
        <v>33</v>
      </c>
      <c r="E42" s="9">
        <v>13</v>
      </c>
      <c r="F42" s="9">
        <v>9</v>
      </c>
      <c r="G42" s="9">
        <v>11</v>
      </c>
      <c r="H42" s="9">
        <v>52</v>
      </c>
      <c r="I42" s="9">
        <v>44</v>
      </c>
      <c r="J42" s="9">
        <v>8</v>
      </c>
      <c r="K42" s="9">
        <v>48</v>
      </c>
      <c r="L42" s="196" t="s">
        <v>150</v>
      </c>
      <c r="Y42">
        <f>(SUM(AA2:AA17)/16)-(SUM(Z2:Z17)/16)</f>
        <v>0.5625</v>
      </c>
      <c r="AU42" s="74"/>
      <c r="AV42" s="74"/>
      <c r="AW42" s="74"/>
      <c r="AX42" s="155"/>
      <c r="BA42" s="205">
        <f>BA27</f>
        <v>1</v>
      </c>
      <c r="BB42" s="206" t="str">
        <f>V23</f>
        <v>Everton-Southampton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11</v>
      </c>
      <c r="BH42" s="222" t="str">
        <f>VLOOKUP(3,BC55:BF70,4,FALSE)</f>
        <v>01</v>
      </c>
      <c r="BI42" s="222">
        <f>VLOOKUP(4,BC55:BF70,4,FALSE)</f>
        <v>20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</v>
      </c>
      <c r="D43" s="9">
        <v>33</v>
      </c>
      <c r="E43" s="9">
        <v>12</v>
      </c>
      <c r="F43" s="9">
        <v>8</v>
      </c>
      <c r="G43" s="9">
        <v>13</v>
      </c>
      <c r="H43" s="9">
        <v>40</v>
      </c>
      <c r="I43" s="9">
        <v>48</v>
      </c>
      <c r="J43" s="9">
        <v>-8</v>
      </c>
      <c r="K43" s="9">
        <v>44</v>
      </c>
      <c r="L43" s="196" t="s">
        <v>126</v>
      </c>
      <c r="BF43">
        <f>VLOOKUP(1,BC55:BF70,3,FALSE)</f>
        <v>37.51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14</v>
      </c>
      <c r="C44" t="s">
        <v>8</v>
      </c>
      <c r="D44" s="9">
        <v>33</v>
      </c>
      <c r="E44" s="9">
        <v>13</v>
      </c>
      <c r="F44" s="9">
        <v>4</v>
      </c>
      <c r="G44" s="9">
        <v>16</v>
      </c>
      <c r="H44" s="9">
        <v>42</v>
      </c>
      <c r="I44" s="9">
        <v>55</v>
      </c>
      <c r="J44" s="9">
        <v>-13</v>
      </c>
      <c r="K44" s="9">
        <v>43</v>
      </c>
      <c r="L44" s="196" t="s">
        <v>130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151</v>
      </c>
      <c r="D45" s="9">
        <v>34</v>
      </c>
      <c r="E45" s="9">
        <v>11</v>
      </c>
      <c r="F45" s="9">
        <v>10</v>
      </c>
      <c r="G45" s="9">
        <v>13</v>
      </c>
      <c r="H45" s="9">
        <v>35</v>
      </c>
      <c r="I45" s="9">
        <v>50</v>
      </c>
      <c r="J45" s="9">
        <v>-15</v>
      </c>
      <c r="K45" s="9">
        <v>43</v>
      </c>
      <c r="L45" s="196" t="s">
        <v>152</v>
      </c>
      <c r="BA45" s="205">
        <f>BA27</f>
        <v>1</v>
      </c>
      <c r="BB45" s="206" t="str">
        <f>V23</f>
        <v>Everton-Southampton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2</v>
      </c>
      <c r="BK45" s="222">
        <f>DQ15</f>
        <v>3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42</v>
      </c>
      <c r="D46" s="9">
        <v>34</v>
      </c>
      <c r="E46" s="9">
        <v>11</v>
      </c>
      <c r="F46" s="9">
        <v>9</v>
      </c>
      <c r="G46" s="9">
        <v>14</v>
      </c>
      <c r="H46" s="9">
        <v>30</v>
      </c>
      <c r="I46" s="9">
        <v>43</v>
      </c>
      <c r="J46" s="9">
        <v>-13</v>
      </c>
      <c r="K46" s="9">
        <v>42</v>
      </c>
      <c r="L46" s="196" t="s">
        <v>153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37.5</v>
      </c>
      <c r="BG46">
        <f>DI16</f>
        <v>25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43.75</v>
      </c>
    </row>
    <row r="47" spans="1:122">
      <c r="A47" s="195">
        <v>15</v>
      </c>
      <c r="B47" s="64">
        <v>15</v>
      </c>
      <c r="C47" t="s">
        <v>154</v>
      </c>
      <c r="D47" s="9">
        <v>34</v>
      </c>
      <c r="E47" s="9">
        <v>8</v>
      </c>
      <c r="F47" s="9">
        <v>12</v>
      </c>
      <c r="G47" s="9">
        <v>14</v>
      </c>
      <c r="H47" s="9">
        <v>36</v>
      </c>
      <c r="I47" s="9">
        <v>47</v>
      </c>
      <c r="J47" s="9">
        <v>-11</v>
      </c>
      <c r="K47" s="9">
        <v>36</v>
      </c>
      <c r="L47" s="196" t="s">
        <v>155</v>
      </c>
      <c r="X47">
        <v>1</v>
      </c>
      <c r="Y47" s="84">
        <f>AA21</f>
        <v>3</v>
      </c>
      <c r="Z47">
        <f>Z21</f>
        <v>0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Everton-Southampton</v>
      </c>
      <c r="BC47" s="223" t="str">
        <f>BW28</f>
        <v>11</v>
      </c>
      <c r="BD47" s="223" t="str">
        <f>BX28</f>
        <v>21</v>
      </c>
      <c r="BE47" s="223" t="str">
        <f>BY28</f>
        <v>11</v>
      </c>
      <c r="BF47" s="223" t="str">
        <f>BZ28</f>
        <v>11</v>
      </c>
      <c r="BG47" s="223" t="str">
        <f>CD28</f>
        <v>21</v>
      </c>
      <c r="BH47" s="223" t="str">
        <f>CE28</f>
        <v>20</v>
      </c>
      <c r="BI47" s="223" t="str">
        <f>CF28</f>
        <v>21</v>
      </c>
      <c r="BJ47" s="223" t="str">
        <f>CG28</f>
        <v>01</v>
      </c>
    </row>
    <row r="48" spans="1:122" customHeight="1" ht="15.75">
      <c r="A48" s="195">
        <v>16</v>
      </c>
      <c r="B48" s="64">
        <v>16</v>
      </c>
      <c r="C48" t="s">
        <v>156</v>
      </c>
      <c r="D48" s="9">
        <v>34</v>
      </c>
      <c r="E48" s="9">
        <v>8</v>
      </c>
      <c r="F48" s="9">
        <v>7</v>
      </c>
      <c r="G48" s="9">
        <v>19</v>
      </c>
      <c r="H48" s="9">
        <v>40</v>
      </c>
      <c r="I48" s="9">
        <v>59</v>
      </c>
      <c r="J48" s="9">
        <v>-19</v>
      </c>
      <c r="K48" s="9">
        <v>31</v>
      </c>
      <c r="L48" s="196" t="s">
        <v>157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22</v>
      </c>
      <c r="D49" s="9">
        <v>34</v>
      </c>
      <c r="E49" s="9">
        <v>7</v>
      </c>
      <c r="F49" s="9">
        <v>10</v>
      </c>
      <c r="G49" s="9">
        <v>17</v>
      </c>
      <c r="H49" s="9">
        <v>31</v>
      </c>
      <c r="I49" s="9">
        <v>53</v>
      </c>
      <c r="J49" s="9">
        <v>-22</v>
      </c>
      <c r="K49" s="9">
        <v>31</v>
      </c>
      <c r="L49" s="196" t="s">
        <v>158</v>
      </c>
      <c r="X49">
        <v>3</v>
      </c>
      <c r="Y49" s="84">
        <f>AA19</f>
        <v>0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Everton-Southampton</v>
      </c>
      <c r="BC49" s="224">
        <v>11</v>
      </c>
      <c r="BD49" s="224">
        <v>21</v>
      </c>
      <c r="BE49" s="224">
        <v>20</v>
      </c>
      <c r="BF49" s="224" t="s">
        <v>108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64</v>
      </c>
      <c r="D50" s="9">
        <v>33</v>
      </c>
      <c r="E50" s="9">
        <v>7</v>
      </c>
      <c r="F50" s="9">
        <v>6</v>
      </c>
      <c r="G50" s="9">
        <v>20</v>
      </c>
      <c r="H50" s="9">
        <v>36</v>
      </c>
      <c r="I50" s="9">
        <v>62</v>
      </c>
      <c r="J50" s="9">
        <v>-26</v>
      </c>
      <c r="K50" s="9">
        <v>27</v>
      </c>
      <c r="L50" s="196" t="s">
        <v>159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160</v>
      </c>
      <c r="D51" s="9">
        <v>33</v>
      </c>
      <c r="E51" s="9">
        <v>7</v>
      </c>
      <c r="F51" s="9">
        <v>6</v>
      </c>
      <c r="G51" s="9">
        <v>20</v>
      </c>
      <c r="H51" s="9">
        <v>32</v>
      </c>
      <c r="I51" s="9">
        <v>59</v>
      </c>
      <c r="J51" s="9">
        <v>-27</v>
      </c>
      <c r="K51" s="9">
        <v>27</v>
      </c>
      <c r="L51" s="196" t="s">
        <v>161</v>
      </c>
      <c r="X51">
        <v>5</v>
      </c>
      <c r="Y51" s="84">
        <f>AA17</f>
        <v>0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162</v>
      </c>
      <c r="D52" s="9">
        <v>34</v>
      </c>
      <c r="E52" s="9">
        <v>5</v>
      </c>
      <c r="F52" s="9">
        <v>6</v>
      </c>
      <c r="G52" s="9">
        <v>23</v>
      </c>
      <c r="H52" s="9">
        <v>26</v>
      </c>
      <c r="I52" s="9">
        <v>63</v>
      </c>
      <c r="J52" s="9">
        <v>-37</v>
      </c>
      <c r="K52" s="9">
        <v>21</v>
      </c>
      <c r="L52" s="196" t="s">
        <v>161</v>
      </c>
      <c r="X52">
        <v>6</v>
      </c>
      <c r="Y52" s="84">
        <f>AA16</f>
        <v>2</v>
      </c>
      <c r="Z52">
        <f>Z16</f>
        <v>3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3</v>
      </c>
      <c r="BD53" s="74">
        <f>IF(BD49="","",COUNTIF(BC47:BJ47,BD49))</f>
        <v>3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2</v>
      </c>
      <c r="BD55" s="61">
        <f>RANK(BE55,BE55:BE70)</f>
        <v>1</v>
      </c>
      <c r="BE55">
        <f>BC51+0.01</f>
        <v>37.51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2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37.51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20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01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0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4</v>
      </c>
      <c r="Z62">
        <f>Z6</f>
        <v>2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1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0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2.4101123595506</v>
      </c>
      <c r="Z68" s="239">
        <f>IF(FORECAST(Z62,Z47:Z66,Y47:Y66)&lt;=0,0,FORECAST(Z62,Z47:Z66,Y47:Y66))</f>
        <v>1.0060975609756</v>
      </c>
      <c r="AA68" s="240">
        <f>IF(FORECAST(X62,AA47:AA66,X47:X66)&lt;=0,0,FORECAST(Z62,AA47:AA66,X47:X66))</f>
        <v>0.52481203007519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38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105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75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Everton - Southampton</v>
      </c>
      <c r="C93" s="246">
        <f>Y41</f>
        <v>0.5625</v>
      </c>
      <c r="D93" s="114" t="str">
        <f>AG39</f>
        <v>1X</v>
      </c>
      <c r="E93" s="114" t="str">
        <f>IFERROR(VLOOKUP(A1,IN!B12:AB12,13),"")</f>
        <v>X</v>
      </c>
      <c r="F93" s="114" t="str">
        <f>IFERROR(VLOOKUP(A1,IN!B12:AB12,16),"")</f>
        <v>22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1X</v>
      </c>
      <c r="L93" s="114">
        <f>C22</f>
        <v>21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103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148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79</v>
      </c>
      <c r="O100" s="80" t="s">
        <v>14</v>
      </c>
      <c r="P100" s="106" t="s">
        <v>79</v>
      </c>
      <c r="Q100" s="261" t="s">
        <v>14</v>
      </c>
      <c r="R100" s="261" t="s">
        <v>79</v>
      </c>
      <c r="S100" s="67"/>
      <c r="T100" s="68" t="s">
        <v>208</v>
      </c>
      <c r="U100" s="262" t="s">
        <v>47</v>
      </c>
      <c r="V100" s="167" t="s">
        <v>77</v>
      </c>
      <c r="W100" s="263" t="s">
        <v>105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209</v>
      </c>
      <c r="AF100" s="167" t="s">
        <v>75</v>
      </c>
      <c r="AG100" s="263" t="s">
        <v>23</v>
      </c>
      <c r="AH100" s="263" t="s">
        <v>210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136</v>
      </c>
      <c r="AZ100" s="109" t="s">
        <v>137</v>
      </c>
      <c r="BA100" s="109" t="s">
        <v>138</v>
      </c>
      <c r="BB100" s="109" t="s">
        <v>139</v>
      </c>
      <c r="BC100" s="109" t="s">
        <v>140</v>
      </c>
      <c r="BD100" s="80" t="s">
        <v>141</v>
      </c>
      <c r="BE100" s="80" t="s">
        <v>142</v>
      </c>
      <c r="BF100" s="109" t="s">
        <v>216</v>
      </c>
      <c r="BG100" s="109" t="s">
        <v>217</v>
      </c>
      <c r="BH100" s="110" t="s">
        <v>50</v>
      </c>
      <c r="BI100" s="110" t="s">
        <v>51</v>
      </c>
      <c r="BJ100" s="110" t="s">
        <v>52</v>
      </c>
      <c r="BK100" s="111" t="s">
        <v>218</v>
      </c>
      <c r="BL100" s="80" t="s">
        <v>23</v>
      </c>
      <c r="BM100" s="145" t="s">
        <v>219</v>
      </c>
      <c r="BN100" s="140" t="s">
        <v>105</v>
      </c>
      <c r="BO100" s="142" t="s">
        <v>87</v>
      </c>
      <c r="BP100" s="142" t="s">
        <v>75</v>
      </c>
      <c r="BQ100" s="148" t="s">
        <v>88</v>
      </c>
      <c r="BR100" s="148" t="s">
        <v>75</v>
      </c>
      <c r="BS100" s="149" t="s">
        <v>89</v>
      </c>
      <c r="BT100" s="149" t="s">
        <v>75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220</v>
      </c>
      <c r="D101" s="270" t="str">
        <f>IN!C4</f>
        <v>England &gt;&gt; Premier League</v>
      </c>
      <c r="E101" s="270" t="str">
        <f>IN!D4</f>
        <v>17:00</v>
      </c>
      <c r="F101" s="270" t="str">
        <f>B1</f>
        <v>Everton - Southampton</v>
      </c>
      <c r="G101" s="262" t="str">
        <f>IN!F4</f>
        <v>1:1</v>
      </c>
      <c r="H101" s="263">
        <f>IN!G4</f>
        <v>2.17</v>
      </c>
      <c r="I101" s="263">
        <f>IN!H4</f>
        <v>3.49</v>
      </c>
      <c r="J101" s="263">
        <f>IN!I4</f>
        <v>3.49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0:2</v>
      </c>
      <c r="S101" s="167" t="str">
        <f>IN!R4</f>
        <v>p1</v>
      </c>
      <c r="T101" s="271" t="str">
        <f>IN!S4</f>
        <v>https://int.soccerway.com/matches/2020/07/09/england/premier-league/everton-football-club/southampton-fc/3029408/</v>
      </c>
      <c r="U101" s="167">
        <f>(SUM(AA2:AA17)/16)-(SUM(Z2:Z17)/16)</f>
        <v>0.5625</v>
      </c>
      <c r="V101" s="263">
        <f>IF(FORECAST(X62,AA47:AA66,X47:X66)&lt;=0,0,FORECAST(Z62,AA47:AA66,X47:X66))</f>
        <v>0.52481203007519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</v>
      </c>
      <c r="Y101" s="167" t="str">
        <f>IFERROR(VLOOKUP(A1,IN!B12:AB12,16),"")</f>
        <v>22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37.51</v>
      </c>
      <c r="AG101" s="167">
        <f>AF68</f>
        <v>3</v>
      </c>
      <c r="AH101" s="167" t="str">
        <f>AG68</f>
        <v>21</v>
      </c>
      <c r="AI101" s="167">
        <f>BC39</f>
        <v>48.333666666667</v>
      </c>
      <c r="AJ101" s="167">
        <f>BD39</f>
        <v>25.833666666667</v>
      </c>
      <c r="AK101" s="167">
        <f>BE39</f>
        <v>25.833666666667</v>
      </c>
      <c r="AL101" s="167">
        <v>1</v>
      </c>
      <c r="AM101" s="263" t="str">
        <f>IN!C4</f>
        <v>England &gt;&gt; Premier League</v>
      </c>
      <c r="AN101" s="263" t="str">
        <f>IN!E4</f>
        <v>Everton - Southampton</v>
      </c>
      <c r="AO101" s="167" t="str">
        <f>M2</f>
        <v>11</v>
      </c>
      <c r="AP101" s="167" t="str">
        <f>N2</f>
        <v>X</v>
      </c>
      <c r="AQ101" s="325">
        <f>VLOOKUP(1,BC55:BF70,4,FALSE)</f>
        <v>21</v>
      </c>
      <c r="AR101" s="263">
        <f>VLOOKUP(1,BC55:BF70,3,FALSE)</f>
        <v>37.51</v>
      </c>
      <c r="AS101" s="325">
        <f>VLOOKUP(2,BC55:BF70,4,FALSE)</f>
        <v>11</v>
      </c>
      <c r="AT101" s="263">
        <f>VLOOKUP(2,BC55:BF70,3,FALSE)</f>
        <v>37.51</v>
      </c>
      <c r="AU101" s="325" t="str">
        <f>VLOOKUP(3,BC55:BF70,4,FALSE)</f>
        <v>01</v>
      </c>
      <c r="AV101" s="263">
        <f>VLOOKUP(3,BC55:BF70,3,FALSE)</f>
        <v>12.51</v>
      </c>
      <c r="AW101" s="325">
        <f>VLOOKUP(4,BC55:BF70,4,FALSE)</f>
        <v>20</v>
      </c>
      <c r="AX101" s="167">
        <f>VLOOKUP(4,BC55:BF70,3,FALSE)</f>
        <v>12.51</v>
      </c>
      <c r="AY101" s="263">
        <f>(Z39+Z40)/2</f>
        <v>40.625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68.75</v>
      </c>
      <c r="BD101" s="263">
        <f>(AE39+AE40)/2</f>
        <v>31.25</v>
      </c>
      <c r="BE101" s="263">
        <f>((COUNTIF(AA25:AP25,1)/16)*100)</f>
        <v>56.25</v>
      </c>
      <c r="BF101" s="263">
        <f>BF46</f>
        <v>37.5</v>
      </c>
      <c r="BG101" s="263">
        <f>BG46</f>
        <v>25</v>
      </c>
      <c r="BH101" s="263">
        <f>VLOOKUP(1,BC55:BF70,4,FALSE)</f>
        <v>21</v>
      </c>
      <c r="BI101" s="263">
        <f>VLOOKUP(2,BC55:BF70,4,FALSE)</f>
        <v>11</v>
      </c>
      <c r="BJ101" s="263" t="str">
        <f>VLOOKUP(3,BC55:BF70,4,FALSE)</f>
        <v>01</v>
      </c>
      <c r="BK101" s="263">
        <f>(BF46+BJ46)/2</f>
        <v>43.75</v>
      </c>
      <c r="BL101" s="167">
        <f>S7</f>
        <v>3</v>
      </c>
      <c r="BM101" s="167">
        <f>W35-W36</f>
        <v>-1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  <c r="BW101" s="272">
        <f>IF(H101="","",(((100)*(1/H101))/((1/H101)+(1/I101)+(1/J101)))+0.01)</f>
        <v>44.582158365262</v>
      </c>
      <c r="BX101" s="272">
        <f>IF(I101="","",(((100)*(1/I101))/((1/H101)+(1/I101)+(1/J101)))+0.01)</f>
        <v>27.723920817369</v>
      </c>
      <c r="BY101" s="272">
        <f>IF(J101="","",(((100)*(1/J101))/((1/H101)+(1/I101)+(1/J101)))+0.01)</f>
        <v>27.723920817369</v>
      </c>
      <c r="BZ101" s="273">
        <f>(((COUNTIF(BX37:CE37,1))/8)*100)+0.001</f>
        <v>50.001</v>
      </c>
      <c r="CA101" s="273">
        <f>(((COUNTIF(BX37:CE37,"X"))/8)*100)+0.001</f>
        <v>37.501</v>
      </c>
      <c r="CB101" s="273">
        <f>(((COUNTIF(BX37:CE37,2))/8)*100)+0.001</f>
        <v>12.501</v>
      </c>
      <c r="CC101" s="274">
        <f>M16</f>
        <v>55</v>
      </c>
      <c r="CD101" s="274">
        <f>N16</f>
        <v>30</v>
      </c>
      <c r="CE101" s="274">
        <f>O16</f>
        <v>15</v>
      </c>
      <c r="CF101" s="273">
        <f>(BM4/BM7)*100</f>
        <v>40</v>
      </c>
      <c r="CG101" s="273">
        <f>(BM5/BM7)*100</f>
        <v>10</v>
      </c>
      <c r="CH101" s="273">
        <f>(BM6/BM7)*100</f>
        <v>50</v>
      </c>
      <c r="CI101" s="274">
        <f>(BZ101+CC101+CF101)/3</f>
        <v>48.333666666667</v>
      </c>
      <c r="CJ101" s="274">
        <f>(CA101+CD101+CG101)/3</f>
        <v>25.833666666667</v>
      </c>
      <c r="CK101" s="274">
        <f>(CB101+CE101+CH101)/3</f>
        <v>25.833666666667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0.5625</v>
      </c>
      <c r="V104" s="276">
        <f>AA68</f>
        <v>0.52481203007519</v>
      </c>
      <c r="W104" s="275" t="str">
        <f>AG39</f>
        <v>1X</v>
      </c>
      <c r="X104" s="275" t="str">
        <f>E93</f>
        <v>X</v>
      </c>
      <c r="Y104" s="275" t="str">
        <f>F93</f>
        <v>22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02</v>
      </c>
      <c r="AD104" s="275" t="str">
        <f>BI36</f>
        <v>1X</v>
      </c>
      <c r="AE104" s="275">
        <f>L93</f>
        <v>21</v>
      </c>
      <c r="AF104" s="275">
        <f>M93</f>
        <v>37.51</v>
      </c>
      <c r="AG104" s="275">
        <f>AF68</f>
        <v>3</v>
      </c>
      <c r="AH104" s="275" t="str">
        <f>AG68</f>
        <v>21</v>
      </c>
      <c r="AI104" s="275">
        <f>BC39</f>
        <v>48.333666666667</v>
      </c>
      <c r="AJ104" s="275">
        <f>BD39</f>
        <v>25.833666666667</v>
      </c>
      <c r="AK104" s="275">
        <f>BE39</f>
        <v>25.833666666667</v>
      </c>
      <c r="AL104" s="275">
        <v>1</v>
      </c>
      <c r="AM104" s="275" t="s">
        <v>222</v>
      </c>
      <c r="AN104" s="275" t="str">
        <f>B7</f>
        <v>Everton - Southampton</v>
      </c>
      <c r="AO104" s="275" t="str">
        <f>M2</f>
        <v>11</v>
      </c>
      <c r="AP104" s="275" t="str">
        <f>N2</f>
        <v>X</v>
      </c>
      <c r="AQ104" s="275">
        <f>BF42</f>
        <v>21</v>
      </c>
      <c r="AR104" s="275">
        <f>BF43</f>
        <v>37.51</v>
      </c>
      <c r="AS104" s="277">
        <f>BG42</f>
        <v>11</v>
      </c>
      <c r="AT104" s="275">
        <f>BG43</f>
        <v>37.51</v>
      </c>
      <c r="AU104" s="275" t="str">
        <f>BH42</f>
        <v>01</v>
      </c>
      <c r="AV104" s="275">
        <f>BH43</f>
        <v>12.51</v>
      </c>
      <c r="AW104" s="275">
        <f>BI42</f>
        <v>20</v>
      </c>
      <c r="AX104" s="275">
        <f>BI43</f>
        <v>12.51</v>
      </c>
      <c r="AY104" s="275">
        <f>F7</f>
        <v>40.625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68.75</v>
      </c>
      <c r="BD104" s="275">
        <f>K7</f>
        <v>31.25</v>
      </c>
      <c r="BE104" s="275">
        <f>L7</f>
        <v>56.25</v>
      </c>
      <c r="BF104" s="275">
        <f>BF46</f>
        <v>37.5</v>
      </c>
      <c r="BG104" s="275">
        <f>BG46</f>
        <v>25</v>
      </c>
      <c r="BH104" s="275">
        <f>BF42</f>
        <v>21</v>
      </c>
      <c r="BI104" s="277">
        <f>BG42</f>
        <v>11</v>
      </c>
      <c r="BJ104" s="275" t="str">
        <f>BH42</f>
        <v>01</v>
      </c>
      <c r="BK104" s="275">
        <f>BR46</f>
        <v>43.75</v>
      </c>
      <c r="BL104" s="275">
        <f>S7</f>
        <v>3</v>
      </c>
      <c r="BM104" s="275">
        <f>W39</f>
        <v>-1</v>
      </c>
      <c r="BN104" s="275" t="s">
        <v>223</v>
      </c>
      <c r="BO104" s="275" t="str">
        <f>BH36</f>
        <v>1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1X2</v>
      </c>
      <c r="BW104" s="275">
        <f>BK37</f>
        <v>44.582158365262</v>
      </c>
      <c r="BX104" s="275">
        <f>BL37</f>
        <v>33.343333333333</v>
      </c>
      <c r="BY104" s="275">
        <f>BM37</f>
        <v>33.343333333333</v>
      </c>
      <c r="BZ104" s="275">
        <f>CG37</f>
        <v>50.001</v>
      </c>
      <c r="CA104" s="275">
        <f>CH37</f>
        <v>37.501</v>
      </c>
      <c r="CB104" s="275">
        <f>CI37</f>
        <v>12.501</v>
      </c>
      <c r="CC104" s="275">
        <f>AS9</f>
        <v>55</v>
      </c>
      <c r="CD104" s="275">
        <f>AT9</f>
        <v>30</v>
      </c>
      <c r="CE104" s="275">
        <f>AU9</f>
        <v>15</v>
      </c>
      <c r="CF104" s="275">
        <f>BM9</f>
        <v>40</v>
      </c>
      <c r="CG104" s="275">
        <f>BN9</f>
        <v>10</v>
      </c>
      <c r="CH104" s="275">
        <f>BO9</f>
        <v>50</v>
      </c>
      <c r="CI104" s="275">
        <f>BC39</f>
        <v>48.333666666667</v>
      </c>
      <c r="CJ104" s="275">
        <f>BD39</f>
        <v>25.833666666667</v>
      </c>
      <c r="CK104" s="275">
        <f>BE39</f>
        <v>25.833666666667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148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79</v>
      </c>
      <c r="N3" s="7" t="s">
        <v>14</v>
      </c>
      <c r="O3" s="14" t="s">
        <v>79</v>
      </c>
      <c r="P3" s="34" t="s">
        <v>14</v>
      </c>
      <c r="Q3" s="34" t="s">
        <v>79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1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2.17</v>
      </c>
      <c r="H4" s="37">
        <v>3.49</v>
      </c>
      <c r="I4" s="37">
        <v>3.49</v>
      </c>
      <c r="J4" s="64">
        <v>12</v>
      </c>
      <c r="K4" s="64" t="s">
        <v>44</v>
      </c>
      <c r="L4" s="64" t="s">
        <v>241</v>
      </c>
      <c r="M4" s="22" t="s">
        <v>242</v>
      </c>
      <c r="N4" s="64">
        <v>2</v>
      </c>
      <c r="O4" s="22" t="s">
        <v>243</v>
      </c>
      <c r="P4" s="64">
        <v>2</v>
      </c>
      <c r="Q4" s="22" t="s">
        <v>244</v>
      </c>
      <c r="R4" s="22" t="s">
        <v>164</v>
      </c>
      <c r="S4" s="278" t="s">
        <v>245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202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202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202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17:00</v>
      </c>
      <c r="E8" s="25" t="str">
        <f>E4</f>
        <v>Everton - Southampton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148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79</v>
      </c>
      <c r="Q11" s="33"/>
      <c r="R11" s="33"/>
      <c r="S11" s="15" t="s">
        <v>14</v>
      </c>
      <c r="T11" s="7" t="s">
        <v>79</v>
      </c>
      <c r="U11" s="7" t="s">
        <v>51</v>
      </c>
      <c r="V11" s="7" t="s">
        <v>52</v>
      </c>
      <c r="W11" s="53" t="s">
        <v>14</v>
      </c>
      <c r="X11" s="53" t="s">
        <v>79</v>
      </c>
      <c r="Y11" s="54" t="s">
        <v>51</v>
      </c>
      <c r="Z11" s="54" t="s">
        <v>52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249</v>
      </c>
      <c r="AJ11" s="23" t="s">
        <v>5</v>
      </c>
      <c r="AK11" s="43" t="s">
        <v>202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17:00</v>
      </c>
      <c r="E12" s="25" t="str">
        <f>IF(E4="","",E4)</f>
        <v>Everton - Southampton</v>
      </c>
      <c r="F12" s="56" t="str">
        <f>F4</f>
        <v>1:1</v>
      </c>
      <c r="G12" s="37">
        <f>IF(G4="","",G4)</f>
        <v>2.17</v>
      </c>
      <c r="H12" s="37">
        <f>IF(H4="","",H4)</f>
        <v>3.49</v>
      </c>
      <c r="I12" s="37">
        <f>IF(I4="","",I4)</f>
        <v>3.49</v>
      </c>
      <c r="J12" s="57">
        <f>IF(G12="","",(((100)*(1/G12))/((1/G12)+(1/H12)+(1/I12)))+0.01)</f>
        <v>44.582158365262</v>
      </c>
      <c r="K12" s="57">
        <f>IF(H12="","",(((100)*(1/H12))/((1/G12)+(1/H12)+(1/I12)))+0.01)</f>
        <v>27.723920817369</v>
      </c>
      <c r="L12" s="57">
        <f>IF(I12="","",(((100)*(1/I12))/((1/G12)+(1/H12)+(1/I12)))+0.01)</f>
        <v>27.723920817369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https://int.soccerway.com/matches/2020/07/09/england/premier-league/everton-football-club/southampton-fc/3029408/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Everton v Southampton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