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llorca v Levant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<sst xmlns="http://schemas.openxmlformats.org/spreadsheetml/2006/main" uniqueCount="257">
  <si>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</si>
  <si>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</si>
  <si>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</si>
  <si>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</si>
  <si>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</si>
  <si>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</si>
  <si>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</si>
  <si>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Mallorca</t>
  </si>
  <si>
    <t>Levante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</si>
  <si>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</si>
  <si>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</si>
  <si>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</si>
  <si>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</si>
  <si>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</si>
  <si>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</si>
  <si>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</si>
  <si>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</si>
  <si>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</si>
  <si>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</si>
  <si>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</si>
  <si>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2020-07-01</t>
  </si>
  <si>
    <t>Celta Vigo</t>
  </si>
  <si>
    <t>Real Valladolid</t>
  </si>
  <si>
    <t>SG</t>
  </si>
  <si>
    <t>"%"</t>
  </si>
  <si>
    <t>2020-06-20</t>
  </si>
  <si>
    <t>Leganes</t>
  </si>
  <si>
    <t>Espanyol</t>
  </si>
  <si>
    <t>RACHA</t>
  </si>
  <si>
    <t>ULT</t>
  </si>
  <si>
    <t>CD</t>
  </si>
  <si>
    <t>"C"</t>
  </si>
  <si>
    <t>"D"</t>
  </si>
  <si>
    <t>P1</t>
  </si>
  <si>
    <t>2020-06-14</t>
  </si>
  <si>
    <t>Barcelona</t>
  </si>
  <si>
    <t>Valencia</t>
  </si>
  <si>
    <t>TIPS_ROY_PICKS</t>
  </si>
  <si>
    <t>picks</t>
  </si>
  <si>
    <t>roySYS</t>
  </si>
  <si>
    <t>rFZ</t>
  </si>
  <si>
    <t>2020-03-02</t>
  </si>
  <si>
    <t>Getafe</t>
  </si>
  <si>
    <t>Eibar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</si>
  <si>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</si>
  <si>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</si>
  <si>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</si>
  <si>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</si>
  <si>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</si>
  <si>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</si>
  <si>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</si>
  <si>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</si>
  <si>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</si>
  <si>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2020-02-15</t>
  </si>
  <si>
    <t>Deportivo Alavés</t>
  </si>
  <si>
    <t>Villarreal</t>
  </si>
  <si>
    <t>2020-02-02</t>
  </si>
  <si>
    <t>2020-01-19</t>
  </si>
  <si>
    <t>Osasuna</t>
  </si>
  <si>
    <t>max</t>
  </si>
  <si>
    <t>2019-12-21</t>
  </si>
  <si>
    <t>Sevilla</t>
  </si>
  <si>
    <t>2019-12-01</t>
  </si>
  <si>
    <t>Real Betis</t>
  </si>
  <si>
    <t>Real Jaén</t>
  </si>
  <si>
    <t>2019-11-10</t>
  </si>
  <si>
    <t>Atletico Madrid</t>
  </si>
  <si>
    <t>2019-11-01</t>
  </si>
  <si>
    <t>Melilla CD</t>
  </si>
  <si>
    <t>2019-10-20</t>
  </si>
  <si>
    <t>Real Madrid</t>
  </si>
  <si>
    <t>Granada</t>
  </si>
  <si>
    <t>2019-10-06</t>
  </si>
  <si>
    <t>2019-09-26</t>
  </si>
  <si>
    <t>Athletic Club</t>
  </si>
  <si>
    <t>DOUBLE Chance PICKS</t>
  </si>
  <si>
    <t>pForce</t>
  </si>
  <si>
    <t>2019-09-14</t>
  </si>
  <si>
    <t>Real Sociedad</t>
  </si>
  <si>
    <t>%</t>
  </si>
  <si>
    <t>Ps_Diff</t>
  </si>
  <si>
    <t>Fz-101</t>
  </si>
  <si>
    <t>Avg_Gol</t>
  </si>
  <si>
    <t>CS</t>
  </si>
  <si>
    <t>2019-09-06</t>
  </si>
  <si>
    <t>Poblense</t>
  </si>
  <si>
    <t>2019-08-25</t>
  </si>
  <si>
    <t>2019-08-18</t>
  </si>
  <si>
    <t>CORRECT SCORES PICKS</t>
  </si>
  <si>
    <t>1st</t>
  </si>
  <si>
    <t>2nd</t>
  </si>
  <si>
    <t>3rd</t>
  </si>
  <si>
    <t>4th</t>
  </si>
  <si>
    <t>2019-08-11</t>
  </si>
  <si>
    <t>2019-08-08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</si>
  <si>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</si>
  <si>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</si>
  <si>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</si>
  <si>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</si>
  <si>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</si>
  <si>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</si>
  <si>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</si>
  <si>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</si>
  <si>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</si>
  <si>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</si>
  <si>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</si>
  <si>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</si>
  <si>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</si>
  <si>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</si>
  <si>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</si>
  <si>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</si>
  <si>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</si>
  <si>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</si>
  <si>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</si>
  <si>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</si>
  <si>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</si>
  <si>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</si>
  <si>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</si>
  <si>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</si>
  <si>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</si>
  <si>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</si>
  <si>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</si>
  <si>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</si>
  <si>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</si>
  <si>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</si>
  <si>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</si>
  <si>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</si>
  <si>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WWDDW</t>
  </si>
  <si>
    <t>Atl. Madrid</t>
  </si>
  <si>
    <t>DWDWW</t>
  </si>
  <si>
    <t>LWLLD</t>
  </si>
  <si>
    <t>pronox Home Capacities</t>
  </si>
  <si>
    <t>WWDDD</t>
  </si>
  <si>
    <t>DDWLW</t>
  </si>
  <si>
    <t>WLWWD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</si>
  <si>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</si>
  <si>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</si>
  <si>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</si>
  <si>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</si>
  <si>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</si>
  <si>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</si>
  <si>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</si>
  <si>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</si>
  <si>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</si>
  <si>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</si>
  <si>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DWLLL</t>
  </si>
  <si>
    <t>WDLLL</t>
  </si>
  <si>
    <t>Ath Bilbao</t>
  </si>
  <si>
    <t>LWWLW</t>
  </si>
  <si>
    <t>MATCH</t>
  </si>
  <si>
    <t>Granada CF</t>
  </si>
  <si>
    <t>DWLDL</t>
  </si>
  <si>
    <t>LDWWW</t>
  </si>
  <si>
    <t>Betis</t>
  </si>
  <si>
    <t>WDLLW</t>
  </si>
  <si>
    <t>Valladolid</t>
  </si>
  <si>
    <t>LWDDD</t>
  </si>
  <si>
    <t>DDLDW</t>
  </si>
  <si>
    <t>Alaves</t>
  </si>
  <si>
    <t>LLLLL</t>
  </si>
  <si>
    <t>LLWWD</t>
  </si>
  <si>
    <t>WLLDD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</si>
  <si>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</si>
  <si>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</si>
  <si>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</si>
  <si>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</si>
  <si>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</si>
  <si>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</si>
  <si>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</si>
  <si>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</si>
  <si>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</si>
  <si>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</si>
  <si>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</si>
  <si>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</si>
  <si>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</si>
  <si>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</si>
  <si>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</si>
  <si>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</si>
  <si>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</si>
  <si>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</si>
  <si>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</si>
  <si>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</si>
  <si>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</si>
  <si>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</si>
  <si>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</si>
  <si>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</si>
  <si>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</si>
  <si>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</si>
  <si>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</si>
  <si>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</si>
  <si>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</si>
  <si>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</si>
  <si>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</si>
  <si>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</si>
  <si>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</si>
  <si>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</si>
  <si>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</si>
  <si>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</si>
  <si>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</si>
  <si>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</si>
  <si>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</si>
  <si>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</si>
  <si>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</si>
  <si>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</si>
  <si>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</si>
  <si>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</si>
  <si>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</si>
  <si>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</si>
  <si>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</si>
  <si>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</si>
  <si>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</si>
  <si>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</si>
  <si>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</si>
  <si>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</si>
  <si>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</si>
  <si>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</si>
  <si>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</si>
  <si>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</si>
  <si>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</si>
  <si>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2020-07-09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</si>
  <si>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</si>
  <si>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</si>
  <si>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</si>
  <si>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</si>
  <si>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</si>
  <si>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</si>
  <si>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</si>
  <si>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</si>
  <si>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</si>
  <si>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</si>
  <si>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</si>
  <si>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</si>
  <si>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</si>
  <si>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</si>
  <si>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</si>
  <si>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</si>
  <si>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</si>
  <si>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</si>
  <si>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Mallorca - Levante</t>
  </si>
  <si>
    <t>2:0</t>
  </si>
  <si>
    <t>X2</t>
  </si>
  <si>
    <t>O</t>
  </si>
  <si>
    <t>1:2</t>
  </si>
  <si>
    <t>0:1</t>
  </si>
  <si>
    <t>p2</t>
  </si>
  <si>
    <t>https://int.soccerway.com/matches/2020/07/09/spain/primera-division/real-club-deportivo-mallorca/levante-union-deportiva/3059156/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</si>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</sst>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Mallorca - Levante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Mallorca - Levante</v>
      </c>
      <c r="C2" t="str">
        <f>IF(B1=B2,"OK","ERROR")</f>
        <v>OK</v>
      </c>
      <c r="E2">
        <v>18</v>
      </c>
      <c r="F2">
        <v>12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5</v>
      </c>
      <c r="Z2" s="9">
        <v>1</v>
      </c>
      <c r="AA2" s="10">
        <v>0</v>
      </c>
      <c r="AB2" s="10">
        <v>0</v>
      </c>
      <c r="AC2" s="85">
        <f>Y2+Z2</f>
        <v>6</v>
      </c>
      <c r="AD2" s="85">
        <f>AA2+AB2</f>
        <v>0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Mallorca-Levante</v>
      </c>
      <c r="CA2" t="str">
        <f>V24</f>
        <v>Mallorca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1</v>
      </c>
      <c r="AB3" s="10">
        <v>3</v>
      </c>
      <c r="AC3" s="85">
        <f>Y3+Z3</f>
        <v>2</v>
      </c>
      <c r="AD3" s="85">
        <f>AA3+AB3</f>
        <v>4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Mallorca</v>
      </c>
      <c r="BZ3" s="85" t="str">
        <f>X1</f>
        <v>Levante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4</v>
      </c>
      <c r="AA4" s="9">
        <v>1</v>
      </c>
      <c r="AB4" s="9">
        <v>1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1</v>
      </c>
      <c r="BZ4" s="85">
        <f>BX23</f>
        <v>0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1</v>
      </c>
      <c r="CG4" s="85">
        <f>CE23</f>
        <v>0</v>
      </c>
      <c r="CQ4">
        <v>20</v>
      </c>
      <c r="CR4">
        <f>AC2</f>
        <v>6</v>
      </c>
      <c r="CS4">
        <f>AD2</f>
        <v>0</v>
      </c>
      <c r="CT4" s="85">
        <f>CR23</f>
        <v>0</v>
      </c>
      <c r="CU4" s="85">
        <f>CS23</f>
        <v>1</v>
      </c>
      <c r="CV4" s="61"/>
      <c r="CW4" s="61"/>
      <c r="CX4">
        <v>20</v>
      </c>
      <c r="CY4">
        <f>CR4</f>
        <v>6</v>
      </c>
      <c r="CZ4">
        <f>CS4</f>
        <v>0</v>
      </c>
      <c r="DA4" s="85">
        <f>CY23</f>
        <v>0</v>
      </c>
      <c r="DB4" s="85">
        <f>CZ23</f>
        <v>1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8</v>
      </c>
      <c r="DJ4" s="97">
        <f>IF(DI4="","",(DI4/16)*100)</f>
        <v>50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1</v>
      </c>
      <c r="AA5" s="9">
        <v>3</v>
      </c>
      <c r="AB5" s="9">
        <v>0</v>
      </c>
      <c r="AC5" s="85">
        <f>Y5+Z5</f>
        <v>1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3</v>
      </c>
      <c r="BZ5" s="85">
        <f>BX22</f>
        <v>2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3</v>
      </c>
      <c r="CG5" s="85">
        <f>CE22</f>
        <v>2</v>
      </c>
      <c r="CQ5">
        <v>19</v>
      </c>
      <c r="CR5">
        <f>AC3</f>
        <v>2</v>
      </c>
      <c r="CS5">
        <f>AD3</f>
        <v>4</v>
      </c>
      <c r="CT5" s="85">
        <f>CR22</f>
        <v>3</v>
      </c>
      <c r="CU5" s="85">
        <f>CS22</f>
        <v>5</v>
      </c>
      <c r="CV5" s="61"/>
      <c r="CW5" s="61"/>
      <c r="CX5">
        <v>19</v>
      </c>
      <c r="CY5">
        <f>CR5</f>
        <v>2</v>
      </c>
      <c r="CZ5">
        <f>CS5</f>
        <v>4</v>
      </c>
      <c r="DA5" s="85">
        <f>CY22</f>
        <v>3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0</v>
      </c>
      <c r="AA6" s="9">
        <v>2</v>
      </c>
      <c r="AB6" s="9">
        <v>1</v>
      </c>
      <c r="AC6" s="85">
        <f>Y6+Z6</f>
        <v>1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4</v>
      </c>
      <c r="BY6" s="85">
        <f>BW21</f>
        <v>3</v>
      </c>
      <c r="BZ6" s="85">
        <f>BX21</f>
        <v>1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4</v>
      </c>
      <c r="CF6" s="85">
        <f>CD21</f>
        <v>3</v>
      </c>
      <c r="CG6" s="85">
        <f>CE21</f>
        <v>1</v>
      </c>
      <c r="CQ6">
        <v>18</v>
      </c>
      <c r="CR6">
        <f>AC4</f>
        <v>4</v>
      </c>
      <c r="CS6">
        <f>AD4</f>
        <v>2</v>
      </c>
      <c r="CT6" s="85">
        <f>CR21</f>
        <v>3</v>
      </c>
      <c r="CU6" s="85">
        <f>CS21</f>
        <v>4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3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Mallorca - Levante</v>
      </c>
      <c r="C7" s="114">
        <f>Y41</f>
        <v>0.375</v>
      </c>
      <c r="D7" s="114" t="str">
        <f>BH36</f>
        <v>2</v>
      </c>
      <c r="E7" s="114" t="str">
        <f>BI36</f>
        <v>1X2</v>
      </c>
      <c r="F7" s="114">
        <f>Z41</f>
        <v>43.75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81.25</v>
      </c>
      <c r="K7" s="114">
        <f>AE41</f>
        <v>18.75</v>
      </c>
      <c r="L7" s="115">
        <f>AF39</f>
        <v>62.5</v>
      </c>
      <c r="M7" s="114">
        <f>AH39</f>
        <v>50</v>
      </c>
      <c r="N7" s="114">
        <f>AI39</f>
        <v>25</v>
      </c>
      <c r="O7" s="116">
        <f>C22</f>
        <v>12</v>
      </c>
      <c r="P7" s="117">
        <f>E22</f>
        <v>11</v>
      </c>
      <c r="Q7" s="116">
        <f>G22</f>
        <v>21</v>
      </c>
      <c r="R7" s="116">
        <f>D26</f>
        <v>50</v>
      </c>
      <c r="S7" s="118">
        <f>E26</f>
        <v>3</v>
      </c>
      <c r="U7" s="84">
        <f>U6+1</f>
        <v>6</v>
      </c>
      <c r="V7" t="s">
        <v>56</v>
      </c>
      <c r="W7" t="s">
        <v>22</v>
      </c>
      <c r="X7" t="s">
        <v>35</v>
      </c>
      <c r="Y7" s="9">
        <v>0</v>
      </c>
      <c r="Z7" s="9">
        <v>1</v>
      </c>
      <c r="AA7" s="9">
        <v>2</v>
      </c>
      <c r="AB7" s="9">
        <v>1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1</v>
      </c>
      <c r="BY7" s="85">
        <f>BW20</f>
        <v>1</v>
      </c>
      <c r="BZ7" s="85">
        <f>BX20</f>
        <v>1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3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1</v>
      </c>
      <c r="CS7">
        <f>AD5</f>
        <v>3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1</v>
      </c>
      <c r="CZ7">
        <f>CS7</f>
        <v>3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36</v>
      </c>
      <c r="X8" t="s">
        <v>58</v>
      </c>
      <c r="Y8" s="9">
        <v>4</v>
      </c>
      <c r="Z8" s="9">
        <v>1</v>
      </c>
      <c r="AA8" s="9">
        <v>2</v>
      </c>
      <c r="AB8" s="9">
        <v>0</v>
      </c>
      <c r="AC8" s="85">
        <f>Y8+Z8</f>
        <v>5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0</v>
      </c>
      <c r="BY8" s="85">
        <f>BW19</f>
        <v>1</v>
      </c>
      <c r="BZ8" s="85">
        <f>BX19</f>
        <v>2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1</v>
      </c>
      <c r="CG8" s="85">
        <f>CE19</f>
        <v>2</v>
      </c>
      <c r="CQ8">
        <v>16</v>
      </c>
      <c r="CR8">
        <f>AC6</f>
        <v>1</v>
      </c>
      <c r="CS8">
        <f>AD6</f>
        <v>3</v>
      </c>
      <c r="CT8" s="85">
        <f>CR19</f>
        <v>2</v>
      </c>
      <c r="CU8" s="85">
        <f>CS19</f>
        <v>1</v>
      </c>
      <c r="CV8" s="61"/>
      <c r="CW8" s="61"/>
      <c r="CX8">
        <v>16</v>
      </c>
      <c r="CY8">
        <f>CR8</f>
        <v>1</v>
      </c>
      <c r="CZ8">
        <f>CS8</f>
        <v>3</v>
      </c>
      <c r="DA8" s="85">
        <f>CY19</f>
        <v>2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61</v>
      </c>
      <c r="Y9" s="9">
        <v>0</v>
      </c>
      <c r="Z9" s="9">
        <v>2</v>
      </c>
      <c r="AA9" s="9">
        <v>3</v>
      </c>
      <c r="AB9" s="9">
        <v>1</v>
      </c>
      <c r="AC9" s="85">
        <f>Y9+Z9</f>
        <v>2</v>
      </c>
      <c r="AD9" s="85">
        <f>AA9+AB9</f>
        <v>4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20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15</v>
      </c>
      <c r="BO9" s="99">
        <f>(BM6/BM7)*100</f>
        <v>25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1</v>
      </c>
      <c r="CS9">
        <f>AD7</f>
        <v>3</v>
      </c>
      <c r="CT9" s="85">
        <f>CR18</f>
        <v>0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0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1</v>
      </c>
      <c r="Z10" s="9">
        <v>2</v>
      </c>
      <c r="AA10" s="9">
        <v>1</v>
      </c>
      <c r="AB10" s="9">
        <v>1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2</v>
      </c>
      <c r="BZ10" s="85">
        <f>BX17</f>
        <v>2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2</v>
      </c>
      <c r="CG10" s="85">
        <f>CE17</f>
        <v>2</v>
      </c>
      <c r="CQ10">
        <v>14</v>
      </c>
      <c r="CR10">
        <f>AC8</f>
        <v>5</v>
      </c>
      <c r="CS10">
        <f>AD8</f>
        <v>2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5</v>
      </c>
      <c r="CZ10">
        <f>CS10</f>
        <v>2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55</v>
      </c>
      <c r="X11" t="s">
        <v>66</v>
      </c>
      <c r="Y11" s="9">
        <v>3</v>
      </c>
      <c r="Z11" s="9">
        <v>1</v>
      </c>
      <c r="AA11" s="9">
        <v>2</v>
      </c>
      <c r="AB11" s="9">
        <v>1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2</v>
      </c>
      <c r="BY11" s="85">
        <f>BW16</f>
        <v>4</v>
      </c>
      <c r="BZ11" s="85">
        <f>BX16</f>
        <v>0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3</v>
      </c>
      <c r="CE11">
        <f>BX11</f>
        <v>2</v>
      </c>
      <c r="CF11" s="85">
        <f>CD16</f>
        <v>4</v>
      </c>
      <c r="CG11" s="85">
        <f>CE16</f>
        <v>0</v>
      </c>
      <c r="CQ11">
        <v>13</v>
      </c>
      <c r="CR11">
        <f>AC9</f>
        <v>2</v>
      </c>
      <c r="CS11">
        <f>AD9</f>
        <v>4</v>
      </c>
      <c r="CT11" s="85">
        <f>CR16</f>
        <v>2</v>
      </c>
      <c r="CU11" s="85">
        <f>CS16</f>
        <v>4</v>
      </c>
      <c r="CV11" s="61"/>
      <c r="CW11" s="61"/>
      <c r="CX11">
        <v>13</v>
      </c>
      <c r="CY11">
        <f>CR11</f>
        <v>2</v>
      </c>
      <c r="CZ11">
        <f>CS11</f>
        <v>4</v>
      </c>
      <c r="DA11" s="85">
        <f>CY16</f>
        <v>2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58</v>
      </c>
      <c r="X12" t="s">
        <v>68</v>
      </c>
      <c r="Y12" s="9">
        <v>2</v>
      </c>
      <c r="Z12" s="9">
        <v>2</v>
      </c>
      <c r="AA12" s="9">
        <v>0</v>
      </c>
      <c r="AB12" s="9">
        <v>5</v>
      </c>
      <c r="AC12" s="85">
        <f>Y12+Z12</f>
        <v>4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1</v>
      </c>
      <c r="CG12" s="85">
        <f>CE15</f>
        <v>0</v>
      </c>
      <c r="CQ12">
        <v>12</v>
      </c>
      <c r="CR12">
        <f>AC10</f>
        <v>3</v>
      </c>
      <c r="CS12">
        <f>AD10</f>
        <v>2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71</v>
      </c>
      <c r="Y13" s="9">
        <v>1</v>
      </c>
      <c r="Z13" s="9">
        <v>0</v>
      </c>
      <c r="AA13" s="9">
        <v>1</v>
      </c>
      <c r="AB13" s="9">
        <v>2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2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2</v>
      </c>
      <c r="CQ13">
        <v>11</v>
      </c>
      <c r="CR13">
        <f>AC11</f>
        <v>4</v>
      </c>
      <c r="CS13">
        <f>AD11</f>
        <v>3</v>
      </c>
      <c r="CT13" s="85">
        <f>CR14</f>
        <v>4</v>
      </c>
      <c r="CU13" s="85">
        <f>CS14</f>
        <v>5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4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27</v>
      </c>
      <c r="X14" t="s">
        <v>42</v>
      </c>
      <c r="Y14" s="9">
        <v>2</v>
      </c>
      <c r="Z14" s="9">
        <v>0</v>
      </c>
      <c r="AA14" s="9">
        <v>4</v>
      </c>
      <c r="AB14" s="9">
        <v>0</v>
      </c>
      <c r="AC14" s="85">
        <f>Y14+Z14</f>
        <v>2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2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2</v>
      </c>
      <c r="CC14">
        <v>10</v>
      </c>
      <c r="CD14">
        <f>BW14</f>
        <v>0</v>
      </c>
      <c r="CE14">
        <f>BX14</f>
        <v>2</v>
      </c>
      <c r="CF14" s="85">
        <f>CD13</f>
        <v>2</v>
      </c>
      <c r="CG14" s="85">
        <f>CE13</f>
        <v>1</v>
      </c>
      <c r="CQ14">
        <v>10</v>
      </c>
      <c r="CR14">
        <f>AC12</f>
        <v>4</v>
      </c>
      <c r="CS14">
        <f>AD12</f>
        <v>5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4</v>
      </c>
      <c r="CZ14">
        <f>CS14</f>
        <v>5</v>
      </c>
      <c r="DA14" s="85">
        <f>CY13</f>
        <v>4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25.001</v>
      </c>
      <c r="O15" s="129">
        <f>BE36</f>
        <v>50.001</v>
      </c>
      <c r="U15" s="84">
        <f>U14+1</f>
        <v>14</v>
      </c>
      <c r="V15" t="s">
        <v>73</v>
      </c>
      <c r="W15" t="s">
        <v>66</v>
      </c>
      <c r="X15" t="s">
        <v>74</v>
      </c>
      <c r="Y15" s="9">
        <v>0</v>
      </c>
      <c r="Z15" s="9">
        <v>2</v>
      </c>
      <c r="AA15" s="9">
        <v>2</v>
      </c>
      <c r="AB15" s="9">
        <v>1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2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2</v>
      </c>
      <c r="CI15">
        <f>TREND(BW4:BW23,BX4:BX23,,BW4)</f>
        <v>0.79166666666667</v>
      </c>
      <c r="CQ15">
        <v>9</v>
      </c>
      <c r="CR15">
        <f>AC13</f>
        <v>1</v>
      </c>
      <c r="CS15">
        <f>AD13</f>
        <v>3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20</v>
      </c>
      <c r="O16" s="129">
        <f>BE37</f>
        <v>45</v>
      </c>
      <c r="U16" s="84">
        <f>U15+1</f>
        <v>15</v>
      </c>
      <c r="V16" t="s">
        <v>77</v>
      </c>
      <c r="W16" t="s">
        <v>74</v>
      </c>
      <c r="X16" t="s">
        <v>78</v>
      </c>
      <c r="Y16" s="9">
        <v>0</v>
      </c>
      <c r="Z16" s="9">
        <v>0</v>
      </c>
      <c r="AA16" s="9">
        <v>1</v>
      </c>
      <c r="AB16" s="9">
        <v>2</v>
      </c>
      <c r="AC16" s="85">
        <f>Y16+Z16</f>
        <v>0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4</v>
      </c>
      <c r="BX16">
        <f>Z14</f>
        <v>0</v>
      </c>
      <c r="BY16" s="85">
        <f>BW11</f>
        <v>3</v>
      </c>
      <c r="BZ16" s="85">
        <f>BX11</f>
        <v>2</v>
      </c>
      <c r="CA16" s="61" t="str">
        <f>IF((BW16&gt;=3),"M",BW16)</f>
        <v>M</v>
      </c>
      <c r="CB16" s="61">
        <f>IF((BX16&gt;=3),"M",BX16)</f>
        <v>0</v>
      </c>
      <c r="CC16">
        <v>8</v>
      </c>
      <c r="CD16">
        <f>BW16</f>
        <v>4</v>
      </c>
      <c r="CE16">
        <f>BX16</f>
        <v>0</v>
      </c>
      <c r="CF16" s="85">
        <f>CD11</f>
        <v>3</v>
      </c>
      <c r="CG16" s="85">
        <f>CE11</f>
        <v>2</v>
      </c>
      <c r="CI16">
        <f>TREND(BW4:BW23,BX4:BX23,,BW7)</f>
        <v>1.7291666666667</v>
      </c>
      <c r="CQ16">
        <v>8</v>
      </c>
      <c r="CR16">
        <f>AC14</f>
        <v>2</v>
      </c>
      <c r="CS16">
        <f>AD14</f>
        <v>4</v>
      </c>
      <c r="CT16" s="85">
        <f>CR11</f>
        <v>2</v>
      </c>
      <c r="CU16" s="85">
        <f>CS11</f>
        <v>4</v>
      </c>
      <c r="CV16" s="61"/>
      <c r="CW16" s="61"/>
      <c r="CX16">
        <v>8</v>
      </c>
      <c r="CY16">
        <f>CR16</f>
        <v>2</v>
      </c>
      <c r="CZ16">
        <f>CS16</f>
        <v>4</v>
      </c>
      <c r="DA16" s="85">
        <f>CY11</f>
        <v>2</v>
      </c>
      <c r="DB16" s="85">
        <f>CZ11</f>
        <v>4</v>
      </c>
      <c r="DG16" s="135" t="s">
        <v>79</v>
      </c>
      <c r="DH16" s="136">
        <f>VLOOKUP(1,DE3:DJ11,6,FALSE)</f>
        <v>50</v>
      </c>
      <c r="DI16" s="136">
        <f>VLOOKUP(2,DE3:DJ11,6,FALSE)</f>
        <v>25</v>
      </c>
      <c r="DJ16" s="137">
        <f>VLOOKUP(3,DE3:DJ11,6,FALSE)</f>
        <v>12.5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60</v>
      </c>
      <c r="N17" s="129">
        <f>BD38</f>
        <v>15</v>
      </c>
      <c r="O17" s="129">
        <f>BE38</f>
        <v>25</v>
      </c>
      <c r="U17" s="84">
        <f>U16+1</f>
        <v>16</v>
      </c>
      <c r="V17" t="s">
        <v>84</v>
      </c>
      <c r="W17" t="s">
        <v>85</v>
      </c>
      <c r="X17" t="s">
        <v>61</v>
      </c>
      <c r="Y17" s="9">
        <v>0</v>
      </c>
      <c r="Z17" s="9">
        <v>2</v>
      </c>
      <c r="AA17" s="9">
        <v>1</v>
      </c>
      <c r="AB17" s="9">
        <v>0</v>
      </c>
      <c r="AC17" s="85">
        <f>Y17+Z17</f>
        <v>2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2</v>
      </c>
      <c r="BZ17" s="85">
        <f>BX10</f>
        <v>1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2</v>
      </c>
      <c r="CG17" s="85">
        <f>CE10</f>
        <v>1</v>
      </c>
      <c r="CI17">
        <f>TREND(BW4:BW23,BX4:BX23,,BW11)</f>
        <v>1.7291666666667</v>
      </c>
      <c r="CQ17">
        <v>7</v>
      </c>
      <c r="CR17">
        <f>AC15</f>
        <v>2</v>
      </c>
      <c r="CS17">
        <f>AD15</f>
        <v>3</v>
      </c>
      <c r="CT17" s="85">
        <f>CR10</f>
        <v>5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5</v>
      </c>
      <c r="DB17" s="85">
        <f>CZ10</f>
        <v>2</v>
      </c>
      <c r="DE17" s="131"/>
      <c r="DF17" s="131"/>
    </row>
    <row r="18" spans="1:122">
      <c r="A18" s="84">
        <f>A1</f>
        <v>2</v>
      </c>
      <c r="B18" s="61" t="str">
        <f>B1</f>
        <v>Mallorca - Levante</v>
      </c>
      <c r="C18" s="115">
        <f>W39</f>
        <v>6</v>
      </c>
      <c r="D18" s="143">
        <f>AA68</f>
        <v>-0.021052631578947</v>
      </c>
      <c r="E18">
        <f>Y41</f>
        <v>0.375</v>
      </c>
      <c r="F18" s="115" t="str">
        <f>W41</f>
        <v>2</v>
      </c>
      <c r="G18" s="115">
        <f>AH68</f>
        <v>1</v>
      </c>
      <c r="H18" s="115" t="str">
        <f>AG39</f>
        <v>X</v>
      </c>
      <c r="I18" s="115" t="str">
        <f>BH36</f>
        <v>2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40.000333333333</v>
      </c>
      <c r="N18" s="129">
        <f>BD39</f>
        <v>20.000333333333</v>
      </c>
      <c r="O18" s="129">
        <f>BE39</f>
        <v>40.000333333333</v>
      </c>
      <c r="U18" s="84">
        <f>U17+1</f>
        <v>17</v>
      </c>
      <c r="V18" t="s">
        <v>86</v>
      </c>
      <c r="W18" t="s">
        <v>78</v>
      </c>
      <c r="X18" t="s">
        <v>26</v>
      </c>
      <c r="Y18" s="9">
        <v>0</v>
      </c>
      <c r="Z18" s="9">
        <v>1</v>
      </c>
      <c r="AA18" s="9">
        <v>1</v>
      </c>
      <c r="AB18" s="9">
        <v>2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2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2</v>
      </c>
      <c r="CG18" s="85">
        <f>CE9</f>
        <v>1</v>
      </c>
      <c r="CI18">
        <f>TREND(BW4:BW23,BX4:BX23,,BW19)</f>
        <v>1.7291666666667</v>
      </c>
      <c r="CQ18">
        <v>6</v>
      </c>
      <c r="CR18">
        <f>AC16</f>
        <v>0</v>
      </c>
      <c r="CS18">
        <f>AD16</f>
        <v>3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0</v>
      </c>
      <c r="CZ18">
        <f>CS18</f>
        <v>3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43</v>
      </c>
      <c r="X19" t="s">
        <v>63</v>
      </c>
      <c r="Y19" s="9">
        <v>2</v>
      </c>
      <c r="Z19" s="9">
        <v>1</v>
      </c>
      <c r="AA19" s="9">
        <v>3</v>
      </c>
      <c r="AB19" s="9">
        <v>1</v>
      </c>
      <c r="AC19" s="85">
        <f>Y19+Z19</f>
        <v>3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2</v>
      </c>
      <c r="BZ19" s="85">
        <f>BX8</f>
        <v>0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2</v>
      </c>
      <c r="CG19" s="85">
        <f>CE8</f>
        <v>0</v>
      </c>
      <c r="CQ19">
        <v>5</v>
      </c>
      <c r="CR19">
        <f>AC17</f>
        <v>2</v>
      </c>
      <c r="CS19">
        <f>AD17</f>
        <v>1</v>
      </c>
      <c r="CT19" s="85">
        <f>CR8</f>
        <v>1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1</v>
      </c>
      <c r="DA19" s="85">
        <f>CY8</f>
        <v>1</v>
      </c>
      <c r="DB19" s="85">
        <f>CZ8</f>
        <v>3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8</v>
      </c>
      <c r="X20" t="s">
        <v>70</v>
      </c>
      <c r="Y20" s="9">
        <v>1</v>
      </c>
      <c r="Z20" s="9">
        <v>2</v>
      </c>
      <c r="AA20" s="9">
        <v>3</v>
      </c>
      <c r="AB20" s="9">
        <v>2</v>
      </c>
      <c r="AC20" s="85">
        <f>Y20+Z20</f>
        <v>3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3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3</v>
      </c>
      <c r="CG20" s="85">
        <f>CE7</f>
        <v>1</v>
      </c>
      <c r="CQ20">
        <v>4</v>
      </c>
      <c r="CR20">
        <f>AC18</f>
        <v>1</v>
      </c>
      <c r="CS20">
        <f>AD18</f>
        <v>3</v>
      </c>
      <c r="CT20" s="85">
        <f>CR7</f>
        <v>1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1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42</v>
      </c>
      <c r="X21" t="s">
        <v>54</v>
      </c>
      <c r="Y21" s="9">
        <v>0</v>
      </c>
      <c r="Z21" s="9">
        <v>0</v>
      </c>
      <c r="AA21" s="9">
        <v>1</v>
      </c>
      <c r="AB21" s="9">
        <v>0</v>
      </c>
      <c r="AC21" s="85">
        <f>Y21+Z21</f>
        <v>0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1</v>
      </c>
      <c r="BY21" s="85">
        <f>BW6</f>
        <v>1</v>
      </c>
      <c r="BZ21" s="85">
        <f>BX6</f>
        <v>4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3</v>
      </c>
      <c r="CE21">
        <f>BX21</f>
        <v>1</v>
      </c>
      <c r="CF21" s="85">
        <f>CD6</f>
        <v>1</v>
      </c>
      <c r="CG21" s="85">
        <f>CE6</f>
        <v>4</v>
      </c>
      <c r="CQ21">
        <v>3</v>
      </c>
      <c r="CR21">
        <f>AC19</f>
        <v>3</v>
      </c>
      <c r="CS21">
        <f>AD19</f>
        <v>4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3</v>
      </c>
      <c r="CZ21">
        <f>CS21</f>
        <v>4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2</v>
      </c>
      <c r="B22" s="61" t="str">
        <f>B1</f>
        <v>Mallorca - Levante</v>
      </c>
      <c r="C22" s="115">
        <f>BF42</f>
        <v>12</v>
      </c>
      <c r="D22" s="61">
        <f>BF43</f>
        <v>25.01</v>
      </c>
      <c r="E22" s="154">
        <f>BG42</f>
        <v>11</v>
      </c>
      <c r="F22" s="115">
        <f>BG43</f>
        <v>25.01</v>
      </c>
      <c r="G22" s="115">
        <f>BH42</f>
        <v>21</v>
      </c>
      <c r="H22" s="61">
        <f>BH43</f>
        <v>25.01</v>
      </c>
      <c r="I22" s="115" t="str">
        <f>BI42</f>
        <v>01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25.001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2</v>
      </c>
      <c r="BY22" s="85">
        <f>BW5</f>
        <v>1</v>
      </c>
      <c r="BZ22" s="85">
        <f>BX5</f>
        <v>1</v>
      </c>
      <c r="CA22" s="61" t="str">
        <f>IF((BW22&gt;=3),"M",BW22)</f>
        <v>M</v>
      </c>
      <c r="CB22" s="61">
        <f>IF((BX22&gt;=3),"M",BX22)</f>
        <v>2</v>
      </c>
      <c r="CC22">
        <v>2</v>
      </c>
      <c r="CD22">
        <f>BW22</f>
        <v>3</v>
      </c>
      <c r="CE22">
        <f>BX22</f>
        <v>2</v>
      </c>
      <c r="CF22" s="85">
        <f>CD5</f>
        <v>1</v>
      </c>
      <c r="CG22" s="85">
        <f>CE5</f>
        <v>1</v>
      </c>
      <c r="CQ22">
        <v>2</v>
      </c>
      <c r="CR22">
        <f>AC20</f>
        <v>3</v>
      </c>
      <c r="CS22">
        <f>AD20</f>
        <v>5</v>
      </c>
      <c r="CT22" s="85">
        <f>CR5</f>
        <v>2</v>
      </c>
      <c r="CU22" s="85">
        <f>CS5</f>
        <v>4</v>
      </c>
      <c r="CV22" s="61"/>
      <c r="CW22" s="61"/>
      <c r="CX22">
        <v>2</v>
      </c>
      <c r="CY22">
        <f>CR22</f>
        <v>3</v>
      </c>
      <c r="CZ22">
        <f>CS22</f>
        <v>5</v>
      </c>
      <c r="DA22" s="85">
        <f>CY5</f>
        <v>2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Mallorca-Levante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Mallorca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0</v>
      </c>
      <c r="BZ23" s="85">
        <f>BX4</f>
        <v>1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0</v>
      </c>
      <c r="CG23" s="85">
        <f>CE4</f>
        <v>1</v>
      </c>
      <c r="CQ23">
        <v>1</v>
      </c>
      <c r="CR23">
        <f>AC21</f>
        <v>0</v>
      </c>
      <c r="CS23">
        <f>AD21</f>
        <v>1</v>
      </c>
      <c r="CT23" s="85">
        <f>CR4</f>
        <v>6</v>
      </c>
      <c r="CU23" s="85">
        <f>CS4</f>
        <v>0</v>
      </c>
      <c r="CV23" s="61"/>
      <c r="CW23" s="61"/>
      <c r="CX23">
        <v>1</v>
      </c>
      <c r="CY23">
        <f>CR23</f>
        <v>0</v>
      </c>
      <c r="CZ23">
        <f>CS23</f>
        <v>1</v>
      </c>
      <c r="DA23" s="85">
        <f>CY4</f>
        <v>6</v>
      </c>
      <c r="DB23" s="85">
        <f>CZ4</f>
        <v>0</v>
      </c>
    </row>
    <row r="24" spans="1:122">
      <c r="A24" s="133"/>
      <c r="B24" s="80" t="s">
        <v>99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Mallorca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Levante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4</v>
      </c>
      <c r="AX24" s="161" t="str">
        <f>V23</f>
        <v>Mallorca-Levante</v>
      </c>
      <c r="AY24" s="162">
        <f>((AS9+BM9)/(AS9+AT9+AU9+BM9+BN9+BO9))*100</f>
        <v>47.5</v>
      </c>
      <c r="AZ24" s="162">
        <f>((AT9+BN9)/(AS9+AT9+AU9+BM9+BN9+BO9))*100</f>
        <v>17.5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1.875</v>
      </c>
      <c r="BX24">
        <f>IF(FORECAST(BX4,BX4:BX23,BW4:BW23)&lt;=0,0,FORECAST(BX4,BX4:BX23,BW4:BW23))</f>
        <v>1.2882882882883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1.3842105263158</v>
      </c>
      <c r="CE24" s="164">
        <f>IF(FORECAST(CC24,CE4:CE23,CC4:CC23)&lt;=0,0,FORECAST(CC24,CE4:CE23,CC4:CC23))</f>
        <v>1.5315789473684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1.7358490566038</v>
      </c>
      <c r="CS24">
        <f>IF(FORECAST(CS4,CS4:CS23,CR4:CR23)&lt;=0,0,FORECAST(CS4,CS4:CS23,CR4:CR23))</f>
        <v>3.1928783382789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3.4315789473684</v>
      </c>
      <c r="CZ24" s="164">
        <f>IF(FORECAST(CX24,CZ4:CZ23,CX4:CX23)&lt;=0,0,FORECAST(CX24,CZ4:CZ23,CX4:CX23))</f>
        <v>2.4578947368421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6</v>
      </c>
      <c r="BW25">
        <f>IF(FORECAST(BW7,BW4:BW23,BX4:BX23)&lt;=0,0,FORECAST(BW7,BW4:BW23,BX4:BX23))</f>
        <v>1.4375</v>
      </c>
      <c r="BX25">
        <f>IF(FORECAST(BX5,BX5:BX24,BW5:BW24)&lt;=0,0,FORECAST(BX5,BX5:BX24,BW5:BW24))</f>
        <v>1.3449432066284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1.425</v>
      </c>
      <c r="CE25" s="164">
        <f>IF(FORECAST(CC24,CE4:CE19,CC4:CC19)&lt;=0,0,FORECAST(CC24,CE4:CE19,CC4:CC19))</f>
        <v>1.55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2.7264150943396</v>
      </c>
      <c r="CS25">
        <f>IF(FORECAST(CS7,CS4:CS23,CR4:CR23)&lt;=0,0,FORECAST(CS7,CS4:CS23,CR4:CR23))</f>
        <v>2.8189910979228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3.575</v>
      </c>
      <c r="CZ25" s="164">
        <f>IF(FORECAST(CX24,CZ4:CZ19,CX4:CX19)&lt;=0,0,FORECAST(CX24,CZ4:CZ19,CX4:CX19))</f>
        <v>2.4</v>
      </c>
      <c r="DA25">
        <f>ROUND(CY25,0)</f>
        <v>4</v>
      </c>
      <c r="DB25">
        <f>ROUND(CZ25,0)</f>
        <v>2</v>
      </c>
    </row>
    <row r="26" spans="1:122">
      <c r="A26" s="84">
        <f>A1</f>
        <v>2</v>
      </c>
      <c r="B26" s="61" t="str">
        <f>B1</f>
        <v>Mallorca - Levante</v>
      </c>
      <c r="C26" s="115" t="str">
        <f>"+2,5"</f>
        <v>+2,5</v>
      </c>
      <c r="D26">
        <f>BR46</f>
        <v>50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5-1</v>
      </c>
      <c r="Z26" t="str">
        <f>Y3&amp;"-"&amp;Z3</f>
        <v>1-1</v>
      </c>
      <c r="AA26" t="str">
        <f>Y4&amp;"-"&amp;Z4</f>
        <v>0-4</v>
      </c>
      <c r="AB26" t="str">
        <f>Y5&amp;"-"&amp;Z5</f>
        <v>0-1</v>
      </c>
      <c r="AC26" t="str">
        <f>Y6&amp;"-"&amp;Z6</f>
        <v>1-0</v>
      </c>
      <c r="AD26" t="str">
        <f>Y7&amp;"-"&amp;Z7</f>
        <v>0-1</v>
      </c>
      <c r="AE26" t="str">
        <f>Y8&amp;"-"&amp;Z8</f>
        <v>4-1</v>
      </c>
      <c r="AF26" t="str">
        <f>Y9&amp;"-"&amp;Z9</f>
        <v>0-2</v>
      </c>
      <c r="AG26" t="str">
        <f>Y10&amp;"-"&amp;Z10</f>
        <v>1-2</v>
      </c>
      <c r="AH26" t="str">
        <f>Y11&amp;"-"&amp;Z11</f>
        <v>3-1</v>
      </c>
      <c r="AR26" s="166"/>
      <c r="AS26" s="131">
        <v>2</v>
      </c>
      <c r="AT26">
        <f>COUNTIF($AA$2:$AA$17,AS26)</f>
        <v>5</v>
      </c>
      <c r="AU26">
        <f>COUNTIF($Z$2:$Z$17,AS26)</f>
        <v>5</v>
      </c>
      <c r="BW26">
        <f>IF(FORECAST(BW11,BW4:BW23,BX4:BX23)&lt;=0,0,FORECAST(BW11,BW4:BW23,BX4:BX23))</f>
        <v>1.4375</v>
      </c>
      <c r="BX26">
        <f>IF(FORECAST(BX6,BX6:BX25,BW6:BW25)&lt;=0,0,FORECAST(BX6,BX6:BX25,BW6:BW25))</f>
        <v>0.83631597179886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0.25</v>
      </c>
      <c r="CE26" s="164">
        <f>IF(FORECAST(CC24,CE4:CE11,CC4:CC11)&lt;=0,0,FORECAST(CC24,CE4:CE11,CC4:CC11))</f>
        <v>1.5357142857143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2.5283018867925</v>
      </c>
      <c r="CS26">
        <f>IF(FORECAST(CS11,CS4:CS23,CR4:CR23)&lt;=0,0,FORECAST(CS11,CS4:CS23,CR4:CR23))</f>
        <v>2.6943620178042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3.9285714285714</v>
      </c>
      <c r="CZ26" s="164">
        <f>IF(FORECAST(CX24,CZ4:CZ11,CX4:CX11)&lt;=0,0,FORECAST(CX24,CZ4:CZ11,CX4:CX11))</f>
        <v>1.5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Mallorca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1.7291666666667</v>
      </c>
      <c r="BX27">
        <f>IF(FORECAST(BX7,BX7:BX26,BW7:BW26)&lt;=0,0,FORECAST(BX7,BX7:BX26,BW7:BW26))</f>
        <v>1.1150370330116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2.5283018867925</v>
      </c>
      <c r="CS27">
        <f>IF(FORECAST(CS19,CS4:CS23,CR4:CR23)&lt;=0,0,FORECAST(CS19,CS4:CS23,CR4:CR23))</f>
        <v>3.0682492581602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6.5</v>
      </c>
      <c r="CZ27" s="164">
        <f>IF(FORECAST(CX24,CZ4:CZ7,CX4:CX7)&lt;=0,0,FORECAST(CX24,CZ4:CZ7,CX4:CX7))</f>
        <v>0.5</v>
      </c>
      <c r="DA27">
        <f>ROUND(CY27,0)</f>
        <v>7</v>
      </c>
      <c r="DB27">
        <f>ROUND(CZ27,0)</f>
        <v>1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( 18)  vrs  AW ( 12 )</v>
      </c>
      <c r="BD28" s="173">
        <f>W35</f>
        <v>18</v>
      </c>
      <c r="BE28" s="174">
        <f>W36</f>
        <v>12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Mallorca-Levante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02</v>
      </c>
      <c r="CG28" s="61" t="str">
        <f>CONCATENATE(CH27,CI27)</f>
        <v>01</v>
      </c>
      <c r="CQ28" s="177" t="s">
        <v>106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4</v>
      </c>
      <c r="DB28" s="179">
        <f>DA26</f>
        <v>4</v>
      </c>
      <c r="DC28" s="179">
        <f>DA27</f>
        <v>7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107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Mallorca-Levante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02</v>
      </c>
      <c r="CG29" s="61" t="str">
        <f>CONCATENATE(CF27,CG27)</f>
        <v>01</v>
      </c>
      <c r="CI29" s="61"/>
      <c r="CR29" s="183">
        <v>2.0</v>
      </c>
      <c r="CS29" s="184">
        <v>3.0</v>
      </c>
      <c r="CT29" s="184">
        <v>4.0</v>
      </c>
      <c r="CU29" s="184">
        <v>7.0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Mallorca - Levante</v>
      </c>
      <c r="C30" s="186">
        <f>W39</f>
        <v>6</v>
      </c>
      <c r="D30" s="115" t="str">
        <f>W41</f>
        <v>2</v>
      </c>
      <c r="E30" s="61" t="str">
        <f>BH36</f>
        <v>2</v>
      </c>
      <c r="F30" s="61" t="str">
        <f>BI36</f>
        <v>1X2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1 2</v>
      </c>
      <c r="L30" s="144" t="str">
        <f>BI39</f>
        <v>12</v>
      </c>
      <c r="M30" s="61"/>
      <c r="V30" s="12"/>
      <c r="W30" s="182"/>
      <c r="Y30" t="str">
        <f>AA2&amp;"-"&amp;AB2</f>
        <v>0-0</v>
      </c>
      <c r="Z30" t="str">
        <f>AA3&amp;"-"&amp;AB3</f>
        <v>1-3</v>
      </c>
      <c r="AA30" t="str">
        <f>AA4&amp;"-"&amp;AB4</f>
        <v>1-1</v>
      </c>
      <c r="AB30" t="str">
        <f>AA5&amp;"-"&amp;AB5</f>
        <v>3-0</v>
      </c>
      <c r="AC30" t="str">
        <f>AA6&amp;"-"&amp;AB6</f>
        <v>2-1</v>
      </c>
      <c r="AD30" t="str">
        <f>AA7&amp;"-"&amp;AB7</f>
        <v>2-1</v>
      </c>
      <c r="AE30" t="str">
        <f>AA8&amp;"-"&amp;AB8</f>
        <v>2-0</v>
      </c>
      <c r="AF30" t="str">
        <f>AA9&amp;"-"&amp;AB9</f>
        <v>3-1</v>
      </c>
      <c r="AG30" t="str">
        <f>AA10&amp;"-"&amp;AB10</f>
        <v>1-1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Mallorca-Levante</v>
      </c>
      <c r="BV30" t="s">
        <v>83</v>
      </c>
      <c r="BW30" t="str">
        <f>BW28</f>
        <v>21</v>
      </c>
      <c r="BX30">
        <f>IF(FORECAST(BX10,BX10:BX29,BW10:BW29)&lt;=0,0,FORECAST(BX10,BX10:BX29,BW10:BW29))</f>
        <v>1.1670656269827</v>
      </c>
      <c r="BY30" t="str">
        <f>BY28</f>
        <v>11</v>
      </c>
      <c r="BZ30" t="str">
        <f>BZ28</f>
        <v>21</v>
      </c>
      <c r="CA30" t="str">
        <f>CD28</f>
        <v>12</v>
      </c>
      <c r="CB30" t="str">
        <f>CE28</f>
        <v>12</v>
      </c>
      <c r="CC30" t="str">
        <f>CF28</f>
        <v>02</v>
      </c>
      <c r="CD30" t="str">
        <f>CG28</f>
        <v>01</v>
      </c>
      <c r="CE30" s="21"/>
      <c r="CF30" s="187">
        <v>21</v>
      </c>
      <c r="CG30" s="187">
        <v>1.1670656269827</v>
      </c>
      <c r="CH30" s="187">
        <v>11</v>
      </c>
      <c r="CI30" s="187">
        <v>12</v>
      </c>
      <c r="CJ30" s="187" t="s">
        <v>110</v>
      </c>
      <c r="CK30" s="187" t="s">
        <v>111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Levante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Mallorca-Levante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1::X::X::1::: GolRange ofmnmx→ 2-3; and ResuExact of →21::11::11::21:::; and ResuSigno of →21::11::11::21; and nº of goles→ ::3::2::2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2::2::2::2::: GolRange ofmnmx→ 1-3; and ResuExact of →12::12::02::01:::; and ResuSigno of →12::12::02::01; and nº of goles→ ::3::3::2</v>
      </c>
      <c r="CQ31" s="177" t="s">
        <v>106</v>
      </c>
      <c r="CR31" s="178">
        <f>BX38</f>
        <v>3</v>
      </c>
      <c r="CS31" s="178">
        <f>BY38</f>
        <v>2</v>
      </c>
      <c r="CT31" s="178">
        <f>BZ38</f>
        <v>2</v>
      </c>
      <c r="CU31" s="178">
        <f>CA38</f>
        <v>3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70</v>
      </c>
      <c r="D33" s="9">
        <v>34</v>
      </c>
      <c r="E33" s="9">
        <v>23</v>
      </c>
      <c r="F33" s="9">
        <v>8</v>
      </c>
      <c r="G33" s="9">
        <v>3</v>
      </c>
      <c r="H33" s="9">
        <v>62</v>
      </c>
      <c r="I33" s="9">
        <v>21</v>
      </c>
      <c r="J33" s="9">
        <v>41</v>
      </c>
      <c r="K33" s="9">
        <v>77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Mallorca-Levante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35</v>
      </c>
      <c r="D34" s="9">
        <v>35</v>
      </c>
      <c r="E34" s="9">
        <v>23</v>
      </c>
      <c r="F34" s="9">
        <v>7</v>
      </c>
      <c r="G34" s="9">
        <v>5</v>
      </c>
      <c r="H34" s="9">
        <v>79</v>
      </c>
      <c r="I34" s="9">
        <v>36</v>
      </c>
      <c r="J34" s="9">
        <v>43</v>
      </c>
      <c r="K34" s="9">
        <v>76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2</v>
      </c>
      <c r="CA34" s="61">
        <f>BY27+BZ27</f>
        <v>3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128</v>
      </c>
      <c r="D35" s="9">
        <v>35</v>
      </c>
      <c r="E35" s="9">
        <v>16</v>
      </c>
      <c r="F35" s="9">
        <v>15</v>
      </c>
      <c r="G35" s="9">
        <v>4</v>
      </c>
      <c r="H35" s="9">
        <v>47</v>
      </c>
      <c r="I35" s="9">
        <v>26</v>
      </c>
      <c r="J35" s="9">
        <v>21</v>
      </c>
      <c r="K35" s="9">
        <v>63</v>
      </c>
      <c r="L35" s="196" t="s">
        <v>129</v>
      </c>
      <c r="U35" s="74"/>
      <c r="W35" s="201">
        <v>18</v>
      </c>
      <c r="X35" s="85" t="s">
        <v>7</v>
      </c>
      <c r="Y35" s="85">
        <v>34</v>
      </c>
      <c r="Z35" s="85">
        <v>8</v>
      </c>
      <c r="AA35" s="85">
        <v>5</v>
      </c>
      <c r="AB35" s="85">
        <v>21</v>
      </c>
      <c r="AC35" s="85">
        <v>35</v>
      </c>
      <c r="AD35" s="85">
        <v>59</v>
      </c>
      <c r="AE35" s="85">
        <v>-24</v>
      </c>
      <c r="AF35" s="85">
        <v>29</v>
      </c>
      <c r="AG35" t="s">
        <v>130</v>
      </c>
      <c r="AJ35" s="167" t="str">
        <f>AC27</f>
        <v>W</v>
      </c>
      <c r="AK35" s="167" t="str">
        <f>AB27</f>
        <v>L</v>
      </c>
      <c r="AL35" s="167" t="str">
        <f>AA27</f>
        <v>L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11</v>
      </c>
      <c r="CA35" t="str">
        <f>BZ28</f>
        <v>21</v>
      </c>
      <c r="CB35" t="str">
        <f>CD28</f>
        <v>12</v>
      </c>
      <c r="CC35" t="str">
        <f>CE28</f>
        <v>12</v>
      </c>
      <c r="CD35" t="str">
        <f>CF28</f>
        <v>02</v>
      </c>
      <c r="CE35" t="str">
        <f>CG28</f>
        <v>01</v>
      </c>
      <c r="CG35" s="187">
        <v>21</v>
      </c>
      <c r="CH35" s="187">
        <v>11</v>
      </c>
      <c r="CI35" s="187">
        <v>12</v>
      </c>
      <c r="CJ35" s="187" t="s">
        <v>110</v>
      </c>
      <c r="CK35" s="187" t="s">
        <v>111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61</v>
      </c>
      <c r="D36" s="9">
        <v>34</v>
      </c>
      <c r="E36" s="9">
        <v>16</v>
      </c>
      <c r="F36" s="9">
        <v>12</v>
      </c>
      <c r="G36" s="9">
        <v>6</v>
      </c>
      <c r="H36" s="9">
        <v>49</v>
      </c>
      <c r="I36" s="9">
        <v>33</v>
      </c>
      <c r="J36" s="9">
        <v>16</v>
      </c>
      <c r="K36" s="9">
        <v>60</v>
      </c>
      <c r="L36" s="196" t="s">
        <v>132</v>
      </c>
      <c r="U36" s="74"/>
      <c r="W36" s="202">
        <v>12</v>
      </c>
      <c r="X36" s="203" t="s">
        <v>8</v>
      </c>
      <c r="Y36" s="203">
        <v>34</v>
      </c>
      <c r="Z36" s="203">
        <v>12</v>
      </c>
      <c r="AA36" s="203">
        <v>7</v>
      </c>
      <c r="AB36" s="203">
        <v>15</v>
      </c>
      <c r="AC36" s="203">
        <v>42</v>
      </c>
      <c r="AD36" s="203">
        <v>47</v>
      </c>
      <c r="AE36" s="203">
        <v>-5</v>
      </c>
      <c r="AF36" s="203">
        <v>43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Mallorca-Levante</v>
      </c>
      <c r="BC36">
        <f>CG37</f>
        <v>25.001</v>
      </c>
      <c r="BD36">
        <f>CH37</f>
        <v>25.001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2.02</v>
      </c>
      <c r="BL36">
        <f>I101</f>
        <v>3.79</v>
      </c>
      <c r="BM36">
        <f>J101</f>
        <v>3.6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 t="str">
        <f>BZ33</f>
        <v>X</v>
      </c>
      <c r="CA36" s="61">
        <f>CA33</f>
        <v>1</v>
      </c>
      <c r="CB36" s="61">
        <f>CE33</f>
        <v>2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csPr=#21,1.1670656269827,11,12,02,01,,#</v>
      </c>
    </row>
    <row r="37" spans="1:122" customHeight="1" ht="15.75">
      <c r="A37" s="195">
        <v>5</v>
      </c>
      <c r="B37" s="64">
        <v>5</v>
      </c>
      <c r="C37" t="s">
        <v>55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Mallorca-Levante</v>
      </c>
      <c r="BC37" s="210">
        <f>AS9</f>
        <v>35</v>
      </c>
      <c r="BD37" s="210">
        <f>AT9</f>
        <v>20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47.76337920607</v>
      </c>
      <c r="BL37">
        <f>IF(BL36="","",(((100)*(1/BL36))/((1/BL36)+(1/BL36)+(1/BM36)))+0.01)</f>
        <v>32.767051865332</v>
      </c>
      <c r="BM37">
        <f>IF(BM36="","",(((100)*(1/BM36))/((1/BM36)+(1/BL36)+(1/BM36)))+0.01)</f>
        <v>33.909821109123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Mallorca-Levante</v>
      </c>
      <c r="BX37" s="99">
        <f>BX33</f>
        <v>1</v>
      </c>
      <c r="BY37" s="99" t="str">
        <f>BY33</f>
        <v>X</v>
      </c>
      <c r="BZ37" s="99" t="str">
        <f>BZ33</f>
        <v>X</v>
      </c>
      <c r="CA37" s="99">
        <f>CA33</f>
        <v>1</v>
      </c>
      <c r="CB37" s="99">
        <f>CE33</f>
        <v>2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25.001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42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Mallorca-Levante</v>
      </c>
      <c r="BC38">
        <f>BM9</f>
        <v>60</v>
      </c>
      <c r="BD38">
        <f>BN9</f>
        <v>15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Mallorca-Levante</v>
      </c>
      <c r="BX38" s="99">
        <f>BX34</f>
        <v>3</v>
      </c>
      <c r="BY38" s="99">
        <f>BY34</f>
        <v>2</v>
      </c>
      <c r="BZ38" s="99">
        <f>BZ34</f>
        <v>2</v>
      </c>
      <c r="CA38" s="99">
        <f>CA34</f>
        <v>3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78</v>
      </c>
      <c r="D39" s="9">
        <v>34</v>
      </c>
      <c r="E39" s="9">
        <v>15</v>
      </c>
      <c r="F39" s="9">
        <v>6</v>
      </c>
      <c r="G39" s="9">
        <v>13</v>
      </c>
      <c r="H39" s="9">
        <v>51</v>
      </c>
      <c r="I39" s="9">
        <v>43</v>
      </c>
      <c r="J39" s="9">
        <v>8</v>
      </c>
      <c r="K39" s="9">
        <v>51</v>
      </c>
      <c r="L39" s="196" t="s">
        <v>145</v>
      </c>
      <c r="W39" s="214">
        <f>W35-W36</f>
        <v>6</v>
      </c>
      <c r="X39" t="s">
        <v>1</v>
      </c>
      <c r="Y39">
        <f>SUM(AA2:AA17)/16</f>
        <v>1.625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25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Mallorca-Levante</v>
      </c>
      <c r="BC39">
        <f>(BC36+BC37+BC38)/3</f>
        <v>40.000333333333</v>
      </c>
      <c r="BD39">
        <f>(BD36+BD37+BD38)/3</f>
        <v>20.000333333333</v>
      </c>
      <c r="BE39">
        <f>(BE36+BE37+BE38)/3</f>
        <v>40.000333333333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1 2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10</v>
      </c>
      <c r="C40" t="s">
        <v>36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1.25</v>
      </c>
      <c r="Z40">
        <f>((SUM(AU26:AU33))/16)*100</f>
        <v>37.5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147</v>
      </c>
      <c r="D41" s="9">
        <v>34</v>
      </c>
      <c r="E41" s="9">
        <v>12</v>
      </c>
      <c r="F41" s="9">
        <v>12</v>
      </c>
      <c r="G41" s="9">
        <v>10</v>
      </c>
      <c r="H41" s="9">
        <v>38</v>
      </c>
      <c r="I41" s="9">
        <v>29</v>
      </c>
      <c r="J41" s="9">
        <v>9</v>
      </c>
      <c r="K41" s="9">
        <v>48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0.375</v>
      </c>
      <c r="Z41" s="220">
        <f>(Z39+Z40)/2</f>
        <v>43.75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34</v>
      </c>
      <c r="E42" s="9">
        <v>13</v>
      </c>
      <c r="F42" s="9">
        <v>8</v>
      </c>
      <c r="G42" s="9">
        <v>13</v>
      </c>
      <c r="H42" s="9">
        <v>42</v>
      </c>
      <c r="I42" s="9">
        <v>40</v>
      </c>
      <c r="J42" s="9">
        <v>2</v>
      </c>
      <c r="K42" s="9">
        <v>47</v>
      </c>
      <c r="L42" s="196" t="s">
        <v>151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Mallorca-Levante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>
        <f>VLOOKUP(3,BC55:BF70,4,FALSE)</f>
        <v>21</v>
      </c>
      <c r="BI42" s="222" t="str">
        <f>VLOOKUP(4,BC55:BF70,4,FALSE)</f>
        <v>01</v>
      </c>
      <c r="BJ42" s="222" t="str">
        <f>VLOOKUP(5,BC55:BF70,4,FALSE)</f>
        <v>02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58</v>
      </c>
      <c r="D43" s="9">
        <v>35</v>
      </c>
      <c r="E43" s="9">
        <v>11</v>
      </c>
      <c r="F43" s="9">
        <v>12</v>
      </c>
      <c r="G43" s="9">
        <v>12</v>
      </c>
      <c r="H43" s="9">
        <v>40</v>
      </c>
      <c r="I43" s="9">
        <v>50</v>
      </c>
      <c r="J43" s="9">
        <v>-10</v>
      </c>
      <c r="K43" s="9">
        <v>45</v>
      </c>
      <c r="L43" s="196" t="s">
        <v>152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8</v>
      </c>
      <c r="D44" s="9">
        <v>34</v>
      </c>
      <c r="E44" s="9">
        <v>12</v>
      </c>
      <c r="F44" s="9">
        <v>7</v>
      </c>
      <c r="G44" s="9">
        <v>15</v>
      </c>
      <c r="H44" s="9">
        <v>42</v>
      </c>
      <c r="I44" s="9">
        <v>47</v>
      </c>
      <c r="J44" s="9">
        <v>-5</v>
      </c>
      <c r="K44" s="9">
        <v>43</v>
      </c>
      <c r="L44" s="196" t="s">
        <v>133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35</v>
      </c>
      <c r="E45" s="9">
        <v>10</v>
      </c>
      <c r="F45" s="9">
        <v>11</v>
      </c>
      <c r="G45" s="9">
        <v>14</v>
      </c>
      <c r="H45" s="9">
        <v>47</v>
      </c>
      <c r="I45" s="9">
        <v>55</v>
      </c>
      <c r="J45" s="9">
        <v>-8</v>
      </c>
      <c r="K45" s="9">
        <v>41</v>
      </c>
      <c r="L45" s="196" t="s">
        <v>154</v>
      </c>
      <c r="BA45" s="205">
        <f>BA27</f>
        <v>1</v>
      </c>
      <c r="BB45" s="206" t="str">
        <f>V23</f>
        <v>Mallorca-Levante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155</v>
      </c>
      <c r="D46" s="9">
        <v>35</v>
      </c>
      <c r="E46" s="9">
        <v>8</v>
      </c>
      <c r="F46" s="9">
        <v>15</v>
      </c>
      <c r="G46" s="9">
        <v>12</v>
      </c>
      <c r="H46" s="9">
        <v>29</v>
      </c>
      <c r="I46" s="9">
        <v>39</v>
      </c>
      <c r="J46" s="9">
        <v>-10</v>
      </c>
      <c r="K46" s="9">
        <v>39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25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17</v>
      </c>
      <c r="C47" t="s">
        <v>21</v>
      </c>
      <c r="D47" s="9">
        <v>35</v>
      </c>
      <c r="E47" s="9">
        <v>7</v>
      </c>
      <c r="F47" s="9">
        <v>15</v>
      </c>
      <c r="G47" s="9">
        <v>13</v>
      </c>
      <c r="H47" s="9">
        <v>34</v>
      </c>
      <c r="I47" s="9">
        <v>44</v>
      </c>
      <c r="J47" s="9">
        <v>-10</v>
      </c>
      <c r="K47" s="9">
        <v>36</v>
      </c>
      <c r="L47" s="196" t="s">
        <v>157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Mallorca-Levante</v>
      </c>
      <c r="BC47" s="223" t="str">
        <f>BW28</f>
        <v>21</v>
      </c>
      <c r="BD47" s="223" t="str">
        <f>BX28</f>
        <v>11</v>
      </c>
      <c r="BE47" s="223" t="str">
        <f>BY28</f>
        <v>11</v>
      </c>
      <c r="BF47" s="223" t="str">
        <f>BZ28</f>
        <v>21</v>
      </c>
      <c r="BG47" s="223" t="str">
        <f>CD28</f>
        <v>12</v>
      </c>
      <c r="BH47" s="223" t="str">
        <f>CE28</f>
        <v>12</v>
      </c>
      <c r="BI47" s="223" t="str">
        <f>CF28</f>
        <v>02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158</v>
      </c>
      <c r="D48" s="9">
        <v>34</v>
      </c>
      <c r="E48" s="9">
        <v>9</v>
      </c>
      <c r="F48" s="9">
        <v>8</v>
      </c>
      <c r="G48" s="9">
        <v>17</v>
      </c>
      <c r="H48" s="9">
        <v>32</v>
      </c>
      <c r="I48" s="9">
        <v>51</v>
      </c>
      <c r="J48" s="9">
        <v>-19</v>
      </c>
      <c r="K48" s="9">
        <v>35</v>
      </c>
      <c r="L48" s="196" t="s">
        <v>159</v>
      </c>
      <c r="X48">
        <v>2</v>
      </c>
      <c r="Y48" s="84">
        <f>AA20</f>
        <v>3</v>
      </c>
      <c r="Z48">
        <f>Z20</f>
        <v>2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43</v>
      </c>
      <c r="D49" s="9">
        <v>34</v>
      </c>
      <c r="E49" s="9">
        <v>9</v>
      </c>
      <c r="F49" s="9">
        <v>8</v>
      </c>
      <c r="G49" s="9">
        <v>17</v>
      </c>
      <c r="H49" s="9">
        <v>34</v>
      </c>
      <c r="I49" s="9">
        <v>51</v>
      </c>
      <c r="J49" s="9">
        <v>-17</v>
      </c>
      <c r="K49" s="9">
        <v>35</v>
      </c>
      <c r="L49" s="196" t="s">
        <v>160</v>
      </c>
      <c r="X49">
        <v>3</v>
      </c>
      <c r="Y49" s="84">
        <f>AA19</f>
        <v>3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Mallorca-Levante</v>
      </c>
      <c r="BC49" s="224">
        <v>21</v>
      </c>
      <c r="BD49" s="224">
        <v>11</v>
      </c>
      <c r="BE49" s="224">
        <v>12</v>
      </c>
      <c r="BF49" s="224" t="s">
        <v>110</v>
      </c>
      <c r="BG49" s="224" t="s">
        <v>111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</v>
      </c>
      <c r="D50" s="9">
        <v>34</v>
      </c>
      <c r="E50" s="9">
        <v>8</v>
      </c>
      <c r="F50" s="9">
        <v>5</v>
      </c>
      <c r="G50" s="9">
        <v>21</v>
      </c>
      <c r="H50" s="9">
        <v>35</v>
      </c>
      <c r="I50" s="9">
        <v>59</v>
      </c>
      <c r="J50" s="9">
        <v>-24</v>
      </c>
      <c r="K50" s="9">
        <v>29</v>
      </c>
      <c r="L50" s="196" t="s">
        <v>130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26</v>
      </c>
      <c r="D51" s="9">
        <v>34</v>
      </c>
      <c r="E51" s="9">
        <v>6</v>
      </c>
      <c r="F51" s="9">
        <v>10</v>
      </c>
      <c r="G51" s="9">
        <v>18</v>
      </c>
      <c r="H51" s="9">
        <v>25</v>
      </c>
      <c r="I51" s="9">
        <v>49</v>
      </c>
      <c r="J51" s="9">
        <v>-24</v>
      </c>
      <c r="K51" s="9">
        <v>28</v>
      </c>
      <c r="L51" s="196" t="s">
        <v>161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27</v>
      </c>
      <c r="D52" s="9">
        <v>35</v>
      </c>
      <c r="E52" s="9">
        <v>5</v>
      </c>
      <c r="F52" s="9">
        <v>9</v>
      </c>
      <c r="G52" s="9">
        <v>21</v>
      </c>
      <c r="H52" s="9">
        <v>27</v>
      </c>
      <c r="I52" s="9">
        <v>55</v>
      </c>
      <c r="J52" s="9">
        <v>-28</v>
      </c>
      <c r="K52" s="9">
        <v>24</v>
      </c>
      <c r="L52" s="196" t="s">
        <v>159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4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3</v>
      </c>
      <c r="BD55" s="61">
        <f>RANK(BE55,BE55:BE70)</f>
        <v>1</v>
      </c>
      <c r="BE55">
        <f>BC51+0.01</f>
        <v>25.01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1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25.01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5</v>
      </c>
      <c r="BD58" s="61">
        <f>RANK(BE58,BE55:BE70)</f>
        <v>4</v>
      </c>
      <c r="BE58">
        <f>BF51+0.01</f>
        <v>12.51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2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4</v>
      </c>
      <c r="BD59" s="61">
        <f>RANK(BE59,BE55:BE70)</f>
        <v>4</v>
      </c>
      <c r="BE59">
        <f>BG51+0.01</f>
        <v>12.51</v>
      </c>
      <c r="BF59" s="227" t="str">
        <f>BG49</f>
        <v>01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4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1.5833333333333</v>
      </c>
      <c r="Z68" s="239">
        <f>IF(FORECAST(Z62,Z47:Z66,Y47:Y66)&lt;=0,0,FORECAST(Z62,Z47:Z66,Y47:Y66))</f>
        <v>1.4144144144144</v>
      </c>
      <c r="AA68" s="240">
        <f>IF(FORECAST(X62,AA47:AA66,X47:X66)&lt;=0,0,FORECAST(Z62,AA47:AA66,X47:X66))</f>
        <v>-0.021052631578947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107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Mallorca - Levante</v>
      </c>
      <c r="C93" s="246">
        <f>Y41</f>
        <v>0.375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1X2</v>
      </c>
      <c r="L93" s="114">
        <f>C22</f>
        <v>12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149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207</v>
      </c>
      <c r="U100" s="262" t="s">
        <v>47</v>
      </c>
      <c r="V100" s="167" t="s">
        <v>81</v>
      </c>
      <c r="W100" s="263" t="s">
        <v>107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208</v>
      </c>
      <c r="AF100" s="167" t="s">
        <v>79</v>
      </c>
      <c r="AG100" s="263" t="s">
        <v>23</v>
      </c>
      <c r="AH100" s="263" t="s">
        <v>209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50</v>
      </c>
      <c r="BI100" s="110" t="s">
        <v>51</v>
      </c>
      <c r="BJ100" s="110" t="s">
        <v>52</v>
      </c>
      <c r="BK100" s="111" t="s">
        <v>217</v>
      </c>
      <c r="BL100" s="80" t="s">
        <v>23</v>
      </c>
      <c r="BM100" s="145" t="s">
        <v>218</v>
      </c>
      <c r="BN100" s="140" t="s">
        <v>107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219</v>
      </c>
      <c r="D101" s="270" t="str">
        <f>IN!C4</f>
        <v>Spain &gt;&gt; LaLiga</v>
      </c>
      <c r="E101" s="270" t="str">
        <f>IN!D4</f>
        <v>17:30</v>
      </c>
      <c r="F101" s="270" t="str">
        <f>B1</f>
        <v>Mallorca - Levante</v>
      </c>
      <c r="G101" s="262" t="str">
        <f>IN!F4</f>
        <v>2:0</v>
      </c>
      <c r="H101" s="263">
        <f>IN!G4</f>
        <v>2.02</v>
      </c>
      <c r="I101" s="263">
        <f>IN!H4</f>
        <v>3.79</v>
      </c>
      <c r="J101" s="263">
        <f>IN!I4</f>
        <v>3.6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p2</v>
      </c>
      <c r="T101" s="271" t="str">
        <f>IN!S4</f>
        <v>https://int.soccerway.com/matches/2020/07/09/spain/primera-division/real-club-deportivo-mallorca/levante-union-deportiva/3059156/</v>
      </c>
      <c r="U101" s="167">
        <f>(SUM(AA2:AA17)/16)-(SUM(Z2:Z17)/16)</f>
        <v>0.375</v>
      </c>
      <c r="V101" s="263">
        <f>IF(FORECAST(X62,AA47:AA66,X47:X66)&lt;=0,0,FORECAST(Z62,AA47:AA66,X47:X66))</f>
        <v>-0.021052631578947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12</v>
      </c>
      <c r="AF101" s="167">
        <f>VLOOKUP(1,BC55:BF70,3,FALSE)</f>
        <v>25.01</v>
      </c>
      <c r="AG101" s="167">
        <f>AF68</f>
        <v>3</v>
      </c>
      <c r="AH101" s="167" t="str">
        <f>AG68</f>
        <v>21</v>
      </c>
      <c r="AI101" s="167">
        <f>BC39</f>
        <v>40.000333333333</v>
      </c>
      <c r="AJ101" s="167">
        <f>BD39</f>
        <v>20.000333333333</v>
      </c>
      <c r="AK101" s="167">
        <f>BE39</f>
        <v>40.000333333333</v>
      </c>
      <c r="AL101" s="167">
        <v>1</v>
      </c>
      <c r="AM101" s="263" t="str">
        <f>IN!C4</f>
        <v>Spain &gt;&gt; LaLiga</v>
      </c>
      <c r="AN101" s="263" t="str">
        <f>IN!E4</f>
        <v>Mallorca - Levante</v>
      </c>
      <c r="AO101" s="167" t="str">
        <f>M2</f>
        <v>20</v>
      </c>
      <c r="AP101" s="167">
        <f>N2</f>
        <v>1</v>
      </c>
      <c r="AQ101" s="325">
        <f>VLOOKUP(1,BC55:BF70,4,FALSE)</f>
        <v>12</v>
      </c>
      <c r="AR101" s="263">
        <f>VLOOKUP(1,BC55:BF70,3,FALSE)</f>
        <v>25.01</v>
      </c>
      <c r="AS101" s="325">
        <f>VLOOKUP(2,BC55:BF70,4,FALSE)</f>
        <v>11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25.01</v>
      </c>
      <c r="AW101" s="325" t="str">
        <f>VLOOKUP(4,BC55:BF70,4,FALSE)</f>
        <v>01</v>
      </c>
      <c r="AX101" s="167">
        <f>VLOOKUP(4,BC55:BF70,3,FALSE)</f>
        <v>12.51</v>
      </c>
      <c r="AY101" s="263">
        <f>(Z39+Z40)/2</f>
        <v>43.75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62.5</v>
      </c>
      <c r="BF101" s="263">
        <f>BF46</f>
        <v>50</v>
      </c>
      <c r="BG101" s="263">
        <f>BG46</f>
        <v>25</v>
      </c>
      <c r="BH101" s="263">
        <f>VLOOKUP(1,BC55:BF70,4,FALSE)</f>
        <v>12</v>
      </c>
      <c r="BI101" s="263">
        <f>VLOOKUP(2,BC55:BF70,4,FALSE)</f>
        <v>11</v>
      </c>
      <c r="BJ101" s="263">
        <f>VLOOKUP(3,BC55:BF70,4,FALSE)</f>
        <v>21</v>
      </c>
      <c r="BK101" s="263">
        <f>(BF46+BJ46)/2</f>
        <v>50</v>
      </c>
      <c r="BL101" s="167">
        <f>S7</f>
        <v>3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1 2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47.76337920607</v>
      </c>
      <c r="BX101" s="272">
        <f>IF(I101="","",(((100)*(1/I101))/((1/H101)+(1/I101)+(1/J101)))+0.01)</f>
        <v>25.461669128301</v>
      </c>
      <c r="BY101" s="272">
        <f>IF(J101="","",(((100)*(1/J101))/((1/H101)+(1/I101)+(1/J101)))+0.01)</f>
        <v>26.804951665628</v>
      </c>
      <c r="BZ101" s="273">
        <f>(((COUNTIF(BX37:CE37,1))/8)*100)+0.001</f>
        <v>25.001</v>
      </c>
      <c r="CA101" s="273">
        <f>(((COUNTIF(BX37:CE37,"X"))/8)*100)+0.001</f>
        <v>25.001</v>
      </c>
      <c r="CB101" s="273">
        <f>(((COUNTIF(BX37:CE37,2))/8)*100)+0.001</f>
        <v>50.001</v>
      </c>
      <c r="CC101" s="274">
        <f>M16</f>
        <v>35</v>
      </c>
      <c r="CD101" s="274">
        <f>N16</f>
        <v>20</v>
      </c>
      <c r="CE101" s="274">
        <f>O16</f>
        <v>45</v>
      </c>
      <c r="CF101" s="273">
        <f>(BM4/BM7)*100</f>
        <v>60</v>
      </c>
      <c r="CG101" s="273">
        <f>(BM5/BM7)*100</f>
        <v>15</v>
      </c>
      <c r="CH101" s="273">
        <f>(BM6/BM7)*100</f>
        <v>25</v>
      </c>
      <c r="CI101" s="274">
        <f>(BZ101+CC101+CF101)/3</f>
        <v>40.000333333333</v>
      </c>
      <c r="CJ101" s="274">
        <f>(CA101+CD101+CG101)/3</f>
        <v>20.000333333333</v>
      </c>
      <c r="CK101" s="274">
        <f>(CB101+CE101+CH101)/3</f>
        <v>40.000333333333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-0.021052631578947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1X2</v>
      </c>
      <c r="AE104" s="275">
        <f>L93</f>
        <v>12</v>
      </c>
      <c r="AF104" s="275">
        <f>M93</f>
        <v>25.01</v>
      </c>
      <c r="AG104" s="275">
        <f>AF68</f>
        <v>3</v>
      </c>
      <c r="AH104" s="275" t="str">
        <f>AG68</f>
        <v>21</v>
      </c>
      <c r="AI104" s="275">
        <f>BC39</f>
        <v>40.000333333333</v>
      </c>
      <c r="AJ104" s="275">
        <f>BD39</f>
        <v>20.000333333333</v>
      </c>
      <c r="AK104" s="275">
        <f>BE39</f>
        <v>40.000333333333</v>
      </c>
      <c r="AL104" s="275">
        <v>1</v>
      </c>
      <c r="AM104" s="275" t="s">
        <v>221</v>
      </c>
      <c r="AN104" s="275" t="str">
        <f>B7</f>
        <v>Mallorca - Levante</v>
      </c>
      <c r="AO104" s="275" t="str">
        <f>M2</f>
        <v>20</v>
      </c>
      <c r="AP104" s="275">
        <f>N2</f>
        <v>1</v>
      </c>
      <c r="AQ104" s="275">
        <f>BF42</f>
        <v>12</v>
      </c>
      <c r="AR104" s="275">
        <f>BF43</f>
        <v>25.01</v>
      </c>
      <c r="AS104" s="277">
        <f>BG42</f>
        <v>11</v>
      </c>
      <c r="AT104" s="275">
        <f>BG43</f>
        <v>25.01</v>
      </c>
      <c r="AU104" s="275">
        <f>BH42</f>
        <v>21</v>
      </c>
      <c r="AV104" s="275">
        <f>BH43</f>
        <v>25.01</v>
      </c>
      <c r="AW104" s="275" t="str">
        <f>BI42</f>
        <v>01</v>
      </c>
      <c r="AX104" s="275">
        <f>BI43</f>
        <v>12.51</v>
      </c>
      <c r="AY104" s="275">
        <f>F7</f>
        <v>43.75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81.25</v>
      </c>
      <c r="BD104" s="275">
        <f>K7</f>
        <v>18.75</v>
      </c>
      <c r="BE104" s="275">
        <f>L7</f>
        <v>62.5</v>
      </c>
      <c r="BF104" s="275">
        <f>BF46</f>
        <v>50</v>
      </c>
      <c r="BG104" s="275">
        <f>BG46</f>
        <v>25</v>
      </c>
      <c r="BH104" s="275">
        <f>BF42</f>
        <v>12</v>
      </c>
      <c r="BI104" s="277">
        <f>BG42</f>
        <v>11</v>
      </c>
      <c r="BJ104" s="275">
        <f>BH42</f>
        <v>21</v>
      </c>
      <c r="BK104" s="275">
        <f>BR46</f>
        <v>50</v>
      </c>
      <c r="BL104" s="275">
        <f>S7</f>
        <v>3</v>
      </c>
      <c r="BM104" s="275">
        <f>W39</f>
        <v>6</v>
      </c>
      <c r="BN104" s="275" t="s">
        <v>222</v>
      </c>
      <c r="BO104" s="275" t="str">
        <f>BH36</f>
        <v>2</v>
      </c>
      <c r="BP104" s="275" t="str">
        <f>BI36</f>
        <v>1X2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1 2</v>
      </c>
      <c r="BV104" s="275" t="str">
        <f>BI39</f>
        <v>12</v>
      </c>
      <c r="BW104" s="275">
        <f>BK37</f>
        <v>47.76337920607</v>
      </c>
      <c r="BX104" s="275">
        <f>BL37</f>
        <v>32.767051865332</v>
      </c>
      <c r="BY104" s="275">
        <f>BM37</f>
        <v>33.909821109123</v>
      </c>
      <c r="BZ104" s="275">
        <f>CG37</f>
        <v>25.001</v>
      </c>
      <c r="CA104" s="275">
        <f>CH37</f>
        <v>25.001</v>
      </c>
      <c r="CB104" s="275">
        <f>CI37</f>
        <v>50.001</v>
      </c>
      <c r="CC104" s="275">
        <f>AS9</f>
        <v>35</v>
      </c>
      <c r="CD104" s="275">
        <f>AT9</f>
        <v>20</v>
      </c>
      <c r="CE104" s="275">
        <f>AU9</f>
        <v>45</v>
      </c>
      <c r="CF104" s="275">
        <f>BM9</f>
        <v>60</v>
      </c>
      <c r="CG104" s="275">
        <f>BN9</f>
        <v>15</v>
      </c>
      <c r="CH104" s="275">
        <f>BO9</f>
        <v>25</v>
      </c>
      <c r="CI104" s="275">
        <f>BC39</f>
        <v>40.000333333333</v>
      </c>
      <c r="CJ104" s="275">
        <f>BD39</f>
        <v>20.000333333333</v>
      </c>
      <c r="CK104" s="275">
        <f>BE39</f>
        <v>40.000333333333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149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2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2.02</v>
      </c>
      <c r="H4" s="37">
        <v>3.79</v>
      </c>
      <c r="I4" s="37">
        <v>3.6</v>
      </c>
      <c r="J4" s="64">
        <v>12</v>
      </c>
      <c r="K4" s="64" t="s">
        <v>240</v>
      </c>
      <c r="L4" s="64" t="s">
        <v>241</v>
      </c>
      <c r="M4" s="22" t="s">
        <v>242</v>
      </c>
      <c r="N4" s="64">
        <v>2</v>
      </c>
      <c r="O4" s="22" t="s">
        <v>243</v>
      </c>
      <c r="P4" s="64">
        <v>2</v>
      </c>
      <c r="Q4" s="22" t="s">
        <v>243</v>
      </c>
      <c r="R4" s="22" t="s">
        <v>244</v>
      </c>
      <c r="S4" s="278" t="s">
        <v>245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201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201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201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17:30</v>
      </c>
      <c r="E8" s="25" t="str">
        <f>E4</f>
        <v>Mallorca - Levante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149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249</v>
      </c>
      <c r="AJ11" s="23" t="s">
        <v>5</v>
      </c>
      <c r="AK11" s="43" t="s">
        <v>201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Mallorca - Levante</v>
      </c>
      <c r="F12" s="56" t="str">
        <f>F4</f>
        <v>2:0</v>
      </c>
      <c r="G12" s="37">
        <f>IF(G4="","",G4)</f>
        <v>2.02</v>
      </c>
      <c r="H12" s="37">
        <f>IF(H4="","",H4)</f>
        <v>3.79</v>
      </c>
      <c r="I12" s="37">
        <f>IF(I4="","",I4)</f>
        <v>3.6</v>
      </c>
      <c r="J12" s="57">
        <f>IF(G12="","",(((100)*(1/G12))/((1/G12)+(1/H12)+(1/I12)))+0.01)</f>
        <v>47.76337920607</v>
      </c>
      <c r="K12" s="57">
        <f>IF(H12="","",(((100)*(1/H12))/((1/G12)+(1/H12)+(1/I12)))+0.01)</f>
        <v>25.461669128301</v>
      </c>
      <c r="L12" s="57">
        <f>IF(I12="","",(((100)*(1/I12))/((1/G12)+(1/H12)+(1/I12)))+0.01)</f>
        <v>26.804951665628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https://int.soccerway.com/matches/2020/07/09/spain/primera-division/real-club-deportivo-mallorca/levante-union-deportiva/3059156/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Mallorca v Levante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