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dinese v Sampdori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<sst xmlns="http://schemas.openxmlformats.org/spreadsheetml/2006/main" uniqueCount="262">
  <si>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</si>
  <si>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</si>
  <si>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</si>
  <si>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</si>
  <si>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</si>
  <si>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</si>
  <si>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</si>
  <si>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Udinese</t>
  </si>
  <si>
    <t>Sampdoria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</si>
  <si>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</si>
  <si>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</si>
  <si>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</si>
  <si>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</si>
  <si>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</si>
  <si>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</si>
  <si>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</si>
  <si>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</si>
  <si>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</si>
  <si>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</si>
  <si>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</si>
  <si>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</si>
  <si>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Genoa</t>
  </si>
  <si>
    <t>Atalanta</t>
  </si>
  <si>
    <t>SG</t>
  </si>
  <si>
    <t>"%"</t>
  </si>
  <si>
    <t>2020-06-29</t>
  </si>
  <si>
    <t>Lecce</t>
  </si>
  <si>
    <t>RACHA</t>
  </si>
  <si>
    <t>ULT</t>
  </si>
  <si>
    <t>CD</t>
  </si>
  <si>
    <t>"C"</t>
  </si>
  <si>
    <t>"D"</t>
  </si>
  <si>
    <t>P1</t>
  </si>
  <si>
    <t>2020-03-09</t>
  </si>
  <si>
    <t>Fiorentina</t>
  </si>
  <si>
    <t>Roma</t>
  </si>
  <si>
    <t>TIPS_ROY_PICKS</t>
  </si>
  <si>
    <t>picks</t>
  </si>
  <si>
    <t>roySYS</t>
  </si>
  <si>
    <t>rFZ</t>
  </si>
  <si>
    <t>2020-02-16</t>
  </si>
  <si>
    <t>Hellas Verona</t>
  </si>
  <si>
    <t>Internazionale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</si>
  <si>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</si>
  <si>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</si>
  <si>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</si>
  <si>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</si>
  <si>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</si>
  <si>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</si>
  <si>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</si>
  <si>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</si>
  <si>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</si>
  <si>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2020-02-03</t>
  </si>
  <si>
    <t>Torino</t>
  </si>
  <si>
    <t>2020-01-12</t>
  </si>
  <si>
    <t>Sassuolo</t>
  </si>
  <si>
    <t>Lazio</t>
  </si>
  <si>
    <t>2019-12-21</t>
  </si>
  <si>
    <t>Cagliari</t>
  </si>
  <si>
    <t>Milan</t>
  </si>
  <si>
    <t>max</t>
  </si>
  <si>
    <t>2019-12-08</t>
  </si>
  <si>
    <t>Napoli</t>
  </si>
  <si>
    <t>2019-12-05</t>
  </si>
  <si>
    <t>Bologna</t>
  </si>
  <si>
    <t>2019-11-10</t>
  </si>
  <si>
    <t>SPAL</t>
  </si>
  <si>
    <t>2019-10-31</t>
  </si>
  <si>
    <t>2019-10-20</t>
  </si>
  <si>
    <t>2019-09-29</t>
  </si>
  <si>
    <t>2019-09-21</t>
  </si>
  <si>
    <t>Brescia</t>
  </si>
  <si>
    <t>DOUBLE Chance PICKS</t>
  </si>
  <si>
    <t>pForce</t>
  </si>
  <si>
    <t>2019-09-06</t>
  </si>
  <si>
    <t>Pordenone</t>
  </si>
  <si>
    <t>%</t>
  </si>
  <si>
    <t>Ps_Diff</t>
  </si>
  <si>
    <t>Fz-101</t>
  </si>
  <si>
    <t>Avg_Gol</t>
  </si>
  <si>
    <t>CS</t>
  </si>
  <si>
    <t>2019-09-02</t>
  </si>
  <si>
    <t>Parma</t>
  </si>
  <si>
    <t>2019-08-26</t>
  </si>
  <si>
    <t>Crotone</t>
  </si>
  <si>
    <t>2019-08-19</t>
  </si>
  <si>
    <t>Südtirol</t>
  </si>
  <si>
    <t>CORRECT SCORES PICKS</t>
  </si>
  <si>
    <t>1st</t>
  </si>
  <si>
    <t>2nd</t>
  </si>
  <si>
    <t>3rd</t>
  </si>
  <si>
    <t>4th</t>
  </si>
  <si>
    <t>2019-08-13</t>
  </si>
  <si>
    <t>San Luigi</t>
  </si>
  <si>
    <t>Spezia</t>
  </si>
  <si>
    <t>2019-07-25</t>
  </si>
  <si>
    <t>Al Hilal</t>
  </si>
  <si>
    <t>Monaco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</si>
  <si>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</si>
  <si>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</si>
  <si>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</si>
  <si>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</si>
  <si>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</si>
  <si>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</si>
  <si>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</si>
  <si>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</si>
  <si>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</si>
  <si>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</si>
  <si>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</si>
  <si>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</si>
  <si>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</si>
  <si>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</si>
  <si>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</si>
  <si>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</si>
  <si>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</si>
  <si>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</si>
  <si>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</si>
  <si>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</si>
  <si>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</si>
  <si>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</si>
  <si>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</si>
  <si>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</si>
  <si>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</si>
  <si>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</si>
  <si>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</si>
  <si>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</si>
  <si>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Juventus</t>
  </si>
  <si>
    <t>DLWWW</t>
  </si>
  <si>
    <t>CLASIFICATION</t>
  </si>
  <si>
    <t>ATO Z trend</t>
  </si>
  <si>
    <t>LLLWW</t>
  </si>
  <si>
    <t>DWWWW</t>
  </si>
  <si>
    <t>WDWLL</t>
  </si>
  <si>
    <t>pronox Home Capacities</t>
  </si>
  <si>
    <t>Inter</t>
  </si>
  <si>
    <t>DLWWD</t>
  </si>
  <si>
    <t>LWWLL</t>
  </si>
  <si>
    <t>AS Roma</t>
  </si>
  <si>
    <t>WWLLL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</si>
  <si>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</si>
  <si>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</si>
  <si>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</si>
  <si>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</si>
  <si>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</si>
  <si>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</si>
  <si>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</si>
  <si>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</si>
  <si>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</si>
  <si>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</si>
  <si>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</si>
  <si>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</si>
  <si>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WWWWD</t>
  </si>
  <si>
    <t>Verona</t>
  </si>
  <si>
    <t>DLWDL</t>
  </si>
  <si>
    <t>MATCH</t>
  </si>
  <si>
    <t>LWDWL</t>
  </si>
  <si>
    <t>DLDWW</t>
  </si>
  <si>
    <t>LLLLW</t>
  </si>
  <si>
    <t>Southampton</t>
  </si>
  <si>
    <t>WLLWL</t>
  </si>
  <si>
    <t>WLLLW</t>
  </si>
  <si>
    <t>WLLLL</t>
  </si>
  <si>
    <t>LDLDL</t>
  </si>
  <si>
    <t>LLWLD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</si>
  <si>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</si>
  <si>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</si>
  <si>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</si>
  <si>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</si>
  <si>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</si>
  <si>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</si>
  <si>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</si>
  <si>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</si>
  <si>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</si>
  <si>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</si>
  <si>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</si>
  <si>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</si>
  <si>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</si>
  <si>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</si>
  <si>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</si>
  <si>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</si>
  <si>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</si>
  <si>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</si>
  <si>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</si>
  <si>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</si>
  <si>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</si>
  <si>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</si>
  <si>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</si>
  <si>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</si>
  <si>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</si>
  <si>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</si>
  <si>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</si>
  <si>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</si>
  <si>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</si>
  <si>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</si>
  <si>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</si>
  <si>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</si>
  <si>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</si>
  <si>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</si>
  <si>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</si>
  <si>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</si>
  <si>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</si>
  <si>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</si>
  <si>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</si>
  <si>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</si>
  <si>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</si>
  <si>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</si>
  <si>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</si>
  <si>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</si>
  <si>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</si>
  <si>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</si>
  <si>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</si>
  <si>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</si>
  <si>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</si>
  <si>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</si>
  <si>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</si>
  <si>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</si>
  <si>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</si>
  <si>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</si>
  <si>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</si>
  <si>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</si>
  <si>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</si>
  <si>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</si>
  <si>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</si>
  <si>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</si>
  <si>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</si>
  <si>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</si>
  <si>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</si>
  <si>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</si>
  <si>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</si>
  <si>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</si>
  <si>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</si>
  <si>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</si>
  <si>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</si>
  <si>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</si>
  <si>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</si>
  <si>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</si>
  <si>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</si>
  <si>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</si>
  <si>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</si>
  <si>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</si>
  <si>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</si>
  <si>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</si>
  <si>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Udinese - Sampdoria</t>
  </si>
  <si>
    <t>1:3</t>
  </si>
  <si>
    <t>1X</t>
  </si>
  <si>
    <t>O</t>
  </si>
  <si>
    <t>2:1</t>
  </si>
  <si>
    <t>2:0</t>
  </si>
  <si>
    <t>0:0</t>
  </si>
  <si>
    <t>p6</t>
  </si>
  <si>
    <t>https://int.soccerway.com/matches/2020/07/12/italy/serie-a/udinese-calcio/uc-sampdoria/3112016/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</si>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</sst>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Udinese - Sampdoria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Udinese - Sampdoria</v>
      </c>
      <c r="C2" t="str">
        <f>IF(B1=B2,"OK","ERROR")</f>
        <v>OK</v>
      </c>
      <c r="E2">
        <v>14</v>
      </c>
      <c r="F2">
        <v>16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2</v>
      </c>
      <c r="AB2" s="10">
        <v>0</v>
      </c>
      <c r="AC2" s="85">
        <f>Y2+Z2</f>
        <v>4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Udinese-Sampdoria</v>
      </c>
      <c r="CA2" t="str">
        <f>V24</f>
        <v>Udinese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2</v>
      </c>
      <c r="Z3" s="10">
        <v>3</v>
      </c>
      <c r="AA3" s="10">
        <v>1</v>
      </c>
      <c r="AB3" s="10">
        <v>2</v>
      </c>
      <c r="AC3" s="85">
        <f>Y3+Z3</f>
        <v>5</v>
      </c>
      <c r="AD3" s="85">
        <f>AA3+AB3</f>
        <v>3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Udinese</v>
      </c>
      <c r="BZ3" s="85" t="str">
        <f>X1</f>
        <v>Sampdoria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0</v>
      </c>
      <c r="Z4" s="9">
        <v>0</v>
      </c>
      <c r="AA4" s="9">
        <v>2</v>
      </c>
      <c r="AB4" s="9">
        <v>1</v>
      </c>
      <c r="AC4" s="85">
        <f>Y4+Z4</f>
        <v>0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13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2</v>
      </c>
      <c r="BY4" s="85">
        <f>BW23</f>
        <v>1</v>
      </c>
      <c r="BZ4" s="85">
        <f>BX23</f>
        <v>3</v>
      </c>
      <c r="CA4" s="61">
        <f>IF((BW4&gt;=3),"M",BW4)</f>
        <v>2</v>
      </c>
      <c r="CB4" s="61">
        <f>IF((BX4&gt;=3),"M",BX4)</f>
        <v>2</v>
      </c>
      <c r="CC4">
        <v>20</v>
      </c>
      <c r="CD4">
        <f>BW4</f>
        <v>2</v>
      </c>
      <c r="CE4">
        <f>BX4</f>
        <v>2</v>
      </c>
      <c r="CF4" s="85">
        <f>CD23</f>
        <v>1</v>
      </c>
      <c r="CG4" s="85">
        <f>CE23</f>
        <v>3</v>
      </c>
      <c r="CQ4">
        <v>20</v>
      </c>
      <c r="CR4">
        <f>AC2</f>
        <v>4</v>
      </c>
      <c r="CS4">
        <f>AD2</f>
        <v>2</v>
      </c>
      <c r="CT4" s="85">
        <f>CR23</f>
        <v>5</v>
      </c>
      <c r="CU4" s="85">
        <f>CS23</f>
        <v>1</v>
      </c>
      <c r="CV4" s="61"/>
      <c r="CW4" s="61"/>
      <c r="CX4">
        <v>20</v>
      </c>
      <c r="CY4">
        <f>CR4</f>
        <v>4</v>
      </c>
      <c r="CZ4">
        <f>CS4</f>
        <v>2</v>
      </c>
      <c r="DA4" s="85">
        <f>CY23</f>
        <v>5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0</v>
      </c>
      <c r="Z5" s="9">
        <v>0</v>
      </c>
      <c r="AA5" s="9">
        <v>2</v>
      </c>
      <c r="AB5" s="9">
        <v>1</v>
      </c>
      <c r="AC5" s="85">
        <f>Y5+Z5</f>
        <v>0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3</v>
      </c>
      <c r="BY5" s="85">
        <f>BW22</f>
        <v>3</v>
      </c>
      <c r="BZ5" s="85">
        <f>BX22</f>
        <v>2</v>
      </c>
      <c r="CA5" s="61">
        <f>IF((BW5&gt;=3),"M",BW5)</f>
        <v>1</v>
      </c>
      <c r="CB5" s="61" t="str">
        <f>IF((BX5&gt;=3),"M",BX5)</f>
        <v>M</v>
      </c>
      <c r="CC5">
        <v>19</v>
      </c>
      <c r="CD5">
        <f>BW5</f>
        <v>1</v>
      </c>
      <c r="CE5">
        <f>BX5</f>
        <v>3</v>
      </c>
      <c r="CF5" s="85">
        <f>CD22</f>
        <v>3</v>
      </c>
      <c r="CG5" s="85">
        <f>CE22</f>
        <v>2</v>
      </c>
      <c r="CQ5">
        <v>19</v>
      </c>
      <c r="CR5">
        <f>AC3</f>
        <v>5</v>
      </c>
      <c r="CS5">
        <f>AD3</f>
        <v>3</v>
      </c>
      <c r="CT5" s="85">
        <f>CR22</f>
        <v>11</v>
      </c>
      <c r="CU5" s="85">
        <f>CS22</f>
        <v>8</v>
      </c>
      <c r="CV5" s="61"/>
      <c r="CW5" s="61"/>
      <c r="CX5">
        <v>19</v>
      </c>
      <c r="CY5">
        <f>CR5</f>
        <v>5</v>
      </c>
      <c r="CZ5">
        <f>CS5</f>
        <v>3</v>
      </c>
      <c r="DA5" s="85">
        <f>CY22</f>
        <v>11</v>
      </c>
      <c r="DB5" s="85">
        <f>CZ22</f>
        <v>8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42</v>
      </c>
      <c r="X6" t="s">
        <v>53</v>
      </c>
      <c r="Y6" s="9">
        <v>0</v>
      </c>
      <c r="Z6" s="9">
        <v>2</v>
      </c>
      <c r="AA6" s="9">
        <v>1</v>
      </c>
      <c r="AB6" s="9">
        <v>3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2</v>
      </c>
      <c r="BZ6" s="85">
        <f>BX21</f>
        <v>1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2</v>
      </c>
      <c r="CG6" s="85">
        <f>CE21</f>
        <v>1</v>
      </c>
      <c r="CQ6">
        <v>18</v>
      </c>
      <c r="CR6">
        <f>AC4</f>
        <v>0</v>
      </c>
      <c r="CS6">
        <f>AD4</f>
        <v>3</v>
      </c>
      <c r="CT6" s="85">
        <f>CR21</f>
        <v>4</v>
      </c>
      <c r="CU6" s="85">
        <f>CS21</f>
        <v>3</v>
      </c>
      <c r="CV6" s="61"/>
      <c r="CW6" s="61"/>
      <c r="CX6">
        <v>18</v>
      </c>
      <c r="CY6">
        <f>CR6</f>
        <v>0</v>
      </c>
      <c r="CZ6">
        <f>CS6</f>
        <v>3</v>
      </c>
      <c r="DA6" s="85">
        <f>CY21</f>
        <v>4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6</v>
      </c>
      <c r="B7" s="114" t="str">
        <f>B1</f>
        <v>Udinese - Sampdoria</v>
      </c>
      <c r="C7" s="114">
        <f>Y41</f>
        <v>0.875</v>
      </c>
      <c r="D7" s="114" t="str">
        <f>BH36</f>
        <v>1</v>
      </c>
      <c r="E7" s="114" t="str">
        <f>BI36</f>
        <v>1X2</v>
      </c>
      <c r="F7" s="114">
        <f>Z41</f>
        <v>50</v>
      </c>
      <c r="G7" s="114">
        <f>AA41</f>
        <v>18.75</v>
      </c>
      <c r="H7" s="114">
        <f>AB41</f>
        <v>18.75</v>
      </c>
      <c r="I7" s="114">
        <f>AC41</f>
        <v>12.5</v>
      </c>
      <c r="J7" s="114">
        <f>AD41</f>
        <v>65.625</v>
      </c>
      <c r="K7" s="114">
        <f>AE41</f>
        <v>34.375</v>
      </c>
      <c r="L7" s="115">
        <f>AF39</f>
        <v>31.25</v>
      </c>
      <c r="M7" s="114">
        <f>AH39</f>
        <v>62.5</v>
      </c>
      <c r="N7" s="114">
        <f>AI39</f>
        <v>18.75</v>
      </c>
      <c r="O7" s="116">
        <f>C22</f>
        <v>21</v>
      </c>
      <c r="P7" s="117" t="str">
        <f>E22</f>
        <v>2M</v>
      </c>
      <c r="Q7" s="116">
        <f>G22</f>
        <v>22</v>
      </c>
      <c r="R7" s="116">
        <f>D26</f>
        <v>62.5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3</v>
      </c>
      <c r="Z7" s="9">
        <v>0</v>
      </c>
      <c r="AA7" s="9">
        <v>5</v>
      </c>
      <c r="AB7" s="9">
        <v>1</v>
      </c>
      <c r="AC7" s="85">
        <f>Y7+Z7</f>
        <v>3</v>
      </c>
      <c r="AD7" s="85">
        <f>AA7+AB7</f>
        <v>6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1</v>
      </c>
      <c r="BZ7" s="85">
        <f>BX20</f>
        <v>0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1</v>
      </c>
      <c r="CG7" s="85">
        <f>CE20</f>
        <v>0</v>
      </c>
      <c r="CQ7">
        <v>17</v>
      </c>
      <c r="CR7">
        <f>AC5</f>
        <v>0</v>
      </c>
      <c r="CS7">
        <f>AD5</f>
        <v>3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0</v>
      </c>
      <c r="CZ7">
        <f>CS7</f>
        <v>3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1</v>
      </c>
      <c r="AA8" s="9">
        <v>0</v>
      </c>
      <c r="AB8" s="9">
        <v>0</v>
      </c>
      <c r="AC8" s="85">
        <f>Y8+Z8</f>
        <v>3</v>
      </c>
      <c r="AD8" s="85">
        <f>AA8+AB8</f>
        <v>0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2</v>
      </c>
      <c r="BY8" s="85">
        <f>BW19</f>
        <v>4</v>
      </c>
      <c r="BZ8" s="85">
        <f>BX19</f>
        <v>3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4</v>
      </c>
      <c r="CG8" s="85">
        <f>CE19</f>
        <v>3</v>
      </c>
      <c r="CQ8">
        <v>16</v>
      </c>
      <c r="CR8">
        <f>AC6</f>
        <v>2</v>
      </c>
      <c r="CS8">
        <f>AD6</f>
        <v>4</v>
      </c>
      <c r="CT8" s="85">
        <f>CR19</f>
        <v>4</v>
      </c>
      <c r="CU8" s="85">
        <f>CS19</f>
        <v>5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4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21</v>
      </c>
      <c r="Y9" s="9">
        <v>1</v>
      </c>
      <c r="Z9" s="9">
        <v>1</v>
      </c>
      <c r="AA9" s="9">
        <v>0</v>
      </c>
      <c r="AB9" s="9">
        <v>1</v>
      </c>
      <c r="AC9" s="85">
        <f>Y9+Z9</f>
        <v>2</v>
      </c>
      <c r="AD9" s="85">
        <f>AA9+AB9</f>
        <v>1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65</v>
      </c>
      <c r="BN9" s="99">
        <f>(BM5/BM7)*100</f>
        <v>5</v>
      </c>
      <c r="BO9" s="99">
        <f>(BM6/BM7)*100</f>
        <v>30</v>
      </c>
      <c r="BP9" s="115">
        <f>MAX(BM9:BO9)</f>
        <v>65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5</v>
      </c>
      <c r="BX9">
        <f>Z7</f>
        <v>0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5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3</v>
      </c>
      <c r="CS9">
        <f>AD7</f>
        <v>6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6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58</v>
      </c>
      <c r="Y10" s="9">
        <v>4</v>
      </c>
      <c r="Z10" s="9">
        <v>0</v>
      </c>
      <c r="AA10" s="9">
        <v>2</v>
      </c>
      <c r="AB10" s="9">
        <v>1</v>
      </c>
      <c r="AC10" s="85">
        <f>Y10+Z10</f>
        <v>4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2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2</v>
      </c>
      <c r="CG10" s="85">
        <f>CE17</f>
        <v>1</v>
      </c>
      <c r="CQ10">
        <v>14</v>
      </c>
      <c r="CR10">
        <f>AC8</f>
        <v>3</v>
      </c>
      <c r="CS10">
        <f>AD8</f>
        <v>0</v>
      </c>
      <c r="CT10" s="85">
        <f>CR17</f>
        <v>1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0</v>
      </c>
      <c r="DA10" s="85">
        <f>CY17</f>
        <v>1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58</v>
      </c>
      <c r="Y11" s="9">
        <v>0</v>
      </c>
      <c r="Z11" s="9">
        <v>0</v>
      </c>
      <c r="AA11" s="9">
        <v>4</v>
      </c>
      <c r="AB11" s="9">
        <v>3</v>
      </c>
      <c r="AC11" s="85">
        <f>Y11+Z11</f>
        <v>0</v>
      </c>
      <c r="AD11" s="85">
        <f>AA11+AB11</f>
        <v>7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2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2</v>
      </c>
      <c r="CG11" s="85">
        <f>CE16</f>
        <v>0</v>
      </c>
      <c r="CQ11">
        <v>13</v>
      </c>
      <c r="CR11">
        <f>AC9</f>
        <v>2</v>
      </c>
      <c r="CS11">
        <f>AD9</f>
        <v>1</v>
      </c>
      <c r="CT11" s="85">
        <f>CR16</f>
        <v>1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1</v>
      </c>
      <c r="DA11" s="85">
        <f>CY16</f>
        <v>1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35</v>
      </c>
      <c r="X12" t="s">
        <v>66</v>
      </c>
      <c r="Y12" s="9">
        <v>0</v>
      </c>
      <c r="Z12" s="9">
        <v>4</v>
      </c>
      <c r="AA12" s="9">
        <v>0</v>
      </c>
      <c r="AB12" s="9">
        <v>1</v>
      </c>
      <c r="AC12" s="85">
        <f>Y12+Z12</f>
        <v>4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2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2</v>
      </c>
      <c r="CG12" s="85">
        <f>CE15</f>
        <v>0</v>
      </c>
      <c r="CQ12">
        <v>12</v>
      </c>
      <c r="CR12">
        <f>AC10</f>
        <v>4</v>
      </c>
      <c r="CS12">
        <f>AD10</f>
        <v>3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4</v>
      </c>
      <c r="CZ12">
        <f>CS12</f>
        <v>3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53</v>
      </c>
      <c r="X13" t="s">
        <v>64</v>
      </c>
      <c r="Y13" s="9">
        <v>1</v>
      </c>
      <c r="Z13" s="9">
        <v>0</v>
      </c>
      <c r="AA13" s="9">
        <v>2</v>
      </c>
      <c r="AB13" s="9">
        <v>1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4</v>
      </c>
      <c r="BX13">
        <f>Z11</f>
        <v>0</v>
      </c>
      <c r="BY13" s="85">
        <f>BW14</f>
        <v>0</v>
      </c>
      <c r="BZ13" s="85">
        <f>BX14</f>
        <v>4</v>
      </c>
      <c r="CA13" s="61" t="str">
        <f>IF((BW13&gt;=3),"M",BW13)</f>
        <v>M</v>
      </c>
      <c r="CB13" s="61">
        <f>IF((BX13&gt;=3),"M",BX13)</f>
        <v>0</v>
      </c>
      <c r="CC13">
        <v>11</v>
      </c>
      <c r="CD13">
        <f>BW13</f>
        <v>4</v>
      </c>
      <c r="CE13">
        <f>BX13</f>
        <v>0</v>
      </c>
      <c r="CF13" s="85">
        <f>CD14</f>
        <v>0</v>
      </c>
      <c r="CG13" s="85">
        <f>CE14</f>
        <v>4</v>
      </c>
      <c r="CQ13">
        <v>11</v>
      </c>
      <c r="CR13">
        <f>AC11</f>
        <v>0</v>
      </c>
      <c r="CS13">
        <f>AD11</f>
        <v>7</v>
      </c>
      <c r="CT13" s="85">
        <f>CR14</f>
        <v>4</v>
      </c>
      <c r="CU13" s="85">
        <f>CS14</f>
        <v>1</v>
      </c>
      <c r="CV13" s="61"/>
      <c r="CW13" s="61"/>
      <c r="CX13">
        <v>11</v>
      </c>
      <c r="CY13">
        <f>CR13</f>
        <v>0</v>
      </c>
      <c r="CZ13">
        <f>CS13</f>
        <v>7</v>
      </c>
      <c r="DA13" s="85">
        <f>CY14</f>
        <v>4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64</v>
      </c>
      <c r="X14" t="s">
        <v>41</v>
      </c>
      <c r="Y14" s="9">
        <v>1</v>
      </c>
      <c r="Z14" s="9">
        <v>0</v>
      </c>
      <c r="AA14" s="9">
        <v>2</v>
      </c>
      <c r="AB14" s="9">
        <v>0</v>
      </c>
      <c r="AC14" s="85">
        <f>Y14+Z14</f>
        <v>1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4</v>
      </c>
      <c r="BY14" s="85">
        <f>BW13</f>
        <v>4</v>
      </c>
      <c r="BZ14" s="85">
        <f>BX13</f>
        <v>0</v>
      </c>
      <c r="CA14" s="61">
        <f>IF((BW14&gt;=3),"M",BW14)</f>
        <v>0</v>
      </c>
      <c r="CB14" s="61" t="str">
        <f>IF((BX14&gt;=3),"M",BX14)</f>
        <v>M</v>
      </c>
      <c r="CC14">
        <v>10</v>
      </c>
      <c r="CD14">
        <f>BW14</f>
        <v>0</v>
      </c>
      <c r="CE14">
        <f>BX14</f>
        <v>4</v>
      </c>
      <c r="CF14" s="85">
        <f>CD13</f>
        <v>4</v>
      </c>
      <c r="CG14" s="85">
        <f>CE13</f>
        <v>0</v>
      </c>
      <c r="CQ14">
        <v>10</v>
      </c>
      <c r="CR14">
        <f>AC12</f>
        <v>4</v>
      </c>
      <c r="CS14">
        <f>AD12</f>
        <v>1</v>
      </c>
      <c r="CT14" s="85">
        <f>CR13</f>
        <v>0</v>
      </c>
      <c r="CU14" s="85">
        <f>CS13</f>
        <v>7</v>
      </c>
      <c r="CV14" s="61"/>
      <c r="CW14" s="61"/>
      <c r="CX14">
        <v>10</v>
      </c>
      <c r="CY14">
        <f>CR14</f>
        <v>4</v>
      </c>
      <c r="CZ14">
        <f>CS14</f>
        <v>1</v>
      </c>
      <c r="DA14" s="85">
        <f>CY13</f>
        <v>0</v>
      </c>
      <c r="DB14" s="85">
        <f>CZ13</f>
        <v>7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25.001</v>
      </c>
      <c r="O15" s="129">
        <f>BE36</f>
        <v>25.001</v>
      </c>
      <c r="U15" s="84">
        <f>U14+1</f>
        <v>14</v>
      </c>
      <c r="V15" t="s">
        <v>70</v>
      </c>
      <c r="W15" t="s">
        <v>71</v>
      </c>
      <c r="X15" t="s">
        <v>34</v>
      </c>
      <c r="Y15" s="9">
        <v>0</v>
      </c>
      <c r="Z15" s="9">
        <v>1</v>
      </c>
      <c r="AA15" s="9">
        <v>2</v>
      </c>
      <c r="AB15" s="9">
        <v>1</v>
      </c>
      <c r="AC15" s="85">
        <f>Y15+Z15</f>
        <v>1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2</v>
      </c>
      <c r="BZ15" s="85">
        <f>BX12</f>
        <v>0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1.6466973886329</v>
      </c>
      <c r="CQ15">
        <v>9</v>
      </c>
      <c r="CR15">
        <f>AC13</f>
        <v>1</v>
      </c>
      <c r="CS15">
        <f>AD13</f>
        <v>3</v>
      </c>
      <c r="CT15" s="85">
        <f>CR12</f>
        <v>4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4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6</v>
      </c>
      <c r="DR15" s="132" t="str">
        <f>IF(DP14&lt;3,"",VLOOKUP(3,DM3:DR11,4,FALSE))</f>
        <v/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74</v>
      </c>
      <c r="W16" t="s">
        <v>75</v>
      </c>
      <c r="X16" t="s">
        <v>62</v>
      </c>
      <c r="Y16" s="9">
        <v>2</v>
      </c>
      <c r="Z16" s="9">
        <v>0</v>
      </c>
      <c r="AA16" s="9">
        <v>2</v>
      </c>
      <c r="AB16" s="9">
        <v>0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2</v>
      </c>
      <c r="CB16" s="61">
        <f>IF((BX16&gt;=3),"M",BX16)</f>
        <v>0</v>
      </c>
      <c r="CC16">
        <v>8</v>
      </c>
      <c r="CD16">
        <f>BW16</f>
        <v>2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1.6466973886329</v>
      </c>
      <c r="CQ16">
        <v>8</v>
      </c>
      <c r="CR16">
        <f>AC14</f>
        <v>1</v>
      </c>
      <c r="CS16">
        <f>AD14</f>
        <v>2</v>
      </c>
      <c r="CT16" s="85">
        <f>CR11</f>
        <v>2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2</v>
      </c>
      <c r="DA16" s="85">
        <f>CY11</f>
        <v>2</v>
      </c>
      <c r="DB16" s="85">
        <f>CZ11</f>
        <v>1</v>
      </c>
      <c r="DG16" s="135" t="s">
        <v>76</v>
      </c>
      <c r="DH16" s="136">
        <f>VLOOKUP(1,DE3:DJ11,6,FALSE)</f>
        <v>62.5</v>
      </c>
      <c r="DI16" s="136">
        <f>VLOOKUP(2,DE3:DJ11,6,FALSE)</f>
        <v>18.75</v>
      </c>
      <c r="DJ16" s="137">
        <f>VLOOKUP(3,DE3:DJ11,6,FALSE)</f>
        <v>6.25</v>
      </c>
      <c r="DO16" s="135" t="s">
        <v>76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47</v>
      </c>
      <c r="J17" s="141" t="s">
        <v>48</v>
      </c>
      <c r="K17" s="142" t="s">
        <v>23</v>
      </c>
      <c r="L17" s="142" t="s">
        <v>80</v>
      </c>
      <c r="M17" s="129">
        <f>BC38</f>
        <v>65</v>
      </c>
      <c r="N17" s="129">
        <f>BD38</f>
        <v>5</v>
      </c>
      <c r="O17" s="129">
        <f>BE38</f>
        <v>30</v>
      </c>
      <c r="U17" s="84">
        <f>U16+1</f>
        <v>16</v>
      </c>
      <c r="V17" t="s">
        <v>81</v>
      </c>
      <c r="W17" t="s">
        <v>82</v>
      </c>
      <c r="X17" t="s">
        <v>55</v>
      </c>
      <c r="Y17" s="9">
        <v>1</v>
      </c>
      <c r="Z17" s="9">
        <v>3</v>
      </c>
      <c r="AA17" s="9">
        <v>4</v>
      </c>
      <c r="AB17" s="9">
        <v>1</v>
      </c>
      <c r="AC17" s="85">
        <f>Y17+Z17</f>
        <v>4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0</v>
      </c>
      <c r="BZ17" s="85">
        <f>BX10</f>
        <v>1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1.1525423728814</v>
      </c>
      <c r="CQ17">
        <v>7</v>
      </c>
      <c r="CR17">
        <f>AC15</f>
        <v>1</v>
      </c>
      <c r="CS17">
        <f>AD15</f>
        <v>3</v>
      </c>
      <c r="CT17" s="85">
        <f>CR10</f>
        <v>3</v>
      </c>
      <c r="CU17" s="85">
        <f>CS10</f>
        <v>0</v>
      </c>
      <c r="CV17" s="61"/>
      <c r="CW17" s="61"/>
      <c r="CX17">
        <v>7</v>
      </c>
      <c r="CY17">
        <f>CR17</f>
        <v>1</v>
      </c>
      <c r="CZ17">
        <f>CS17</f>
        <v>3</v>
      </c>
      <c r="DA17" s="85">
        <f>CY10</f>
        <v>3</v>
      </c>
      <c r="DB17" s="85">
        <f>CZ10</f>
        <v>0</v>
      </c>
      <c r="DE17" s="131"/>
      <c r="DF17" s="131"/>
    </row>
    <row r="18" spans="1:122">
      <c r="A18" s="84">
        <f>A1</f>
        <v>6</v>
      </c>
      <c r="B18" s="61" t="str">
        <f>B1</f>
        <v>Udinese - Sampdoria</v>
      </c>
      <c r="C18" s="115">
        <f>W39</f>
        <v>-2</v>
      </c>
      <c r="D18" s="143">
        <f>AA68</f>
        <v>-0.027067669172932</v>
      </c>
      <c r="E18">
        <f>Y41</f>
        <v>0.875</v>
      </c>
      <c r="F18" s="115" t="str">
        <f>W41</f>
        <v>1X</v>
      </c>
      <c r="G18" s="115">
        <f>AH68</f>
        <v>1</v>
      </c>
      <c r="H18" s="115" t="str">
        <f>AG39</f>
        <v>1X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53.333666666667</v>
      </c>
      <c r="N18" s="129">
        <f>BD39</f>
        <v>18.333666666667</v>
      </c>
      <c r="O18" s="129">
        <f>BE39</f>
        <v>28.333666666667</v>
      </c>
      <c r="U18" s="84">
        <f>U17+1</f>
        <v>17</v>
      </c>
      <c r="V18" t="s">
        <v>83</v>
      </c>
      <c r="W18" t="s">
        <v>59</v>
      </c>
      <c r="X18" t="s">
        <v>84</v>
      </c>
      <c r="Y18" s="9">
        <v>1</v>
      </c>
      <c r="Z18" s="9">
        <v>0</v>
      </c>
      <c r="AA18" s="9">
        <v>1</v>
      </c>
      <c r="AB18" s="9">
        <v>3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5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5</v>
      </c>
      <c r="CG18" s="85">
        <f>CE9</f>
        <v>0</v>
      </c>
      <c r="CI18">
        <f>TREND(BW4:BW23,BX4:BX23,,BW19)</f>
        <v>1.6466973886329</v>
      </c>
      <c r="CQ18">
        <v>6</v>
      </c>
      <c r="CR18">
        <f>AC16</f>
        <v>2</v>
      </c>
      <c r="CS18">
        <f>AD16</f>
        <v>2</v>
      </c>
      <c r="CT18" s="85">
        <f>CR9</f>
        <v>3</v>
      </c>
      <c r="CU18" s="85">
        <f>CS9</f>
        <v>6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3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82</v>
      </c>
      <c r="Y19" s="9">
        <v>3</v>
      </c>
      <c r="Z19" s="9">
        <v>1</v>
      </c>
      <c r="AA19" s="9">
        <v>2</v>
      </c>
      <c r="AB19" s="9">
        <v>1</v>
      </c>
      <c r="AC19" s="85">
        <f>Y19+Z19</f>
        <v>4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3</v>
      </c>
      <c r="BY19" s="85">
        <f>BW8</f>
        <v>1</v>
      </c>
      <c r="BZ19" s="85">
        <f>BX8</f>
        <v>2</v>
      </c>
      <c r="CA19" s="61" t="str">
        <f>IF((BW19&gt;=3),"M",BW19)</f>
        <v>M</v>
      </c>
      <c r="CB19" s="61" t="str">
        <f>IF((BX19&gt;=3),"M",BX19)</f>
        <v>M</v>
      </c>
      <c r="CC19">
        <v>5</v>
      </c>
      <c r="CD19">
        <f>BW19</f>
        <v>4</v>
      </c>
      <c r="CE19">
        <f>BX19</f>
        <v>3</v>
      </c>
      <c r="CF19" s="85">
        <f>CD8</f>
        <v>1</v>
      </c>
      <c r="CG19" s="85">
        <f>CE8</f>
        <v>2</v>
      </c>
      <c r="CQ19">
        <v>5</v>
      </c>
      <c r="CR19">
        <f>AC17</f>
        <v>4</v>
      </c>
      <c r="CS19">
        <f>AD17</f>
        <v>5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4</v>
      </c>
      <c r="CZ19">
        <f>CS19</f>
        <v>5</v>
      </c>
      <c r="DA19" s="85">
        <f>CY8</f>
        <v>2</v>
      </c>
      <c r="DB19" s="85">
        <f>CZ8</f>
        <v>4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94</v>
      </c>
      <c r="Y20" s="9">
        <v>9</v>
      </c>
      <c r="Z20" s="9">
        <v>2</v>
      </c>
      <c r="AA20" s="9">
        <v>3</v>
      </c>
      <c r="AB20" s="9">
        <v>5</v>
      </c>
      <c r="AC20" s="85">
        <f>Y20+Z20</f>
        <v>11</v>
      </c>
      <c r="AD20" s="85">
        <f>AA20+AB20</f>
        <v>8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2</v>
      </c>
      <c r="BZ20" s="85">
        <f>BX7</f>
        <v>0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2</v>
      </c>
      <c r="CG20" s="85">
        <f>CE7</f>
        <v>0</v>
      </c>
      <c r="CQ20">
        <v>4</v>
      </c>
      <c r="CR20">
        <f>AC18</f>
        <v>1</v>
      </c>
      <c r="CS20">
        <f>AD18</f>
        <v>4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0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97</v>
      </c>
      <c r="Y21" s="9">
        <v>2</v>
      </c>
      <c r="Z21" s="9">
        <v>3</v>
      </c>
      <c r="AA21" s="9">
        <v>1</v>
      </c>
      <c r="AB21" s="9">
        <v>0</v>
      </c>
      <c r="AC21" s="85">
        <f>Y21+Z21</f>
        <v>5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0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0</v>
      </c>
      <c r="CQ21">
        <v>3</v>
      </c>
      <c r="CR21">
        <f>AC19</f>
        <v>4</v>
      </c>
      <c r="CS21">
        <f>AD19</f>
        <v>3</v>
      </c>
      <c r="CT21" s="85">
        <f>CR6</f>
        <v>0</v>
      </c>
      <c r="CU21" s="85">
        <f>CS6</f>
        <v>3</v>
      </c>
      <c r="CV21" s="61"/>
      <c r="CW21" s="61"/>
      <c r="CX21">
        <v>3</v>
      </c>
      <c r="CY21">
        <f>CR21</f>
        <v>4</v>
      </c>
      <c r="CZ21">
        <f>CS21</f>
        <v>3</v>
      </c>
      <c r="DA21" s="85">
        <f>CY6</f>
        <v>0</v>
      </c>
      <c r="DB21" s="85">
        <f>CZ6</f>
        <v>3</v>
      </c>
    </row>
    <row r="22" spans="1:122" customHeight="1" ht="15.75">
      <c r="A22" s="84">
        <f>A1</f>
        <v>6</v>
      </c>
      <c r="B22" s="61" t="str">
        <f>B1</f>
        <v>Udinese - Sampdoria</v>
      </c>
      <c r="C22" s="115">
        <f>BF42</f>
        <v>21</v>
      </c>
      <c r="D22" s="61">
        <f>BF43</f>
        <v>50.01</v>
      </c>
      <c r="E22" s="154" t="str">
        <f>BG42</f>
        <v>2M</v>
      </c>
      <c r="F22" s="115">
        <f>BG43</f>
        <v>12.51</v>
      </c>
      <c r="G22" s="115">
        <f>BH42</f>
        <v>22</v>
      </c>
      <c r="H22" s="61">
        <f>BH43</f>
        <v>12.51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25.001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2</v>
      </c>
      <c r="BY22" s="85">
        <f>BW5</f>
        <v>1</v>
      </c>
      <c r="BZ22" s="85">
        <f>BX5</f>
        <v>3</v>
      </c>
      <c r="CA22" s="61" t="str">
        <f>IF((BW22&gt;=3),"M",BW22)</f>
        <v>M</v>
      </c>
      <c r="CB22" s="61">
        <f>IF((BX22&gt;=3),"M",BX22)</f>
        <v>2</v>
      </c>
      <c r="CC22">
        <v>2</v>
      </c>
      <c r="CD22">
        <f>BW22</f>
        <v>3</v>
      </c>
      <c r="CE22">
        <f>BX22</f>
        <v>2</v>
      </c>
      <c r="CF22" s="85">
        <f>CD5</f>
        <v>1</v>
      </c>
      <c r="CG22" s="85">
        <f>CE5</f>
        <v>3</v>
      </c>
      <c r="CQ22">
        <v>2</v>
      </c>
      <c r="CR22">
        <f>AC20</f>
        <v>11</v>
      </c>
      <c r="CS22">
        <f>AD20</f>
        <v>8</v>
      </c>
      <c r="CT22" s="85">
        <f>CR5</f>
        <v>5</v>
      </c>
      <c r="CU22" s="85">
        <f>CS5</f>
        <v>3</v>
      </c>
      <c r="CV22" s="61"/>
      <c r="CW22" s="61"/>
      <c r="CX22">
        <v>2</v>
      </c>
      <c r="CY22">
        <f>CR22</f>
        <v>11</v>
      </c>
      <c r="CZ22">
        <f>CS22</f>
        <v>8</v>
      </c>
      <c r="DA22" s="85">
        <f>CY5</f>
        <v>5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Udinese-Sampdoria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Udinese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3</v>
      </c>
      <c r="BY23" s="85">
        <f>BW4</f>
        <v>2</v>
      </c>
      <c r="BZ23" s="85">
        <f>BX4</f>
        <v>2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3</v>
      </c>
      <c r="CF23" s="85">
        <f>CD4</f>
        <v>2</v>
      </c>
      <c r="CG23" s="85">
        <f>CE4</f>
        <v>2</v>
      </c>
      <c r="CQ23">
        <v>1</v>
      </c>
      <c r="CR23">
        <f>AC21</f>
        <v>5</v>
      </c>
      <c r="CS23">
        <f>AD21</f>
        <v>1</v>
      </c>
      <c r="CT23" s="85">
        <f>CR4</f>
        <v>4</v>
      </c>
      <c r="CU23" s="85">
        <f>CS4</f>
        <v>2</v>
      </c>
      <c r="CV23" s="61"/>
      <c r="CW23" s="61"/>
      <c r="CX23">
        <v>1</v>
      </c>
      <c r="CY23">
        <f>CR23</f>
        <v>5</v>
      </c>
      <c r="CZ23">
        <f>CS23</f>
        <v>1</v>
      </c>
      <c r="DA23" s="85">
        <f>CY4</f>
        <v>4</v>
      </c>
      <c r="DB23" s="85">
        <f>CZ4</f>
        <v>2</v>
      </c>
    </row>
    <row r="24" spans="1:122">
      <c r="A24" s="133"/>
      <c r="B24" s="80" t="s">
        <v>102</v>
      </c>
      <c r="C24" s="106" t="s">
        <v>37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Udinese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Sampdoria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8</v>
      </c>
      <c r="AX24" s="161" t="str">
        <f>V23</f>
        <v>Udinese-Sampdoria</v>
      </c>
      <c r="AY24" s="162">
        <f>((AS9+BM9)/(AS9+AT9+AU9+BM9+BN9+BO9))*100</f>
        <v>55</v>
      </c>
      <c r="AZ24" s="162">
        <f>((AT9+BN9)/(AS9+AT9+AU9+BM9+BN9+BO9))*100</f>
        <v>15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1.6466973886329</v>
      </c>
      <c r="BX24">
        <f>IF(FORECAST(BX4,BX4:BX23,BW4:BW23)&lt;=0,0,FORECAST(BX4,BX4:BX23,BW4:BW23))</f>
        <v>1.1213017751479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1.6789473684211</v>
      </c>
      <c r="CE24" s="164">
        <f>IF(FORECAST(CC24,CE4:CE23,CC4:CC23)&lt;=0,0,FORECAST(CC24,CE4:CE23,CC4:CC23))</f>
        <v>0.93684210526316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3.1085858585859</v>
      </c>
      <c r="CS24">
        <f>IF(FORECAST(CS4,CS4:CS23,CR4:CR23)&lt;=0,0,FORECAST(CS4,CS4:CS23,CR4:CR23))</f>
        <v>3.0224398204814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1.4052631578947</v>
      </c>
      <c r="CZ24" s="164">
        <f>IF(FORECAST(CX24,CZ4:CZ23,CX4:CX23)&lt;=0,0,FORECAST(CX24,CZ4:CZ23,CX4:CX23))</f>
        <v>2.6157894736842</v>
      </c>
      <c r="DA24">
        <f>ROUND(CY24,0)</f>
        <v>1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76</v>
      </c>
      <c r="E25" s="142" t="s">
        <v>88</v>
      </c>
      <c r="F25" s="142" t="s">
        <v>76</v>
      </c>
      <c r="G25" s="148" t="s">
        <v>89</v>
      </c>
      <c r="H25" s="148" t="s">
        <v>76</v>
      </c>
      <c r="I25" s="149" t="s">
        <v>90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2</v>
      </c>
      <c r="AU25">
        <f>COUNTIF($Z$2:$Z$17,AS25)</f>
        <v>3</v>
      </c>
      <c r="BW25">
        <f>IF(FORECAST(BW7,BW4:BW23,BX4:BX23)&lt;=0,0,FORECAST(BW7,BW4:BW23,BX4:BX23))</f>
        <v>1.6466973886329</v>
      </c>
      <c r="BX25">
        <f>IF(FORECAST(BX5,BX5:BX24,BW5:BW24)&lt;=0,0,FORECAST(BX5,BX5:BX24,BW5:BW24))</f>
        <v>0.78268991454959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1.45</v>
      </c>
      <c r="CE25" s="164">
        <f>IF(FORECAST(CC24,CE4:CE19,CC4:CC19)&lt;=0,0,FORECAST(CC24,CE4:CE19,CC4:CC19))</f>
        <v>1.2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1.8156565656566</v>
      </c>
      <c r="CS25">
        <f>IF(FORECAST(CS7,CS4:CS23,CR4:CR23)&lt;=0,0,FORECAST(CS7,CS4:CS23,CR4:CR23))</f>
        <v>3.2313341493268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2.6</v>
      </c>
      <c r="CZ25" s="164">
        <f>IF(FORECAST(CX24,CZ4:CZ19,CX4:CX19)&lt;=0,0,FORECAST(CX24,CZ4:CZ19,CX4:CX19))</f>
        <v>2.825</v>
      </c>
      <c r="DA25">
        <f>ROUND(CY25,0)</f>
        <v>3</v>
      </c>
      <c r="DB25">
        <f>ROUND(CZ25,0)</f>
        <v>3</v>
      </c>
    </row>
    <row r="26" spans="1:122">
      <c r="A26" s="84">
        <f>A1</f>
        <v>6</v>
      </c>
      <c r="B26" s="61" t="str">
        <f>B1</f>
        <v>Udinese - Sampdoria</v>
      </c>
      <c r="C26" s="115" t="str">
        <f>"+2,5"</f>
        <v>+2,5</v>
      </c>
      <c r="D26">
        <f>BR46</f>
        <v>62.5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18.75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2-3</v>
      </c>
      <c r="AA26" t="str">
        <f>Y4&amp;"-"&amp;Z4</f>
        <v>0-0</v>
      </c>
      <c r="AB26" t="str">
        <f>Y5&amp;"-"&amp;Z5</f>
        <v>0-0</v>
      </c>
      <c r="AC26" t="str">
        <f>Y6&amp;"-"&amp;Z6</f>
        <v>0-2</v>
      </c>
      <c r="AD26" t="str">
        <f>Y7&amp;"-"&amp;Z7</f>
        <v>3-0</v>
      </c>
      <c r="AE26" t="str">
        <f>Y8&amp;"-"&amp;Z8</f>
        <v>2-1</v>
      </c>
      <c r="AF26" t="str">
        <f>Y9&amp;"-"&amp;Z9</f>
        <v>1-1</v>
      </c>
      <c r="AG26" t="str">
        <f>Y10&amp;"-"&amp;Z10</f>
        <v>4-0</v>
      </c>
      <c r="AH26" t="str">
        <f>Y11&amp;"-"&amp;Z11</f>
        <v>0-0</v>
      </c>
      <c r="AR26" s="166"/>
      <c r="AS26" s="131">
        <v>2</v>
      </c>
      <c r="AT26">
        <f>COUNTIF($AA$2:$AA$17,AS26)</f>
        <v>8</v>
      </c>
      <c r="AU26">
        <f>COUNTIF($Z$2:$Z$17,AS26)</f>
        <v>2</v>
      </c>
      <c r="BW26">
        <f>IF(FORECAST(BW11,BW4:BW23,BX4:BX23)&lt;=0,0,FORECAST(BW11,BW4:BW23,BX4:BX23))</f>
        <v>2.2427035330261</v>
      </c>
      <c r="BX26">
        <f>IF(FORECAST(BX6,BX6:BX25,BW6:BW25)&lt;=0,0,FORECAST(BX6,BX6:BX25,BW6:BW25))</f>
        <v>1.4564154102757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2.2142857142857</v>
      </c>
      <c r="CE26" s="164">
        <f>IF(FORECAST(CC24,CE4:CE11,CC4:CC11)&lt;=0,0,FORECAST(CC24,CE4:CE11,CC4:CC11))</f>
        <v>1.9285714285714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2.4621212121212</v>
      </c>
      <c r="CS26">
        <f>IF(FORECAST(CS11,CS4:CS23,CR4:CR23)&lt;=0,0,FORECAST(CS11,CS4:CS23,CR4:CR23))</f>
        <v>2.8135454916361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3.0714285714286</v>
      </c>
      <c r="CZ26" s="164">
        <f>IF(FORECAST(CX24,CZ4:CZ11,CX4:CX11)&lt;=0,0,FORECAST(CX24,CZ4:CZ11,CX4:CX11))</f>
        <v>3.3928571428571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Udinese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0</v>
      </c>
      <c r="AU27">
        <f>COUNTIF($Z$2:$Z$17,AS27)</f>
        <v>2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1.0506912442396</v>
      </c>
      <c r="BX27">
        <f>IF(FORECAST(BX7,BX7:BX26,BW7:BW26)&lt;=0,0,FORECAST(BX7,BX7:BX26,BW7:BW26))</f>
        <v>1.5181152636559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3.5</v>
      </c>
      <c r="CF27">
        <f>ROUND(CD27,0)</f>
        <v>2</v>
      </c>
      <c r="CG27">
        <f>ROUND(CE27,0)</f>
        <v>4</v>
      </c>
      <c r="CH27" s="61">
        <f>IF((CF27&gt;=3),"M",CF27)</f>
        <v>2</v>
      </c>
      <c r="CI27" s="61" t="str">
        <f>IF((CG27&gt;=3),"M",CG27)</f>
        <v>M</v>
      </c>
      <c r="CR27">
        <f>IF(FORECAST(CR19,CR4:CR23,CS4:CS23)&lt;=0,0,FORECAST(CR19,CR4:CR23,CS4:CS23))</f>
        <v>3.1085858585859</v>
      </c>
      <c r="CS27">
        <f>IF(FORECAST(CS19,CS4:CS23,CR4:CR23)&lt;=0,0,FORECAST(CS19,CS4:CS23,CR4:CR23))</f>
        <v>3.6491228070175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6.5</v>
      </c>
      <c r="CZ27" s="164">
        <f>IF(FORECAST(CX24,CZ4:CZ7,CX4:CX7)&lt;=0,0,FORECAST(CX24,CZ4:CZ7,CX4:CX7))</f>
        <v>2</v>
      </c>
      <c r="DA27">
        <f>ROUND(CY27,0)</f>
        <v>7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( 14)  vrs  AW ( 16 )</v>
      </c>
      <c r="BD28" s="173">
        <f>W35</f>
        <v>14</v>
      </c>
      <c r="BE28" s="174">
        <f>W36</f>
        <v>16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Udinese-Sampdoria</v>
      </c>
      <c r="BW28" s="61" t="str">
        <f>CONCATENATE(CA24,CB24)</f>
        <v>21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12</v>
      </c>
      <c r="CC28" s="61"/>
      <c r="CD28" s="61" t="str">
        <f>CONCATENATE(CH24,CI24)</f>
        <v>21</v>
      </c>
      <c r="CE28" s="61" t="str">
        <f>CONCATENATE(CH25,CI25)</f>
        <v>11</v>
      </c>
      <c r="CF28" s="61" t="str">
        <f>CONCATENATE(CH26,CI26)</f>
        <v>22</v>
      </c>
      <c r="CG28" s="61" t="str">
        <f>CONCATENATE(CH27,CI27)</f>
        <v>2M</v>
      </c>
      <c r="CQ28" s="177" t="s">
        <v>109</v>
      </c>
      <c r="CR28" s="178">
        <f>CT24</f>
        <v>3</v>
      </c>
      <c r="CS28" s="178">
        <f>CT25</f>
        <v>2</v>
      </c>
      <c r="CT28" s="178">
        <f>CT26</f>
        <v>2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4</v>
      </c>
      <c r="CZ28" s="179">
        <f>DA24</f>
        <v>1</v>
      </c>
      <c r="DA28" s="179">
        <f>DA25</f>
        <v>3</v>
      </c>
      <c r="DB28" s="179">
        <f>DA26</f>
        <v>3</v>
      </c>
      <c r="DC28" s="179">
        <f>DA27</f>
        <v>7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77</v>
      </c>
      <c r="D29" s="140" t="s">
        <v>110</v>
      </c>
      <c r="E29" s="142" t="s">
        <v>88</v>
      </c>
      <c r="F29" s="142" t="s">
        <v>76</v>
      </c>
      <c r="G29" s="148" t="s">
        <v>89</v>
      </c>
      <c r="H29" s="148" t="s">
        <v>76</v>
      </c>
      <c r="I29" s="149" t="s">
        <v>90</v>
      </c>
      <c r="J29" s="149" t="s">
        <v>76</v>
      </c>
      <c r="K29" s="141" t="s">
        <v>91</v>
      </c>
      <c r="L29" s="181" t="s">
        <v>76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Udinese-Sampdoria</v>
      </c>
      <c r="BW29" s="61" t="str">
        <f>CONCATENATE(BY24,BZ24)</f>
        <v>21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12</v>
      </c>
      <c r="CB29" s="61"/>
      <c r="CC29" s="61"/>
      <c r="CD29" s="61" t="str">
        <f>CONCATENATE(CF24,CG24)</f>
        <v>21</v>
      </c>
      <c r="CE29" s="61" t="str">
        <f>CONCATENATE(CF25,CG25)</f>
        <v>11</v>
      </c>
      <c r="CF29" s="61" t="str">
        <f>CONCATENATE(CF26,CG26)</f>
        <v>22</v>
      </c>
      <c r="CG29" s="61" t="str">
        <f>CONCATENATE(CF27,CG27)</f>
        <v>24</v>
      </c>
      <c r="CI29" s="61"/>
      <c r="CR29" s="183">
        <v>3.0</v>
      </c>
      <c r="CS29" s="184">
        <v>2.0</v>
      </c>
      <c r="CT29" s="184">
        <v>4.0</v>
      </c>
      <c r="CU29" s="184">
        <v>1.0</v>
      </c>
      <c r="CV29" s="184">
        <v>7.0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Udinese - Sampdoria</v>
      </c>
      <c r="C30" s="186">
        <f>W39</f>
        <v>-2</v>
      </c>
      <c r="D30" s="115" t="str">
        <f>W41</f>
        <v>1X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2-0</v>
      </c>
      <c r="Z30" t="str">
        <f>AA3&amp;"-"&amp;AB3</f>
        <v>1-2</v>
      </c>
      <c r="AA30" t="str">
        <f>AA4&amp;"-"&amp;AB4</f>
        <v>2-1</v>
      </c>
      <c r="AB30" t="str">
        <f>AA5&amp;"-"&amp;AB5</f>
        <v>2-1</v>
      </c>
      <c r="AC30" t="str">
        <f>AA6&amp;"-"&amp;AB6</f>
        <v>1-3</v>
      </c>
      <c r="AD30" t="str">
        <f>AA7&amp;"-"&amp;AB7</f>
        <v>5-1</v>
      </c>
      <c r="AE30" t="str">
        <f>AA8&amp;"-"&amp;AB8</f>
        <v>0-0</v>
      </c>
      <c r="AF30" t="str">
        <f>AA9&amp;"-"&amp;AB9</f>
        <v>0-1</v>
      </c>
      <c r="AG30" t="str">
        <f>AA10&amp;"-"&amp;AB10</f>
        <v>2-1</v>
      </c>
      <c r="AH30" t="str">
        <f>AA11&amp;"-"&amp;AB11</f>
        <v>4-3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Udinese-Sampdoria</v>
      </c>
      <c r="BV30" t="s">
        <v>80</v>
      </c>
      <c r="BW30" t="str">
        <f>BW28</f>
        <v>21</v>
      </c>
      <c r="BX30">
        <f>IF(FORECAST(BX10,BX10:BX29,BW10:BW29)&lt;=0,0,FORECAST(BX10,BX10:BX29,BW10:BW29))</f>
        <v>1.2787628728508</v>
      </c>
      <c r="BY30" t="str">
        <f>BY28</f>
        <v>21</v>
      </c>
      <c r="BZ30" t="str">
        <f>BZ28</f>
        <v>12</v>
      </c>
      <c r="CA30" t="str">
        <f>CD28</f>
        <v>21</v>
      </c>
      <c r="CB30" t="str">
        <f>CE28</f>
        <v>11</v>
      </c>
      <c r="CC30" t="str">
        <f>CF28</f>
        <v>22</v>
      </c>
      <c r="CD30" t="str">
        <f>CG28</f>
        <v>2M</v>
      </c>
      <c r="CE30" s="21"/>
      <c r="CF30" s="187">
        <v>21</v>
      </c>
      <c r="CG30" s="187">
        <v>1.2787628728508</v>
      </c>
      <c r="CH30" s="187">
        <v>12</v>
      </c>
      <c r="CI30" s="187">
        <v>11</v>
      </c>
      <c r="CJ30" s="187">
        <v>22</v>
      </c>
      <c r="CK30" s="187" t="s">
        <v>113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Sampdoria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Udinese-Sampdoria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1::1::1::2::: GolRange ofmnmx→ 3-3; and ResuExact of →21::21::21::12:::; and ResuSigno of →21::21::21::12;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1::X::X::2::: GolRange ofmnmx→ 2-6; and ResuExact of →21::11::22::24:::; and ResuSigno of →21::11::22::2M; and nº of goles→ ::3::2::4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2</v>
      </c>
      <c r="CX31" s="178">
        <f>CD38</f>
        <v>4</v>
      </c>
      <c r="CY31" s="190">
        <f>CE38</f>
        <v>6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>
        <v>6.0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126</v>
      </c>
      <c r="D33" s="9">
        <v>32</v>
      </c>
      <c r="E33" s="9">
        <v>24</v>
      </c>
      <c r="F33" s="9">
        <v>4</v>
      </c>
      <c r="G33" s="9">
        <v>4</v>
      </c>
      <c r="H33" s="9">
        <v>67</v>
      </c>
      <c r="I33" s="9">
        <v>32</v>
      </c>
      <c r="J33" s="9">
        <v>35</v>
      </c>
      <c r="K33" s="9">
        <v>76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Udinese-Sampdoria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56</v>
      </c>
      <c r="D34" s="9">
        <v>32</v>
      </c>
      <c r="E34" s="9">
        <v>21</v>
      </c>
      <c r="F34" s="9">
        <v>5</v>
      </c>
      <c r="G34" s="9">
        <v>6</v>
      </c>
      <c r="H34" s="9">
        <v>68</v>
      </c>
      <c r="I34" s="9">
        <v>35</v>
      </c>
      <c r="J34" s="9">
        <v>33</v>
      </c>
      <c r="K34" s="9">
        <v>68</v>
      </c>
      <c r="L34" s="196" t="s">
        <v>130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2</v>
      </c>
      <c r="CG34" s="61">
        <f>CF26+CG26</f>
        <v>4</v>
      </c>
      <c r="CH34" s="61">
        <f>CF27+CG27</f>
        <v>6</v>
      </c>
    </row>
    <row r="35" spans="1:122" customHeight="1" ht="15.75">
      <c r="A35" s="195">
        <v>3</v>
      </c>
      <c r="B35" s="64">
        <v>4</v>
      </c>
      <c r="C35" t="s">
        <v>22</v>
      </c>
      <c r="D35" s="9">
        <v>32</v>
      </c>
      <c r="E35" s="9">
        <v>20</v>
      </c>
      <c r="F35" s="9">
        <v>7</v>
      </c>
      <c r="G35" s="9">
        <v>5</v>
      </c>
      <c r="H35" s="9">
        <v>87</v>
      </c>
      <c r="I35" s="9">
        <v>41</v>
      </c>
      <c r="J35" s="9">
        <v>46</v>
      </c>
      <c r="K35" s="9">
        <v>67</v>
      </c>
      <c r="L35" s="196" t="s">
        <v>131</v>
      </c>
      <c r="U35" s="74"/>
      <c r="W35" s="201">
        <v>14</v>
      </c>
      <c r="X35" s="85" t="s">
        <v>7</v>
      </c>
      <c r="Y35" s="85">
        <v>31</v>
      </c>
      <c r="Z35" s="85">
        <v>9</v>
      </c>
      <c r="AA35" s="85">
        <v>8</v>
      </c>
      <c r="AB35" s="85">
        <v>14</v>
      </c>
      <c r="AC35" s="85">
        <v>30</v>
      </c>
      <c r="AD35" s="85">
        <v>43</v>
      </c>
      <c r="AE35" s="85">
        <v>-13</v>
      </c>
      <c r="AF35" s="85">
        <v>35</v>
      </c>
      <c r="AG35" t="s">
        <v>132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21</v>
      </c>
      <c r="BZ35" t="str">
        <f>BY28</f>
        <v>21</v>
      </c>
      <c r="CA35" t="str">
        <f>BZ28</f>
        <v>12</v>
      </c>
      <c r="CB35" t="str">
        <f>CD28</f>
        <v>21</v>
      </c>
      <c r="CC35" t="str">
        <f>CE28</f>
        <v>11</v>
      </c>
      <c r="CD35" t="str">
        <f>CF28</f>
        <v>22</v>
      </c>
      <c r="CE35" t="str">
        <f>CG28</f>
        <v>2M</v>
      </c>
      <c r="CG35" s="187">
        <v>21</v>
      </c>
      <c r="CH35" s="187">
        <v>12</v>
      </c>
      <c r="CI35" s="187">
        <v>11</v>
      </c>
      <c r="CJ35" s="187">
        <v>22</v>
      </c>
      <c r="CK35" s="187" t="s">
        <v>113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134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135</v>
      </c>
      <c r="U36" s="74"/>
      <c r="W36" s="202">
        <v>16</v>
      </c>
      <c r="X36" s="203" t="s">
        <v>8</v>
      </c>
      <c r="Y36" s="203">
        <v>31</v>
      </c>
      <c r="Z36" s="203">
        <v>9</v>
      </c>
      <c r="AA36" s="203">
        <v>5</v>
      </c>
      <c r="AB36" s="203">
        <v>17</v>
      </c>
      <c r="AC36" s="203">
        <v>36</v>
      </c>
      <c r="AD36" s="203">
        <v>53</v>
      </c>
      <c r="AE36" s="203">
        <v>-17</v>
      </c>
      <c r="AF36" s="203">
        <v>32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Udinese-Sampdoria</v>
      </c>
      <c r="BC36">
        <f>CG37</f>
        <v>50.001</v>
      </c>
      <c r="BD36">
        <f>CH37</f>
        <v>25.001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2.35</v>
      </c>
      <c r="BL36">
        <f>I101</f>
        <v>3.04</v>
      </c>
      <c r="BM36">
        <f>J101</f>
        <v>3.58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2</v>
      </c>
      <c r="CB36" s="61">
        <f>CE33</f>
        <v>1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csPr=#21,1.2787628728508,12,11,22,2M,,#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32</v>
      </c>
      <c r="E37" s="9">
        <v>16</v>
      </c>
      <c r="F37" s="9">
        <v>6</v>
      </c>
      <c r="G37" s="9">
        <v>10</v>
      </c>
      <c r="H37" s="9">
        <v>59</v>
      </c>
      <c r="I37" s="9">
        <v>43</v>
      </c>
      <c r="J37" s="9">
        <v>16</v>
      </c>
      <c r="K37" s="9">
        <v>54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Udinese-Sampdoria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41.171564587257</v>
      </c>
      <c r="BL37">
        <f>IF(BL36="","",(((100)*(1/BL36))/((1/BL36)+(1/BL36)+(1/BM36)))+0.01)</f>
        <v>35.108039215686</v>
      </c>
      <c r="BM37">
        <f>IF(BM36="","",(((100)*(1/BM36))/((1/BM36)+(1/BL36)+(1/BM36)))+0.01)</f>
        <v>31.479979296066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Udinese-Sampdoria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2</v>
      </c>
      <c r="CB37" s="99">
        <f>CE33</f>
        <v>1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50.001</v>
      </c>
      <c r="CH37" s="99">
        <f>(((COUNTIF(BX37:CE37,"X"))/8)*100)+0.001</f>
        <v>25.001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62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SG_6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Udinese-Sampdoria</v>
      </c>
      <c r="BC38">
        <f>BM9</f>
        <v>65</v>
      </c>
      <c r="BD38">
        <f>BN9</f>
        <v>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Udinese-Sampdoria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2</v>
      </c>
      <c r="CD38" s="99">
        <f>CG34</f>
        <v>4</v>
      </c>
      <c r="CE38" s="99">
        <f>CH34</f>
        <v>6</v>
      </c>
    </row>
    <row r="39" spans="1:122" customHeight="1" ht="15.75">
      <c r="A39" s="195">
        <v>7</v>
      </c>
      <c r="B39" s="64">
        <v>7</v>
      </c>
      <c r="C39" t="s">
        <v>149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150</v>
      </c>
      <c r="W39" s="214">
        <f>W35-W36</f>
        <v>-2</v>
      </c>
      <c r="X39" t="s">
        <v>1</v>
      </c>
      <c r="Y39">
        <f>SUM(AA2:AA17)/16</f>
        <v>1.9375</v>
      </c>
      <c r="Z39">
        <f>((SUM(AT26:AT33))/16)*100</f>
        <v>68.75</v>
      </c>
      <c r="AA39">
        <f>((SUM(AT27:AT33))/16)*100</f>
        <v>18.75</v>
      </c>
      <c r="AB39">
        <f>((SUM(AT27:AT33))/16)*100</f>
        <v>18.75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62.5</v>
      </c>
      <c r="AI39">
        <f>BG46</f>
        <v>18.75</v>
      </c>
      <c r="AJ39">
        <f>BH46</f>
        <v>6.25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Udinese-Sampdoria</v>
      </c>
      <c r="BC39">
        <f>(BC36+BC37+BC38)/3</f>
        <v>53.333666666667</v>
      </c>
      <c r="BD39">
        <f>(BD36+BD37+BD38)/3</f>
        <v>18.333666666667</v>
      </c>
      <c r="BE39">
        <f>(BE36+BE37+BE38)/3</f>
        <v>28.333666666667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12</v>
      </c>
      <c r="C40" t="s">
        <v>55</v>
      </c>
      <c r="D40" s="9">
        <v>32</v>
      </c>
      <c r="E40" s="9">
        <v>13</v>
      </c>
      <c r="F40" s="9">
        <v>7</v>
      </c>
      <c r="G40" s="9">
        <v>12</v>
      </c>
      <c r="H40" s="9">
        <v>59</v>
      </c>
      <c r="I40" s="9">
        <v>54</v>
      </c>
      <c r="J40" s="9">
        <v>5</v>
      </c>
      <c r="K40" s="9">
        <v>46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152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154</v>
      </c>
      <c r="Y41" s="219">
        <f>Y39-Y40</f>
        <v>0.875</v>
      </c>
      <c r="Z41" s="220">
        <f>(Z39+Z40)/2</f>
        <v>50</v>
      </c>
      <c r="AA41" s="220">
        <f>(AA39+AA40)/2</f>
        <v>18.75</v>
      </c>
      <c r="AB41" s="220">
        <f>(AB39+AB40)/2</f>
        <v>18.75</v>
      </c>
      <c r="AC41" s="220">
        <f>(AC39+AC40)/2</f>
        <v>12.5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11</v>
      </c>
      <c r="C42" t="s">
        <v>64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155</v>
      </c>
      <c r="Y42">
        <f>(SUM(AA2:AA17)/16)-(SUM(Z2:Z17)/16)</f>
        <v>0.875</v>
      </c>
      <c r="AU42" s="74"/>
      <c r="AV42" s="74"/>
      <c r="AW42" s="74"/>
      <c r="AX42" s="155"/>
      <c r="BA42" s="205">
        <f>BA27</f>
        <v>1</v>
      </c>
      <c r="BB42" s="206" t="str">
        <f>V23</f>
        <v>Udinese-Sampdoria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2M</v>
      </c>
      <c r="BH42" s="222">
        <f>VLOOKUP(3,BC55:BF70,4,FALSE)</f>
        <v>22</v>
      </c>
      <c r="BI42" s="222">
        <f>VLOOKUP(4,BC55:BF70,4,FALSE)</f>
        <v>11</v>
      </c>
      <c r="BJ42" s="222">
        <f>VLOOKUP(5,BC55:BF70,4,FALSE)</f>
        <v>12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58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156</v>
      </c>
      <c r="BF43">
        <f>VLOOKUP(1,BC55:BF70,3,FALSE)</f>
        <v>50.01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82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158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159</v>
      </c>
      <c r="BA45" s="205">
        <f>BA27</f>
        <v>1</v>
      </c>
      <c r="BB45" s="206" t="str">
        <f>V23</f>
        <v>Udinese-Sampdoria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6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132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18.75</v>
      </c>
      <c r="BH46">
        <f>DJ16</f>
        <v>6.25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62.5</v>
      </c>
    </row>
    <row r="47" spans="1:122">
      <c r="A47" s="195">
        <v>15</v>
      </c>
      <c r="B47" s="64">
        <v>15</v>
      </c>
      <c r="C47" t="s">
        <v>53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160</v>
      </c>
      <c r="X47">
        <v>1</v>
      </c>
      <c r="Y47" s="84">
        <f>AA21</f>
        <v>1</v>
      </c>
      <c r="Z47">
        <f>Z21</f>
        <v>3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Udinese-Sampdoria</v>
      </c>
      <c r="BC47" s="223" t="str">
        <f>BW28</f>
        <v>21</v>
      </c>
      <c r="BD47" s="223" t="str">
        <f>BX28</f>
        <v>21</v>
      </c>
      <c r="BE47" s="223" t="str">
        <f>BY28</f>
        <v>21</v>
      </c>
      <c r="BF47" s="223" t="str">
        <f>BZ28</f>
        <v>12</v>
      </c>
      <c r="BG47" s="223" t="str">
        <f>CD28</f>
        <v>21</v>
      </c>
      <c r="BH47" s="223" t="str">
        <f>CE28</f>
        <v>11</v>
      </c>
      <c r="BI47" s="223" t="str">
        <f>CF28</f>
        <v>22</v>
      </c>
      <c r="BJ47" s="223" t="str">
        <f>CG28</f>
        <v>2M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136</v>
      </c>
      <c r="X48">
        <v>2</v>
      </c>
      <c r="Y48" s="84">
        <f>AA20</f>
        <v>3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26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161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Udinese-Sampdoria</v>
      </c>
      <c r="BC49" s="224">
        <v>21</v>
      </c>
      <c r="BD49" s="224">
        <v>12</v>
      </c>
      <c r="BE49" s="224">
        <v>11</v>
      </c>
      <c r="BF49" s="224">
        <v>22</v>
      </c>
      <c r="BG49" s="224" t="s">
        <v>113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21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71</v>
      </c>
      <c r="D51" s="9">
        <v>32</v>
      </c>
      <c r="E51" s="9">
        <v>5</v>
      </c>
      <c r="F51" s="9">
        <v>6</v>
      </c>
      <c r="G51" s="9">
        <v>21</v>
      </c>
      <c r="H51" s="9">
        <v>28</v>
      </c>
      <c r="I51" s="9">
        <v>64</v>
      </c>
      <c r="J51" s="9">
        <v>-36</v>
      </c>
      <c r="K51" s="9">
        <v>21</v>
      </c>
      <c r="L51" s="196" t="s">
        <v>163</v>
      </c>
      <c r="X51">
        <v>5</v>
      </c>
      <c r="Y51" s="84">
        <f>AA17</f>
        <v>4</v>
      </c>
      <c r="Z51">
        <f>Z17</f>
        <v>3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164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165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4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5</v>
      </c>
      <c r="BD56" s="61">
        <f>RANK(BE56,BE55:BE70)</f>
        <v>2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4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2</v>
      </c>
      <c r="BE57">
        <f>BE51+0.01</f>
        <v>12.51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2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2</v>
      </c>
      <c r="BD59" s="61">
        <f>RANK(BE59,BE55:BE70)</f>
        <v>2</v>
      </c>
      <c r="BE59">
        <f>BG51+0.01</f>
        <v>12.51</v>
      </c>
      <c r="BF59" s="227" t="str">
        <f>BG49</f>
        <v>2M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5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3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1.9447004608295</v>
      </c>
      <c r="Z68" s="239">
        <f>IF(FORECAST(Z62,Z47:Z66,Y47:Y66)&lt;=0,0,FORECAST(Z62,Z47:Z66,Y47:Y66))</f>
        <v>1.1213017751479</v>
      </c>
      <c r="AA68" s="240">
        <f>IF(FORECAST(X62,AA47:AA66,X47:X66)&lt;=0,0,FORECAST(Z62,AA47:AA66,X47:X66))</f>
        <v>-0.027067669172932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Udinese - Sampdoria</v>
      </c>
      <c r="C93" s="246">
        <f>Y41</f>
        <v>0.875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1X2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154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211</v>
      </c>
      <c r="U100" s="262" t="s">
        <v>46</v>
      </c>
      <c r="V100" s="167" t="s">
        <v>78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76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110</v>
      </c>
      <c r="BO100" s="142" t="s">
        <v>88</v>
      </c>
      <c r="BP100" s="142" t="s">
        <v>76</v>
      </c>
      <c r="BQ100" s="148" t="s">
        <v>89</v>
      </c>
      <c r="BR100" s="148" t="s">
        <v>76</v>
      </c>
      <c r="BS100" s="149" t="s">
        <v>90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223</v>
      </c>
      <c r="D101" s="270" t="str">
        <f>IN!C4</f>
        <v>Italy &gt;&gt; Serie A</v>
      </c>
      <c r="E101" s="270" t="str">
        <f>IN!D4</f>
        <v>17:30</v>
      </c>
      <c r="F101" s="270" t="str">
        <f>B1</f>
        <v>Udinese - Sampdoria</v>
      </c>
      <c r="G101" s="262" t="str">
        <f>IN!F4</f>
        <v>1:3</v>
      </c>
      <c r="H101" s="263">
        <f>IN!G4</f>
        <v>2.35</v>
      </c>
      <c r="I101" s="263">
        <f>IN!H4</f>
        <v>3.04</v>
      </c>
      <c r="J101" s="263">
        <f>IN!I4</f>
        <v>3.58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>0:0</v>
      </c>
      <c r="S101" s="167" t="str">
        <f>IN!R4</f>
        <v>p6</v>
      </c>
      <c r="T101" s="271" t="str">
        <f>IN!S4</f>
        <v>https://int.soccerway.com/matches/2020/07/12/italy/serie-a/udinese-calcio/uc-sampdoria/3112016/</v>
      </c>
      <c r="U101" s="167">
        <f>(SUM(AA2:AA17)/16)-(SUM(Z2:Z17)/16)</f>
        <v>0.875</v>
      </c>
      <c r="V101" s="263">
        <f>IF(FORECAST(X62,AA47:AA66,X47:X66)&lt;=0,0,FORECAST(Z62,AA47:AA66,X47:X66))</f>
        <v>-0.027067669172932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53.333666666667</v>
      </c>
      <c r="AJ101" s="167">
        <f>BD39</f>
        <v>18.333666666667</v>
      </c>
      <c r="AK101" s="167">
        <f>BE39</f>
        <v>28.333666666667</v>
      </c>
      <c r="AL101" s="167">
        <v>1</v>
      </c>
      <c r="AM101" s="263" t="str">
        <f>IN!C4</f>
        <v>Italy &gt;&gt; Serie A</v>
      </c>
      <c r="AN101" s="263" t="str">
        <f>IN!E4</f>
        <v>Udinese - Sampdoria</v>
      </c>
      <c r="AO101" s="167" t="str">
        <f>M2</f>
        <v>1M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2M</v>
      </c>
      <c r="AT101" s="263">
        <f>VLOOKUP(2,BC55:BF70,3,FALSE)</f>
        <v>12.51</v>
      </c>
      <c r="AU101" s="325">
        <f>VLOOKUP(3,BC55:BF70,4,FALSE)</f>
        <v>22</v>
      </c>
      <c r="AV101" s="263">
        <f>VLOOKUP(3,BC55:BF70,3,FALSE)</f>
        <v>12.51</v>
      </c>
      <c r="AW101" s="325">
        <f>VLOOKUP(4,BC55:BF70,4,FALSE)</f>
        <v>11</v>
      </c>
      <c r="AX101" s="167">
        <f>VLOOKUP(4,BC55:BF70,3,FALSE)</f>
        <v>12.51</v>
      </c>
      <c r="AY101" s="263">
        <f>(Z39+Z40)/2</f>
        <v>50</v>
      </c>
      <c r="AZ101" s="263">
        <f>(AA39+AA40)/2</f>
        <v>18.75</v>
      </c>
      <c r="BA101" s="263">
        <f>(AB39+AB40)/2</f>
        <v>18.75</v>
      </c>
      <c r="BB101" s="263">
        <f>(AC39+AC40)/2</f>
        <v>12.5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31.25</v>
      </c>
      <c r="BF101" s="263">
        <f>BF46</f>
        <v>62.5</v>
      </c>
      <c r="BG101" s="263">
        <f>BG46</f>
        <v>18.75</v>
      </c>
      <c r="BH101" s="263">
        <f>VLOOKUP(1,BC55:BF70,4,FALSE)</f>
        <v>21</v>
      </c>
      <c r="BI101" s="263" t="str">
        <f>VLOOKUP(2,BC55:BF70,4,FALSE)</f>
        <v>2M</v>
      </c>
      <c r="BJ101" s="263">
        <f>VLOOKUP(3,BC55:BF70,4,FALSE)</f>
        <v>22</v>
      </c>
      <c r="BK101" s="263">
        <f>(BF46+BJ46)/2</f>
        <v>62.5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41.171564587257</v>
      </c>
      <c r="BX101" s="272">
        <f>IF(I101="","",(((100)*(1/I101))/((1/H101)+(1/I101)+(1/J101)))+0.01)</f>
        <v>31.828972625018</v>
      </c>
      <c r="BY101" s="272">
        <f>IF(J101="","",(((100)*(1/J101))/((1/H101)+(1/I101)+(1/J101)))+0.01)</f>
        <v>27.029462787725</v>
      </c>
      <c r="BZ101" s="273">
        <f>(((COUNTIF(BX37:CE37,1))/8)*100)+0.001</f>
        <v>50.001</v>
      </c>
      <c r="CA101" s="273">
        <f>(((COUNTIF(BX37:CE37,"X"))/8)*100)+0.001</f>
        <v>25.001</v>
      </c>
      <c r="CB101" s="273">
        <f>(((COUNTIF(BX37:CE37,2))/8)*100)+0.001</f>
        <v>25.001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65</v>
      </c>
      <c r="CG101" s="273">
        <f>(BM5/BM7)*100</f>
        <v>5</v>
      </c>
      <c r="CH101" s="273">
        <f>(BM6/BM7)*100</f>
        <v>30</v>
      </c>
      <c r="CI101" s="274">
        <f>(BZ101+CC101+CF101)/3</f>
        <v>53.333666666667</v>
      </c>
      <c r="CJ101" s="274">
        <f>(CA101+CD101+CG101)/3</f>
        <v>18.333666666667</v>
      </c>
      <c r="CK101" s="274">
        <f>(CB101+CE101+CH101)/3</f>
        <v>28.333666666667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0.875</v>
      </c>
      <c r="V104" s="276">
        <f>AA68</f>
        <v>-0.027067669172932</v>
      </c>
      <c r="W104" s="275" t="str">
        <f>AG39</f>
        <v>1X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>00</v>
      </c>
      <c r="AD104" s="275" t="str">
        <f>BI36</f>
        <v>1X2</v>
      </c>
      <c r="AE104" s="275">
        <f>L93</f>
        <v>21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53.333666666667</v>
      </c>
      <c r="AJ104" s="275">
        <f>BD39</f>
        <v>18.333666666667</v>
      </c>
      <c r="AK104" s="275">
        <f>BE39</f>
        <v>28.333666666667</v>
      </c>
      <c r="AL104" s="275">
        <v>1</v>
      </c>
      <c r="AM104" s="275" t="s">
        <v>225</v>
      </c>
      <c r="AN104" s="275" t="str">
        <f>B7</f>
        <v>Udinese - Sampdoria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50.01</v>
      </c>
      <c r="AS104" s="277" t="str">
        <f>BG42</f>
        <v>2M</v>
      </c>
      <c r="AT104" s="275">
        <f>BG43</f>
        <v>12.51</v>
      </c>
      <c r="AU104" s="275">
        <f>BH42</f>
        <v>22</v>
      </c>
      <c r="AV104" s="275">
        <f>BH43</f>
        <v>12.51</v>
      </c>
      <c r="AW104" s="275">
        <f>BI42</f>
        <v>11</v>
      </c>
      <c r="AX104" s="275">
        <f>BI43</f>
        <v>12.51</v>
      </c>
      <c r="AY104" s="275">
        <f>F7</f>
        <v>50</v>
      </c>
      <c r="AZ104" s="275">
        <f>G7</f>
        <v>18.75</v>
      </c>
      <c r="BA104" s="275">
        <f>H7</f>
        <v>18.75</v>
      </c>
      <c r="BB104" s="275">
        <f>I7</f>
        <v>12.5</v>
      </c>
      <c r="BC104" s="275">
        <f>J7</f>
        <v>65.625</v>
      </c>
      <c r="BD104" s="275">
        <f>K7</f>
        <v>34.375</v>
      </c>
      <c r="BE104" s="275">
        <f>L7</f>
        <v>31.25</v>
      </c>
      <c r="BF104" s="275">
        <f>BF46</f>
        <v>62.5</v>
      </c>
      <c r="BG104" s="275">
        <f>BG46</f>
        <v>18.75</v>
      </c>
      <c r="BH104" s="275">
        <f>BF42</f>
        <v>21</v>
      </c>
      <c r="BI104" s="277" t="str">
        <f>BG42</f>
        <v>2M</v>
      </c>
      <c r="BJ104" s="275">
        <f>BH42</f>
        <v>22</v>
      </c>
      <c r="BK104" s="275">
        <f>BR46</f>
        <v>62.5</v>
      </c>
      <c r="BL104" s="275">
        <f>S7</f>
        <v>3</v>
      </c>
      <c r="BM104" s="275">
        <f>W39</f>
        <v>-2</v>
      </c>
      <c r="BN104" s="275" t="s">
        <v>226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41.171564587257</v>
      </c>
      <c r="BX104" s="275">
        <f>BL37</f>
        <v>35.108039215686</v>
      </c>
      <c r="BY104" s="275">
        <f>BM37</f>
        <v>31.479979296066</v>
      </c>
      <c r="BZ104" s="275">
        <f>CG37</f>
        <v>50.001</v>
      </c>
      <c r="CA104" s="275">
        <f>CH37</f>
        <v>25.001</v>
      </c>
      <c r="CB104" s="275">
        <f>CI37</f>
        <v>25.001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65</v>
      </c>
      <c r="CG104" s="275">
        <f>BN9</f>
        <v>5</v>
      </c>
      <c r="CH104" s="275">
        <f>BO9</f>
        <v>30</v>
      </c>
      <c r="CI104" s="275">
        <f>BC39</f>
        <v>53.333666666667</v>
      </c>
      <c r="CJ104" s="275">
        <f>BD39</f>
        <v>18.333666666667</v>
      </c>
      <c r="CK104" s="275">
        <f>BE39</f>
        <v>28.333666666667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154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6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2.35</v>
      </c>
      <c r="H4" s="37">
        <v>3.04</v>
      </c>
      <c r="I4" s="37">
        <v>3.58</v>
      </c>
      <c r="J4" s="64">
        <v>12</v>
      </c>
      <c r="K4" s="64" t="s">
        <v>244</v>
      </c>
      <c r="L4" s="64" t="s">
        <v>245</v>
      </c>
      <c r="M4" s="22" t="s">
        <v>246</v>
      </c>
      <c r="N4" s="64">
        <v>1</v>
      </c>
      <c r="O4" s="22" t="s">
        <v>247</v>
      </c>
      <c r="P4" s="64" t="s">
        <v>43</v>
      </c>
      <c r="Q4" s="22" t="s">
        <v>248</v>
      </c>
      <c r="R4" s="22" t="s">
        <v>249</v>
      </c>
      <c r="S4" s="278" t="s">
        <v>250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205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205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205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6</v>
      </c>
      <c r="C8" s="25" t="str">
        <f>C4</f>
        <v>Italy &gt;&gt; Serie A</v>
      </c>
      <c r="D8" s="22" t="str">
        <f>D4</f>
        <v>17:30</v>
      </c>
      <c r="E8" s="25" t="str">
        <f>E4</f>
        <v>Udinese - Sampdoria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154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50</v>
      </c>
      <c r="V11" s="7" t="s">
        <v>51</v>
      </c>
      <c r="W11" s="53" t="s">
        <v>14</v>
      </c>
      <c r="X11" s="53" t="s">
        <v>80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254</v>
      </c>
      <c r="AJ11" s="23" t="s">
        <v>5</v>
      </c>
      <c r="AK11" s="43" t="s">
        <v>205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6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Udinese - Sampdoria</v>
      </c>
      <c r="F12" s="56" t="str">
        <f>F4</f>
        <v>1:3</v>
      </c>
      <c r="G12" s="37">
        <f>IF(G4="","",G4)</f>
        <v>2.35</v>
      </c>
      <c r="H12" s="37">
        <f>IF(H4="","",H4)</f>
        <v>3.04</v>
      </c>
      <c r="I12" s="37">
        <f>IF(I4="","",I4)</f>
        <v>3.58</v>
      </c>
      <c r="J12" s="57">
        <f>IF(G12="","",(((100)*(1/G12))/((1/G12)+(1/H12)+(1/I12)))+0.01)</f>
        <v>41.171564587257</v>
      </c>
      <c r="K12" s="57">
        <f>IF(H12="","",(((100)*(1/H12))/((1/G12)+(1/H12)+(1/I12)))+0.01)</f>
        <v>31.828972625018</v>
      </c>
      <c r="L12" s="57">
        <f>IF(I12="","",(((100)*(1/I12))/((1/G12)+(1/H12)+(1/I12)))+0.01)</f>
        <v>27.029462787725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https://int.soccerway.com/matches/2020/07/12/italy/serie-a/udinese-calcio/uc-sampdoria/3112016/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Udinese v Sampdoria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