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ournemouth v Southampto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<sst xmlns="http://schemas.openxmlformats.org/spreadsheetml/2006/main" uniqueCount="258">
  <si>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</si>
  <si>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</si>
  <si>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</si>
  <si>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</si>
  <si>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</si>
  <si>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</si>
  <si>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</si>
  <si>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Bournemouth</t>
  </si>
  <si>
    <t>Southampton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</si>
  <si>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</si>
  <si>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</si>
  <si>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</si>
  <si>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</si>
  <si>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</si>
  <si>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</si>
  <si>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</si>
  <si>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</si>
  <si>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</si>
  <si>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</si>
  <si>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</si>
  <si>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2020-07-13</t>
  </si>
  <si>
    <t>Leicester City</t>
  </si>
  <si>
    <t>Manchester United</t>
  </si>
  <si>
    <t>SG</t>
  </si>
  <si>
    <t>"%"</t>
  </si>
  <si>
    <t>2020-07-10</t>
  </si>
  <si>
    <t>Tottenham Hotspur</t>
  </si>
  <si>
    <t>Everton</t>
  </si>
  <si>
    <t>RACHA</t>
  </si>
  <si>
    <t>ULT</t>
  </si>
  <si>
    <t>CD</t>
  </si>
  <si>
    <t>"C"</t>
  </si>
  <si>
    <t>"D"</t>
  </si>
  <si>
    <t>P1</t>
  </si>
  <si>
    <t>2020-07-02</t>
  </si>
  <si>
    <t>Newcastle United</t>
  </si>
  <si>
    <t>Watford</t>
  </si>
  <si>
    <t>TIPS_ROY_PICKS</t>
  </si>
  <si>
    <t>picks</t>
  </si>
  <si>
    <t>roySYS</t>
  </si>
  <si>
    <t>rFZ</t>
  </si>
  <si>
    <t>2020-06-21</t>
  </si>
  <si>
    <t>Crystal Palace</t>
  </si>
  <si>
    <t>Norwich City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</si>
  <si>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</si>
  <si>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</si>
  <si>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</si>
  <si>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</si>
  <si>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</si>
  <si>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</si>
  <si>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</si>
  <si>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</si>
  <si>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</si>
  <si>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</si>
  <si>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Chelsea</t>
  </si>
  <si>
    <t>West Ham United</t>
  </si>
  <si>
    <t>2020-02-01</t>
  </si>
  <si>
    <t>Aston Villa</t>
  </si>
  <si>
    <t>2020-01-28</t>
  </si>
  <si>
    <t>Arsenal</t>
  </si>
  <si>
    <t>Liverpool</t>
  </si>
  <si>
    <t>max</t>
  </si>
  <si>
    <t>2020-01-22</t>
  </si>
  <si>
    <t>Brighton &amp; Hove Albion</t>
  </si>
  <si>
    <t>2020-01-12</t>
  </si>
  <si>
    <t>2020-01-05</t>
  </si>
  <si>
    <t>Luton Town</t>
  </si>
  <si>
    <t>2019-12-26</t>
  </si>
  <si>
    <t>2019-12-21</t>
  </si>
  <si>
    <t>Burnley</t>
  </si>
  <si>
    <t>2019-12-07</t>
  </si>
  <si>
    <t>2019-11-23</t>
  </si>
  <si>
    <t>Wolverhampton Wanderers</t>
  </si>
  <si>
    <t>Manchester City</t>
  </si>
  <si>
    <t>DOUBLE Chance PICKS</t>
  </si>
  <si>
    <t>pForce</t>
  </si>
  <si>
    <t>2019-11-02</t>
  </si>
  <si>
    <t>%</t>
  </si>
  <si>
    <t>Ps_Diff</t>
  </si>
  <si>
    <t>Fz-101</t>
  </si>
  <si>
    <t>Avg_Gol</t>
  </si>
  <si>
    <t>CS</t>
  </si>
  <si>
    <t>2019-10-19</t>
  </si>
  <si>
    <t>2019-09-28</t>
  </si>
  <si>
    <t>2019-09-15</t>
  </si>
  <si>
    <t>Portsmouth</t>
  </si>
  <si>
    <t>CORRECT SCORES PICKS</t>
  </si>
  <si>
    <t>1st</t>
  </si>
  <si>
    <t>2nd</t>
  </si>
  <si>
    <t>3rd</t>
  </si>
  <si>
    <t>4th</t>
  </si>
  <si>
    <t>2019-08-29</t>
  </si>
  <si>
    <t>Forest Green Rovers</t>
  </si>
  <si>
    <t>Sheffield United</t>
  </si>
  <si>
    <t>2019-08-25</t>
  </si>
  <si>
    <t>Fulham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</si>
  <si>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</si>
  <si>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</si>
  <si>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</si>
  <si>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</si>
  <si>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</si>
  <si>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</si>
  <si>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</si>
  <si>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</si>
  <si>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</si>
  <si>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</si>
  <si>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</si>
  <si>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</si>
  <si>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</si>
  <si>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</si>
  <si>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</si>
  <si>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</si>
  <si>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</si>
  <si>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</si>
  <si>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</si>
  <si>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</si>
  <si>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</si>
  <si>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</si>
  <si>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</si>
  <si>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</si>
  <si>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</si>
  <si>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</si>
  <si>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</si>
  <si>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</si>
  <si>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LDWWL</t>
  </si>
  <si>
    <t>CLASIFICATION</t>
  </si>
  <si>
    <t>ATO Z trend</t>
  </si>
  <si>
    <t>WWWLW</t>
  </si>
  <si>
    <t>WLWWL</t>
  </si>
  <si>
    <t>LWDLL</t>
  </si>
  <si>
    <t>pronox Home Capacities</t>
  </si>
  <si>
    <t>Leicester</t>
  </si>
  <si>
    <t>WLDWL</t>
  </si>
  <si>
    <t>DDDWW</t>
  </si>
  <si>
    <t>Manchester Utd</t>
  </si>
  <si>
    <t>WDWWW</t>
  </si>
  <si>
    <t>Wolves</t>
  </si>
  <si>
    <t>DWLLW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</si>
  <si>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</si>
  <si>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</si>
  <si>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</si>
  <si>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</si>
  <si>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</si>
  <si>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</si>
  <si>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</si>
  <si>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</si>
  <si>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</si>
  <si>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</si>
  <si>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WWDWL</t>
  </si>
  <si>
    <t>Sheffield Utd</t>
  </si>
  <si>
    <t>LWWDW</t>
  </si>
  <si>
    <t>WDDWD</t>
  </si>
  <si>
    <t>MATCH</t>
  </si>
  <si>
    <t>WLDWW</t>
  </si>
  <si>
    <t>DLDLW</t>
  </si>
  <si>
    <t>Newcastle</t>
  </si>
  <si>
    <t>LLLDW</t>
  </si>
  <si>
    <t>LLLLL</t>
  </si>
  <si>
    <t>West Ham</t>
  </si>
  <si>
    <t>WWLDW</t>
  </si>
  <si>
    <t>Brighton</t>
  </si>
  <si>
    <t>DLLWL</t>
  </si>
  <si>
    <t>LWWLL</t>
  </si>
  <si>
    <t>DWLLL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</si>
  <si>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</si>
  <si>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</si>
  <si>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</si>
  <si>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</si>
  <si>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</si>
  <si>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</si>
  <si>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</si>
  <si>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</si>
  <si>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</si>
  <si>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</si>
  <si>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</si>
  <si>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</si>
  <si>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</si>
  <si>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</si>
  <si>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</si>
  <si>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</si>
  <si>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</si>
  <si>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</si>
  <si>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</si>
  <si>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</si>
  <si>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</si>
  <si>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</si>
  <si>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</si>
  <si>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</si>
  <si>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</si>
  <si>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</si>
  <si>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</si>
  <si>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</si>
  <si>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</si>
  <si>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</si>
  <si>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</si>
  <si>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</si>
  <si>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</si>
  <si>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</si>
  <si>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</si>
  <si>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</si>
  <si>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</si>
  <si>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</si>
  <si>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</si>
  <si>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</si>
  <si>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</si>
  <si>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</si>
  <si>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</si>
  <si>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</si>
  <si>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</si>
  <si>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</si>
  <si>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</si>
  <si>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</si>
  <si>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</si>
  <si>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</si>
  <si>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</si>
  <si>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</si>
  <si>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</si>
  <si>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</si>
  <si>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</si>
  <si>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</si>
  <si>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</si>
  <si>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</si>
  <si>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13:00:00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</si>
  <si>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</si>
  <si>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</si>
  <si>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</si>
  <si>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</si>
  <si>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</si>
  <si>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</si>
  <si>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</si>
  <si>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</si>
  <si>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</si>
  <si>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</si>
  <si>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</si>
  <si>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</si>
  <si>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</si>
  <si>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</si>
  <si>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</si>
  <si>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</si>
  <si>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</si>
  <si>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13:00</t>
  </si>
  <si>
    <t>Bournemouth - Southampton</t>
  </si>
  <si>
    <t>0:2</t>
  </si>
  <si>
    <t>O</t>
  </si>
  <si>
    <t>0:3</t>
  </si>
  <si>
    <t>0:1</t>
  </si>
  <si>
    <t>https://int.soccerway.com/matches/2020/07/19/england/premier-league/afc-bournemouth/southampton-fc/3029433/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</si>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</sst>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Bournemouth - Southampton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Bournemouth - Southampton</v>
      </c>
      <c r="C2" t="str">
        <f>IF(B1=B2,"OK","ERROR")</f>
        <v>OK</v>
      </c>
      <c r="E2">
        <v>18</v>
      </c>
      <c r="F2">
        <v>12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4</v>
      </c>
      <c r="Z2" s="9">
        <v>1</v>
      </c>
      <c r="AA2" s="10">
        <v>2</v>
      </c>
      <c r="AB2" s="10">
        <v>2</v>
      </c>
      <c r="AC2" s="85">
        <f>Y2+Z2</f>
        <v>5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Bournemouth-Southampton</v>
      </c>
      <c r="CA2" t="str">
        <f>V24</f>
        <v>Bournemouth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1</v>
      </c>
      <c r="AB3" s="10">
        <v>1</v>
      </c>
      <c r="AC3" s="85">
        <f>Y3+Z3</f>
        <v>0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Bournemouth</v>
      </c>
      <c r="BZ3" s="85" t="str">
        <f>X1</f>
        <v>Southampton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1</v>
      </c>
      <c r="DG3">
        <f>IF(DJ3="","",RANK(DJ3,DJ3:DJ11))</f>
        <v>1</v>
      </c>
      <c r="DH3" s="84">
        <f>IF(CR29="","",CR29)</f>
        <v>4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4</v>
      </c>
      <c r="AA4" s="9">
        <v>1</v>
      </c>
      <c r="AB4" s="9">
        <v>3</v>
      </c>
      <c r="AC4" s="85">
        <f>Y4+Z4</f>
        <v>5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0</v>
      </c>
      <c r="BZ4" s="85">
        <f>BX23</f>
        <v>3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0</v>
      </c>
      <c r="CG4" s="85">
        <f>CE23</f>
        <v>3</v>
      </c>
      <c r="CQ4">
        <v>20</v>
      </c>
      <c r="CR4">
        <f>AC2</f>
        <v>5</v>
      </c>
      <c r="CS4">
        <f>AD2</f>
        <v>4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5</v>
      </c>
      <c r="CZ4">
        <f>CS4</f>
        <v>4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2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2</v>
      </c>
      <c r="AA5" s="9">
        <v>0</v>
      </c>
      <c r="AB5" s="9">
        <v>3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0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0</v>
      </c>
      <c r="CG5" s="85">
        <f>CE22</f>
        <v>0</v>
      </c>
      <c r="CQ5">
        <v>19</v>
      </c>
      <c r="CR5">
        <f>AC3</f>
        <v>0</v>
      </c>
      <c r="CS5">
        <f>AD3</f>
        <v>2</v>
      </c>
      <c r="CT5" s="85">
        <f>CR22</f>
        <v>0</v>
      </c>
      <c r="CU5" s="85">
        <f>CS22</f>
        <v>1</v>
      </c>
      <c r="CV5" s="61"/>
      <c r="CW5" s="61"/>
      <c r="CX5">
        <v>19</v>
      </c>
      <c r="CY5">
        <f>CR5</f>
        <v>0</v>
      </c>
      <c r="CZ5">
        <f>CS5</f>
        <v>2</v>
      </c>
      <c r="DA5" s="85">
        <f>CY22</f>
        <v>0</v>
      </c>
      <c r="DB5" s="85">
        <f>CZ22</f>
        <v>1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3</v>
      </c>
      <c r="DI5" s="61">
        <f>IF(DH5="","",COUNTIF(CR28:DG28,DH5))</f>
        <v>7</v>
      </c>
      <c r="DJ5" s="97">
        <f>IF(DI5="","",(DI5/16)*100)</f>
        <v>43.75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2</v>
      </c>
      <c r="Z6" s="9">
        <v>2</v>
      </c>
      <c r="AA6" s="9">
        <v>3</v>
      </c>
      <c r="AB6" s="9">
        <v>1</v>
      </c>
      <c r="AC6" s="85">
        <f>Y6+Z6</f>
        <v>4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4</v>
      </c>
      <c r="BY6" s="85">
        <f>BW21</f>
        <v>0</v>
      </c>
      <c r="BZ6" s="85">
        <f>BX21</f>
        <v>1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4</v>
      </c>
      <c r="CF6" s="85">
        <f>CD21</f>
        <v>0</v>
      </c>
      <c r="CG6" s="85">
        <f>CE21</f>
        <v>1</v>
      </c>
      <c r="CQ6">
        <v>18</v>
      </c>
      <c r="CR6">
        <f>AC4</f>
        <v>5</v>
      </c>
      <c r="CS6">
        <f>AD4</f>
        <v>4</v>
      </c>
      <c r="CT6" s="85">
        <f>CR21</f>
        <v>4</v>
      </c>
      <c r="CU6" s="85">
        <f>CS21</f>
        <v>4</v>
      </c>
      <c r="CV6" s="61"/>
      <c r="CW6" s="61"/>
      <c r="CX6">
        <v>18</v>
      </c>
      <c r="CY6">
        <f>CR6</f>
        <v>5</v>
      </c>
      <c r="CZ6">
        <f>CS6</f>
        <v>4</v>
      </c>
      <c r="DA6" s="85">
        <f>CY21</f>
        <v>4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Bournemouth - Southampton</v>
      </c>
      <c r="C7" s="114">
        <f>Y41</f>
        <v>0.1875</v>
      </c>
      <c r="D7" s="114" t="str">
        <f>BH36</f>
        <v>X</v>
      </c>
      <c r="E7" s="114" t="str">
        <f>BI36</f>
        <v>X2</v>
      </c>
      <c r="F7" s="114">
        <f>Z41</f>
        <v>46.875</v>
      </c>
      <c r="G7" s="114">
        <f>AA41</f>
        <v>21.875</v>
      </c>
      <c r="H7" s="114">
        <f>AB41</f>
        <v>21.875</v>
      </c>
      <c r="I7" s="114">
        <f>AC41</f>
        <v>6.25</v>
      </c>
      <c r="J7" s="114">
        <f>AD41</f>
        <v>78.125</v>
      </c>
      <c r="K7" s="114">
        <f>AE41</f>
        <v>21.875</v>
      </c>
      <c r="L7" s="115">
        <f>AF39</f>
        <v>62.5</v>
      </c>
      <c r="M7" s="114">
        <f>AH39</f>
        <v>43.75</v>
      </c>
      <c r="N7" s="114">
        <f>AI39</f>
        <v>43.75</v>
      </c>
      <c r="O7" s="116">
        <f>C22</f>
        <v>12</v>
      </c>
      <c r="P7" s="117">
        <f>E22</f>
        <v>11</v>
      </c>
      <c r="Q7" s="116" t="str">
        <f>G22</f>
        <v>M0</v>
      </c>
      <c r="R7" s="116">
        <f>D26</f>
        <v>46.875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26</v>
      </c>
      <c r="Y7" s="9">
        <v>2</v>
      </c>
      <c r="Z7" s="9">
        <v>1</v>
      </c>
      <c r="AA7" s="9">
        <v>3</v>
      </c>
      <c r="AB7" s="9">
        <v>2</v>
      </c>
      <c r="AC7" s="85">
        <f>Y7+Z7</f>
        <v>3</v>
      </c>
      <c r="AD7" s="85">
        <f>AA7+AB7</f>
        <v>5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2</v>
      </c>
      <c r="BY7" s="85">
        <f>BW20</f>
        <v>2</v>
      </c>
      <c r="BZ7" s="85">
        <f>BX20</f>
        <v>2</v>
      </c>
      <c r="CA7" s="61">
        <f>IF((BW7&gt;=3),"M",BW7)</f>
        <v>0</v>
      </c>
      <c r="CB7" s="61">
        <f>IF((BX7&gt;=3),"M",BX7)</f>
        <v>2</v>
      </c>
      <c r="CC7">
        <v>17</v>
      </c>
      <c r="CD7">
        <f>BW7</f>
        <v>0</v>
      </c>
      <c r="CE7">
        <f>BX7</f>
        <v>2</v>
      </c>
      <c r="CF7" s="85">
        <f>CD20</f>
        <v>2</v>
      </c>
      <c r="CG7" s="85">
        <f>CE20</f>
        <v>2</v>
      </c>
      <c r="CQ7">
        <v>17</v>
      </c>
      <c r="CR7">
        <f>AC5</f>
        <v>2</v>
      </c>
      <c r="CS7">
        <f>AD5</f>
        <v>3</v>
      </c>
      <c r="CT7" s="85">
        <f>CR20</f>
        <v>4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4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1</v>
      </c>
      <c r="Z8" s="9">
        <v>2</v>
      </c>
      <c r="AA8" s="9">
        <v>4</v>
      </c>
      <c r="AB8" s="9">
        <v>0</v>
      </c>
      <c r="AC8" s="85">
        <f>Y8+Z8</f>
        <v>3</v>
      </c>
      <c r="AD8" s="85">
        <f>AA8+AB8</f>
        <v>4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2</v>
      </c>
      <c r="BY8" s="85">
        <f>BW19</f>
        <v>1</v>
      </c>
      <c r="BZ8" s="85">
        <f>BX19</f>
        <v>0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1</v>
      </c>
      <c r="CG8" s="85">
        <f>CE19</f>
        <v>0</v>
      </c>
      <c r="CQ8">
        <v>16</v>
      </c>
      <c r="CR8">
        <f>AC6</f>
        <v>4</v>
      </c>
      <c r="CS8">
        <f>AD6</f>
        <v>4</v>
      </c>
      <c r="CT8" s="85">
        <f>CR19</f>
        <v>0</v>
      </c>
      <c r="CU8" s="85">
        <f>CS19</f>
        <v>2</v>
      </c>
      <c r="CV8" s="61"/>
      <c r="CW8" s="61"/>
      <c r="CX8">
        <v>16</v>
      </c>
      <c r="CY8">
        <f>CR8</f>
        <v>4</v>
      </c>
      <c r="CZ8">
        <f>CS8</f>
        <v>4</v>
      </c>
      <c r="DA8" s="85">
        <f>CY19</f>
        <v>0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42</v>
      </c>
      <c r="Y9" s="9">
        <v>3</v>
      </c>
      <c r="Z9" s="9">
        <v>1</v>
      </c>
      <c r="AA9" s="9">
        <v>0</v>
      </c>
      <c r="AB9" s="9">
        <v>2</v>
      </c>
      <c r="AC9" s="85">
        <f>Y9+Z9</f>
        <v>4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30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1</v>
      </c>
      <c r="BY9" s="85">
        <f>BW18</f>
        <v>3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3</v>
      </c>
      <c r="CE9">
        <f>BX9</f>
        <v>1</v>
      </c>
      <c r="CF9" s="85">
        <f>CD18</f>
        <v>3</v>
      </c>
      <c r="CG9" s="85">
        <f>CE18</f>
        <v>0</v>
      </c>
      <c r="CQ9">
        <v>15</v>
      </c>
      <c r="CR9">
        <f>AC7</f>
        <v>3</v>
      </c>
      <c r="CS9">
        <f>AD7</f>
        <v>5</v>
      </c>
      <c r="CT9" s="85">
        <f>CR18</f>
        <v>1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5</v>
      </c>
      <c r="DA9" s="85">
        <f>CY18</f>
        <v>1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36</v>
      </c>
      <c r="X10" t="s">
        <v>21</v>
      </c>
      <c r="Y10" s="9">
        <v>0</v>
      </c>
      <c r="Z10" s="9">
        <v>3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4</v>
      </c>
      <c r="BX10">
        <f>Z8</f>
        <v>2</v>
      </c>
      <c r="BY10" s="85">
        <f>BW17</f>
        <v>2</v>
      </c>
      <c r="BZ10" s="85">
        <f>BX17</f>
        <v>2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4</v>
      </c>
      <c r="CE10">
        <f>BX10</f>
        <v>2</v>
      </c>
      <c r="CF10" s="85">
        <f>CD17</f>
        <v>2</v>
      </c>
      <c r="CG10" s="85">
        <f>CE17</f>
        <v>2</v>
      </c>
      <c r="CQ10">
        <v>14</v>
      </c>
      <c r="CR10">
        <f>AC8</f>
        <v>3</v>
      </c>
      <c r="CS10">
        <f>AD8</f>
        <v>4</v>
      </c>
      <c r="CT10" s="85">
        <f>CR17</f>
        <v>3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4</v>
      </c>
      <c r="DA10" s="85">
        <f>CY17</f>
        <v>3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54</v>
      </c>
      <c r="Y11" s="9">
        <v>4</v>
      </c>
      <c r="Z11" s="9">
        <v>0</v>
      </c>
      <c r="AA11" s="9">
        <v>0</v>
      </c>
      <c r="AB11" s="9">
        <v>2</v>
      </c>
      <c r="AC11" s="85">
        <f>Y11+Z11</f>
        <v>4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2</v>
      </c>
      <c r="BZ11" s="85">
        <f>BX16</f>
        <v>3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2</v>
      </c>
      <c r="CG11" s="85">
        <f>CE16</f>
        <v>3</v>
      </c>
      <c r="CQ11">
        <v>13</v>
      </c>
      <c r="CR11">
        <f>AC9</f>
        <v>4</v>
      </c>
      <c r="CS11">
        <f>AD9</f>
        <v>2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4</v>
      </c>
      <c r="CZ11">
        <f>CS11</f>
        <v>2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57</v>
      </c>
      <c r="Y12" s="9">
        <v>1</v>
      </c>
      <c r="Z12" s="9">
        <v>1</v>
      </c>
      <c r="AA12" s="9">
        <v>1</v>
      </c>
      <c r="AB12" s="9">
        <v>3</v>
      </c>
      <c r="AC12" s="85">
        <f>Y12+Z12</f>
        <v>2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2</v>
      </c>
      <c r="BZ12" s="85">
        <f>BX15</f>
        <v>1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2</v>
      </c>
      <c r="CG12" s="85">
        <f>CE15</f>
        <v>1</v>
      </c>
      <c r="CQ12">
        <v>12</v>
      </c>
      <c r="CR12">
        <f>AC10</f>
        <v>3</v>
      </c>
      <c r="CS12">
        <f>AD10</f>
        <v>3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35</v>
      </c>
      <c r="Y13" s="9">
        <v>0</v>
      </c>
      <c r="Z13" s="9">
        <v>1</v>
      </c>
      <c r="AA13" s="9">
        <v>2</v>
      </c>
      <c r="AB13" s="9">
        <v>1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1</v>
      </c>
      <c r="BZ13" s="85">
        <f>BX14</f>
        <v>1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1</v>
      </c>
      <c r="CG13" s="85">
        <f>CE14</f>
        <v>1</v>
      </c>
      <c r="CQ13">
        <v>11</v>
      </c>
      <c r="CR13">
        <f>AC11</f>
        <v>4</v>
      </c>
      <c r="CS13">
        <f>AD11</f>
        <v>2</v>
      </c>
      <c r="CT13" s="85">
        <f>CR14</f>
        <v>2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2</v>
      </c>
      <c r="DA13" s="85">
        <f>CY14</f>
        <v>2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60</v>
      </c>
      <c r="X14" t="s">
        <v>59</v>
      </c>
      <c r="Y14" s="9">
        <v>0</v>
      </c>
      <c r="Z14" s="9">
        <v>3</v>
      </c>
      <c r="AA14" s="9">
        <v>2</v>
      </c>
      <c r="AB14" s="9">
        <v>2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0</v>
      </c>
      <c r="BZ14" s="85">
        <f>BX13</f>
        <v>0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0</v>
      </c>
      <c r="CG14" s="85">
        <f>CE13</f>
        <v>0</v>
      </c>
      <c r="CQ14">
        <v>10</v>
      </c>
      <c r="CR14">
        <f>AC12</f>
        <v>2</v>
      </c>
      <c r="CS14">
        <f>AD12</f>
        <v>4</v>
      </c>
      <c r="CT14" s="85">
        <f>CR13</f>
        <v>4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4</v>
      </c>
      <c r="DA14" s="85">
        <f>CY13</f>
        <v>4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71</v>
      </c>
      <c r="W15" t="s">
        <v>72</v>
      </c>
      <c r="X15" t="s">
        <v>73</v>
      </c>
      <c r="Y15" s="9">
        <v>1</v>
      </c>
      <c r="Z15" s="9">
        <v>2</v>
      </c>
      <c r="AA15" s="9">
        <v>2</v>
      </c>
      <c r="AB15" s="9">
        <v>1</v>
      </c>
      <c r="AC15" s="85">
        <f>Y15+Z15</f>
        <v>3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1</v>
      </c>
      <c r="BZ15" s="85">
        <f>BX12</f>
        <v>3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1</v>
      </c>
      <c r="CG15" s="85">
        <f>CE12</f>
        <v>3</v>
      </c>
      <c r="CI15">
        <f>TREND(BW4:BW23,BX4:BX23,,BW4)</f>
        <v>1.3599257884972</v>
      </c>
      <c r="CQ15">
        <v>9</v>
      </c>
      <c r="CR15">
        <f>AC13</f>
        <v>1</v>
      </c>
      <c r="CS15">
        <f>AD13</f>
        <v>3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4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30</v>
      </c>
      <c r="O16" s="129">
        <f>BE37</f>
        <v>40</v>
      </c>
      <c r="U16" s="84">
        <f>U15+1</f>
        <v>15</v>
      </c>
      <c r="V16" t="s">
        <v>76</v>
      </c>
      <c r="W16" t="s">
        <v>22</v>
      </c>
      <c r="X16" t="s">
        <v>73</v>
      </c>
      <c r="Y16" s="9">
        <v>1</v>
      </c>
      <c r="Z16" s="9">
        <v>0</v>
      </c>
      <c r="AA16" s="9">
        <v>3</v>
      </c>
      <c r="AB16" s="9">
        <v>1</v>
      </c>
      <c r="AC16" s="85">
        <f>Y16+Z16</f>
        <v>1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0</v>
      </c>
      <c r="BZ16" s="85">
        <f>BX11</f>
        <v>1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0</v>
      </c>
      <c r="CG16" s="85">
        <f>CE11</f>
        <v>1</v>
      </c>
      <c r="CI16">
        <f>TREND(BW4:BW23,BX4:BX23,,BW7)</f>
        <v>0.6231884057971</v>
      </c>
      <c r="CQ16">
        <v>8</v>
      </c>
      <c r="CR16">
        <f>AC14</f>
        <v>3</v>
      </c>
      <c r="CS16">
        <f>AD14</f>
        <v>4</v>
      </c>
      <c r="CT16" s="85">
        <f>CR11</f>
        <v>4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4</v>
      </c>
      <c r="DB16" s="85">
        <f>CZ11</f>
        <v>2</v>
      </c>
      <c r="DG16" s="135" t="s">
        <v>77</v>
      </c>
      <c r="DH16" s="136">
        <f>VLOOKUP(1,DE3:DJ11,6,FALSE)</f>
        <v>43.75</v>
      </c>
      <c r="DI16" s="136">
        <f>VLOOKUP(2,DE3:DJ11,6,FALSE)</f>
        <v>43.75</v>
      </c>
      <c r="DJ16" s="137">
        <f>VLOOKUP(3,DE3:DJ11,6,FALSE)</f>
        <v>6.25</v>
      </c>
      <c r="DO16" s="135" t="s">
        <v>77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35</v>
      </c>
      <c r="N17" s="129">
        <f>BD38</f>
        <v>20</v>
      </c>
      <c r="O17" s="129">
        <f>BE38</f>
        <v>45</v>
      </c>
      <c r="U17" s="84">
        <f>U16+1</f>
        <v>16</v>
      </c>
      <c r="V17" t="s">
        <v>82</v>
      </c>
      <c r="W17" t="s">
        <v>43</v>
      </c>
      <c r="X17" t="s">
        <v>72</v>
      </c>
      <c r="Y17" s="9">
        <v>0</v>
      </c>
      <c r="Z17" s="9">
        <v>0</v>
      </c>
      <c r="AA17" s="9">
        <v>1</v>
      </c>
      <c r="AB17" s="9">
        <v>1</v>
      </c>
      <c r="AC17" s="85">
        <f>Y17+Z17</f>
        <v>0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4</v>
      </c>
      <c r="BZ17" s="85">
        <f>BX10</f>
        <v>2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4</v>
      </c>
      <c r="CG17" s="85">
        <f>CE10</f>
        <v>2</v>
      </c>
      <c r="CI17">
        <f>TREND(BW4:BW23,BX4:BX23,,BW11)</f>
        <v>0.6231884057971</v>
      </c>
      <c r="CQ17">
        <v>7</v>
      </c>
      <c r="CR17">
        <f>AC15</f>
        <v>3</v>
      </c>
      <c r="CS17">
        <f>AD15</f>
        <v>3</v>
      </c>
      <c r="CT17" s="85">
        <f>CR10</f>
        <v>3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3</v>
      </c>
      <c r="DA17" s="85">
        <f>CY10</f>
        <v>3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Bournemouth - Southampton</v>
      </c>
      <c r="C18" s="115">
        <f>W39</f>
        <v>6</v>
      </c>
      <c r="D18" s="143">
        <f>AA68</f>
        <v>0</v>
      </c>
      <c r="E18">
        <f>Y41</f>
        <v>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4</v>
      </c>
      <c r="L18" s="115" t="str">
        <f>AG68</f>
        <v>22</v>
      </c>
      <c r="M18" s="129">
        <f>BC39</f>
        <v>25.833666666667</v>
      </c>
      <c r="N18" s="129">
        <f>BD39</f>
        <v>33.333666666667</v>
      </c>
      <c r="O18" s="129">
        <f>BE39</f>
        <v>40.833666666667</v>
      </c>
      <c r="U18" s="84">
        <f>U17+1</f>
        <v>17</v>
      </c>
      <c r="V18" t="s">
        <v>83</v>
      </c>
      <c r="W18" t="s">
        <v>55</v>
      </c>
      <c r="X18" t="s">
        <v>26</v>
      </c>
      <c r="Y18" s="9">
        <v>2</v>
      </c>
      <c r="Z18" s="9">
        <v>2</v>
      </c>
      <c r="AA18" s="9">
        <v>2</v>
      </c>
      <c r="AB18" s="9">
        <v>1</v>
      </c>
      <c r="AC18" s="85">
        <f>Y18+Z18</f>
        <v>4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0</v>
      </c>
      <c r="BY18" s="85">
        <f>BW9</f>
        <v>3</v>
      </c>
      <c r="BZ18" s="85">
        <f>BX9</f>
        <v>1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3</v>
      </c>
      <c r="CE18">
        <f>BX18</f>
        <v>0</v>
      </c>
      <c r="CF18" s="85">
        <f>CD9</f>
        <v>3</v>
      </c>
      <c r="CG18" s="85">
        <f>CE9</f>
        <v>1</v>
      </c>
      <c r="CI18">
        <f>TREND(BW4:BW23,BX4:BX23,,BW19)</f>
        <v>1.3599257884972</v>
      </c>
      <c r="CQ18">
        <v>6</v>
      </c>
      <c r="CR18">
        <f>AC16</f>
        <v>1</v>
      </c>
      <c r="CS18">
        <f>AD16</f>
        <v>4</v>
      </c>
      <c r="CT18" s="85">
        <f>CR9</f>
        <v>3</v>
      </c>
      <c r="CU18" s="85">
        <f>CS9</f>
        <v>5</v>
      </c>
      <c r="CV18" s="61"/>
      <c r="CW18" s="61"/>
      <c r="CX18">
        <v>6</v>
      </c>
      <c r="CY18">
        <f>CR18</f>
        <v>1</v>
      </c>
      <c r="CZ18">
        <f>CS18</f>
        <v>4</v>
      </c>
      <c r="DA18" s="85">
        <f>CY9</f>
        <v>3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27</v>
      </c>
      <c r="X19" t="s">
        <v>85</v>
      </c>
      <c r="Y19" s="9">
        <v>3</v>
      </c>
      <c r="Z19" s="9">
        <v>1</v>
      </c>
      <c r="AA19" s="9">
        <v>0</v>
      </c>
      <c r="AB19" s="9">
        <v>4</v>
      </c>
      <c r="AC19" s="85">
        <f>Y19+Z19</f>
        <v>4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3</v>
      </c>
      <c r="BZ19" s="85">
        <f>BX8</f>
        <v>2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3</v>
      </c>
      <c r="CG19" s="85">
        <f>CE8</f>
        <v>2</v>
      </c>
      <c r="CQ19">
        <v>5</v>
      </c>
      <c r="CR19">
        <f>AC17</f>
        <v>0</v>
      </c>
      <c r="CS19">
        <f>AD17</f>
        <v>2</v>
      </c>
      <c r="CT19" s="85">
        <f>CR8</f>
        <v>4</v>
      </c>
      <c r="CU19" s="85">
        <f>CS8</f>
        <v>4</v>
      </c>
      <c r="CV19" s="61"/>
      <c r="CW19" s="61"/>
      <c r="CX19">
        <v>5</v>
      </c>
      <c r="CY19">
        <f>CR19</f>
        <v>0</v>
      </c>
      <c r="CZ19">
        <f>CS19</f>
        <v>2</v>
      </c>
      <c r="DA19" s="85">
        <f>CY8</f>
        <v>4</v>
      </c>
      <c r="DB19" s="85">
        <f>CZ8</f>
        <v>4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93</v>
      </c>
      <c r="Y20" s="9">
        <v>0</v>
      </c>
      <c r="Z20" s="9">
        <v>0</v>
      </c>
      <c r="AA20" s="9">
        <v>0</v>
      </c>
      <c r="AB20" s="9">
        <v>1</v>
      </c>
      <c r="AC20" s="85">
        <f>Y20+Z20</f>
        <v>0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0</v>
      </c>
      <c r="BZ20" s="85">
        <f>BX7</f>
        <v>2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0</v>
      </c>
      <c r="CG20" s="85">
        <f>CE7</f>
        <v>2</v>
      </c>
      <c r="CQ20">
        <v>4</v>
      </c>
      <c r="CR20">
        <f>AC18</f>
        <v>4</v>
      </c>
      <c r="CS20">
        <f>AD18</f>
        <v>3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3</v>
      </c>
      <c r="DA20" s="85">
        <f>CY7</f>
        <v>2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73</v>
      </c>
      <c r="X21" t="s">
        <v>95</v>
      </c>
      <c r="Y21" s="9">
        <v>1</v>
      </c>
      <c r="Z21" s="9">
        <v>3</v>
      </c>
      <c r="AA21" s="9">
        <v>0</v>
      </c>
      <c r="AB21" s="9">
        <v>1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1</v>
      </c>
      <c r="BZ21" s="85">
        <f>BX6</f>
        <v>4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1</v>
      </c>
      <c r="CG21" s="85">
        <f>CE6</f>
        <v>4</v>
      </c>
      <c r="CQ21">
        <v>3</v>
      </c>
      <c r="CR21">
        <f>AC19</f>
        <v>4</v>
      </c>
      <c r="CS21">
        <f>AD19</f>
        <v>4</v>
      </c>
      <c r="CT21" s="85">
        <f>CR6</f>
        <v>5</v>
      </c>
      <c r="CU21" s="85">
        <f>CS6</f>
        <v>4</v>
      </c>
      <c r="CV21" s="61"/>
      <c r="CW21" s="61"/>
      <c r="CX21">
        <v>3</v>
      </c>
      <c r="CY21">
        <f>CR21</f>
        <v>4</v>
      </c>
      <c r="CZ21">
        <f>CS21</f>
        <v>4</v>
      </c>
      <c r="DA21" s="85">
        <f>CY6</f>
        <v>5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Bournemouth - Southampton</v>
      </c>
      <c r="C22" s="115">
        <f>BF42</f>
        <v>12</v>
      </c>
      <c r="D22" s="61">
        <f>BF43</f>
        <v>37.51</v>
      </c>
      <c r="E22" s="154">
        <f>BG42</f>
        <v>11</v>
      </c>
      <c r="F22" s="115">
        <f>BG43</f>
        <v>37.51</v>
      </c>
      <c r="G22" s="115" t="str">
        <f>BH42</f>
        <v>M0</v>
      </c>
      <c r="H22" s="61">
        <f>BH43</f>
        <v>12.51</v>
      </c>
      <c r="I22" s="115">
        <f>BI42</f>
        <v>22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0</v>
      </c>
      <c r="CS22">
        <f>AD20</f>
        <v>1</v>
      </c>
      <c r="CT22" s="85">
        <f>CR5</f>
        <v>0</v>
      </c>
      <c r="CU22" s="85">
        <f>CS5</f>
        <v>2</v>
      </c>
      <c r="CV22" s="61"/>
      <c r="CW22" s="61"/>
      <c r="CX22">
        <v>2</v>
      </c>
      <c r="CY22">
        <f>CR22</f>
        <v>0</v>
      </c>
      <c r="CZ22">
        <f>CS22</f>
        <v>1</v>
      </c>
      <c r="DA22" s="85">
        <f>CY5</f>
        <v>0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Bournemouth-Southampton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Bournemouth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3</v>
      </c>
      <c r="BY23" s="85">
        <f>BW4</f>
        <v>2</v>
      </c>
      <c r="BZ23" s="85">
        <f>BX4</f>
        <v>1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3</v>
      </c>
      <c r="CF23" s="85">
        <f>CD4</f>
        <v>2</v>
      </c>
      <c r="CG23" s="85">
        <f>CE4</f>
        <v>1</v>
      </c>
      <c r="CQ23">
        <v>1</v>
      </c>
      <c r="CR23">
        <f>AC21</f>
        <v>4</v>
      </c>
      <c r="CS23">
        <f>AD21</f>
        <v>1</v>
      </c>
      <c r="CT23" s="85">
        <f>CR4</f>
        <v>5</v>
      </c>
      <c r="CU23" s="85">
        <f>CS4</f>
        <v>4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5</v>
      </c>
      <c r="DB23" s="85">
        <f>CZ4</f>
        <v>4</v>
      </c>
    </row>
    <row r="24" spans="1:122">
      <c r="A24" s="133"/>
      <c r="B24" s="80" t="s">
        <v>100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Bournemouth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Southampton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Bournemouth-Southampton</v>
      </c>
      <c r="AY24" s="162">
        <f>((AS9+BM9)/(AS9+AT9+AU9+BM9+BN9+BO9))*100</f>
        <v>32.5</v>
      </c>
      <c r="AZ24" s="162">
        <f>((AT9+BN9)/(AS9+AT9+AU9+BM9+BN9+BO9))*100</f>
        <v>25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1.4489795918367</v>
      </c>
      <c r="BX24">
        <f>IF(FORECAST(BX4,BX4:BX23,BW4:BW23)&lt;=0,0,FORECAST(BX4,BX4:BX23,BW4:BW23))</f>
        <v>1.4166666666667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1.9210526315789</v>
      </c>
      <c r="CE24" s="164">
        <f>IF(FORECAST(CC24,CE4:CE23,CC4:CC23)&lt;=0,0,FORECAST(CC24,CE4:CE23,CC4:CC23))</f>
        <v>1.7105263157895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3.6680672268908</v>
      </c>
      <c r="CS24">
        <f>IF(FORECAST(CS4,CS4:CS23,CR4:CR23)&lt;=0,0,FORECAST(CS4,CS4:CS23,CR4:CR23))</f>
        <v>3.3889447236181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3.4052631578947</v>
      </c>
      <c r="CZ24" s="164">
        <f>IF(FORECAST(CX24,CZ4:CZ23,CX4:CX23)&lt;=0,0,FORECAST(CX24,CZ4:CZ23,CX4:CX23))</f>
        <v>3.8894736842105</v>
      </c>
      <c r="DA24">
        <f>ROUND(CY24,0)</f>
        <v>3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1.2708719851577</v>
      </c>
      <c r="BX25">
        <f>IF(FORECAST(BX5,BX5:BX24,BW5:BW24)&lt;=0,0,FORECAST(BX5,BX5:BX24,BW5:BW24))</f>
        <v>1.3414519348754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1.475</v>
      </c>
      <c r="CE25" s="164">
        <f>IF(FORECAST(CC24,CE4:CE19,CC4:CC19)&lt;=0,0,FORECAST(CC24,CE4:CE19,CC4:CC19))</f>
        <v>1.925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2.218487394958</v>
      </c>
      <c r="CS25">
        <f>IF(FORECAST(CS7,CS4:CS23,CR4:CR23)&lt;=0,0,FORECAST(CS7,CS4:CS23,CR4:CR23))</f>
        <v>3.1577889447236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3.925</v>
      </c>
      <c r="CZ25" s="164">
        <f>IF(FORECAST(CX24,CZ4:CZ19,CX4:CX19)&lt;=0,0,FORECAST(CX24,CZ4:CZ19,CX4:CX19))</f>
        <v>3.6</v>
      </c>
      <c r="DA25">
        <f>ROUND(CY25,0)</f>
        <v>4</v>
      </c>
      <c r="DB25">
        <f>ROUND(CZ25,0)</f>
        <v>4</v>
      </c>
    </row>
    <row r="26" spans="1:122">
      <c r="A26" s="84">
        <f>A1</f>
        <v>1</v>
      </c>
      <c r="B26" s="61" t="str">
        <f>B1</f>
        <v>Bournemouth - Southampton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4</v>
      </c>
      <c r="H26" s="61">
        <f>BG46</f>
        <v>43.75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4-1</v>
      </c>
      <c r="Z26" t="str">
        <f>Y3&amp;"-"&amp;Z3</f>
        <v>0-0</v>
      </c>
      <c r="AA26" t="str">
        <f>Y4&amp;"-"&amp;Z4</f>
        <v>1-4</v>
      </c>
      <c r="AB26" t="str">
        <f>Y5&amp;"-"&amp;Z5</f>
        <v>0-2</v>
      </c>
      <c r="AC26" t="str">
        <f>Y6&amp;"-"&amp;Z6</f>
        <v>2-2</v>
      </c>
      <c r="AD26" t="str">
        <f>Y7&amp;"-"&amp;Z7</f>
        <v>2-1</v>
      </c>
      <c r="AE26" t="str">
        <f>Y8&amp;"-"&amp;Z8</f>
        <v>1-2</v>
      </c>
      <c r="AF26" t="str">
        <f>Y9&amp;"-"&amp;Z9</f>
        <v>3-1</v>
      </c>
      <c r="AG26" t="str">
        <f>Y10&amp;"-"&amp;Z10</f>
        <v>0-3</v>
      </c>
      <c r="AH26" t="str">
        <f>Y11&amp;"-"&amp;Z11</f>
        <v>4-0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1.2708719851577</v>
      </c>
      <c r="BX26">
        <f>IF(FORECAST(BX6,BX6:BX25,BW6:BW25)&lt;=0,0,FORECAST(BX6,BX6:BX25,BW6:BW25))</f>
        <v>1.734406809012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1.2142857142857</v>
      </c>
      <c r="CE26" s="164">
        <f>IF(FORECAST(CC24,CE4:CE11,CC4:CC11)&lt;=0,0,FORECAST(CC24,CE4:CE11,CC4:CC11))</f>
        <v>1.5714285714286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3.1848739495798</v>
      </c>
      <c r="CS26">
        <f>IF(FORECAST(CS11,CS4:CS23,CR4:CR23)&lt;=0,0,FORECAST(CS11,CS4:CS23,CR4:CR23))</f>
        <v>2.9266331658291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3.0357142857143</v>
      </c>
      <c r="CZ26" s="164">
        <f>IF(FORECAST(CX24,CZ4:CZ11,CX4:CX11)&lt;=0,0,FORECAST(CX24,CZ4:CZ11,CX4:CX11))</f>
        <v>3.5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Bournemouth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1.3599257884972</v>
      </c>
      <c r="BX27">
        <f>IF(FORECAST(BX7,BX7:BX26,BW7:BW26)&lt;=0,0,FORECAST(BX7,BX7:BX26,BW7:BW26))</f>
        <v>1.4904275995244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0</v>
      </c>
      <c r="CF27">
        <f>ROUND(CD27,0)</f>
        <v>3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1.2521008403361</v>
      </c>
      <c r="CS27">
        <f>IF(FORECAST(CS19,CS4:CS23,CR4:CR23)&lt;=0,0,FORECAST(CS19,CS4:CS23,CR4:CR23))</f>
        <v>2.9266331658291</v>
      </c>
      <c r="CT27">
        <f>ROUND(CR27,0)</f>
        <v>1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3.5</v>
      </c>
      <c r="DA27">
        <f>ROUND(CY27,0)</f>
        <v>4</v>
      </c>
      <c r="DB27">
        <f>ROUND(CZ27,0)</f>
        <v>4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( 18)  vrs  AW ( 12 )</v>
      </c>
      <c r="BD28" s="173">
        <f>W35</f>
        <v>18</v>
      </c>
      <c r="BE28" s="174">
        <f>W36</f>
        <v>12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Bournemouth-Southampton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12</v>
      </c>
      <c r="BZ28" s="61" t="str">
        <f>CONCATENATE(CA27,CB27)</f>
        <v>11</v>
      </c>
      <c r="CC28" s="61"/>
      <c r="CD28" s="61" t="str">
        <f>CONCATENATE(CH24,CI24)</f>
        <v>22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M0</v>
      </c>
      <c r="CQ28" s="177" t="s">
        <v>107</v>
      </c>
      <c r="CR28" s="178">
        <f>CT24</f>
        <v>4</v>
      </c>
      <c r="CS28" s="178">
        <f>CT25</f>
        <v>2</v>
      </c>
      <c r="CT28" s="178">
        <f>CT26</f>
        <v>3</v>
      </c>
      <c r="CU28" s="178">
        <f>CT27</f>
        <v>1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4</v>
      </c>
      <c r="DB28" s="179">
        <f>DA26</f>
        <v>3</v>
      </c>
      <c r="DC28" s="179">
        <f>DA27</f>
        <v>4</v>
      </c>
      <c r="DD28" s="179">
        <f>DB24</f>
        <v>4</v>
      </c>
      <c r="DE28" s="179">
        <f>DB25</f>
        <v>4</v>
      </c>
      <c r="DF28" s="179">
        <f>DB26</f>
        <v>4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108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Bournemouth-Southampton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12</v>
      </c>
      <c r="BZ29" s="61" t="str">
        <f>CONCATENATE(BY27,BZ27)</f>
        <v>11</v>
      </c>
      <c r="CB29" s="61"/>
      <c r="CC29" s="61"/>
      <c r="CD29" s="61" t="str">
        <f>CONCATENATE(CF24,CG24)</f>
        <v>22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30</v>
      </c>
      <c r="CI29" s="61"/>
      <c r="CR29" s="183">
        <v>4.0</v>
      </c>
      <c r="CS29" s="184">
        <v>2.0</v>
      </c>
      <c r="CT29" s="184">
        <v>3.0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Bournemouth - Southampton</v>
      </c>
      <c r="C30" s="186">
        <f>W39</f>
        <v>6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2</v>
      </c>
      <c r="H30" s="61" t="str">
        <f>BI37</f>
        <v>1X2</v>
      </c>
      <c r="I30" s="61" t="str">
        <f>BH38</f>
        <v>2</v>
      </c>
      <c r="J30" s="61" t="str">
        <f>BI38</f>
        <v>12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2-2</v>
      </c>
      <c r="Z30" t="str">
        <f>AA3&amp;"-"&amp;AB3</f>
        <v>1-1</v>
      </c>
      <c r="AA30" t="str">
        <f>AA4&amp;"-"&amp;AB4</f>
        <v>1-3</v>
      </c>
      <c r="AB30" t="str">
        <f>AA5&amp;"-"&amp;AB5</f>
        <v>0-3</v>
      </c>
      <c r="AC30" t="str">
        <f>AA6&amp;"-"&amp;AB6</f>
        <v>3-1</v>
      </c>
      <c r="AD30" t="str">
        <f>AA7&amp;"-"&amp;AB7</f>
        <v>3-2</v>
      </c>
      <c r="AE30" t="str">
        <f>AA8&amp;"-"&amp;AB8</f>
        <v>4-0</v>
      </c>
      <c r="AF30" t="str">
        <f>AA9&amp;"-"&amp;AB9</f>
        <v>0-2</v>
      </c>
      <c r="AG30" t="str">
        <f>AA10&amp;"-"&amp;AB10</f>
        <v>1-2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Bournemouth-Southampton</v>
      </c>
      <c r="BV30" t="s">
        <v>81</v>
      </c>
      <c r="BW30" t="str">
        <f>BW28</f>
        <v>11</v>
      </c>
      <c r="BX30">
        <f>IF(FORECAST(BX10,BX10:BX29,BW10:BW29)&lt;=0,0,FORECAST(BX10,BX10:BX29,BW10:BW29))</f>
        <v>1.5083641822543</v>
      </c>
      <c r="BY30" t="str">
        <f>BY28</f>
        <v>12</v>
      </c>
      <c r="BZ30" t="str">
        <f>BZ28</f>
        <v>11</v>
      </c>
      <c r="CA30" t="str">
        <f>CD28</f>
        <v>22</v>
      </c>
      <c r="CB30" t="str">
        <f>CE28</f>
        <v>12</v>
      </c>
      <c r="CC30" t="str">
        <f>CF28</f>
        <v>12</v>
      </c>
      <c r="CD30" t="str">
        <f>CG28</f>
        <v>M0</v>
      </c>
      <c r="CE30" s="21"/>
      <c r="CF30" s="187">
        <v>11</v>
      </c>
      <c r="CG30" s="187">
        <v>1.5083641822543</v>
      </c>
      <c r="CH30" s="187">
        <v>12</v>
      </c>
      <c r="CI30" s="187">
        <v>22</v>
      </c>
      <c r="CJ30" s="187" t="s">
        <v>111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Southampton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Bournemouth-Southampton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2-3; and ResuExact of →11::11::12::11:::; and ResuSigno of →11::11::12::11; and nº of goles→ ::2::2::3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X::2::2::1::: GolRange ofmnmx→ 3-4; and ResuExact of →22::12::12::30:::; and ResuSigno of →22::12::12::M0; and nº of goles→ ::4::3::3</v>
      </c>
      <c r="CQ31" s="177" t="s">
        <v>107</v>
      </c>
      <c r="CR31" s="178">
        <f>BX38</f>
        <v>2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4</v>
      </c>
      <c r="CW31" s="178">
        <f>CC38</f>
        <v>3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60</v>
      </c>
      <c r="D33" s="9">
        <v>36</v>
      </c>
      <c r="E33" s="9">
        <v>30</v>
      </c>
      <c r="F33" s="9">
        <v>3</v>
      </c>
      <c r="G33" s="9">
        <v>3</v>
      </c>
      <c r="H33" s="9">
        <v>77</v>
      </c>
      <c r="I33" s="9">
        <v>29</v>
      </c>
      <c r="J33" s="9">
        <v>48</v>
      </c>
      <c r="K33" s="9">
        <v>93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Bournemouth-Southampton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73</v>
      </c>
      <c r="D34" s="9">
        <v>36</v>
      </c>
      <c r="E34" s="9">
        <v>24</v>
      </c>
      <c r="F34" s="9">
        <v>3</v>
      </c>
      <c r="G34" s="9">
        <v>9</v>
      </c>
      <c r="H34" s="9">
        <v>93</v>
      </c>
      <c r="I34" s="9">
        <v>35</v>
      </c>
      <c r="J34" s="9">
        <v>58</v>
      </c>
      <c r="K34" s="9">
        <v>75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4</v>
      </c>
      <c r="CF34" s="61">
        <f>CF25+CG25</f>
        <v>3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54</v>
      </c>
      <c r="D35" s="9">
        <v>36</v>
      </c>
      <c r="E35" s="9">
        <v>19</v>
      </c>
      <c r="F35" s="9">
        <v>6</v>
      </c>
      <c r="G35" s="9">
        <v>11</v>
      </c>
      <c r="H35" s="9">
        <v>64</v>
      </c>
      <c r="I35" s="9">
        <v>49</v>
      </c>
      <c r="J35" s="9">
        <v>15</v>
      </c>
      <c r="K35" s="9">
        <v>63</v>
      </c>
      <c r="L35" s="196" t="s">
        <v>128</v>
      </c>
      <c r="U35" s="74"/>
      <c r="W35" s="201">
        <v>18</v>
      </c>
      <c r="X35" s="85" t="s">
        <v>7</v>
      </c>
      <c r="Y35" s="85">
        <v>36</v>
      </c>
      <c r="Z35" s="85">
        <v>8</v>
      </c>
      <c r="AA35" s="85">
        <v>7</v>
      </c>
      <c r="AB35" s="85">
        <v>21</v>
      </c>
      <c r="AC35" s="85">
        <v>37</v>
      </c>
      <c r="AD35" s="85">
        <v>62</v>
      </c>
      <c r="AE35" s="85">
        <v>-25</v>
      </c>
      <c r="AF35" s="85">
        <v>31</v>
      </c>
      <c r="AG35" t="s">
        <v>129</v>
      </c>
      <c r="AJ35" s="167" t="str">
        <f>AC27</f>
        <v>D</v>
      </c>
      <c r="AK35" s="167" t="str">
        <f>AB27</f>
        <v>L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12</v>
      </c>
      <c r="CA35" t="str">
        <f>BZ28</f>
        <v>11</v>
      </c>
      <c r="CB35" t="str">
        <f>CD28</f>
        <v>22</v>
      </c>
      <c r="CC35" t="str">
        <f>CE28</f>
        <v>12</v>
      </c>
      <c r="CD35" t="str">
        <f>CF28</f>
        <v>12</v>
      </c>
      <c r="CE35" t="str">
        <f>CG28</f>
        <v>M0</v>
      </c>
      <c r="CG35" s="187">
        <v>11</v>
      </c>
      <c r="CH35" s="187">
        <v>12</v>
      </c>
      <c r="CI35" s="187">
        <v>22</v>
      </c>
      <c r="CJ35" s="187" t="s">
        <v>111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131</v>
      </c>
      <c r="D36" s="9">
        <v>36</v>
      </c>
      <c r="E36" s="9">
        <v>18</v>
      </c>
      <c r="F36" s="9">
        <v>8</v>
      </c>
      <c r="G36" s="9">
        <v>10</v>
      </c>
      <c r="H36" s="9">
        <v>67</v>
      </c>
      <c r="I36" s="9">
        <v>36</v>
      </c>
      <c r="J36" s="9">
        <v>31</v>
      </c>
      <c r="K36" s="9">
        <v>62</v>
      </c>
      <c r="L36" s="196" t="s">
        <v>132</v>
      </c>
      <c r="U36" s="74"/>
      <c r="W36" s="202">
        <v>12</v>
      </c>
      <c r="X36" s="203" t="s">
        <v>8</v>
      </c>
      <c r="Y36" s="203">
        <v>36</v>
      </c>
      <c r="Z36" s="203">
        <v>13</v>
      </c>
      <c r="AA36" s="203">
        <v>7</v>
      </c>
      <c r="AB36" s="203">
        <v>16</v>
      </c>
      <c r="AC36" s="203">
        <v>46</v>
      </c>
      <c r="AD36" s="203">
        <v>59</v>
      </c>
      <c r="AE36" s="203">
        <v>-13</v>
      </c>
      <c r="AF36" s="203">
        <v>46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W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Bournemouth-Southampton</v>
      </c>
      <c r="BC36">
        <f>CG37</f>
        <v>12.501</v>
      </c>
      <c r="BD36">
        <f>CH37</f>
        <v>50.001</v>
      </c>
      <c r="BE36">
        <f>CI37</f>
        <v>37.501</v>
      </c>
      <c r="BF36" s="207">
        <f>IFERROR(VLOOKUP(BA36,IN!$B$12:$AU$12,39),"")</f>
        <v>2</v>
      </c>
      <c r="BG36" s="208" t="str">
        <f>IFERROR(VLOOKUP(BA36,IN!$B$12:$AU$12,35),"")</f>
        <v>02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2.38</v>
      </c>
      <c r="BL36">
        <f>I101</f>
        <v>3.78</v>
      </c>
      <c r="BM36">
        <f>J101</f>
        <v>2.84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csPr=#11,1.5083641822543,12,22,M0,,,#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36</v>
      </c>
      <c r="E37" s="9">
        <v>17</v>
      </c>
      <c r="F37" s="9">
        <v>11</v>
      </c>
      <c r="G37" s="9">
        <v>8</v>
      </c>
      <c r="H37" s="9">
        <v>63</v>
      </c>
      <c r="I37" s="9">
        <v>35</v>
      </c>
      <c r="J37" s="9">
        <v>28</v>
      </c>
      <c r="K37" s="9">
        <v>62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Bournemouth-Southampton</v>
      </c>
      <c r="BC37" s="210">
        <f>AS9</f>
        <v>30</v>
      </c>
      <c r="BD37" s="210">
        <f>AT9</f>
        <v>30</v>
      </c>
      <c r="BE37" s="210">
        <f>AU9</f>
        <v>40</v>
      </c>
      <c r="BF37" s="211">
        <f>IFERROR(VLOOKUP(BA37,IN!$B$12:$AU$12,39),"")</f>
        <v>2</v>
      </c>
      <c r="BG37" s="212" t="str">
        <f>IFERROR(VLOOKUP(BA37,IN!$B$12:$AU$12,35),"")</f>
        <v>02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40.534257478068</v>
      </c>
      <c r="BL37">
        <f>IF(BL36="","",(((100)*(1/BL36))/((1/BL36)+(1/BL36)+(1/BM36)))+0.01)</f>
        <v>30.031141649049</v>
      </c>
      <c r="BM37">
        <f>IF(BM36="","",(((100)*(1/BM36))/((1/BM36)+(1/BL36)+(1/BM36)))+0.01)</f>
        <v>36.356153846154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Bournemouth-Southampton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36</v>
      </c>
      <c r="E38" s="9">
        <v>14</v>
      </c>
      <c r="F38" s="9">
        <v>14</v>
      </c>
      <c r="G38" s="9">
        <v>8</v>
      </c>
      <c r="H38" s="9">
        <v>49</v>
      </c>
      <c r="I38" s="9">
        <v>38</v>
      </c>
      <c r="J38" s="9">
        <v>11</v>
      </c>
      <c r="K38" s="9">
        <v>56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SG_3</v>
      </c>
      <c r="AM38" t="str">
        <f>"SG_"&amp;BK45</f>
        <v>SG_2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Bournemouth-Southampton</v>
      </c>
      <c r="BC38">
        <f>BM9</f>
        <v>35</v>
      </c>
      <c r="BD38">
        <f>BN9</f>
        <v>20</v>
      </c>
      <c r="BE38">
        <f>BO9</f>
        <v>45</v>
      </c>
      <c r="BF38" s="211">
        <f>IFERROR(VLOOKUP(BA38,IN!$B$12:$AU$12,39),"")</f>
        <v>2</v>
      </c>
      <c r="BG38" s="212" t="str">
        <f>IFERROR(VLOOKUP(BA38,IN!$B$12:$AU$12,35),"")</f>
        <v>02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Bournemouth-Southampton</v>
      </c>
      <c r="BX38" s="99">
        <f>BX34</f>
        <v>2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4</v>
      </c>
      <c r="CC38" s="99">
        <f>CF34</f>
        <v>3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9</v>
      </c>
      <c r="C39" t="s">
        <v>147</v>
      </c>
      <c r="D39" s="9">
        <v>36</v>
      </c>
      <c r="E39" s="9">
        <v>15</v>
      </c>
      <c r="F39" s="9">
        <v>10</v>
      </c>
      <c r="G39" s="9">
        <v>11</v>
      </c>
      <c r="H39" s="9">
        <v>57</v>
      </c>
      <c r="I39" s="9">
        <v>46</v>
      </c>
      <c r="J39" s="9">
        <v>11</v>
      </c>
      <c r="K39" s="9">
        <v>55</v>
      </c>
      <c r="L39" s="196" t="s">
        <v>148</v>
      </c>
      <c r="W39" s="214">
        <f>W35-W36</f>
        <v>6</v>
      </c>
      <c r="X39" t="s">
        <v>1</v>
      </c>
      <c r="Y39">
        <f>SUM(AA2:AA17)/16</f>
        <v>1.625</v>
      </c>
      <c r="Z39">
        <f>((SUM(AT26:AT33))/16)*100</f>
        <v>50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43.75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Bournemouth-Southampton</v>
      </c>
      <c r="BC39">
        <f>(BC36+BC37+BC38)/3</f>
        <v>25.833666666667</v>
      </c>
      <c r="BD39">
        <f>(BD36+BD37+BD38)/3</f>
        <v>33.333666666667</v>
      </c>
      <c r="BE39">
        <f>(BE36+BE37+BE38)/3</f>
        <v>40.833666666667</v>
      </c>
      <c r="BF39" s="216">
        <f>IFERROR(VLOOKUP(BA39,IN!$B$12:$AU$12,39),"")</f>
        <v>2</v>
      </c>
      <c r="BG39" s="217" t="str">
        <f>IFERROR(VLOOKUP(BA39,IN!$B$12:$AU$12,35),"")</f>
        <v>02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7</v>
      </c>
      <c r="C40" t="s">
        <v>149</v>
      </c>
      <c r="D40" s="9">
        <v>36</v>
      </c>
      <c r="E40" s="9">
        <v>14</v>
      </c>
      <c r="F40" s="9">
        <v>12</v>
      </c>
      <c r="G40" s="9">
        <v>10</v>
      </c>
      <c r="H40" s="9">
        <v>38</v>
      </c>
      <c r="I40" s="9">
        <v>35</v>
      </c>
      <c r="J40" s="9">
        <v>3</v>
      </c>
      <c r="K40" s="9">
        <v>54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1.4375</v>
      </c>
      <c r="Z40">
        <f>((SUM(AU26:AU33))/16)*100</f>
        <v>43.75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69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0.1875</v>
      </c>
      <c r="Z41" s="220">
        <f>(Z39+Z40)/2</f>
        <v>46.875</v>
      </c>
      <c r="AA41" s="220">
        <f>(AA39+AA40)/2</f>
        <v>21.875</v>
      </c>
      <c r="AB41" s="220">
        <f>(AB39+AB40)/2</f>
        <v>21.875</v>
      </c>
      <c r="AC41" s="220">
        <f>(AC39+AC40)/2</f>
        <v>6.25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8</v>
      </c>
      <c r="C42" t="s">
        <v>59</v>
      </c>
      <c r="D42" s="9">
        <v>36</v>
      </c>
      <c r="E42" s="9">
        <v>13</v>
      </c>
      <c r="F42" s="9">
        <v>14</v>
      </c>
      <c r="G42" s="9">
        <v>9</v>
      </c>
      <c r="H42" s="9">
        <v>53</v>
      </c>
      <c r="I42" s="9">
        <v>45</v>
      </c>
      <c r="J42" s="9">
        <v>8</v>
      </c>
      <c r="K42" s="9">
        <v>53</v>
      </c>
      <c r="L42" s="196" t="s">
        <v>153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Bournemouth-Southampton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 t="str">
        <f>VLOOKUP(3,BC55:BF70,4,FALSE)</f>
        <v>M0</v>
      </c>
      <c r="BI42" s="222">
        <f>VLOOKUP(4,BC55:BF70,4,FALSE)</f>
        <v>22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27</v>
      </c>
      <c r="D43" s="9">
        <v>36</v>
      </c>
      <c r="E43" s="9">
        <v>12</v>
      </c>
      <c r="F43" s="9">
        <v>10</v>
      </c>
      <c r="G43" s="9">
        <v>14</v>
      </c>
      <c r="H43" s="9">
        <v>42</v>
      </c>
      <c r="I43" s="9">
        <v>53</v>
      </c>
      <c r="J43" s="9">
        <v>-11</v>
      </c>
      <c r="K43" s="9">
        <v>46</v>
      </c>
      <c r="L43" s="196" t="s">
        <v>154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8</v>
      </c>
      <c r="D44" s="9">
        <v>36</v>
      </c>
      <c r="E44" s="9">
        <v>13</v>
      </c>
      <c r="F44" s="9">
        <v>7</v>
      </c>
      <c r="G44" s="9">
        <v>16</v>
      </c>
      <c r="H44" s="9">
        <v>46</v>
      </c>
      <c r="I44" s="9">
        <v>59</v>
      </c>
      <c r="J44" s="9">
        <v>-13</v>
      </c>
      <c r="K44" s="9">
        <v>46</v>
      </c>
      <c r="L44" s="196" t="s">
        <v>133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36</v>
      </c>
      <c r="E45" s="9">
        <v>11</v>
      </c>
      <c r="F45" s="9">
        <v>10</v>
      </c>
      <c r="G45" s="9">
        <v>15</v>
      </c>
      <c r="H45" s="9">
        <v>37</v>
      </c>
      <c r="I45" s="9">
        <v>55</v>
      </c>
      <c r="J45" s="9">
        <v>-18</v>
      </c>
      <c r="K45" s="9">
        <v>43</v>
      </c>
      <c r="L45" s="196" t="s">
        <v>156</v>
      </c>
      <c r="BA45" s="205">
        <f>BA27</f>
        <v>1</v>
      </c>
      <c r="BB45" s="206" t="str">
        <f>V23</f>
        <v>Bournemouth-Southampton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3</v>
      </c>
      <c r="BK45" s="222">
        <f>DQ15</f>
        <v>2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42</v>
      </c>
      <c r="D46" s="9">
        <v>36</v>
      </c>
      <c r="E46" s="9">
        <v>11</v>
      </c>
      <c r="F46" s="9">
        <v>9</v>
      </c>
      <c r="G46" s="9">
        <v>16</v>
      </c>
      <c r="H46" s="9">
        <v>30</v>
      </c>
      <c r="I46" s="9">
        <v>47</v>
      </c>
      <c r="J46" s="9">
        <v>-17</v>
      </c>
      <c r="K46" s="9">
        <v>42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43.75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46.875</v>
      </c>
    </row>
    <row r="47" spans="1:122">
      <c r="A47" s="195">
        <v>15</v>
      </c>
      <c r="B47" s="64">
        <v>16</v>
      </c>
      <c r="C47" t="s">
        <v>158</v>
      </c>
      <c r="D47" s="9">
        <v>36</v>
      </c>
      <c r="E47" s="9">
        <v>10</v>
      </c>
      <c r="F47" s="9">
        <v>7</v>
      </c>
      <c r="G47" s="9">
        <v>19</v>
      </c>
      <c r="H47" s="9">
        <v>47</v>
      </c>
      <c r="I47" s="9">
        <v>60</v>
      </c>
      <c r="J47" s="9">
        <v>-13</v>
      </c>
      <c r="K47" s="9">
        <v>37</v>
      </c>
      <c r="L47" s="196" t="s">
        <v>159</v>
      </c>
      <c r="X47">
        <v>1</v>
      </c>
      <c r="Y47" s="84">
        <f>AA21</f>
        <v>0</v>
      </c>
      <c r="Z47">
        <f>Z21</f>
        <v>3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Bournemouth-Southampton</v>
      </c>
      <c r="BC47" s="223" t="str">
        <f>BW28</f>
        <v>11</v>
      </c>
      <c r="BD47" s="223" t="str">
        <f>BX28</f>
        <v>11</v>
      </c>
      <c r="BE47" s="223" t="str">
        <f>BY28</f>
        <v>12</v>
      </c>
      <c r="BF47" s="223" t="str">
        <f>BZ28</f>
        <v>11</v>
      </c>
      <c r="BG47" s="223" t="str">
        <f>CD28</f>
        <v>22</v>
      </c>
      <c r="BH47" s="223" t="str">
        <f>CE28</f>
        <v>12</v>
      </c>
      <c r="BI47" s="223" t="str">
        <f>CF28</f>
        <v>12</v>
      </c>
      <c r="BJ47" s="223" t="str">
        <f>CG28</f>
        <v>M0</v>
      </c>
    </row>
    <row r="48" spans="1:122" customHeight="1" ht="15.75">
      <c r="A48" s="195">
        <v>16</v>
      </c>
      <c r="B48" s="64">
        <v>15</v>
      </c>
      <c r="C48" t="s">
        <v>160</v>
      </c>
      <c r="D48" s="9">
        <v>36</v>
      </c>
      <c r="E48" s="9">
        <v>8</v>
      </c>
      <c r="F48" s="9">
        <v>13</v>
      </c>
      <c r="G48" s="9">
        <v>15</v>
      </c>
      <c r="H48" s="9">
        <v>37</v>
      </c>
      <c r="I48" s="9">
        <v>53</v>
      </c>
      <c r="J48" s="9">
        <v>-16</v>
      </c>
      <c r="K48" s="9">
        <v>37</v>
      </c>
      <c r="L48" s="196" t="s">
        <v>161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36</v>
      </c>
      <c r="D49" s="9">
        <v>36</v>
      </c>
      <c r="E49" s="9">
        <v>8</v>
      </c>
      <c r="F49" s="9">
        <v>10</v>
      </c>
      <c r="G49" s="9">
        <v>18</v>
      </c>
      <c r="H49" s="9">
        <v>34</v>
      </c>
      <c r="I49" s="9">
        <v>57</v>
      </c>
      <c r="J49" s="9">
        <v>-23</v>
      </c>
      <c r="K49" s="9">
        <v>34</v>
      </c>
      <c r="L49" s="196" t="s">
        <v>162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Bournemouth-Southampton</v>
      </c>
      <c r="BC49" s="224">
        <v>11</v>
      </c>
      <c r="BD49" s="224">
        <v>12</v>
      </c>
      <c r="BE49" s="224">
        <v>22</v>
      </c>
      <c r="BF49" s="224" t="s">
        <v>111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36</v>
      </c>
      <c r="E50" s="9">
        <v>8</v>
      </c>
      <c r="F50" s="9">
        <v>7</v>
      </c>
      <c r="G50" s="9">
        <v>21</v>
      </c>
      <c r="H50" s="9">
        <v>37</v>
      </c>
      <c r="I50" s="9">
        <v>62</v>
      </c>
      <c r="J50" s="9">
        <v>-25</v>
      </c>
      <c r="K50" s="9">
        <v>31</v>
      </c>
      <c r="L50" s="196" t="s">
        <v>129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57</v>
      </c>
      <c r="D51" s="9">
        <v>36</v>
      </c>
      <c r="E51" s="9">
        <v>8</v>
      </c>
      <c r="F51" s="9">
        <v>7</v>
      </c>
      <c r="G51" s="9">
        <v>21</v>
      </c>
      <c r="H51" s="9">
        <v>39</v>
      </c>
      <c r="I51" s="9">
        <v>66</v>
      </c>
      <c r="J51" s="9">
        <v>-27</v>
      </c>
      <c r="K51" s="9">
        <v>31</v>
      </c>
      <c r="L51" s="196" t="s">
        <v>163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164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157</v>
      </c>
      <c r="X52">
        <v>6</v>
      </c>
      <c r="Y52" s="84">
        <f>AA16</f>
        <v>3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4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2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4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1.5380333951763</v>
      </c>
      <c r="Z68" s="239">
        <f>IF(FORECAST(Z62,Z47:Z66,Y47:Y66)&lt;=0,0,FORECAST(Z62,Z47:Z66,Y47:Y66))</f>
        <v>1.5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Bournemouth - Southampton</v>
      </c>
      <c r="C93" s="246">
        <f>Y41</f>
        <v>0.1875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12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152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210</v>
      </c>
      <c r="U100" s="262" t="s">
        <v>47</v>
      </c>
      <c r="V100" s="167" t="s">
        <v>79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211</v>
      </c>
      <c r="AF100" s="167" t="s">
        <v>77</v>
      </c>
      <c r="AG100" s="263" t="s">
        <v>23</v>
      </c>
      <c r="AH100" s="263" t="s">
        <v>212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218</v>
      </c>
      <c r="BG100" s="109" t="s">
        <v>219</v>
      </c>
      <c r="BH100" s="110" t="s">
        <v>50</v>
      </c>
      <c r="BI100" s="110" t="s">
        <v>51</v>
      </c>
      <c r="BJ100" s="110" t="s">
        <v>52</v>
      </c>
      <c r="BK100" s="111" t="s">
        <v>220</v>
      </c>
      <c r="BL100" s="80" t="s">
        <v>23</v>
      </c>
      <c r="BM100" s="145" t="s">
        <v>221</v>
      </c>
      <c r="BN100" s="140" t="s">
        <v>108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222</v>
      </c>
      <c r="D101" s="270" t="str">
        <f>IN!C4</f>
        <v>England &gt;&gt; Premier League</v>
      </c>
      <c r="E101" s="270" t="str">
        <f>IN!D4</f>
        <v>13:00</v>
      </c>
      <c r="F101" s="270" t="str">
        <f>B1</f>
        <v>Bournemouth - Southampton</v>
      </c>
      <c r="G101" s="262" t="str">
        <f>IN!F4</f>
        <v>0:2</v>
      </c>
      <c r="H101" s="263">
        <f>IN!G4</f>
        <v>2.38</v>
      </c>
      <c r="I101" s="263">
        <f>IN!H4</f>
        <v>3.78</v>
      </c>
      <c r="J101" s="263">
        <f>IN!I4</f>
        <v>2.84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</v>
      </c>
      <c r="T101" s="271" t="str">
        <f>IN!S4</f>
        <v>https://int.soccerway.com/matches/2020/07/19/england/premier-league/afc-bournemouth/southampton-fc/3029433/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37.51</v>
      </c>
      <c r="AG101" s="167">
        <f>AF68</f>
        <v>4</v>
      </c>
      <c r="AH101" s="167" t="str">
        <f>AG68</f>
        <v>22</v>
      </c>
      <c r="AI101" s="167">
        <f>BC39</f>
        <v>25.833666666667</v>
      </c>
      <c r="AJ101" s="167">
        <f>BD39</f>
        <v>33.333666666667</v>
      </c>
      <c r="AK101" s="167">
        <f>BE39</f>
        <v>40.833666666667</v>
      </c>
      <c r="AL101" s="167">
        <v>1</v>
      </c>
      <c r="AM101" s="263" t="str">
        <f>IN!C4</f>
        <v>England &gt;&gt; Premier League</v>
      </c>
      <c r="AN101" s="263" t="str">
        <f>IN!E4</f>
        <v>Bournemouth - Southampton</v>
      </c>
      <c r="AO101" s="167" t="str">
        <f>M2</f>
        <v>02</v>
      </c>
      <c r="AP101" s="167">
        <f>N2</f>
        <v>2</v>
      </c>
      <c r="AQ101" s="325">
        <f>VLOOKUP(1,BC55:BF70,4,FALSE)</f>
        <v>12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37.51</v>
      </c>
      <c r="AU101" s="325" t="str">
        <f>VLOOKUP(3,BC55:BF70,4,FALSE)</f>
        <v>M0</v>
      </c>
      <c r="AV101" s="263">
        <f>VLOOKUP(3,BC55:BF70,3,FALSE)</f>
        <v>12.51</v>
      </c>
      <c r="AW101" s="325">
        <f>VLOOKUP(4,BC55:BF70,4,FALSE)</f>
        <v>22</v>
      </c>
      <c r="AX101" s="167">
        <f>VLOOKUP(4,BC55:BF70,3,FALSE)</f>
        <v>12.51</v>
      </c>
      <c r="AY101" s="263">
        <f>(Z39+Z40)/2</f>
        <v>46.875</v>
      </c>
      <c r="AZ101" s="263">
        <f>(AA39+AA40)/2</f>
        <v>21.875</v>
      </c>
      <c r="BA101" s="263">
        <f>(AB39+AB40)/2</f>
        <v>21.875</v>
      </c>
      <c r="BB101" s="263">
        <f>(AC39+AC40)/2</f>
        <v>6.25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62.5</v>
      </c>
      <c r="BF101" s="263">
        <f>BF46</f>
        <v>43.75</v>
      </c>
      <c r="BG101" s="263">
        <f>BG46</f>
        <v>43.75</v>
      </c>
      <c r="BH101" s="263">
        <f>VLOOKUP(1,BC55:BF70,4,FALSE)</f>
        <v>12</v>
      </c>
      <c r="BI101" s="263">
        <f>VLOOKUP(2,BC55:BF70,4,FALSE)</f>
        <v>11</v>
      </c>
      <c r="BJ101" s="263" t="str">
        <f>VLOOKUP(3,BC55:BF70,4,FALSE)</f>
        <v>M0</v>
      </c>
      <c r="BK101" s="263">
        <f>(BF46+BJ46)/2</f>
        <v>46.875</v>
      </c>
      <c r="BL101" s="167">
        <f>S7</f>
        <v>3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40.534257478068</v>
      </c>
      <c r="BX101" s="272">
        <f>IF(I101="","",(((100)*(1/I101))/((1/H101)+(1/I101)+(1/J101)))+0.01)</f>
        <v>25.525273226932</v>
      </c>
      <c r="BY101" s="272">
        <f>IF(J101="","",(((100)*(1/J101))/((1/H101)+(1/I101)+(1/J101)))+0.01)</f>
        <v>33.970469295001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30</v>
      </c>
      <c r="CD101" s="274">
        <f>N16</f>
        <v>30</v>
      </c>
      <c r="CE101" s="274">
        <f>O16</f>
        <v>40</v>
      </c>
      <c r="CF101" s="273">
        <f>(BM4/BM7)*100</f>
        <v>35</v>
      </c>
      <c r="CG101" s="273">
        <f>(BM5/BM7)*100</f>
        <v>20</v>
      </c>
      <c r="CH101" s="273">
        <f>(BM6/BM7)*100</f>
        <v>45</v>
      </c>
      <c r="CI101" s="274">
        <f>(BZ101+CC101+CF101)/3</f>
        <v>25.833666666667</v>
      </c>
      <c r="CJ101" s="274">
        <f>(CA101+CD101+CG101)/3</f>
        <v>33.333666666667</v>
      </c>
      <c r="CK101" s="274">
        <f>(CB101+CE101+CH101)/3</f>
        <v>40.833666666667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0M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12</v>
      </c>
      <c r="AF104" s="275">
        <f>M93</f>
        <v>37.51</v>
      </c>
      <c r="AG104" s="275">
        <f>AF68</f>
        <v>4</v>
      </c>
      <c r="AH104" s="275" t="str">
        <f>AG68</f>
        <v>22</v>
      </c>
      <c r="AI104" s="275">
        <f>BC39</f>
        <v>25.833666666667</v>
      </c>
      <c r="AJ104" s="275">
        <f>BD39</f>
        <v>33.333666666667</v>
      </c>
      <c r="AK104" s="275">
        <f>BE39</f>
        <v>40.833666666667</v>
      </c>
      <c r="AL104" s="275">
        <v>1</v>
      </c>
      <c r="AM104" s="275" t="s">
        <v>224</v>
      </c>
      <c r="AN104" s="275" t="str">
        <f>B7</f>
        <v>Bournemouth - Southampton</v>
      </c>
      <c r="AO104" s="275" t="str">
        <f>M2</f>
        <v>02</v>
      </c>
      <c r="AP104" s="275">
        <f>N2</f>
        <v>2</v>
      </c>
      <c r="AQ104" s="275">
        <f>BF42</f>
        <v>12</v>
      </c>
      <c r="AR104" s="275">
        <f>BF43</f>
        <v>37.51</v>
      </c>
      <c r="AS104" s="277">
        <f>BG42</f>
        <v>11</v>
      </c>
      <c r="AT104" s="275">
        <f>BG43</f>
        <v>37.51</v>
      </c>
      <c r="AU104" s="275" t="str">
        <f>BH42</f>
        <v>M0</v>
      </c>
      <c r="AV104" s="275">
        <f>BH43</f>
        <v>12.51</v>
      </c>
      <c r="AW104" s="275">
        <f>BI42</f>
        <v>22</v>
      </c>
      <c r="AX104" s="275">
        <f>BI43</f>
        <v>12.51</v>
      </c>
      <c r="AY104" s="275">
        <f>F7</f>
        <v>46.875</v>
      </c>
      <c r="AZ104" s="275">
        <f>G7</f>
        <v>21.875</v>
      </c>
      <c r="BA104" s="275">
        <f>H7</f>
        <v>21.875</v>
      </c>
      <c r="BB104" s="275">
        <f>I7</f>
        <v>6.25</v>
      </c>
      <c r="BC104" s="275">
        <f>J7</f>
        <v>78.125</v>
      </c>
      <c r="BD104" s="275">
        <f>K7</f>
        <v>21.875</v>
      </c>
      <c r="BE104" s="275">
        <f>L7</f>
        <v>62.5</v>
      </c>
      <c r="BF104" s="275">
        <f>BF46</f>
        <v>43.75</v>
      </c>
      <c r="BG104" s="275">
        <f>BG46</f>
        <v>43.75</v>
      </c>
      <c r="BH104" s="275">
        <f>BF42</f>
        <v>12</v>
      </c>
      <c r="BI104" s="277">
        <f>BG42</f>
        <v>11</v>
      </c>
      <c r="BJ104" s="275" t="str">
        <f>BH42</f>
        <v>M0</v>
      </c>
      <c r="BK104" s="275">
        <f>BR46</f>
        <v>46.875</v>
      </c>
      <c r="BL104" s="275">
        <f>S7</f>
        <v>3</v>
      </c>
      <c r="BM104" s="275">
        <f>W39</f>
        <v>6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2</v>
      </c>
      <c r="BR104" s="275" t="str">
        <f>BI37</f>
        <v>1X2</v>
      </c>
      <c r="BS104" s="275" t="str">
        <f>BH38</f>
        <v>2</v>
      </c>
      <c r="BT104" s="275" t="str">
        <f>BI38</f>
        <v>12</v>
      </c>
      <c r="BU104" s="275" t="str">
        <f>BH39</f>
        <v>2</v>
      </c>
      <c r="BV104" s="275" t="str">
        <f>BI39</f>
        <v>X2</v>
      </c>
      <c r="BW104" s="275">
        <f>BK37</f>
        <v>40.534257478068</v>
      </c>
      <c r="BX104" s="275">
        <f>BL37</f>
        <v>30.031141649049</v>
      </c>
      <c r="BY104" s="275">
        <f>BM37</f>
        <v>36.356153846154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30</v>
      </c>
      <c r="CD104" s="275">
        <f>AT9</f>
        <v>30</v>
      </c>
      <c r="CE104" s="275">
        <f>AU9</f>
        <v>40</v>
      </c>
      <c r="CF104" s="275">
        <f>BM9</f>
        <v>35</v>
      </c>
      <c r="CG104" s="275">
        <f>BN9</f>
        <v>20</v>
      </c>
      <c r="CH104" s="275">
        <f>BO9</f>
        <v>45</v>
      </c>
      <c r="CI104" s="275">
        <f>BC39</f>
        <v>25.833666666667</v>
      </c>
      <c r="CJ104" s="275">
        <f>BD39</f>
        <v>33.333666666667</v>
      </c>
      <c r="CK104" s="275">
        <f>BE39</f>
        <v>40.833666666667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152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1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2.38</v>
      </c>
      <c r="H4" s="37">
        <v>3.78</v>
      </c>
      <c r="I4" s="37">
        <v>2.84</v>
      </c>
      <c r="J4" s="64">
        <v>12</v>
      </c>
      <c r="K4" s="64">
        <v>2</v>
      </c>
      <c r="L4" s="64" t="s">
        <v>243</v>
      </c>
      <c r="M4" s="22" t="s">
        <v>244</v>
      </c>
      <c r="N4" s="64">
        <v>2</v>
      </c>
      <c r="O4" s="22" t="s">
        <v>245</v>
      </c>
      <c r="P4" s="64">
        <v>2</v>
      </c>
      <c r="Q4" s="22" t="s">
        <v>242</v>
      </c>
      <c r="R4" s="22" t="s">
        <v>166</v>
      </c>
      <c r="S4" s="278" t="s">
        <v>246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204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204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204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13:00</v>
      </c>
      <c r="E8" s="25" t="str">
        <f>E4</f>
        <v>Bournemouth - Southampton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152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250</v>
      </c>
      <c r="AJ11" s="23" t="s">
        <v>5</v>
      </c>
      <c r="AK11" s="43" t="s">
        <v>204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13:00</v>
      </c>
      <c r="E12" s="25" t="str">
        <f>IF(E4="","",E4)</f>
        <v>Bournemouth - Southampton</v>
      </c>
      <c r="F12" s="56" t="str">
        <f>F4</f>
        <v>0:2</v>
      </c>
      <c r="G12" s="37">
        <f>IF(G4="","",G4)</f>
        <v>2.38</v>
      </c>
      <c r="H12" s="37">
        <f>IF(H4="","",H4)</f>
        <v>3.78</v>
      </c>
      <c r="I12" s="37">
        <f>IF(I4="","",I4)</f>
        <v>2.84</v>
      </c>
      <c r="J12" s="57">
        <f>IF(G12="","",(((100)*(1/G12))/((1/G12)+(1/H12)+(1/I12)))+0.01)</f>
        <v>40.534257478068</v>
      </c>
      <c r="K12" s="57">
        <f>IF(H12="","",(((100)*(1/H12))/((1/G12)+(1/H12)+(1/I12)))+0.01)</f>
        <v>25.525273226932</v>
      </c>
      <c r="L12" s="57">
        <f>IF(I12="","",(((100)*(1/I12))/((1/G12)+(1/H12)+(1/I12)))+0.01)</f>
        <v>33.970469295001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https://int.soccerway.com/matches/2020/07/19/england/premier-league/afc-bournemouth/southampton-fc/3029433/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Bournemouth v Southampton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