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9615" windowHeight="12135" activeTab="5"/>
  </bookViews>
  <sheets>
    <sheet name="Sheet1" sheetId="28" r:id="rId1"/>
    <sheet name="NOTES" sheetId="9" r:id="rId2"/>
    <sheet name="TROOP LIST" sheetId="18" r:id="rId3"/>
    <sheet name="TIER BREAKDOWN" sheetId="6" r:id="rId4"/>
    <sheet name="RATING CALC" sheetId="1" r:id="rId5"/>
    <sheet name="ATTACK &amp; ARMOR" sheetId="13" r:id="rId6"/>
    <sheet name="PRICE SCALING" sheetId="8" r:id="rId7"/>
    <sheet name="VANGUARD CHARGER" sheetId="29" r:id="rId8"/>
    <sheet name="ADVENTURER" sheetId="19" r:id="rId9"/>
    <sheet name="SCOUT" sheetId="17" r:id="rId10"/>
    <sheet name="ARMORED CROSSBOWMAN" sheetId="16" r:id="rId11"/>
    <sheet name="CROSSBOWMAN" sheetId="15" r:id="rId12"/>
    <sheet name="WARRIOR" sheetId="14" r:id="rId13"/>
    <sheet name="SPEARMAN" sheetId="20" r:id="rId14"/>
    <sheet name="ARCHER" sheetId="22" r:id="rId15"/>
    <sheet name="CHAMPION" sheetId="26" r:id="rId16"/>
    <sheet name="GUARD CAPTAIN" sheetId="27" r:id="rId17"/>
    <sheet name="PATHWARDEN" sheetId="23" r:id="rId18"/>
    <sheet name="PATHWARDEN-V" sheetId="24" r:id="rId19"/>
    <sheet name="PATHWARDEN-E" sheetId="25" r:id="rId20"/>
  </sheets>
  <definedNames>
    <definedName name="_xlnm.Print_Area" localSheetId="8">ADVENTURER!$A$1:$N$45</definedName>
    <definedName name="_xlnm.Print_Area" localSheetId="14">ARCHER!$A$1:$N$45</definedName>
    <definedName name="_xlnm.Print_Area" localSheetId="10">'ARMORED CROSSBOWMAN'!$A$1:$N$45</definedName>
    <definedName name="_xlnm.Print_Area" localSheetId="15">CHAMPION!$A$1:$N$45</definedName>
    <definedName name="_xlnm.Print_Area" localSheetId="11">CROSSBOWMAN!$A$1:$N$45</definedName>
    <definedName name="_xlnm.Print_Area" localSheetId="16">'GUARD CAPTAIN'!$A$1:$N$45</definedName>
    <definedName name="_xlnm.Print_Area" localSheetId="17">PATHWARDEN!$A$1:$N$45</definedName>
    <definedName name="_xlnm.Print_Area" localSheetId="19">'PATHWARDEN-E'!$A$1:$N$45</definedName>
    <definedName name="_xlnm.Print_Area" localSheetId="18">'PATHWARDEN-V'!$A$1:$N$45</definedName>
    <definedName name="_xlnm.Print_Area" localSheetId="4">'RATING CALC'!$C$1:$R$52</definedName>
    <definedName name="_xlnm.Print_Area" localSheetId="9">SCOUT!$A$1:$N$45</definedName>
    <definedName name="_xlnm.Print_Area" localSheetId="13">SPEARMAN!$A$1:$N$45</definedName>
    <definedName name="_xlnm.Print_Area" localSheetId="2">'TROOP LIST'!$A$1:$M$33</definedName>
    <definedName name="_xlnm.Print_Area" localSheetId="7">'VANGUARD CHARGER'!$C$1:$R$52</definedName>
    <definedName name="_xlnm.Print_Area" localSheetId="12">WARRIOR!$A$1:$N$45</definedName>
  </definedNames>
  <calcPr calcId="124519"/>
</workbook>
</file>

<file path=xl/calcChain.xml><?xml version="1.0" encoding="utf-8"?>
<calcChain xmlns="http://schemas.openxmlformats.org/spreadsheetml/2006/main">
  <c r="K80" i="29"/>
  <c r="K79"/>
  <c r="K78"/>
  <c r="E78"/>
  <c r="K77"/>
  <c r="F77"/>
  <c r="E77"/>
  <c r="K76"/>
  <c r="F76"/>
  <c r="E76"/>
  <c r="K75"/>
  <c r="F75"/>
  <c r="E75"/>
  <c r="E33" s="1"/>
  <c r="M45" s="1"/>
  <c r="K74"/>
  <c r="F74"/>
  <c r="E74"/>
  <c r="K73"/>
  <c r="K72"/>
  <c r="K71"/>
  <c r="Q51"/>
  <c r="P51"/>
  <c r="O51"/>
  <c r="N51"/>
  <c r="M51"/>
  <c r="P50"/>
  <c r="Q50" s="1"/>
  <c r="E44" s="1"/>
  <c r="F44" s="1"/>
  <c r="G44" s="1"/>
  <c r="O50"/>
  <c r="N50"/>
  <c r="M50"/>
  <c r="P49"/>
  <c r="Q49" s="1"/>
  <c r="E43" s="1"/>
  <c r="F43" s="1"/>
  <c r="O49"/>
  <c r="N49"/>
  <c r="M49"/>
  <c r="P48"/>
  <c r="Q48" s="1"/>
  <c r="E39" s="1"/>
  <c r="F39" s="1"/>
  <c r="G39" s="1"/>
  <c r="O48"/>
  <c r="N48"/>
  <c r="M48"/>
  <c r="Q47"/>
  <c r="E38" s="1"/>
  <c r="F38" s="1"/>
  <c r="G38" s="1"/>
  <c r="P47"/>
  <c r="O47"/>
  <c r="N47"/>
  <c r="M47"/>
  <c r="P46"/>
  <c r="Q46" s="1"/>
  <c r="E37" s="1"/>
  <c r="F37" s="1"/>
  <c r="O46"/>
  <c r="N46"/>
  <c r="M46"/>
  <c r="H46"/>
  <c r="P45"/>
  <c r="O45"/>
  <c r="Q45" s="1"/>
  <c r="C33" s="1"/>
  <c r="G33" s="1"/>
  <c r="E45"/>
  <c r="F45" s="1"/>
  <c r="G45" s="1"/>
  <c r="P44"/>
  <c r="Q44" s="1"/>
  <c r="C31" s="1"/>
  <c r="G31" s="1"/>
  <c r="O44"/>
  <c r="N44"/>
  <c r="P43"/>
  <c r="Q43" s="1"/>
  <c r="C32" s="1"/>
  <c r="G32" s="1"/>
  <c r="O43"/>
  <c r="N43"/>
  <c r="P42"/>
  <c r="O42"/>
  <c r="Q42" s="1"/>
  <c r="C30" s="1"/>
  <c r="G30" s="1"/>
  <c r="P41"/>
  <c r="O41"/>
  <c r="Q41" s="1"/>
  <c r="C29" s="1"/>
  <c r="G29" s="1"/>
  <c r="M41"/>
  <c r="H40"/>
  <c r="F33"/>
  <c r="N45" s="1"/>
  <c r="F32"/>
  <c r="E32"/>
  <c r="M44" s="1"/>
  <c r="F31"/>
  <c r="E31"/>
  <c r="M43" s="1"/>
  <c r="F30"/>
  <c r="N42" s="1"/>
  <c r="F29"/>
  <c r="N41" s="1"/>
  <c r="E29"/>
  <c r="G26"/>
  <c r="G21"/>
  <c r="G20"/>
  <c r="G19"/>
  <c r="G16"/>
  <c r="G15"/>
  <c r="G11"/>
  <c r="F11"/>
  <c r="E10"/>
  <c r="G11" i="1"/>
  <c r="E76"/>
  <c r="F76"/>
  <c r="E77"/>
  <c r="F77"/>
  <c r="E78"/>
  <c r="P42"/>
  <c r="P43"/>
  <c r="P44"/>
  <c r="P45"/>
  <c r="P46"/>
  <c r="P47"/>
  <c r="P48"/>
  <c r="P49"/>
  <c r="Q49" s="1"/>
  <c r="P50"/>
  <c r="Q50" s="1"/>
  <c r="E44" s="1"/>
  <c r="F44" s="1"/>
  <c r="G44" s="1"/>
  <c r="P51"/>
  <c r="Q51" s="1"/>
  <c r="E45" s="1"/>
  <c r="F45" s="1"/>
  <c r="G45" s="1"/>
  <c r="P41"/>
  <c r="M50"/>
  <c r="N50"/>
  <c r="M51"/>
  <c r="N51"/>
  <c r="N49"/>
  <c r="M49"/>
  <c r="M47"/>
  <c r="N47"/>
  <c r="M48"/>
  <c r="N48"/>
  <c r="N46"/>
  <c r="M46"/>
  <c r="O42"/>
  <c r="O43"/>
  <c r="O44"/>
  <c r="O45"/>
  <c r="O46"/>
  <c r="O47"/>
  <c r="O48"/>
  <c r="O49"/>
  <c r="O50"/>
  <c r="O51"/>
  <c r="O41"/>
  <c r="E44" i="27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K28"/>
  <c r="J28"/>
  <c r="N26"/>
  <c r="J25"/>
  <c r="K25" s="1"/>
  <c r="J24"/>
  <c r="K24" s="1"/>
  <c r="J23"/>
  <c r="J26" s="1"/>
  <c r="K26" s="1"/>
  <c r="N20"/>
  <c r="D20"/>
  <c r="J19"/>
  <c r="K19" s="1"/>
  <c r="J18"/>
  <c r="K18" s="1"/>
  <c r="J17"/>
  <c r="J20" s="1"/>
  <c r="D15"/>
  <c r="D14"/>
  <c r="K13"/>
  <c r="J13"/>
  <c r="I13"/>
  <c r="H13"/>
  <c r="D13"/>
  <c r="J12"/>
  <c r="K12" s="1"/>
  <c r="I12"/>
  <c r="H12"/>
  <c r="J11"/>
  <c r="K11" s="1"/>
  <c r="I11"/>
  <c r="H11"/>
  <c r="J10"/>
  <c r="K10" s="1"/>
  <c r="I10"/>
  <c r="H10"/>
  <c r="D10"/>
  <c r="K9"/>
  <c r="K14" s="1"/>
  <c r="J9"/>
  <c r="I9"/>
  <c r="H9"/>
  <c r="D9"/>
  <c r="K25" i="18"/>
  <c r="K26"/>
  <c r="K27"/>
  <c r="K24"/>
  <c r="E44" i="26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J28"/>
  <c r="N26"/>
  <c r="J25"/>
  <c r="K25" s="1"/>
  <c r="J24"/>
  <c r="K24" s="1"/>
  <c r="J23"/>
  <c r="J26" s="1"/>
  <c r="K26" s="1"/>
  <c r="N20"/>
  <c r="D20"/>
  <c r="J19"/>
  <c r="K19" s="1"/>
  <c r="J18"/>
  <c r="K18" s="1"/>
  <c r="J17"/>
  <c r="J20" s="1"/>
  <c r="D15"/>
  <c r="D14"/>
  <c r="J13"/>
  <c r="K13" s="1"/>
  <c r="I13"/>
  <c r="H13"/>
  <c r="D13"/>
  <c r="J12"/>
  <c r="K12" s="1"/>
  <c r="I12"/>
  <c r="H12"/>
  <c r="J11"/>
  <c r="K11" s="1"/>
  <c r="I11"/>
  <c r="H11"/>
  <c r="J10"/>
  <c r="K10" s="1"/>
  <c r="I10"/>
  <c r="H10"/>
  <c r="D10"/>
  <c r="K9"/>
  <c r="J9"/>
  <c r="I9"/>
  <c r="H9"/>
  <c r="D9"/>
  <c r="E44" i="25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J28"/>
  <c r="J25"/>
  <c r="K25" s="1"/>
  <c r="J24"/>
  <c r="K24" s="1"/>
  <c r="J23"/>
  <c r="J26" s="1"/>
  <c r="D20"/>
  <c r="J19"/>
  <c r="K19" s="1"/>
  <c r="J18"/>
  <c r="K18" s="1"/>
  <c r="J17"/>
  <c r="J20" s="1"/>
  <c r="D15"/>
  <c r="D14"/>
  <c r="K13"/>
  <c r="J13"/>
  <c r="I13"/>
  <c r="H13"/>
  <c r="D13"/>
  <c r="J12"/>
  <c r="K12" s="1"/>
  <c r="I12"/>
  <c r="H12"/>
  <c r="J11"/>
  <c r="K11" s="1"/>
  <c r="I11"/>
  <c r="H11"/>
  <c r="J10"/>
  <c r="K10" s="1"/>
  <c r="I10"/>
  <c r="H10"/>
  <c r="D10"/>
  <c r="K9"/>
  <c r="J9"/>
  <c r="I9"/>
  <c r="H9"/>
  <c r="D9"/>
  <c r="E44" i="24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J28"/>
  <c r="J25"/>
  <c r="K25" s="1"/>
  <c r="J24"/>
  <c r="K24" s="1"/>
  <c r="J23"/>
  <c r="J26" s="1"/>
  <c r="D20"/>
  <c r="J19"/>
  <c r="K19" s="1"/>
  <c r="J18"/>
  <c r="K18" s="1"/>
  <c r="J17"/>
  <c r="J20" s="1"/>
  <c r="D15"/>
  <c r="D14"/>
  <c r="K13"/>
  <c r="J13"/>
  <c r="I13"/>
  <c r="H13"/>
  <c r="D13"/>
  <c r="J12"/>
  <c r="K12" s="1"/>
  <c r="I12"/>
  <c r="H12"/>
  <c r="J11"/>
  <c r="K11" s="1"/>
  <c r="I11"/>
  <c r="H11"/>
  <c r="J10"/>
  <c r="K10" s="1"/>
  <c r="I10"/>
  <c r="H10"/>
  <c r="D10"/>
  <c r="K9"/>
  <c r="J9"/>
  <c r="I9"/>
  <c r="H9"/>
  <c r="D9"/>
  <c r="E44" i="23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J28"/>
  <c r="J25"/>
  <c r="K25" s="1"/>
  <c r="J24"/>
  <c r="K24" s="1"/>
  <c r="J23"/>
  <c r="J26" s="1"/>
  <c r="D20"/>
  <c r="J19"/>
  <c r="K19" s="1"/>
  <c r="J18"/>
  <c r="K18" s="1"/>
  <c r="J17"/>
  <c r="J20" s="1"/>
  <c r="D15"/>
  <c r="D14"/>
  <c r="J13"/>
  <c r="K13" s="1"/>
  <c r="I13"/>
  <c r="H13"/>
  <c r="D13"/>
  <c r="J12"/>
  <c r="K12" s="1"/>
  <c r="I12"/>
  <c r="H12"/>
  <c r="J11"/>
  <c r="K11" s="1"/>
  <c r="I11"/>
  <c r="H11"/>
  <c r="J10"/>
  <c r="K10" s="1"/>
  <c r="I10"/>
  <c r="H10"/>
  <c r="D10"/>
  <c r="K9"/>
  <c r="K14" s="1"/>
  <c r="J9"/>
  <c r="I9"/>
  <c r="H9"/>
  <c r="D9"/>
  <c r="E44" i="22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K28"/>
  <c r="J28"/>
  <c r="J25"/>
  <c r="K25" s="1"/>
  <c r="J24"/>
  <c r="K24" s="1"/>
  <c r="J23"/>
  <c r="J26" s="1"/>
  <c r="D20"/>
  <c r="J19"/>
  <c r="K19" s="1"/>
  <c r="J18"/>
  <c r="K18" s="1"/>
  <c r="J17"/>
  <c r="J20" s="1"/>
  <c r="D15"/>
  <c r="D14"/>
  <c r="J13"/>
  <c r="K13" s="1"/>
  <c r="I13"/>
  <c r="H13"/>
  <c r="D13"/>
  <c r="K12"/>
  <c r="J12"/>
  <c r="I12"/>
  <c r="H12"/>
  <c r="K11"/>
  <c r="J11"/>
  <c r="I11"/>
  <c r="H11"/>
  <c r="K10"/>
  <c r="J10"/>
  <c r="I10"/>
  <c r="H10"/>
  <c r="D10"/>
  <c r="J9"/>
  <c r="K9" s="1"/>
  <c r="K14" s="1"/>
  <c r="I9"/>
  <c r="H9"/>
  <c r="D9"/>
  <c r="E44" i="20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K28"/>
  <c r="J28"/>
  <c r="N26"/>
  <c r="J25"/>
  <c r="K25" s="1"/>
  <c r="J24"/>
  <c r="K24" s="1"/>
  <c r="J23"/>
  <c r="J26" s="1"/>
  <c r="K26" s="1"/>
  <c r="N20"/>
  <c r="D20"/>
  <c r="J19"/>
  <c r="K19" s="1"/>
  <c r="J18"/>
  <c r="K18" s="1"/>
  <c r="J17"/>
  <c r="J20" s="1"/>
  <c r="D15"/>
  <c r="D14"/>
  <c r="K13"/>
  <c r="J13"/>
  <c r="I13"/>
  <c r="H13"/>
  <c r="D13"/>
  <c r="J12"/>
  <c r="K12" s="1"/>
  <c r="I12"/>
  <c r="H12"/>
  <c r="J11"/>
  <c r="K11" s="1"/>
  <c r="I11"/>
  <c r="H11"/>
  <c r="J10"/>
  <c r="K10" s="1"/>
  <c r="I10"/>
  <c r="H10"/>
  <c r="D10"/>
  <c r="K9"/>
  <c r="K14" s="1"/>
  <c r="J9"/>
  <c r="I9"/>
  <c r="H9"/>
  <c r="D9"/>
  <c r="K26" i="19"/>
  <c r="K26" i="17"/>
  <c r="K26" i="16"/>
  <c r="N26" s="1"/>
  <c r="C6" s="1"/>
  <c r="K26" i="15"/>
  <c r="N26" s="1"/>
  <c r="C6" s="1"/>
  <c r="K26" i="14"/>
  <c r="N26" i="19"/>
  <c r="N26" i="17"/>
  <c r="N26" i="14"/>
  <c r="N20"/>
  <c r="K20"/>
  <c r="N20" i="15"/>
  <c r="K20"/>
  <c r="N20" i="16"/>
  <c r="K20"/>
  <c r="K20" i="19"/>
  <c r="N20" s="1"/>
  <c r="N20" i="17"/>
  <c r="K20"/>
  <c r="G16" i="1"/>
  <c r="D10" i="19"/>
  <c r="D10" i="17"/>
  <c r="D10" i="16"/>
  <c r="D10" i="15"/>
  <c r="D10" i="14"/>
  <c r="G15" i="1"/>
  <c r="D9" i="19"/>
  <c r="D9" i="17"/>
  <c r="D9" i="16"/>
  <c r="D9" i="15"/>
  <c r="D9" i="14"/>
  <c r="E44" i="19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K28"/>
  <c r="J28"/>
  <c r="J25"/>
  <c r="K25" s="1"/>
  <c r="K24"/>
  <c r="J24"/>
  <c r="K23"/>
  <c r="J23"/>
  <c r="D20"/>
  <c r="J19"/>
  <c r="K19" s="1"/>
  <c r="J18"/>
  <c r="K18" s="1"/>
  <c r="J17"/>
  <c r="J20" s="1"/>
  <c r="D15"/>
  <c r="D14"/>
  <c r="K13"/>
  <c r="J13"/>
  <c r="I13"/>
  <c r="H13"/>
  <c r="D13"/>
  <c r="J12"/>
  <c r="K12" s="1"/>
  <c r="I12"/>
  <c r="H12"/>
  <c r="J11"/>
  <c r="K11" s="1"/>
  <c r="I11"/>
  <c r="H11"/>
  <c r="J10"/>
  <c r="K10" s="1"/>
  <c r="I10"/>
  <c r="H10"/>
  <c r="K9"/>
  <c r="J9"/>
  <c r="I9"/>
  <c r="H9"/>
  <c r="E44" i="17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J28"/>
  <c r="J25"/>
  <c r="K25" s="1"/>
  <c r="J24"/>
  <c r="K24" s="1"/>
  <c r="J23"/>
  <c r="K23" s="1"/>
  <c r="D20"/>
  <c r="J19"/>
  <c r="K19" s="1"/>
  <c r="J18"/>
  <c r="K18" s="1"/>
  <c r="J17"/>
  <c r="J20" s="1"/>
  <c r="D15"/>
  <c r="D14"/>
  <c r="J13"/>
  <c r="K13" s="1"/>
  <c r="I13"/>
  <c r="H13"/>
  <c r="D13"/>
  <c r="J12"/>
  <c r="K12" s="1"/>
  <c r="I12"/>
  <c r="H12"/>
  <c r="J11"/>
  <c r="K11" s="1"/>
  <c r="I11"/>
  <c r="H11"/>
  <c r="J10"/>
  <c r="K10" s="1"/>
  <c r="I10"/>
  <c r="H10"/>
  <c r="K9"/>
  <c r="J9"/>
  <c r="I9"/>
  <c r="H9"/>
  <c r="E44" i="16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K28"/>
  <c r="J28"/>
  <c r="K25"/>
  <c r="J25"/>
  <c r="K24"/>
  <c r="J24"/>
  <c r="K23"/>
  <c r="J23"/>
  <c r="J26" s="1"/>
  <c r="D20"/>
  <c r="J19"/>
  <c r="K19" s="1"/>
  <c r="J18"/>
  <c r="K18" s="1"/>
  <c r="J17"/>
  <c r="J20" s="1"/>
  <c r="D15"/>
  <c r="D14"/>
  <c r="K13"/>
  <c r="J13"/>
  <c r="I13"/>
  <c r="H13"/>
  <c r="D13"/>
  <c r="J12"/>
  <c r="K12" s="1"/>
  <c r="I12"/>
  <c r="H12"/>
  <c r="J11"/>
  <c r="K11" s="1"/>
  <c r="I11"/>
  <c r="H11"/>
  <c r="J10"/>
  <c r="K10" s="1"/>
  <c r="I10"/>
  <c r="H10"/>
  <c r="K9"/>
  <c r="J9"/>
  <c r="I9"/>
  <c r="H9"/>
  <c r="E44" i="15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K28"/>
  <c r="J28"/>
  <c r="K25"/>
  <c r="J25"/>
  <c r="K24"/>
  <c r="J24"/>
  <c r="K23"/>
  <c r="J23"/>
  <c r="J26" s="1"/>
  <c r="D20"/>
  <c r="J19"/>
  <c r="K19" s="1"/>
  <c r="J18"/>
  <c r="K18" s="1"/>
  <c r="J17"/>
  <c r="J20" s="1"/>
  <c r="D15"/>
  <c r="D14"/>
  <c r="K13"/>
  <c r="J13"/>
  <c r="I13"/>
  <c r="H13"/>
  <c r="D13"/>
  <c r="J12"/>
  <c r="K12" s="1"/>
  <c r="I12"/>
  <c r="H12"/>
  <c r="J11"/>
  <c r="K11" s="1"/>
  <c r="I11"/>
  <c r="H11"/>
  <c r="J10"/>
  <c r="K10" s="1"/>
  <c r="I10"/>
  <c r="H10"/>
  <c r="K9"/>
  <c r="J9"/>
  <c r="I9"/>
  <c r="H9"/>
  <c r="E44" i="14"/>
  <c r="D44"/>
  <c r="G42"/>
  <c r="G41"/>
  <c r="G40"/>
  <c r="G39"/>
  <c r="G38"/>
  <c r="G37"/>
  <c r="C37"/>
  <c r="G36"/>
  <c r="D36"/>
  <c r="C36"/>
  <c r="G35"/>
  <c r="D35"/>
  <c r="C35"/>
  <c r="G34"/>
  <c r="D34"/>
  <c r="C34"/>
  <c r="G33"/>
  <c r="D33"/>
  <c r="C33"/>
  <c r="K28"/>
  <c r="J28"/>
  <c r="K25"/>
  <c r="J25"/>
  <c r="K24"/>
  <c r="J24"/>
  <c r="K23"/>
  <c r="J23"/>
  <c r="J26" s="1"/>
  <c r="C6" s="1"/>
  <c r="D20"/>
  <c r="J19"/>
  <c r="K19" s="1"/>
  <c r="J18"/>
  <c r="K18" s="1"/>
  <c r="J17"/>
  <c r="J20" s="1"/>
  <c r="D15"/>
  <c r="D14"/>
  <c r="K13"/>
  <c r="J13"/>
  <c r="I13"/>
  <c r="H13"/>
  <c r="D13"/>
  <c r="K12"/>
  <c r="J12"/>
  <c r="I12"/>
  <c r="H12"/>
  <c r="K11"/>
  <c r="J11"/>
  <c r="I11"/>
  <c r="H11"/>
  <c r="K10"/>
  <c r="J10"/>
  <c r="I10"/>
  <c r="H10"/>
  <c r="J9"/>
  <c r="K9" s="1"/>
  <c r="K14" s="1"/>
  <c r="I9"/>
  <c r="H9"/>
  <c r="D4" i="8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3"/>
  <c r="F11" i="1"/>
  <c r="D16" i="9"/>
  <c r="D17"/>
  <c r="D18"/>
  <c r="D19"/>
  <c r="D20"/>
  <c r="D21"/>
  <c r="D22"/>
  <c r="D23"/>
  <c r="D24"/>
  <c r="D15"/>
  <c r="C37" i="13"/>
  <c r="E37"/>
  <c r="F37"/>
  <c r="G37"/>
  <c r="H37"/>
  <c r="I37"/>
  <c r="J37"/>
  <c r="K37"/>
  <c r="L37"/>
  <c r="M37"/>
  <c r="N37"/>
  <c r="D37"/>
  <c r="G34"/>
  <c r="H34"/>
  <c r="I34"/>
  <c r="J34"/>
  <c r="K34"/>
  <c r="L34"/>
  <c r="M34"/>
  <c r="N34"/>
  <c r="G35"/>
  <c r="H35"/>
  <c r="I35"/>
  <c r="J35"/>
  <c r="K35"/>
  <c r="L35"/>
  <c r="M35"/>
  <c r="N35"/>
  <c r="G36"/>
  <c r="H36"/>
  <c r="I36"/>
  <c r="J36"/>
  <c r="K36"/>
  <c r="L36"/>
  <c r="M36"/>
  <c r="N36"/>
  <c r="N33"/>
  <c r="M33"/>
  <c r="L33"/>
  <c r="K33"/>
  <c r="J33"/>
  <c r="I33"/>
  <c r="H33"/>
  <c r="G33"/>
  <c r="E34"/>
  <c r="F34"/>
  <c r="E35"/>
  <c r="F35"/>
  <c r="E36"/>
  <c r="F36"/>
  <c r="F33"/>
  <c r="E33"/>
  <c r="C34"/>
  <c r="D34"/>
  <c r="C35"/>
  <c r="D35"/>
  <c r="C36"/>
  <c r="D36"/>
  <c r="D33"/>
  <c r="C33"/>
  <c r="E10" i="1"/>
  <c r="K80"/>
  <c r="K79"/>
  <c r="K78"/>
  <c r="K77"/>
  <c r="K76"/>
  <c r="K75"/>
  <c r="K74"/>
  <c r="K73"/>
  <c r="K72"/>
  <c r="K71"/>
  <c r="F75"/>
  <c r="F30" s="1"/>
  <c r="N42" s="1"/>
  <c r="E75"/>
  <c r="E29" s="1"/>
  <c r="M41" s="1"/>
  <c r="F74"/>
  <c r="E74"/>
  <c r="D28" i="13"/>
  <c r="E28"/>
  <c r="F28"/>
  <c r="G28"/>
  <c r="H28"/>
  <c r="I28"/>
  <c r="J28"/>
  <c r="K28"/>
  <c r="L28"/>
  <c r="C28"/>
  <c r="D18"/>
  <c r="E18"/>
  <c r="F18"/>
  <c r="G18"/>
  <c r="H18"/>
  <c r="I18"/>
  <c r="J18"/>
  <c r="K18"/>
  <c r="L18"/>
  <c r="C18"/>
  <c r="D17"/>
  <c r="E17"/>
  <c r="F17"/>
  <c r="G17"/>
  <c r="H17"/>
  <c r="I17"/>
  <c r="J17"/>
  <c r="K17"/>
  <c r="L17"/>
  <c r="L20" s="1"/>
  <c r="C17"/>
  <c r="C20" s="1"/>
  <c r="E16"/>
  <c r="E20" s="1"/>
  <c r="F16"/>
  <c r="F20" s="1"/>
  <c r="G16"/>
  <c r="G20" s="1"/>
  <c r="H16"/>
  <c r="H20" s="1"/>
  <c r="I16"/>
  <c r="I20" s="1"/>
  <c r="J16"/>
  <c r="J20" s="1"/>
  <c r="K16"/>
  <c r="K20" s="1"/>
  <c r="D16"/>
  <c r="D20" s="1"/>
  <c r="D8"/>
  <c r="E8"/>
  <c r="F8"/>
  <c r="G8"/>
  <c r="H8"/>
  <c r="I8"/>
  <c r="J8"/>
  <c r="K8"/>
  <c r="L8"/>
  <c r="D9"/>
  <c r="E9"/>
  <c r="F9"/>
  <c r="G9"/>
  <c r="H9"/>
  <c r="I9"/>
  <c r="J9"/>
  <c r="K9"/>
  <c r="L9"/>
  <c r="D10"/>
  <c r="E10"/>
  <c r="F10"/>
  <c r="G10"/>
  <c r="H10"/>
  <c r="I10"/>
  <c r="J10"/>
  <c r="K10"/>
  <c r="L10"/>
  <c r="C9"/>
  <c r="C10"/>
  <c r="C8"/>
  <c r="E3" i="8"/>
  <c r="E5"/>
  <c r="E6"/>
  <c r="E7"/>
  <c r="E8"/>
  <c r="E4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C8"/>
  <c r="B8"/>
  <c r="C7"/>
  <c r="B7"/>
  <c r="C6"/>
  <c r="B6"/>
  <c r="C5"/>
  <c r="B5"/>
  <c r="C4"/>
  <c r="B4"/>
  <c r="C3"/>
  <c r="B3"/>
  <c r="G26" i="1"/>
  <c r="G21"/>
  <c r="G19"/>
  <c r="G20"/>
  <c r="E6" i="29" l="1"/>
  <c r="G43"/>
  <c r="F46"/>
  <c r="G46" s="1"/>
  <c r="F40"/>
  <c r="G37"/>
  <c r="G40" s="1"/>
  <c r="G34"/>
  <c r="E30"/>
  <c r="M42" s="1"/>
  <c r="Q47" i="1"/>
  <c r="Q48"/>
  <c r="Q45"/>
  <c r="C33" s="1"/>
  <c r="G33" s="1"/>
  <c r="E43"/>
  <c r="F43" s="1"/>
  <c r="G43" s="1"/>
  <c r="Q44"/>
  <c r="C31" s="1"/>
  <c r="G31" s="1"/>
  <c r="Q41"/>
  <c r="C29" s="1"/>
  <c r="G29" s="1"/>
  <c r="Q43"/>
  <c r="C32" s="1"/>
  <c r="G32" s="1"/>
  <c r="Q46"/>
  <c r="E37" s="1"/>
  <c r="F37" s="1"/>
  <c r="G37" s="1"/>
  <c r="Q42"/>
  <c r="C30" s="1"/>
  <c r="G30" s="1"/>
  <c r="K17" i="27"/>
  <c r="K20" s="1"/>
  <c r="C6" s="1"/>
  <c r="K23"/>
  <c r="K14" i="26"/>
  <c r="K17"/>
  <c r="K20" s="1"/>
  <c r="K23"/>
  <c r="K14" i="25"/>
  <c r="K17"/>
  <c r="K20" s="1"/>
  <c r="N20" s="1"/>
  <c r="K23"/>
  <c r="K26" s="1"/>
  <c r="N26" s="1"/>
  <c r="K14" i="24"/>
  <c r="K17"/>
  <c r="K20" s="1"/>
  <c r="N20" s="1"/>
  <c r="K23"/>
  <c r="K26" s="1"/>
  <c r="N26" s="1"/>
  <c r="K17" i="23"/>
  <c r="K20" s="1"/>
  <c r="N20" s="1"/>
  <c r="K23"/>
  <c r="K26" s="1"/>
  <c r="K17" i="22"/>
  <c r="K20" s="1"/>
  <c r="K23"/>
  <c r="K26" s="1"/>
  <c r="N26" s="1"/>
  <c r="K17" i="20"/>
  <c r="K20" s="1"/>
  <c r="C6" s="1"/>
  <c r="K23"/>
  <c r="C6" i="17"/>
  <c r="J26" i="19"/>
  <c r="K14"/>
  <c r="K17"/>
  <c r="K14" i="17"/>
  <c r="K17"/>
  <c r="J26"/>
  <c r="K14" i="16"/>
  <c r="K17"/>
  <c r="K14" i="15"/>
  <c r="K17"/>
  <c r="K17" i="14"/>
  <c r="F29" i="1"/>
  <c r="N41" s="1"/>
  <c r="E33"/>
  <c r="M45" s="1"/>
  <c r="E32"/>
  <c r="M44" s="1"/>
  <c r="E31"/>
  <c r="M43" s="1"/>
  <c r="E30"/>
  <c r="M42" s="1"/>
  <c r="F33"/>
  <c r="N45" s="1"/>
  <c r="F32"/>
  <c r="N44" s="1"/>
  <c r="F31"/>
  <c r="N43" s="1"/>
  <c r="L12" i="13"/>
  <c r="L13" s="1"/>
  <c r="J12"/>
  <c r="J13" s="1"/>
  <c r="H12"/>
  <c r="H13" s="1"/>
  <c r="F12"/>
  <c r="F13" s="1"/>
  <c r="D12"/>
  <c r="D13" s="1"/>
  <c r="C12"/>
  <c r="C13" s="1"/>
  <c r="K12"/>
  <c r="K13" s="1"/>
  <c r="I12"/>
  <c r="I13" s="1"/>
  <c r="G12"/>
  <c r="G13" s="1"/>
  <c r="E12"/>
  <c r="E13" s="1"/>
  <c r="C10" i="8"/>
  <c r="B10"/>
  <c r="C12"/>
  <c r="B12"/>
  <c r="C14"/>
  <c r="B14"/>
  <c r="C16"/>
  <c r="B16"/>
  <c r="C18"/>
  <c r="B18"/>
  <c r="C20"/>
  <c r="B20"/>
  <c r="C22"/>
  <c r="B22"/>
  <c r="C24"/>
  <c r="B24"/>
  <c r="C26"/>
  <c r="B26"/>
  <c r="C28"/>
  <c r="B28"/>
  <c r="C30"/>
  <c r="B30"/>
  <c r="C32"/>
  <c r="B32"/>
  <c r="C34"/>
  <c r="B34"/>
  <c r="C36"/>
  <c r="B36"/>
  <c r="C38"/>
  <c r="B38"/>
  <c r="C9"/>
  <c r="B9"/>
  <c r="C11"/>
  <c r="B11"/>
  <c r="C13"/>
  <c r="B13"/>
  <c r="C15"/>
  <c r="B15"/>
  <c r="C17"/>
  <c r="B17"/>
  <c r="C19"/>
  <c r="B19"/>
  <c r="C21"/>
  <c r="B21"/>
  <c r="C23"/>
  <c r="B23"/>
  <c r="C25"/>
  <c r="B25"/>
  <c r="C27"/>
  <c r="B27"/>
  <c r="C29"/>
  <c r="B29"/>
  <c r="C31"/>
  <c r="B31"/>
  <c r="C33"/>
  <c r="B33"/>
  <c r="C35"/>
  <c r="B35"/>
  <c r="C37"/>
  <c r="B37"/>
  <c r="C39"/>
  <c r="B39"/>
  <c r="F10" i="29" l="1"/>
  <c r="E7" s="1"/>
  <c r="E12"/>
  <c r="F12"/>
  <c r="E8"/>
  <c r="E68" s="1"/>
  <c r="F8" s="1"/>
  <c r="G34" i="1"/>
  <c r="E39"/>
  <c r="F39" s="1"/>
  <c r="G39" s="1"/>
  <c r="E38"/>
  <c r="F38" s="1"/>
  <c r="G38" s="1"/>
  <c r="F46"/>
  <c r="G46" s="1"/>
  <c r="H46"/>
  <c r="C45" i="27"/>
  <c r="D45"/>
  <c r="I5"/>
  <c r="I6" s="1"/>
  <c r="C6" i="26"/>
  <c r="C6" i="25"/>
  <c r="C6" i="24"/>
  <c r="N26" i="23"/>
  <c r="C6"/>
  <c r="N20" i="22"/>
  <c r="C6"/>
  <c r="C45" i="20"/>
  <c r="D45"/>
  <c r="I5"/>
  <c r="I6" s="1"/>
  <c r="C6" i="19"/>
  <c r="C45" i="14"/>
  <c r="D45"/>
  <c r="I5"/>
  <c r="F40" i="1" l="1"/>
  <c r="H40" s="1"/>
  <c r="I4" i="27"/>
  <c r="K28" i="26"/>
  <c r="I5"/>
  <c r="I6" s="1"/>
  <c r="C45" i="25"/>
  <c r="K28"/>
  <c r="I4" s="1"/>
  <c r="D45"/>
  <c r="I5"/>
  <c r="I6" s="1"/>
  <c r="C45" i="24"/>
  <c r="K28"/>
  <c r="I4" s="1"/>
  <c r="D45"/>
  <c r="I5"/>
  <c r="I6" s="1"/>
  <c r="C45" i="23"/>
  <c r="K28"/>
  <c r="I4" s="1"/>
  <c r="D45"/>
  <c r="I5"/>
  <c r="I6" s="1"/>
  <c r="C45" i="22"/>
  <c r="D45"/>
  <c r="I5"/>
  <c r="I6" s="1"/>
  <c r="I4" i="20"/>
  <c r="I5" i="19"/>
  <c r="I6" s="1"/>
  <c r="I4"/>
  <c r="I6" i="14"/>
  <c r="I4" s="1"/>
  <c r="C45" i="19"/>
  <c r="D45"/>
  <c r="K28" i="17"/>
  <c r="I4" s="1"/>
  <c r="I5"/>
  <c r="I6" s="1"/>
  <c r="D45" i="16"/>
  <c r="I5"/>
  <c r="I5" i="15"/>
  <c r="G40" i="1" l="1"/>
  <c r="D45" i="26"/>
  <c r="C45"/>
  <c r="I4"/>
  <c r="I4" i="22"/>
  <c r="I6" i="16"/>
  <c r="I4"/>
  <c r="I6" i="15"/>
  <c r="I4"/>
  <c r="D45" i="17"/>
  <c r="C45"/>
  <c r="C45" i="15"/>
  <c r="D45"/>
  <c r="C45" i="16"/>
  <c r="E6" i="1" l="1"/>
  <c r="F10" l="1"/>
  <c r="E8"/>
  <c r="E68" s="1"/>
  <c r="F8" s="1"/>
  <c r="E12" l="1"/>
  <c r="F12"/>
  <c r="E7"/>
</calcChain>
</file>

<file path=xl/comments1.xml><?xml version="1.0" encoding="utf-8"?>
<comments xmlns="http://schemas.openxmlformats.org/spreadsheetml/2006/main">
  <authors>
    <author>Author</author>
  </authors>
  <commentList>
    <comment ref="C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C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C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your PROFICIENCY with that weapon type.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your PROFICIENCY with that weapon type.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C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C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your PROFICIENCY with that weapon type.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your PROFICIENCY with that weapon type.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attribute level.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
-1 means ignore this.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(SUM OF ARMOR VALUES-150)/4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skill level.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Melee rating = item score + proficiency * 2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draw = ~110 proficiency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 power strike = ~50 proficiency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Value = proficiency level.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value is the % WEIGHT of the weapon according to the "view all items" tooltip.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</rPr>
          <t xml:space="preserve">
Ranged rating = item score + proficiency * 2.  Only applies if the troop is ranged is set to "YES".</t>
        </r>
      </text>
    </comment>
  </commentList>
</comments>
</file>

<file path=xl/sharedStrings.xml><?xml version="1.0" encoding="utf-8"?>
<sst xmlns="http://schemas.openxmlformats.org/spreadsheetml/2006/main" count="1434" uniqueCount="269">
  <si>
    <t>STR:</t>
  </si>
  <si>
    <t>AGI:</t>
  </si>
  <si>
    <t>HORSE ARCHERY:</t>
  </si>
  <si>
    <t>RIDING:</t>
  </si>
  <si>
    <t>ATHLETICS:</t>
  </si>
  <si>
    <t>SHIELD:</t>
  </si>
  <si>
    <t>POWER DRAW:</t>
  </si>
  <si>
    <t>POWER THROW:</t>
  </si>
  <si>
    <t>POWER STRIKE:</t>
  </si>
  <si>
    <t>ONE HANDED:</t>
  </si>
  <si>
    <t>TWO HANDED:</t>
  </si>
  <si>
    <t>POLEARM:</t>
  </si>
  <si>
    <t>ARCHERY:</t>
  </si>
  <si>
    <t>CROSSBOW:</t>
  </si>
  <si>
    <t>THROWING:</t>
  </si>
  <si>
    <t>HEAD</t>
  </si>
  <si>
    <t>BODY</t>
  </si>
  <si>
    <t>FOOT</t>
  </si>
  <si>
    <t>HAND</t>
  </si>
  <si>
    <t>PROFICIENCIES</t>
  </si>
  <si>
    <t>SKILLS</t>
  </si>
  <si>
    <t>ATTRIBUTES</t>
  </si>
  <si>
    <t>VALUE</t>
  </si>
  <si>
    <t>RATING</t>
  </si>
  <si>
    <t>TROOP IS MOUNTED:</t>
  </si>
  <si>
    <t>TROOP IS RANGED:</t>
  </si>
  <si>
    <t>YES</t>
  </si>
  <si>
    <t>NO</t>
  </si>
  <si>
    <t>WEIGHT</t>
  </si>
  <si>
    <t>IRONFLESH</t>
  </si>
  <si>
    <t>N/A</t>
  </si>
  <si>
    <t>TROOP RATING:</t>
  </si>
  <si>
    <t>TROOP COST:</t>
  </si>
  <si>
    <t>TROOP TIER:</t>
  </si>
  <si>
    <t>TOTALS</t>
  </si>
  <si>
    <t>COST MULTIPLIER:</t>
  </si>
  <si>
    <t>DENARS</t>
  </si>
  <si>
    <t>TROOP NAME:</t>
  </si>
  <si>
    <t>SHIELD</t>
  </si>
  <si>
    <t>DIFFERENCE</t>
  </si>
  <si>
    <t>DESIRED TIER</t>
  </si>
  <si>
    <t>SILVERSTAG WARRIOR</t>
  </si>
  <si>
    <t>SILVERSTAG CROSSBOWMAN</t>
  </si>
  <si>
    <t>FACTION TYPE</t>
  </si>
  <si>
    <t>TIER 1</t>
  </si>
  <si>
    <t>TIER 2</t>
  </si>
  <si>
    <t>TIER 3</t>
  </si>
  <si>
    <t>TIER 4</t>
  </si>
  <si>
    <t>TIER 5</t>
  </si>
  <si>
    <t>TIER 6</t>
  </si>
  <si>
    <t>TIER 7</t>
  </si>
  <si>
    <t>TIER 9</t>
  </si>
  <si>
    <t>TIER 10</t>
  </si>
  <si>
    <t>TIER 8</t>
  </si>
  <si>
    <t>ELITE</t>
  </si>
  <si>
    <t>VETERAN</t>
  </si>
  <si>
    <t>PEASANT</t>
  </si>
  <si>
    <t>MERCENARIES</t>
  </si>
  <si>
    <t>MERCS + CHAPTERHOUSE</t>
  </si>
  <si>
    <t>Faction Troops</t>
  </si>
  <si>
    <t>Standard Bandits</t>
  </si>
  <si>
    <t>Order Patrols</t>
  </si>
  <si>
    <t>Bandit Lairs</t>
  </si>
  <si>
    <t>Mercenary Party</t>
  </si>
  <si>
    <t>LEADER</t>
  </si>
  <si>
    <t>TIER</t>
  </si>
  <si>
    <t>MULT</t>
  </si>
  <si>
    <t>I</t>
  </si>
  <si>
    <t>C</t>
  </si>
  <si>
    <t>Alter tier cost multiplier to be 7+tier.</t>
  </si>
  <si>
    <t>Remove the proficiency section for rating calculation purposes.</t>
  </si>
  <si>
    <t>Multiply the proficiency value during melee calculations by 2.</t>
  </si>
  <si>
    <t>Multiply the proficiency value during ranged calculations by 2.</t>
  </si>
  <si>
    <t>Double the weighting given to skill points.</t>
  </si>
  <si>
    <t>Reduce the weighting given to attribute points from 5 to 4.</t>
  </si>
  <si>
    <t>Divide the melee &amp; ranged attack ratings by 3 instead of 4.</t>
  </si>
  <si>
    <t>Reduce the armor rating by 150 instead of 200.</t>
  </si>
  <si>
    <t>COST BOOST</t>
  </si>
  <si>
    <t>Alter how ranged &amp; mounted affect pricing to make it so a mounted archer is only a 60% boost.</t>
  </si>
  <si>
    <t>Reduce the mounted boost to pricing from 75% to 50%.</t>
  </si>
  <si>
    <t>Setup a minimum purchase price of 150 for mounted troops.</t>
  </si>
  <si>
    <t>THINGS TO DO:</t>
  </si>
  <si>
    <t>SILVERSTAG SCOUT</t>
  </si>
  <si>
    <t>SILVERSTAG HEAVY CROSSBOWMAN</t>
  </si>
  <si>
    <t>x</t>
  </si>
  <si>
    <t>Cut shield contribution to armor rating to 33%.</t>
  </si>
  <si>
    <t>Change armor rating divider from 4 to 3.</t>
  </si>
  <si>
    <t>Horse archery weighting from 8 to 6.</t>
  </si>
  <si>
    <t>Athletics weighting from 8 to 5.</t>
  </si>
  <si>
    <t>RANGED</t>
  </si>
  <si>
    <t>MELEE</t>
  </si>
  <si>
    <t>TOTALS:</t>
  </si>
  <si>
    <t>ARMOR</t>
  </si>
  <si>
    <t>LIGHT LEATHER</t>
  </si>
  <si>
    <t>HEAVY LEATHER</t>
  </si>
  <si>
    <t>SCALE</t>
  </si>
  <si>
    <t>PLATE</t>
  </si>
  <si>
    <t>CLOTH</t>
  </si>
  <si>
    <t>NO RANGED</t>
  </si>
  <si>
    <t>MIN</t>
  </si>
  <si>
    <t>MAX</t>
  </si>
  <si>
    <t>POWER DRAW</t>
  </si>
  <si>
    <t>PROFICIENCY</t>
  </si>
  <si>
    <t>WEAPON RATING</t>
  </si>
  <si>
    <t>POWER DRAW RATING</t>
  </si>
  <si>
    <t>RAW ATTACK RATING</t>
  </si>
  <si>
    <t>MODIFIED RATING</t>
  </si>
  <si>
    <t>WEAPON DAMAGE</t>
  </si>
  <si>
    <t>POWER DRAW BONUS</t>
  </si>
  <si>
    <t>PROFICIENCY BONUS</t>
  </si>
  <si>
    <t>TOTAL DAMAGE</t>
  </si>
  <si>
    <t>SHIELD RATING</t>
  </si>
  <si>
    <t>SHIELD TIERS</t>
  </si>
  <si>
    <t>RANGED &amp; MELEE TIERS</t>
  </si>
  <si>
    <t>ARMOR TIERS</t>
  </si>
  <si>
    <t>ARMOR WEIGHT</t>
  </si>
  <si>
    <t>SHIELD WEIGHT</t>
  </si>
  <si>
    <t>CHAIN</t>
  </si>
  <si>
    <t>TIER 1 - CLOTH</t>
  </si>
  <si>
    <t>TIER 2 - LIGHT LEATHER</t>
  </si>
  <si>
    <t>TIER 3 - HEAVY LEATHER</t>
  </si>
  <si>
    <t>TIER 4 - CHAINMAIL</t>
  </si>
  <si>
    <t>TIER 5 - SCALE</t>
  </si>
  <si>
    <t>TIER 6 - PLATE</t>
  </si>
  <si>
    <t>Remove the ranged price booster.  This is already taken into account by the ranged attack rating.</t>
  </si>
  <si>
    <t>HAND ARMOR</t>
  </si>
  <si>
    <t>FOOT ARMOR</t>
  </si>
  <si>
    <t>BODY ARMOR</t>
  </si>
  <si>
    <t>HEAD ARMOR</t>
  </si>
  <si>
    <t>COMBINED RATING</t>
  </si>
  <si>
    <t>crossbows have no skill associated with them.</t>
  </si>
  <si>
    <t>crossbows get x4 on weapon rating</t>
  </si>
  <si>
    <t>infantry</t>
  </si>
  <si>
    <t>ranged</t>
  </si>
  <si>
    <t>I w/shield</t>
  </si>
  <si>
    <t>armored</t>
  </si>
  <si>
    <t>light</t>
  </si>
  <si>
    <t>TIER 4 - SKILL (3) - PROF (150) - WEAPON (60%)</t>
  </si>
  <si>
    <t>crossbows get x3 on weapon proficiency</t>
  </si>
  <si>
    <t>TIER 2 - SKILL (1) - PROF (100) - WEAPON (20%)</t>
  </si>
  <si>
    <t>TIER 3 - SKILL (2) - PROF (125) - WEAPON (40%)</t>
  </si>
  <si>
    <t>TIER 5 - SKILL (4) - PROF (175) - WEAPON (80%)</t>
  </si>
  <si>
    <t>TROOP NAME</t>
  </si>
  <si>
    <t>ROLE</t>
  </si>
  <si>
    <t>MOUNTED</t>
  </si>
  <si>
    <t>ATTACK</t>
  </si>
  <si>
    <t>COST</t>
  </si>
  <si>
    <t>HEAVY RANGED</t>
  </si>
  <si>
    <t>SHOCK INFANTRY</t>
  </si>
  <si>
    <t>SILVERSTAG LIGHT CROSSBOWMAN</t>
  </si>
  <si>
    <t>CHEAP RANGED</t>
  </si>
  <si>
    <t>MOBILE HARASSER</t>
  </si>
  <si>
    <t>SILVERSTAG CHARGE-BREAKER</t>
  </si>
  <si>
    <t>SILVERSTAG ARCHER</t>
  </si>
  <si>
    <t>ANTI-CAVALRY</t>
  </si>
  <si>
    <t>SILVERSTAG BANNERMAN</t>
  </si>
  <si>
    <t>COMMENTS</t>
  </si>
  <si>
    <t>SILVERSTAG GUARD CAPTAIN</t>
  </si>
  <si>
    <t>BATTLEFIELD BONUS</t>
  </si>
  <si>
    <t>PEASANT SPEARMAN</t>
  </si>
  <si>
    <t>CHEAP INFANTRY</t>
  </si>
  <si>
    <t>RECRUIT TYPE</t>
  </si>
  <si>
    <t>HEAVY INFANTRY</t>
  </si>
  <si>
    <t>MERCENARY</t>
  </si>
  <si>
    <t>SILVERSTAG ADVENTURER</t>
  </si>
  <si>
    <t>TIER 6 - SKILL (5) - PROF (200) - WEAPON (100%)</t>
  </si>
  <si>
    <t>TAX COLLECTOR</t>
  </si>
  <si>
    <t>A</t>
  </si>
  <si>
    <t>H</t>
  </si>
  <si>
    <t>CHEAP, SPECIALIZED RANGE</t>
  </si>
  <si>
    <t>MID-TIER CAVALRY</t>
  </si>
  <si>
    <t>SILVERSTAG VETERAN RIDER</t>
  </si>
  <si>
    <t>PATHWARDEN (ELITE)</t>
  </si>
  <si>
    <t>PATHWARDEN (VETERAN)</t>
  </si>
  <si>
    <t>PATHWARDEN</t>
  </si>
  <si>
    <t>TIER 8 - SKILL (7) - PROF (250) - WEAPON (100%)</t>
  </si>
  <si>
    <t>TIER 9 - SKILL (8) - PROF (275) - WEAPON (100%)</t>
  </si>
  <si>
    <t>TIER 10 - SKILL (9) - PROF (300) - WEAPON (100%)</t>
  </si>
  <si>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(Tactician),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(Commanding),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(Affiliated)</t>
    </r>
  </si>
  <si>
    <t>SILVERSTAG SUPPLYMAN</t>
  </si>
  <si>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(Supply Runner),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(Affiliated)</t>
    </r>
  </si>
  <si>
    <t>SILVERSTAG MOUNTED CROSSBOWMAN</t>
  </si>
  <si>
    <t>MOBILE HEAVY RANGED</t>
  </si>
  <si>
    <t>SILVERSTAG SIEGE CROSSBOWMAN</t>
  </si>
  <si>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(Elite Mercenary),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(Owner Only),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(Affiliated),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(Boundless Endurance)</t>
    </r>
  </si>
  <si>
    <t>SILVERSTAG VANGUARD CHARGER</t>
  </si>
  <si>
    <t>HIRED ADVENTURER</t>
  </si>
  <si>
    <t>SILVERSTAG CHAMPION</t>
  </si>
  <si>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(Affiliated),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(Hardy),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(Loyal)</t>
    </r>
  </si>
  <si>
    <t>I7</t>
  </si>
  <si>
    <t>I6</t>
  </si>
  <si>
    <t>A5</t>
  </si>
  <si>
    <t>I4</t>
  </si>
  <si>
    <t>C4</t>
  </si>
  <si>
    <t>A3</t>
  </si>
  <si>
    <t>I3</t>
  </si>
  <si>
    <t>A2</t>
  </si>
  <si>
    <t>I2</t>
  </si>
  <si>
    <t>BASIC CONCEPTS</t>
  </si>
  <si>
    <t>STRONG INFANTRY PRESENCE</t>
  </si>
  <si>
    <t>VERSATILE RANGED PRESENCE</t>
  </si>
  <si>
    <t>MID-TIER CAVALRY CAPABILITY</t>
  </si>
  <si>
    <t>WEAK RANGED CAVALRY</t>
  </si>
  <si>
    <t>H3</t>
  </si>
  <si>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(Trailblazer),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(Affiliated)</t>
    </r>
  </si>
  <si>
    <t>MORALE BOOSTER</t>
  </si>
  <si>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(Inspiring),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(Affiliated),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(Friend), </t>
    </r>
    <r>
      <rPr>
        <b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(Silverstag Keep),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(Devoted)</t>
    </r>
  </si>
  <si>
    <t>FRONTLINE INFANTRY</t>
  </si>
  <si>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(Berserker),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(Affiliated), </t>
    </r>
    <r>
      <rPr>
        <b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(Unassigned),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(Sprinter)</t>
    </r>
  </si>
  <si>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(Tax Collector), </t>
    </r>
    <r>
      <rPr>
        <b/>
        <sz val="11"/>
        <color theme="1"/>
        <rFont val="Calibri"/>
        <family val="2"/>
        <scheme val="minor"/>
      </rPr>
      <t>Prereq</t>
    </r>
    <r>
      <rPr>
        <sz val="11"/>
        <color theme="1"/>
        <rFont val="Calibri"/>
        <family val="2"/>
        <scheme val="minor"/>
      </rPr>
      <t xml:space="preserve"> (Friend), </t>
    </r>
    <r>
      <rPr>
        <b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(Unassigned)</t>
    </r>
  </si>
  <si>
    <t>GARRISON SOLDIER</t>
  </si>
  <si>
    <t>H4</t>
  </si>
  <si>
    <t>I5</t>
  </si>
  <si>
    <t>Deployable Pavises</t>
  </si>
  <si>
    <t>SILVERSTAG LIGHT CAVALRY</t>
  </si>
  <si>
    <t>C2</t>
  </si>
  <si>
    <t>CHEAP CAVALRY</t>
  </si>
  <si>
    <t>SILVERSTAG SPEARMAN</t>
  </si>
  <si>
    <t>ITEM NAME</t>
  </si>
  <si>
    <t>ITEM ID</t>
  </si>
  <si>
    <t>LOCATION</t>
  </si>
  <si>
    <t>HANDS</t>
  </si>
  <si>
    <t>FEET</t>
  </si>
  <si>
    <t>ONE HANDED</t>
  </si>
  <si>
    <t>TWO HANDED</t>
  </si>
  <si>
    <t>POLEARMS</t>
  </si>
  <si>
    <t>ARCHERY</t>
  </si>
  <si>
    <t>THROWING</t>
  </si>
  <si>
    <t>CROSSBOW</t>
  </si>
  <si>
    <t>COUNT</t>
  </si>
  <si>
    <t>TOTAL</t>
  </si>
  <si>
    <t>AVERAGE</t>
  </si>
  <si>
    <t>heavy lance</t>
  </si>
  <si>
    <t>long arming sword</t>
  </si>
  <si>
    <t>morningstar</t>
  </si>
  <si>
    <t>two handed</t>
  </si>
  <si>
    <t>knightly heater shield</t>
  </si>
  <si>
    <t>shield</t>
  </si>
  <si>
    <t>winged great helmet</t>
  </si>
  <si>
    <t>head</t>
  </si>
  <si>
    <t>heraldic heavy mail and plate</t>
  </si>
  <si>
    <t>body</t>
  </si>
  <si>
    <t>plate boots</t>
  </si>
  <si>
    <t>feet</t>
  </si>
  <si>
    <t>great helmet</t>
  </si>
  <si>
    <t>mail mittens</t>
  </si>
  <si>
    <t>hands</t>
  </si>
  <si>
    <t>gauntlets</t>
  </si>
  <si>
    <t>X</t>
  </si>
  <si>
    <t>TROOP</t>
  </si>
  <si>
    <t>ISSUE</t>
  </si>
  <si>
    <t>Veteran Pikeman</t>
  </si>
  <si>
    <t>Melee rating is very low.  His melee tier is not 5 which would have:</t>
  </si>
  <si>
    <t>175 weapon proficiencies</t>
  </si>
  <si>
    <t>4 power stirke</t>
  </si>
  <si>
    <t>Change level of troop to (tier * 4)</t>
  </si>
  <si>
    <t>Name needs to be redone to not have "veteran" in it.</t>
  </si>
  <si>
    <t>Heavy Board Shield</t>
  </si>
  <si>
    <t>tab_shield_pavise_d</t>
  </si>
  <si>
    <t>RHODOK VANGUARD</t>
  </si>
  <si>
    <t>Gothic Armour</t>
  </si>
  <si>
    <t>Ornate Knight's sword</t>
  </si>
  <si>
    <t>visored sallet with coif</t>
  </si>
  <si>
    <t>plate mittens</t>
  </si>
  <si>
    <t>jack_faramir</t>
  </si>
  <si>
    <t>gothic_armour</t>
  </si>
  <si>
    <t>visored_sallet_with_coif</t>
  </si>
  <si>
    <t>plate_mittens</t>
  </si>
  <si>
    <t>plate_boots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</si>
</sst>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indexed="81"/>
      <name val="Tahoma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/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9" fontId="0" fillId="2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9" fontId="4" fillId="0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0" borderId="0" xfId="0" applyAlignment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9" fontId="0" fillId="2" borderId="0" xfId="0" applyNumberFormat="1" applyFont="1" applyFill="1" applyAlignment="1">
      <alignment horizontal="center"/>
    </xf>
    <xf numFmtId="0" fontId="12" fillId="11" borderId="0" xfId="0" applyFont="1" applyFill="1"/>
    <xf numFmtId="0" fontId="0" fillId="6" borderId="1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0" fillId="3" borderId="14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9" fontId="1" fillId="3" borderId="9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 shrinkToFit="1"/>
    </xf>
    <xf numFmtId="0" fontId="0" fillId="3" borderId="2" xfId="0" applyFill="1" applyBorder="1" applyAlignment="1">
      <alignment vertical="center" shrinkToFit="1"/>
    </xf>
    <xf numFmtId="0" fontId="9" fillId="5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9" fillId="13" borderId="1" xfId="0" applyFont="1" applyFill="1" applyBorder="1" applyAlignment="1">
      <alignment horizontal="center" vertical="center"/>
    </xf>
    <xf numFmtId="0" fontId="0" fillId="13" borderId="2" xfId="0" applyFill="1" applyBorder="1" applyAlignment="1">
      <alignment vertical="center" shrinkToFit="1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13" borderId="2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 shrinkToFit="1"/>
    </xf>
    <xf numFmtId="0" fontId="1" fillId="10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shrinkToFit="1"/>
    </xf>
    <xf numFmtId="9" fontId="4" fillId="2" borderId="0" xfId="0" applyNumberFormat="1" applyFont="1" applyFill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2" borderId="0" xfId="0" applyFont="1" applyFill="1" applyAlignment="1">
      <alignment horizontal="center" shrinkToFit="1"/>
    </xf>
    <xf numFmtId="0" fontId="0" fillId="3" borderId="16" xfId="0" applyFill="1" applyBorder="1" applyAlignment="1">
      <alignment horizontal="left" shrinkToFit="1"/>
    </xf>
    <xf numFmtId="0" fontId="1" fillId="16" borderId="23" xfId="0" applyFont="1" applyFill="1" applyBorder="1" applyAlignment="1">
      <alignment horizontal="center" shrinkToFit="1"/>
    </xf>
    <xf numFmtId="0" fontId="1" fillId="16" borderId="25" xfId="0" applyFont="1" applyFill="1" applyBorder="1" applyAlignment="1">
      <alignment horizontal="center" shrinkToFit="1"/>
    </xf>
    <xf numFmtId="1" fontId="5" fillId="2" borderId="0" xfId="0" applyNumberFormat="1" applyFont="1" applyFill="1" applyAlignment="1" applyProtection="1">
      <alignment horizontal="center"/>
    </xf>
    <xf numFmtId="1" fontId="5" fillId="3" borderId="0" xfId="0" applyNumberFormat="1" applyFont="1" applyFill="1" applyAlignment="1" applyProtection="1">
      <alignment horizontal="center"/>
    </xf>
    <xf numFmtId="0" fontId="14" fillId="2" borderId="27" xfId="0" applyFont="1" applyFill="1" applyBorder="1" applyAlignment="1">
      <alignment vertical="center"/>
    </xf>
    <xf numFmtId="0" fontId="6" fillId="2" borderId="0" xfId="0" applyFont="1" applyFill="1" applyAlignment="1">
      <alignment horizontal="left"/>
    </xf>
    <xf numFmtId="0" fontId="0" fillId="3" borderId="18" xfId="0" applyFill="1" applyBorder="1" applyAlignment="1">
      <alignment horizontal="left" shrinkToFit="1"/>
    </xf>
    <xf numFmtId="0" fontId="0" fillId="3" borderId="22" xfId="0" applyFill="1" applyBorder="1" applyAlignment="1">
      <alignment horizontal="left" shrinkToFit="1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6" xfId="0" applyFill="1" applyBorder="1" applyAlignment="1">
      <alignment horizontal="left" shrinkToFit="1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 shrinkToFit="1"/>
    </xf>
    <xf numFmtId="0" fontId="9" fillId="2" borderId="0" xfId="0" applyFont="1" applyFill="1" applyAlignment="1">
      <alignment horizontal="left"/>
    </xf>
    <xf numFmtId="0" fontId="0" fillId="3" borderId="21" xfId="0" applyFill="1" applyBorder="1" applyAlignment="1">
      <alignment horizontal="left" shrinkToFit="1"/>
    </xf>
    <xf numFmtId="0" fontId="0" fillId="3" borderId="16" xfId="0" applyFill="1" applyBorder="1" applyAlignment="1">
      <alignment horizontal="left" shrinkToFit="1"/>
    </xf>
    <xf numFmtId="0" fontId="0" fillId="3" borderId="26" xfId="0" applyFill="1" applyBorder="1" applyAlignment="1">
      <alignment horizontal="left" shrinkToFit="1"/>
    </xf>
    <xf numFmtId="0" fontId="1" fillId="16" borderId="24" xfId="0" applyFont="1" applyFill="1" applyBorder="1" applyAlignment="1">
      <alignment horizontal="left" shrinkToFit="1"/>
    </xf>
    <xf numFmtId="0" fontId="4" fillId="2" borderId="0" xfId="0" applyFont="1" applyFill="1" applyAlignment="1">
      <alignment horizontal="left" shrinkToFit="1"/>
    </xf>
    <xf numFmtId="0" fontId="1" fillId="2" borderId="0" xfId="0" applyFont="1" applyFill="1" applyAlignment="1">
      <alignment horizontal="left" shrinkToFit="1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left" shrinkToFit="1"/>
    </xf>
    <xf numFmtId="0" fontId="10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130">
    <dxf>
      <font>
        <b/>
        <i val="0"/>
        <color rgb="FFC00000"/>
      </font>
    </dxf>
    <dxf>
      <font>
        <color theme="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C00000"/>
      </font>
    </dxf>
    <dxf>
      <font>
        <color theme="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3"/>
          <c:order val="0"/>
          <c:marker>
            <c:symbol val="none"/>
          </c:marker>
          <c:cat>
            <c:numRef>
              <c:f>'PRICE SCALING'!$A$3:$A$39</c:f>
              <c:numCache>
                <c:formatCode>General</c:formatCode>
                <c:ptCount val="3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</c:numCache>
            </c:numRef>
          </c:cat>
          <c:val>
            <c:numRef>
              <c:f>'PRICE SCALING'!$B$3:$B$39</c:f>
              <c:numCache>
                <c:formatCode>General</c:formatCode>
                <c:ptCount val="3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63</c:v>
                </c:pt>
                <c:pt idx="6">
                  <c:v>72</c:v>
                </c:pt>
                <c:pt idx="7">
                  <c:v>81</c:v>
                </c:pt>
                <c:pt idx="8">
                  <c:v>90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308</c:v>
                </c:pt>
                <c:pt idx="13">
                  <c:v>330</c:v>
                </c:pt>
                <c:pt idx="14">
                  <c:v>352</c:v>
                </c:pt>
                <c:pt idx="15">
                  <c:v>374</c:v>
                </c:pt>
                <c:pt idx="16">
                  <c:v>540</c:v>
                </c:pt>
                <c:pt idx="17">
                  <c:v>570</c:v>
                </c:pt>
                <c:pt idx="18">
                  <c:v>600</c:v>
                </c:pt>
                <c:pt idx="19">
                  <c:v>819</c:v>
                </c:pt>
                <c:pt idx="20">
                  <c:v>858</c:v>
                </c:pt>
                <c:pt idx="21">
                  <c:v>897</c:v>
                </c:pt>
                <c:pt idx="22">
                  <c:v>936</c:v>
                </c:pt>
                <c:pt idx="23">
                  <c:v>1225</c:v>
                </c:pt>
                <c:pt idx="24">
                  <c:v>1274</c:v>
                </c:pt>
                <c:pt idx="25">
                  <c:v>1323</c:v>
                </c:pt>
                <c:pt idx="26">
                  <c:v>1680</c:v>
                </c:pt>
                <c:pt idx="27">
                  <c:v>1740</c:v>
                </c:pt>
                <c:pt idx="28">
                  <c:v>1800</c:v>
                </c:pt>
                <c:pt idx="29">
                  <c:v>1860</c:v>
                </c:pt>
                <c:pt idx="30">
                  <c:v>2304</c:v>
                </c:pt>
                <c:pt idx="31">
                  <c:v>2376</c:v>
                </c:pt>
                <c:pt idx="32">
                  <c:v>2448</c:v>
                </c:pt>
                <c:pt idx="33">
                  <c:v>2975</c:v>
                </c:pt>
                <c:pt idx="34">
                  <c:v>3060</c:v>
                </c:pt>
                <c:pt idx="35">
                  <c:v>3145</c:v>
                </c:pt>
                <c:pt idx="36">
                  <c:v>3230</c:v>
                </c:pt>
              </c:numCache>
            </c:numRef>
          </c:val>
        </c:ser>
        <c:ser>
          <c:idx val="0"/>
          <c:order val="1"/>
          <c:marker>
            <c:symbol val="none"/>
          </c:marker>
          <c:cat>
            <c:numRef>
              <c:f>'PRICE SCALING'!$A$3:$A$39</c:f>
              <c:numCache>
                <c:formatCode>General</c:formatCode>
                <c:ptCount val="3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</c:numCache>
            </c:numRef>
          </c:cat>
          <c:val>
            <c:numRef>
              <c:f>'PRICE SCALING'!$C$3:$C$39</c:f>
              <c:numCache>
                <c:formatCode>General</c:formatCode>
                <c:ptCount val="37"/>
                <c:pt idx="0">
                  <c:v>11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5">
                  <c:v>91</c:v>
                </c:pt>
                <c:pt idx="6">
                  <c:v>104</c:v>
                </c:pt>
                <c:pt idx="7">
                  <c:v>117</c:v>
                </c:pt>
                <c:pt idx="8">
                  <c:v>130</c:v>
                </c:pt>
                <c:pt idx="9">
                  <c:v>239</c:v>
                </c:pt>
                <c:pt idx="10">
                  <c:v>261</c:v>
                </c:pt>
                <c:pt idx="11">
                  <c:v>282</c:v>
                </c:pt>
                <c:pt idx="12">
                  <c:v>446</c:v>
                </c:pt>
                <c:pt idx="13">
                  <c:v>478</c:v>
                </c:pt>
                <c:pt idx="14">
                  <c:v>510</c:v>
                </c:pt>
                <c:pt idx="15">
                  <c:v>542</c:v>
                </c:pt>
                <c:pt idx="16">
                  <c:v>783</c:v>
                </c:pt>
                <c:pt idx="17">
                  <c:v>826</c:v>
                </c:pt>
                <c:pt idx="18">
                  <c:v>870</c:v>
                </c:pt>
                <c:pt idx="19">
                  <c:v>1187</c:v>
                </c:pt>
                <c:pt idx="20">
                  <c:v>1244</c:v>
                </c:pt>
                <c:pt idx="21">
                  <c:v>1300</c:v>
                </c:pt>
                <c:pt idx="22">
                  <c:v>1357</c:v>
                </c:pt>
                <c:pt idx="23">
                  <c:v>1776</c:v>
                </c:pt>
                <c:pt idx="24">
                  <c:v>1847</c:v>
                </c:pt>
                <c:pt idx="25">
                  <c:v>1918</c:v>
                </c:pt>
                <c:pt idx="26">
                  <c:v>2436</c:v>
                </c:pt>
                <c:pt idx="27">
                  <c:v>2523</c:v>
                </c:pt>
                <c:pt idx="28">
                  <c:v>2610</c:v>
                </c:pt>
                <c:pt idx="29">
                  <c:v>2697</c:v>
                </c:pt>
                <c:pt idx="30">
                  <c:v>3340</c:v>
                </c:pt>
                <c:pt idx="31">
                  <c:v>3445</c:v>
                </c:pt>
                <c:pt idx="32">
                  <c:v>3549</c:v>
                </c:pt>
                <c:pt idx="33">
                  <c:v>4313</c:v>
                </c:pt>
                <c:pt idx="34">
                  <c:v>4437</c:v>
                </c:pt>
                <c:pt idx="35">
                  <c:v>4560</c:v>
                </c:pt>
                <c:pt idx="36">
                  <c:v>4683</c:v>
                </c:pt>
              </c:numCache>
            </c:numRef>
          </c:val>
        </c:ser>
        <c:marker val="1"/>
        <c:axId val="73159040"/>
        <c:axId val="73160576"/>
      </c:lineChart>
      <c:catAx>
        <c:axId val="73159040"/>
        <c:scaling>
          <c:orientation val="minMax"/>
        </c:scaling>
        <c:axPos val="b"/>
        <c:numFmt formatCode="General" sourceLinked="1"/>
        <c:tickLblPos val="nextTo"/>
        <c:crossAx val="73160576"/>
        <c:crosses val="autoZero"/>
        <c:auto val="1"/>
        <c:lblAlgn val="ctr"/>
        <c:lblOffset val="100"/>
      </c:catAx>
      <c:valAx>
        <c:axId val="73160576"/>
        <c:scaling>
          <c:orientation val="minMax"/>
        </c:scaling>
        <c:axPos val="l"/>
        <c:majorGridlines/>
        <c:numFmt formatCode="General" sourceLinked="1"/>
        <c:tickLblPos val="nextTo"/>
        <c:crossAx val="73159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6"/>
          <c:order val="0"/>
          <c:marker>
            <c:symbol val="none"/>
          </c:marker>
          <c:cat>
            <c:numRef>
              <c:f>'PRICE SCALING'!$A$3:$A$39</c:f>
              <c:numCache>
                <c:formatCode>General</c:formatCode>
                <c:ptCount val="3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</c:numCache>
            </c:numRef>
          </c:cat>
          <c:val>
            <c:numRef>
              <c:f>'PRICE SCALING'!$D$3:$D$39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</c:numCache>
            </c:numRef>
          </c:val>
        </c:ser>
        <c:ser>
          <c:idx val="0"/>
          <c:order val="1"/>
          <c:marker>
            <c:symbol val="none"/>
          </c:marker>
          <c:cat>
            <c:numRef>
              <c:f>'PRICE SCALING'!$A$3:$A$39</c:f>
              <c:numCache>
                <c:formatCode>General</c:formatCode>
                <c:ptCount val="3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</c:numCache>
            </c:numRef>
          </c:cat>
          <c:val>
            <c:numRef>
              <c:f>'PRICE SCALING'!$E$3:$E$39</c:f>
              <c:numCache>
                <c:formatCode>General</c:formatCode>
                <c:ptCount val="3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</c:numCache>
            </c:numRef>
          </c:val>
        </c:ser>
        <c:marker val="1"/>
        <c:axId val="73177344"/>
        <c:axId val="73187328"/>
      </c:lineChart>
      <c:catAx>
        <c:axId val="73177344"/>
        <c:scaling>
          <c:orientation val="minMax"/>
        </c:scaling>
        <c:axPos val="b"/>
        <c:numFmt formatCode="General" sourceLinked="1"/>
        <c:tickLblPos val="nextTo"/>
        <c:crossAx val="73187328"/>
        <c:crosses val="autoZero"/>
        <c:auto val="1"/>
        <c:lblAlgn val="ctr"/>
        <c:lblOffset val="100"/>
      </c:catAx>
      <c:valAx>
        <c:axId val="73187328"/>
        <c:scaling>
          <c:orientation val="minMax"/>
        </c:scaling>
        <c:axPos val="l"/>
        <c:majorGridlines/>
        <c:numFmt formatCode="General" sourceLinked="1"/>
        <c:tickLblPos val="nextTo"/>
        <c:crossAx val="7317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9525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17</xdr:row>
      <xdr:rowOff>152400</xdr:rowOff>
    </xdr:from>
    <xdr:to>
      <xdr:col>17</xdr:col>
      <xdr:colOff>0</xdr:colOff>
      <xdr:row>31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7"/>
  <sheetViews>
    <sheetView workbookViewId="0">
      <selection activeCell="C8" sqref="C8"/>
    </sheetView>
  </sheetViews>
  <sheetFormatPr defaultRowHeight="15"/>
  <cols>
    <col min="1" max="1" width="6.7109375" customWidth="1"/>
    <col min="2" max="2" width="30.42578125" customWidth="1"/>
    <col min="3" max="3" width="58.85546875" customWidth="1"/>
  </cols>
  <sheetData>
    <row r="2" spans="1:3" s="1" customFormat="1">
      <c r="A2" s="43" t="s">
        <v>248</v>
      </c>
      <c r="B2" s="1" t="s">
        <v>249</v>
      </c>
      <c r="C2" s="1" t="s">
        <v>250</v>
      </c>
    </row>
    <row r="3" spans="1:3">
      <c r="B3" t="s">
        <v>251</v>
      </c>
      <c r="C3" t="s">
        <v>252</v>
      </c>
    </row>
    <row r="4" spans="1:3">
      <c r="C4" t="s">
        <v>253</v>
      </c>
    </row>
    <row r="5" spans="1:3">
      <c r="C5" t="s">
        <v>254</v>
      </c>
    </row>
    <row r="6" spans="1:3">
      <c r="C6" t="s">
        <v>255</v>
      </c>
    </row>
    <row r="7" spans="1:3">
      <c r="C7" t="s">
        <v>256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K26" sqref="K26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82</v>
      </c>
      <c r="D2" s="150"/>
      <c r="E2" s="150"/>
      <c r="F2" s="150"/>
      <c r="G2" s="150"/>
      <c r="H2" s="85"/>
      <c r="I2" s="85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26</v>
      </c>
      <c r="D4" s="86"/>
      <c r="E4" s="14"/>
      <c r="F4" s="16"/>
      <c r="G4" s="22" t="s">
        <v>32</v>
      </c>
      <c r="H4" s="44"/>
      <c r="I4" s="176">
        <f>INT( (C6+K28-N20-N26)*I5*I6/100 )</f>
        <v>308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27</v>
      </c>
      <c r="D5" s="86"/>
      <c r="E5" s="14"/>
      <c r="F5" s="16"/>
      <c r="G5" s="22" t="s">
        <v>33</v>
      </c>
      <c r="H5" s="44"/>
      <c r="I5" s="176">
        <f>INT( C6/175 )</f>
        <v>3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85">
        <f>INT(SUM(D9:D10)+SUM(D13:D20)+K14+K20+K26+N20+N26)</f>
        <v>687</v>
      </c>
      <c r="D6" s="86"/>
      <c r="E6" s="14"/>
      <c r="F6" s="16"/>
      <c r="G6" s="14" t="s">
        <v>35</v>
      </c>
      <c r="H6" s="86"/>
      <c r="I6" s="177">
        <f>I5+7</f>
        <v>10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120</v>
      </c>
      <c r="I8" s="163"/>
      <c r="J8" s="163"/>
      <c r="K8" s="163"/>
      <c r="N8" s="5"/>
    </row>
    <row r="9" spans="1:14">
      <c r="A9" s="20">
        <v>16</v>
      </c>
      <c r="B9" s="4" t="s">
        <v>0</v>
      </c>
      <c r="C9" s="3">
        <v>6</v>
      </c>
      <c r="D9" s="5">
        <f>(A9-10)*C9</f>
        <v>36</v>
      </c>
      <c r="E9" s="4"/>
      <c r="F9" s="20">
        <v>40</v>
      </c>
      <c r="G9" s="4" t="s">
        <v>15</v>
      </c>
      <c r="H9" s="3" t="str">
        <f>VLOOKUP($H$8,$B$32:$D$37,2,FALSE) &amp; "%"</f>
        <v>35%</v>
      </c>
      <c r="I9" s="3" t="str">
        <f>VLOOKUP($H$8,$B$32:$D$37,3,FALSE) &amp; "%"</f>
        <v>45%</v>
      </c>
      <c r="J9" s="3">
        <f>'ATTACK &amp; ARMOR'!B33</f>
        <v>0.6</v>
      </c>
      <c r="K9" s="3">
        <f>INT(J9*F9*'ATTACK &amp; ARMOR'!$B$37)</f>
        <v>60</v>
      </c>
      <c r="N9" s="3"/>
    </row>
    <row r="10" spans="1:14">
      <c r="A10" s="20">
        <v>16</v>
      </c>
      <c r="B10" s="4" t="s">
        <v>1</v>
      </c>
      <c r="C10" s="3">
        <v>6</v>
      </c>
      <c r="D10" s="5">
        <f>(A10-10)*C10</f>
        <v>36</v>
      </c>
      <c r="E10" s="4"/>
      <c r="F10" s="20">
        <v>40</v>
      </c>
      <c r="G10" s="4" t="s">
        <v>16</v>
      </c>
      <c r="H10" s="3" t="str">
        <f t="shared" ref="H10:H13" si="0">VLOOKUP($H$8,$B$32:$D$37,2,FALSE) &amp; "%"</f>
        <v>35%</v>
      </c>
      <c r="I10" s="3" t="str">
        <f t="shared" ref="I10:I13" si="1">VLOOKUP($H$8,$B$32:$D$37,3,FALSE) &amp; "%"</f>
        <v>45%</v>
      </c>
      <c r="J10" s="3">
        <f>'ATTACK &amp; ARMOR'!B34</f>
        <v>1</v>
      </c>
      <c r="K10" s="3">
        <f>INT(J10*F10*'ATTACK &amp; ARMOR'!$B$37)</f>
        <v>100</v>
      </c>
      <c r="N10" s="3"/>
    </row>
    <row r="11" spans="1:14">
      <c r="A11" s="3"/>
      <c r="B11" s="4"/>
      <c r="C11" s="3"/>
      <c r="D11" s="3"/>
      <c r="E11" s="4"/>
      <c r="F11" s="20">
        <v>40</v>
      </c>
      <c r="G11" s="4" t="s">
        <v>17</v>
      </c>
      <c r="H11" s="3" t="str">
        <f t="shared" si="0"/>
        <v>35%</v>
      </c>
      <c r="I11" s="3" t="str">
        <f t="shared" si="1"/>
        <v>45%</v>
      </c>
      <c r="J11" s="3">
        <f>'ATTACK &amp; ARMOR'!B35</f>
        <v>0.35</v>
      </c>
      <c r="K11" s="3">
        <f>INT(J11*F11*'ATTACK &amp; ARMOR'!$B$37)</f>
        <v>35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40</v>
      </c>
      <c r="G12" s="4" t="s">
        <v>18</v>
      </c>
      <c r="H12" s="3" t="str">
        <f t="shared" si="0"/>
        <v>35%</v>
      </c>
      <c r="I12" s="3" t="str">
        <f t="shared" si="1"/>
        <v>45%</v>
      </c>
      <c r="J12" s="3">
        <f>'ATTACK &amp; ARMOR'!B36</f>
        <v>0.15</v>
      </c>
      <c r="K12" s="3">
        <f>INT(J12*F12*'ATTACK &amp; ARMOR'!$B$37)</f>
        <v>15</v>
      </c>
      <c r="N12" s="5"/>
    </row>
    <row r="13" spans="1:14">
      <c r="A13" s="20">
        <v>2</v>
      </c>
      <c r="B13" s="4" t="s">
        <v>2</v>
      </c>
      <c r="C13" s="3">
        <v>6</v>
      </c>
      <c r="D13" s="5">
        <f>IF(AND($C$4="YES", $C$5="YES"), $A13*$C13, 0)</f>
        <v>0</v>
      </c>
      <c r="E13" s="4"/>
      <c r="F13" s="20">
        <v>-1</v>
      </c>
      <c r="G13" s="4" t="s">
        <v>38</v>
      </c>
      <c r="H13" s="3" t="str">
        <f t="shared" si="0"/>
        <v>35%</v>
      </c>
      <c r="I13" s="3" t="str">
        <f t="shared" si="1"/>
        <v>45%</v>
      </c>
      <c r="J13" s="3">
        <f>IF($F13&gt;=0,1,0)</f>
        <v>0</v>
      </c>
      <c r="K13" s="3">
        <f>IF($J13=1, INT(((F13*3)+(A16*C16))/3), 0)</f>
        <v>0</v>
      </c>
      <c r="N13" s="3"/>
    </row>
    <row r="14" spans="1:14">
      <c r="A14" s="20">
        <v>3</v>
      </c>
      <c r="B14" s="4" t="s">
        <v>3</v>
      </c>
      <c r="C14" s="3">
        <v>8</v>
      </c>
      <c r="D14" s="5">
        <f>IF($C$4="YES", $A14*$C14, 0)</f>
        <v>24</v>
      </c>
      <c r="E14" s="4"/>
      <c r="F14" s="3"/>
      <c r="G14" s="4" t="s">
        <v>34</v>
      </c>
      <c r="H14" s="3"/>
      <c r="I14" s="3"/>
      <c r="J14" s="3"/>
      <c r="K14" s="5">
        <f>SUM(K9:K13)</f>
        <v>210</v>
      </c>
      <c r="N14" s="3"/>
    </row>
    <row r="15" spans="1:14">
      <c r="A15" s="20">
        <v>3</v>
      </c>
      <c r="B15" s="4" t="s">
        <v>4</v>
      </c>
      <c r="C15" s="3">
        <v>5</v>
      </c>
      <c r="D15" s="5">
        <f>IF($C$4&lt;&gt;"YES", $A15*$C15, 0)</f>
        <v>0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0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140</v>
      </c>
      <c r="I16" s="163"/>
      <c r="J16" s="163"/>
      <c r="K16" s="163"/>
      <c r="N16" s="3"/>
    </row>
    <row r="17" spans="1:14">
      <c r="A17" s="20">
        <v>2</v>
      </c>
      <c r="B17" s="4" t="s">
        <v>6</v>
      </c>
      <c r="C17" s="3">
        <v>0</v>
      </c>
      <c r="D17" s="5" t="s">
        <v>30</v>
      </c>
      <c r="E17" s="4"/>
      <c r="F17" s="20">
        <v>40</v>
      </c>
      <c r="G17" s="4" t="s">
        <v>9</v>
      </c>
      <c r="H17" s="3"/>
      <c r="I17" s="3"/>
      <c r="J17" s="3">
        <f>IF($F17&gt;=0,1,0)</f>
        <v>1</v>
      </c>
      <c r="K17" s="3">
        <f>IF($J17=1, INT($F17*'ATTACK &amp; ARMOR'!$B$10 + $A23*'ATTACK &amp; ARMOR'!$B$9 + $A$19*'ATTACK &amp; ARMOR'!$B$8), 0)</f>
        <v>510</v>
      </c>
      <c r="N17" s="3"/>
    </row>
    <row r="18" spans="1:14">
      <c r="A18" s="20">
        <v>0</v>
      </c>
      <c r="B18" s="4" t="s">
        <v>7</v>
      </c>
      <c r="C18" s="3">
        <v>0</v>
      </c>
      <c r="D18" s="5" t="s">
        <v>30</v>
      </c>
      <c r="E18" s="4"/>
      <c r="F18" s="20">
        <v>-1</v>
      </c>
      <c r="G18" s="4" t="s">
        <v>10</v>
      </c>
      <c r="H18" s="3"/>
      <c r="I18" s="3"/>
      <c r="J18" s="3">
        <f t="shared" ref="J18:J19" si="2">IF($F18&gt;=0,1,0)</f>
        <v>0</v>
      </c>
      <c r="K18" s="3">
        <f>IF($J18=1, INT($F18*'ATTACK &amp; ARMOR'!$B$10 + $A24*'ATTACK &amp; ARMOR'!$B$9 + $A$19*'ATTACK &amp; ARMOR'!$B$8), 0)</f>
        <v>0</v>
      </c>
      <c r="N18" s="3"/>
    </row>
    <row r="19" spans="1:14">
      <c r="A19" s="20">
        <v>2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0</v>
      </c>
      <c r="B20" s="4" t="s">
        <v>29</v>
      </c>
      <c r="C20" s="3">
        <v>10</v>
      </c>
      <c r="D20" s="5">
        <f>$A20*$C20</f>
        <v>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204</v>
      </c>
      <c r="N20" s="3">
        <f>INT(K20*-0.15)</f>
        <v>-31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140</v>
      </c>
      <c r="I22" s="163"/>
      <c r="J22" s="163"/>
      <c r="K22" s="163"/>
      <c r="N22" s="5"/>
    </row>
    <row r="23" spans="1:14">
      <c r="A23" s="20">
        <v>120</v>
      </c>
      <c r="B23" s="4" t="s">
        <v>9</v>
      </c>
      <c r="C23" s="3"/>
      <c r="D23" s="3"/>
      <c r="E23" s="4"/>
      <c r="F23" s="20">
        <v>40</v>
      </c>
      <c r="G23" s="4" t="s">
        <v>12</v>
      </c>
      <c r="H23" s="3"/>
      <c r="I23" s="3"/>
      <c r="J23" s="3">
        <f>IF($F23&gt;=0,1,0)</f>
        <v>1</v>
      </c>
      <c r="K23" s="3">
        <f>IF($J23=1, INT($F23*'ATTACK &amp; ARMOR'!$B$10 + $A26*'ATTACK &amp; ARMOR'!$B$9 + $A17*'ATTACK &amp; ARMOR'!$B$8), 0)</f>
        <v>520</v>
      </c>
      <c r="N23" s="3"/>
    </row>
    <row r="24" spans="1:14">
      <c r="A24" s="20">
        <v>0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125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1</v>
      </c>
      <c r="K26" s="5">
        <f>IF(J26&gt;0, INT( (SUM(K23:K25)/J26)*'ATTACK &amp; ARMOR'!$B$13 ), 0)</f>
        <v>208</v>
      </c>
      <c r="N26" s="3">
        <f>IF($C$5="YES", INT(K26*-0.15), 0)</f>
        <v>0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0.45</v>
      </c>
      <c r="K28" s="5">
        <f>INT(IF($C$4="YES", $C$6*J28, 0) )</f>
        <v>309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3</v>
      </c>
      <c r="D44" s="24">
        <f>C44*175</f>
        <v>525</v>
      </c>
      <c r="E44" s="25">
        <f>(C44+1)*175-1</f>
        <v>699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117" priority="6">
      <formula>$C$5="NO"</formula>
    </cfRule>
  </conditionalFormatting>
  <conditionalFormatting sqref="B13:D14">
    <cfRule type="expression" dxfId="116" priority="5">
      <formula>$C$4="NO"</formula>
    </cfRule>
  </conditionalFormatting>
  <conditionalFormatting sqref="B15:D15">
    <cfRule type="expression" dxfId="115" priority="4">
      <formula>$C$4="YES"</formula>
    </cfRule>
  </conditionalFormatting>
  <conditionalFormatting sqref="K26">
    <cfRule type="expression" dxfId="114" priority="3">
      <formula>$C$5="NO"</formula>
    </cfRule>
  </conditionalFormatting>
  <conditionalFormatting sqref="K26">
    <cfRule type="expression" dxfId="113" priority="2">
      <formula>$C$5="NO"</formula>
    </cfRule>
  </conditionalFormatting>
  <conditionalFormatting sqref="K26">
    <cfRule type="expression" dxfId="112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K26" sqref="K26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83</v>
      </c>
      <c r="D2" s="150"/>
      <c r="E2" s="150"/>
      <c r="F2" s="150"/>
      <c r="G2" s="150"/>
      <c r="H2" s="85"/>
      <c r="I2" s="85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27</v>
      </c>
      <c r="D4" s="86"/>
      <c r="E4" s="14"/>
      <c r="F4" s="16"/>
      <c r="G4" s="22" t="s">
        <v>32</v>
      </c>
      <c r="H4" s="44"/>
      <c r="I4" s="176">
        <f>INT( (C6+K28-N20-N26)*I5*I6/100 )</f>
        <v>633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26</v>
      </c>
      <c r="D5" s="86"/>
      <c r="E5" s="14"/>
      <c r="F5" s="16"/>
      <c r="G5" s="22" t="s">
        <v>33</v>
      </c>
      <c r="H5" s="44"/>
      <c r="I5" s="176">
        <f>INT( C6/175 )</f>
        <v>5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05">
        <f>INT(SUM(D9:D10)+SUM(D13:D20)+K14+K20+K26+N20+N26)</f>
        <v>972</v>
      </c>
      <c r="D6" s="86"/>
      <c r="E6" s="14"/>
      <c r="F6" s="16"/>
      <c r="G6" s="14" t="s">
        <v>35</v>
      </c>
      <c r="H6" s="86"/>
      <c r="I6" s="177">
        <f>I5+7</f>
        <v>12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121</v>
      </c>
      <c r="I8" s="163"/>
      <c r="J8" s="163"/>
      <c r="K8" s="163"/>
      <c r="N8" s="5"/>
    </row>
    <row r="9" spans="1:14">
      <c r="A9" s="20">
        <v>21</v>
      </c>
      <c r="B9" s="4" t="s">
        <v>0</v>
      </c>
      <c r="C9" s="3">
        <v>6</v>
      </c>
      <c r="D9" s="5">
        <f>(A9-10)*C9</f>
        <v>66</v>
      </c>
      <c r="E9" s="4"/>
      <c r="F9" s="20">
        <v>65</v>
      </c>
      <c r="G9" s="4" t="s">
        <v>15</v>
      </c>
      <c r="H9" s="3" t="str">
        <f>VLOOKUP($H$8,$B$32:$D$37,2,FALSE) &amp; "%"</f>
        <v>55%</v>
      </c>
      <c r="I9" s="3" t="str">
        <f>VLOOKUP($H$8,$B$32:$D$37,3,FALSE) &amp; "%"</f>
        <v>65%</v>
      </c>
      <c r="J9" s="3">
        <f>'ATTACK &amp; ARMOR'!B33</f>
        <v>0.6</v>
      </c>
      <c r="K9" s="3">
        <f>INT(J9*F9*'ATTACK &amp; ARMOR'!$B$37)</f>
        <v>97</v>
      </c>
      <c r="N9" s="3"/>
    </row>
    <row r="10" spans="1:14">
      <c r="A10" s="20">
        <v>16</v>
      </c>
      <c r="B10" s="4" t="s">
        <v>1</v>
      </c>
      <c r="C10" s="3">
        <v>6</v>
      </c>
      <c r="D10" s="5">
        <f>(A10-10)*C10</f>
        <v>36</v>
      </c>
      <c r="E10" s="4"/>
      <c r="F10" s="20">
        <v>65</v>
      </c>
      <c r="G10" s="4" t="s">
        <v>16</v>
      </c>
      <c r="H10" s="3" t="str">
        <f t="shared" ref="H10:H13" si="0">VLOOKUP($H$8,$B$32:$D$37,2,FALSE) &amp; "%"</f>
        <v>55%</v>
      </c>
      <c r="I10" s="3" t="str">
        <f t="shared" ref="I10:I13" si="1">VLOOKUP($H$8,$B$32:$D$37,3,FALSE) &amp; "%"</f>
        <v>65%</v>
      </c>
      <c r="J10" s="3">
        <f>'ATTACK &amp; ARMOR'!B34</f>
        <v>1</v>
      </c>
      <c r="K10" s="3">
        <f>INT(J10*F10*'ATTACK &amp; ARMOR'!$B$37)</f>
        <v>162</v>
      </c>
      <c r="N10" s="3"/>
    </row>
    <row r="11" spans="1:14">
      <c r="A11" s="3"/>
      <c r="B11" s="4"/>
      <c r="C11" s="3"/>
      <c r="D11" s="3"/>
      <c r="E11" s="4"/>
      <c r="F11" s="20">
        <v>65</v>
      </c>
      <c r="G11" s="4" t="s">
        <v>17</v>
      </c>
      <c r="H11" s="3" t="str">
        <f t="shared" si="0"/>
        <v>55%</v>
      </c>
      <c r="I11" s="3" t="str">
        <f t="shared" si="1"/>
        <v>65%</v>
      </c>
      <c r="J11" s="3">
        <f>'ATTACK &amp; ARMOR'!B35</f>
        <v>0.35</v>
      </c>
      <c r="K11" s="3">
        <f>INT(J11*F11*'ATTACK &amp; ARMOR'!$B$37)</f>
        <v>56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65</v>
      </c>
      <c r="G12" s="4" t="s">
        <v>18</v>
      </c>
      <c r="H12" s="3" t="str">
        <f t="shared" si="0"/>
        <v>55%</v>
      </c>
      <c r="I12" s="3" t="str">
        <f t="shared" si="1"/>
        <v>65%</v>
      </c>
      <c r="J12" s="3">
        <f>'ATTACK &amp; ARMOR'!B36</f>
        <v>0.15</v>
      </c>
      <c r="K12" s="3">
        <f>INT(J12*F12*'ATTACK &amp; ARMOR'!$B$37)</f>
        <v>24</v>
      </c>
      <c r="N12" s="5"/>
    </row>
    <row r="13" spans="1:14">
      <c r="A13" s="20">
        <v>0</v>
      </c>
      <c r="B13" s="4" t="s">
        <v>2</v>
      </c>
      <c r="C13" s="3">
        <v>6</v>
      </c>
      <c r="D13" s="5">
        <f>IF(AND($C$4="YES", $C$5="YES"), $A13*$C13, 0)</f>
        <v>0</v>
      </c>
      <c r="E13" s="4"/>
      <c r="F13" s="20">
        <v>45</v>
      </c>
      <c r="G13" s="4" t="s">
        <v>38</v>
      </c>
      <c r="H13" s="3" t="str">
        <f t="shared" si="0"/>
        <v>55%</v>
      </c>
      <c r="I13" s="3" t="str">
        <f t="shared" si="1"/>
        <v>65%</v>
      </c>
      <c r="J13" s="3">
        <f>IF($F13&gt;=0,1,0)</f>
        <v>1</v>
      </c>
      <c r="K13" s="3">
        <f>IF($J13=1, INT(((F13*3)+(A16*C16))/3), 0)</f>
        <v>53</v>
      </c>
      <c r="N13" s="3"/>
    </row>
    <row r="14" spans="1:14">
      <c r="A14" s="20">
        <v>0</v>
      </c>
      <c r="B14" s="4" t="s">
        <v>3</v>
      </c>
      <c r="C14" s="3">
        <v>8</v>
      </c>
      <c r="D14" s="5">
        <f>IF($C$4="YES", $A14*$C14, 0)</f>
        <v>0</v>
      </c>
      <c r="E14" s="4"/>
      <c r="F14" s="3"/>
      <c r="G14" s="4" t="s">
        <v>34</v>
      </c>
      <c r="H14" s="3"/>
      <c r="I14" s="3"/>
      <c r="J14" s="3"/>
      <c r="K14" s="5">
        <f>SUM(K9:K13)</f>
        <v>392</v>
      </c>
      <c r="N14" s="3"/>
    </row>
    <row r="15" spans="1:14">
      <c r="A15" s="20">
        <v>3</v>
      </c>
      <c r="B15" s="4" t="s">
        <v>4</v>
      </c>
      <c r="C15" s="3">
        <v>5</v>
      </c>
      <c r="D15" s="5">
        <f>IF($C$4&lt;&gt;"YES", $A15*$C15, 0)</f>
        <v>15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3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140</v>
      </c>
      <c r="I16" s="163"/>
      <c r="J16" s="163"/>
      <c r="K16" s="163"/>
      <c r="N16" s="3"/>
    </row>
    <row r="17" spans="1:14">
      <c r="A17" s="20">
        <v>0</v>
      </c>
      <c r="B17" s="4" t="s">
        <v>6</v>
      </c>
      <c r="C17" s="3">
        <v>0</v>
      </c>
      <c r="D17" s="5" t="s">
        <v>30</v>
      </c>
      <c r="E17" s="4"/>
      <c r="F17" s="20">
        <v>40</v>
      </c>
      <c r="G17" s="4" t="s">
        <v>9</v>
      </c>
      <c r="H17" s="3"/>
      <c r="I17" s="3"/>
      <c r="J17" s="3">
        <f>IF($F17&gt;=0,1,0)</f>
        <v>1</v>
      </c>
      <c r="K17" s="3">
        <f>IF($J17=1, INT($F17*'ATTACK &amp; ARMOR'!$B$10 + $A23*'ATTACK &amp; ARMOR'!$B$9 + $A$19*'ATTACK &amp; ARMOR'!$B$8), 0)</f>
        <v>520</v>
      </c>
      <c r="N17" s="3"/>
    </row>
    <row r="18" spans="1:14">
      <c r="A18" s="20">
        <v>0</v>
      </c>
      <c r="B18" s="4" t="s">
        <v>7</v>
      </c>
      <c r="C18" s="3">
        <v>0</v>
      </c>
      <c r="D18" s="5" t="s">
        <v>30</v>
      </c>
      <c r="E18" s="4"/>
      <c r="F18" s="20">
        <v>-1</v>
      </c>
      <c r="G18" s="4" t="s">
        <v>10</v>
      </c>
      <c r="H18" s="3"/>
      <c r="I18" s="3"/>
      <c r="J18" s="3">
        <f t="shared" ref="J18:J19" si="2">IF($F18&gt;=0,1,0)</f>
        <v>0</v>
      </c>
      <c r="K18" s="3">
        <f>IF($J18=1, INT($F18*'ATTACK &amp; ARMOR'!$B$10 + $A24*'ATTACK &amp; ARMOR'!$B$9 + $A$19*'ATTACK &amp; ARMOR'!$B$8), 0)</f>
        <v>0</v>
      </c>
      <c r="N18" s="3"/>
    </row>
    <row r="19" spans="1:14">
      <c r="A19" s="20">
        <v>2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0</v>
      </c>
      <c r="B20" s="4" t="s">
        <v>29</v>
      </c>
      <c r="C20" s="3">
        <v>10</v>
      </c>
      <c r="D20" s="5">
        <f>$A20*$C20</f>
        <v>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208</v>
      </c>
      <c r="N20" s="3">
        <f>IF($C$5="YES", INT(K20*-0.15), 0)</f>
        <v>-32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141</v>
      </c>
      <c r="I22" s="163"/>
      <c r="J22" s="163"/>
      <c r="K22" s="163"/>
      <c r="N22" s="5"/>
    </row>
    <row r="23" spans="1:14">
      <c r="A23" s="20">
        <v>125</v>
      </c>
      <c r="B23" s="4" t="s">
        <v>9</v>
      </c>
      <c r="C23" s="3"/>
      <c r="D23" s="3"/>
      <c r="E23" s="4"/>
      <c r="F23" s="20">
        <v>-1</v>
      </c>
      <c r="G23" s="4" t="s">
        <v>12</v>
      </c>
      <c r="H23" s="3"/>
      <c r="I23" s="3"/>
      <c r="J23" s="3">
        <f>IF($F23&gt;=0,1,0)</f>
        <v>0</v>
      </c>
      <c r="K23" s="3">
        <f>IF($J23=1, INT($F23*'ATTACK &amp; ARMOR'!$B$10 + $A26*'ATTACK &amp; ARMOR'!$B$9 + $A17*'ATTACK &amp; ARMOR'!$B$8), 0)</f>
        <v>0</v>
      </c>
      <c r="N23" s="3"/>
    </row>
    <row r="24" spans="1:14">
      <c r="A24" s="20">
        <v>0</v>
      </c>
      <c r="B24" s="4" t="s">
        <v>10</v>
      </c>
      <c r="C24" s="3"/>
      <c r="D24" s="3"/>
      <c r="E24" s="4"/>
      <c r="F24" s="20">
        <v>80</v>
      </c>
      <c r="G24" s="4" t="s">
        <v>13</v>
      </c>
      <c r="H24" s="3"/>
      <c r="I24" s="3"/>
      <c r="J24" s="3">
        <f t="shared" ref="J24:J25" si="3">IF($F24&gt;=0,1,0)</f>
        <v>1</v>
      </c>
      <c r="K24" s="3">
        <f>IF($J24=1, INT($F24*('ATTACK &amp; ARMOR'!$B$10+1) + $A27*('ATTACK &amp; ARMOR'!$B$9*1.5)), 0)</f>
        <v>845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0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1</v>
      </c>
      <c r="K26" s="5">
        <f>IF(J26&gt;0, INT( (SUM(K23:K25)/J26)*'ATTACK &amp; ARMOR'!$B$13 ), 0)</f>
        <v>338</v>
      </c>
      <c r="N26" s="3">
        <f>IF($C$5="YES", INT(K26*-0.15), 0)</f>
        <v>-51</v>
      </c>
    </row>
    <row r="27" spans="1:14">
      <c r="A27" s="20">
        <v>175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</v>
      </c>
      <c r="K28" s="5">
        <f>INT(IF($C$4="YES", $C$6*J28, 0) )</f>
        <v>0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5</v>
      </c>
      <c r="D44" s="24">
        <f>C44*175</f>
        <v>875</v>
      </c>
      <c r="E44" s="25">
        <f>(C44+1)*175-1</f>
        <v>1049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111" priority="11">
      <formula>$C$5="NO"</formula>
    </cfRule>
  </conditionalFormatting>
  <conditionalFormatting sqref="B13:D14">
    <cfRule type="expression" dxfId="110" priority="10">
      <formula>$C$4="NO"</formula>
    </cfRule>
  </conditionalFormatting>
  <conditionalFormatting sqref="B15:D15">
    <cfRule type="expression" dxfId="109" priority="9">
      <formula>$C$4="YES"</formula>
    </cfRule>
  </conditionalFormatting>
  <conditionalFormatting sqref="K26">
    <cfRule type="expression" dxfId="108" priority="8">
      <formula>$C$5="NO"</formula>
    </cfRule>
  </conditionalFormatting>
  <conditionalFormatting sqref="K26">
    <cfRule type="expression" dxfId="107" priority="7">
      <formula>$C$5="NO"</formula>
    </cfRule>
  </conditionalFormatting>
  <conditionalFormatting sqref="K26">
    <cfRule type="expression" dxfId="106" priority="6">
      <formula>$C$5="NO"</formula>
    </cfRule>
  </conditionalFormatting>
  <conditionalFormatting sqref="K26">
    <cfRule type="expression" dxfId="105" priority="5">
      <formula>$C$5="NO"</formula>
    </cfRule>
  </conditionalFormatting>
  <conditionalFormatting sqref="K26">
    <cfRule type="expression" dxfId="104" priority="4">
      <formula>$C$5="NO"</formula>
    </cfRule>
  </conditionalFormatting>
  <conditionalFormatting sqref="K26">
    <cfRule type="expression" dxfId="103" priority="3">
      <formula>$C$5="NO"</formula>
    </cfRule>
  </conditionalFormatting>
  <conditionalFormatting sqref="K26">
    <cfRule type="expression" dxfId="102" priority="2">
      <formula>$C$5="NO"</formula>
    </cfRule>
  </conditionalFormatting>
  <conditionalFormatting sqref="K26">
    <cfRule type="expression" dxfId="101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K26" sqref="K26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42</v>
      </c>
      <c r="D2" s="150"/>
      <c r="E2" s="150"/>
      <c r="F2" s="150"/>
      <c r="G2" s="150"/>
      <c r="H2" s="85"/>
      <c r="I2" s="85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27</v>
      </c>
      <c r="D4" s="86"/>
      <c r="E4" s="14"/>
      <c r="F4" s="16"/>
      <c r="G4" s="22" t="s">
        <v>32</v>
      </c>
      <c r="H4" s="44"/>
      <c r="I4" s="176">
        <f>INT( (C6+K28-N20-N26)*I5*I6/100 )</f>
        <v>88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26</v>
      </c>
      <c r="D5" s="86"/>
      <c r="E5" s="14"/>
      <c r="F5" s="16"/>
      <c r="G5" s="22" t="s">
        <v>33</v>
      </c>
      <c r="H5" s="44"/>
      <c r="I5" s="176">
        <f>INT( C6/175 )</f>
        <v>2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05">
        <f>INT(SUM(D9:D10)+SUM(D13:D20)+K14+K20+K26+N20+N26)</f>
        <v>439</v>
      </c>
      <c r="D6" s="86"/>
      <c r="E6" s="14"/>
      <c r="F6" s="16"/>
      <c r="G6" s="14" t="s">
        <v>35</v>
      </c>
      <c r="H6" s="86"/>
      <c r="I6" s="177">
        <f>I5+7</f>
        <v>9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119</v>
      </c>
      <c r="I8" s="163"/>
      <c r="J8" s="163"/>
      <c r="K8" s="163"/>
      <c r="N8" s="5"/>
    </row>
    <row r="9" spans="1:14">
      <c r="A9" s="20">
        <v>16</v>
      </c>
      <c r="B9" s="4" t="s">
        <v>0</v>
      </c>
      <c r="C9" s="3">
        <v>6</v>
      </c>
      <c r="D9" s="5">
        <f>(A9-10)*C9</f>
        <v>36</v>
      </c>
      <c r="E9" s="4"/>
      <c r="F9" s="20">
        <v>20</v>
      </c>
      <c r="G9" s="4" t="s">
        <v>15</v>
      </c>
      <c r="H9" s="3" t="str">
        <f>VLOOKUP($H$8,$B$32:$D$37,2,FALSE) &amp; "%"</f>
        <v>15%</v>
      </c>
      <c r="I9" s="3" t="str">
        <f>VLOOKUP($H$8,$B$32:$D$37,3,FALSE) &amp; "%"</f>
        <v>25%</v>
      </c>
      <c r="J9" s="3">
        <f>'ATTACK &amp; ARMOR'!B33</f>
        <v>0.6</v>
      </c>
      <c r="K9" s="3">
        <f>INT(J9*F9*'ATTACK &amp; ARMOR'!$B$37)</f>
        <v>30</v>
      </c>
      <c r="N9" s="3"/>
    </row>
    <row r="10" spans="1:14">
      <c r="A10" s="20">
        <v>10</v>
      </c>
      <c r="B10" s="4" t="s">
        <v>1</v>
      </c>
      <c r="C10" s="3">
        <v>6</v>
      </c>
      <c r="D10" s="5">
        <f>(A10-10)*C10</f>
        <v>0</v>
      </c>
      <c r="E10" s="4"/>
      <c r="F10" s="20">
        <v>20</v>
      </c>
      <c r="G10" s="4" t="s">
        <v>16</v>
      </c>
      <c r="H10" s="3" t="str">
        <f t="shared" ref="H10:H13" si="0">VLOOKUP($H$8,$B$32:$D$37,2,FALSE) &amp; "%"</f>
        <v>15%</v>
      </c>
      <c r="I10" s="3" t="str">
        <f t="shared" ref="I10:I13" si="1">VLOOKUP($H$8,$B$32:$D$37,3,FALSE) &amp; "%"</f>
        <v>25%</v>
      </c>
      <c r="J10" s="3">
        <f>'ATTACK &amp; ARMOR'!B34</f>
        <v>1</v>
      </c>
      <c r="K10" s="3">
        <f>INT(J10*F10*'ATTACK &amp; ARMOR'!$B$37)</f>
        <v>50</v>
      </c>
      <c r="N10" s="3"/>
    </row>
    <row r="11" spans="1:14">
      <c r="A11" s="3"/>
      <c r="B11" s="4"/>
      <c r="C11" s="3"/>
      <c r="D11" s="3"/>
      <c r="E11" s="4"/>
      <c r="F11" s="20">
        <v>20</v>
      </c>
      <c r="G11" s="4" t="s">
        <v>17</v>
      </c>
      <c r="H11" s="3" t="str">
        <f t="shared" si="0"/>
        <v>15%</v>
      </c>
      <c r="I11" s="3" t="str">
        <f t="shared" si="1"/>
        <v>25%</v>
      </c>
      <c r="J11" s="3">
        <f>'ATTACK &amp; ARMOR'!B35</f>
        <v>0.35</v>
      </c>
      <c r="K11" s="3">
        <f>INT(J11*F11*'ATTACK &amp; ARMOR'!$B$37)</f>
        <v>17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20</v>
      </c>
      <c r="G12" s="4" t="s">
        <v>18</v>
      </c>
      <c r="H12" s="3" t="str">
        <f t="shared" si="0"/>
        <v>15%</v>
      </c>
      <c r="I12" s="3" t="str">
        <f t="shared" si="1"/>
        <v>25%</v>
      </c>
      <c r="J12" s="3">
        <f>'ATTACK &amp; ARMOR'!B36</f>
        <v>0.15</v>
      </c>
      <c r="K12" s="3">
        <f>INT(J12*F12*'ATTACK &amp; ARMOR'!$B$37)</f>
        <v>7</v>
      </c>
      <c r="N12" s="5"/>
    </row>
    <row r="13" spans="1:14">
      <c r="A13" s="20">
        <v>0</v>
      </c>
      <c r="B13" s="4" t="s">
        <v>2</v>
      </c>
      <c r="C13" s="3">
        <v>6</v>
      </c>
      <c r="D13" s="5">
        <f>IF(AND($C$4="YES", $C$5="YES"), $A13*$C13, 0)</f>
        <v>0</v>
      </c>
      <c r="E13" s="4"/>
      <c r="F13" s="20">
        <v>-1</v>
      </c>
      <c r="G13" s="4" t="s">
        <v>38</v>
      </c>
      <c r="H13" s="3" t="str">
        <f t="shared" si="0"/>
        <v>15%</v>
      </c>
      <c r="I13" s="3" t="str">
        <f t="shared" si="1"/>
        <v>25%</v>
      </c>
      <c r="J13" s="3">
        <f>IF($F13&gt;=0,1,0)</f>
        <v>0</v>
      </c>
      <c r="K13" s="3">
        <f>IF($J13=1, INT(((F13*3)+(A16*C16))/3), 0)</f>
        <v>0</v>
      </c>
      <c r="N13" s="3"/>
    </row>
    <row r="14" spans="1:14">
      <c r="A14" s="20">
        <v>0</v>
      </c>
      <c r="B14" s="4" t="s">
        <v>3</v>
      </c>
      <c r="C14" s="3">
        <v>8</v>
      </c>
      <c r="D14" s="5">
        <f>IF($C$4="YES", $A14*$C14, 0)</f>
        <v>0</v>
      </c>
      <c r="E14" s="4"/>
      <c r="F14" s="3"/>
      <c r="G14" s="4" t="s">
        <v>34</v>
      </c>
      <c r="H14" s="3"/>
      <c r="I14" s="3"/>
      <c r="J14" s="3"/>
      <c r="K14" s="5">
        <f>SUM(K9:K13)</f>
        <v>104</v>
      </c>
      <c r="N14" s="3"/>
    </row>
    <row r="15" spans="1:14">
      <c r="A15" s="20">
        <v>1</v>
      </c>
      <c r="B15" s="4" t="s">
        <v>4</v>
      </c>
      <c r="C15" s="3">
        <v>5</v>
      </c>
      <c r="D15" s="5">
        <f>IF($C$4&lt;&gt;"YES", $A15*$C15, 0)</f>
        <v>5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0</v>
      </c>
      <c r="B16" s="4" t="s">
        <v>5</v>
      </c>
      <c r="C16" s="3">
        <v>8</v>
      </c>
      <c r="D16" s="5">
        <v>0</v>
      </c>
      <c r="E16" s="4"/>
      <c r="F16" s="28" t="s">
        <v>22</v>
      </c>
      <c r="G16" s="29" t="s">
        <v>90</v>
      </c>
      <c r="H16" s="163" t="s">
        <v>139</v>
      </c>
      <c r="I16" s="163"/>
      <c r="J16" s="163"/>
      <c r="K16" s="163"/>
      <c r="N16" s="3"/>
    </row>
    <row r="17" spans="1:14">
      <c r="A17" s="20">
        <v>0</v>
      </c>
      <c r="B17" s="4" t="s">
        <v>6</v>
      </c>
      <c r="C17" s="3">
        <v>0</v>
      </c>
      <c r="D17" s="5">
        <v>0</v>
      </c>
      <c r="E17" s="4"/>
      <c r="F17" s="20">
        <v>-1</v>
      </c>
      <c r="G17" s="4" t="s">
        <v>9</v>
      </c>
      <c r="H17" s="3"/>
      <c r="I17" s="3"/>
      <c r="J17" s="3">
        <f>IF($F17&gt;=0,1,0)</f>
        <v>0</v>
      </c>
      <c r="K17" s="3">
        <f>IF($J17=1, INT($F17*'ATTACK &amp; ARMOR'!$B$10 + $A23*'ATTACK &amp; ARMOR'!$B$9 + $A$19*'ATTACK &amp; ARMOR'!$B$8), 0)</f>
        <v>0</v>
      </c>
      <c r="N17" s="3"/>
    </row>
    <row r="18" spans="1:14">
      <c r="A18" s="20">
        <v>0</v>
      </c>
      <c r="B18" s="4" t="s">
        <v>7</v>
      </c>
      <c r="C18" s="3">
        <v>0</v>
      </c>
      <c r="D18" s="5">
        <v>0</v>
      </c>
      <c r="E18" s="4"/>
      <c r="F18" s="20">
        <v>-1</v>
      </c>
      <c r="G18" s="4" t="s">
        <v>10</v>
      </c>
      <c r="H18" s="3"/>
      <c r="I18" s="3"/>
      <c r="J18" s="3">
        <f t="shared" ref="J18:J19" si="2">IF($F18&gt;=0,1,0)</f>
        <v>0</v>
      </c>
      <c r="K18" s="3">
        <f>IF($J18=1, INT($F18*'ATTACK &amp; ARMOR'!$B$10 + $A24*'ATTACK &amp; ARMOR'!$B$9 + $A$19*'ATTACK &amp; ARMOR'!$B$8), 0)</f>
        <v>0</v>
      </c>
      <c r="N18" s="3"/>
    </row>
    <row r="19" spans="1:14">
      <c r="A19" s="20">
        <v>1</v>
      </c>
      <c r="B19" s="4" t="s">
        <v>8</v>
      </c>
      <c r="C19" s="3">
        <v>0</v>
      </c>
      <c r="D19" s="5">
        <v>0</v>
      </c>
      <c r="E19" s="4"/>
      <c r="F19" s="20">
        <v>20</v>
      </c>
      <c r="G19" s="4" t="s">
        <v>11</v>
      </c>
      <c r="H19" s="3"/>
      <c r="I19" s="3"/>
      <c r="J19" s="3">
        <f t="shared" si="2"/>
        <v>1</v>
      </c>
      <c r="K19" s="3">
        <f>IF($J19=1, INT($F19*'ATTACK &amp; ARMOR'!$B$10 + $A25*'ATTACK &amp; ARMOR'!$B$9 + $A$19*'ATTACK &amp; ARMOR'!$B$8), 0)</f>
        <v>335</v>
      </c>
      <c r="N19" s="3"/>
    </row>
    <row r="20" spans="1:14">
      <c r="A20" s="20">
        <v>0</v>
      </c>
      <c r="B20" s="4" t="s">
        <v>29</v>
      </c>
      <c r="C20" s="3">
        <v>10</v>
      </c>
      <c r="D20" s="5">
        <f>$A20*$C20</f>
        <v>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134</v>
      </c>
      <c r="N20" s="3">
        <f>IF($C$5="YES", INT(K20*-0.15), 0)</f>
        <v>-21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140</v>
      </c>
      <c r="I22" s="163"/>
      <c r="J22" s="163"/>
      <c r="K22" s="163"/>
      <c r="N22" s="5"/>
    </row>
    <row r="23" spans="1:14">
      <c r="A23" s="20">
        <v>0</v>
      </c>
      <c r="B23" s="4" t="s">
        <v>9</v>
      </c>
      <c r="C23" s="3"/>
      <c r="D23" s="3"/>
      <c r="E23" s="4"/>
      <c r="F23" s="20">
        <v>-1</v>
      </c>
      <c r="G23" s="4" t="s">
        <v>12</v>
      </c>
      <c r="H23" s="3">
        <v>430</v>
      </c>
      <c r="I23" s="3">
        <v>474</v>
      </c>
      <c r="J23" s="3">
        <f>IF($F23&gt;=0,1,0)</f>
        <v>0</v>
      </c>
      <c r="K23" s="3">
        <f>IF($J23=1, INT($F23*'ATTACK &amp; ARMOR'!$B$10 + $A26*'ATTACK &amp; ARMOR'!$B$9 + $A17*'ATTACK &amp; ARMOR'!$B$8), 0)</f>
        <v>0</v>
      </c>
      <c r="N23" s="3"/>
    </row>
    <row r="24" spans="1:14">
      <c r="A24" s="20">
        <v>0</v>
      </c>
      <c r="B24" s="4" t="s">
        <v>10</v>
      </c>
      <c r="C24" s="3"/>
      <c r="D24" s="3"/>
      <c r="E24" s="4"/>
      <c r="F24" s="20">
        <v>40</v>
      </c>
      <c r="G24" s="4" t="s">
        <v>13</v>
      </c>
      <c r="H24" s="3"/>
      <c r="I24" s="3"/>
      <c r="J24" s="3">
        <f t="shared" ref="J24:J25" si="3">IF($F24&gt;=0,1,0)</f>
        <v>1</v>
      </c>
      <c r="K24" s="3">
        <f>IF($J24=1, INT($F24*('ATTACK &amp; ARMOR'!$B$10+1) + $A27*('ATTACK &amp; ARMOR'!$B$9*1.5)), 0)</f>
        <v>535</v>
      </c>
      <c r="N24" s="3"/>
    </row>
    <row r="25" spans="1:14">
      <c r="A25" s="20">
        <v>100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0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1</v>
      </c>
      <c r="K26" s="5">
        <f>IF(J26&gt;0, INT( (SUM(K23:K25)/J26)*'ATTACK &amp; ARMOR'!$B$13 ), 0)</f>
        <v>214</v>
      </c>
      <c r="N26" s="3">
        <f>IF($C$5="YES", INT(K26*-0.15), 0)</f>
        <v>-33</v>
      </c>
    </row>
    <row r="27" spans="1:14">
      <c r="A27" s="20">
        <v>125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</v>
      </c>
      <c r="K28" s="5">
        <f>INT(IF($C$4="YES", $C$6*J28, 0) )</f>
        <v>0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2</v>
      </c>
      <c r="D44" s="24">
        <f>C44*175</f>
        <v>350</v>
      </c>
      <c r="E44" s="25">
        <f>(C44+1)*175-1</f>
        <v>524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9:K42 G23:J26 K23:K25">
    <cfRule type="expression" dxfId="100" priority="8">
      <formula>$C$5="NO"</formula>
    </cfRule>
  </conditionalFormatting>
  <conditionalFormatting sqref="B13:D14">
    <cfRule type="expression" dxfId="99" priority="7">
      <formula>$C$4="NO"</formula>
    </cfRule>
  </conditionalFormatting>
  <conditionalFormatting sqref="B15:D15">
    <cfRule type="expression" dxfId="98" priority="6">
      <formula>$C$4="YES"</formula>
    </cfRule>
  </conditionalFormatting>
  <conditionalFormatting sqref="K26">
    <cfRule type="expression" dxfId="97" priority="4">
      <formula>$C$5="NO"</formula>
    </cfRule>
  </conditionalFormatting>
  <conditionalFormatting sqref="K26">
    <cfRule type="expression" dxfId="96" priority="3">
      <formula>$C$5="NO"</formula>
    </cfRule>
  </conditionalFormatting>
  <conditionalFormatting sqref="K26">
    <cfRule type="expression" dxfId="95" priority="2">
      <formula>$C$5="NO"</formula>
    </cfRule>
  </conditionalFormatting>
  <conditionalFormatting sqref="K26">
    <cfRule type="expression" dxfId="94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K26" sqref="K26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41</v>
      </c>
      <c r="D2" s="150"/>
      <c r="E2" s="150"/>
      <c r="F2" s="150"/>
      <c r="G2" s="150"/>
      <c r="H2" s="85"/>
      <c r="I2" s="85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27</v>
      </c>
      <c r="D4" s="86"/>
      <c r="E4" s="14"/>
      <c r="F4" s="16"/>
      <c r="G4" s="22" t="s">
        <v>32</v>
      </c>
      <c r="H4" s="44"/>
      <c r="I4" s="176">
        <f>INT( (C6+K28-N20-N26)*I5*I6/100 )</f>
        <v>319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27</v>
      </c>
      <c r="D5" s="86"/>
      <c r="E5" s="14"/>
      <c r="F5" s="16"/>
      <c r="G5" s="22" t="s">
        <v>33</v>
      </c>
      <c r="H5" s="44"/>
      <c r="I5" s="176">
        <f>INT( C6/175 )</f>
        <v>4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05">
        <f>INT(SUM(D9:D10)+SUM(D13:D20)+K14+K20+K26+N20+N26)</f>
        <v>726</v>
      </c>
      <c r="D6" s="86"/>
      <c r="E6" s="14"/>
      <c r="F6" s="16"/>
      <c r="G6" s="14" t="s">
        <v>35</v>
      </c>
      <c r="H6" s="86"/>
      <c r="I6" s="177">
        <f>I5+7</f>
        <v>11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121</v>
      </c>
      <c r="I8" s="163"/>
      <c r="J8" s="163"/>
      <c r="K8" s="163"/>
      <c r="N8" s="5"/>
    </row>
    <row r="9" spans="1:14">
      <c r="A9" s="20">
        <v>18</v>
      </c>
      <c r="B9" s="4" t="s">
        <v>0</v>
      </c>
      <c r="C9" s="3">
        <v>6</v>
      </c>
      <c r="D9" s="5">
        <f>(A9-10)*C9</f>
        <v>48</v>
      </c>
      <c r="E9" s="4"/>
      <c r="F9" s="20">
        <v>65</v>
      </c>
      <c r="G9" s="4" t="s">
        <v>15</v>
      </c>
      <c r="H9" s="3" t="str">
        <f>VLOOKUP($H$8,$B$32:$D$37,2,FALSE) &amp; "%"</f>
        <v>55%</v>
      </c>
      <c r="I9" s="3" t="str">
        <f>VLOOKUP($H$8,$B$32:$D$37,3,FALSE) &amp; "%"</f>
        <v>65%</v>
      </c>
      <c r="J9" s="3">
        <f>'ATTACK &amp; ARMOR'!B33</f>
        <v>0.6</v>
      </c>
      <c r="K9" s="3">
        <f>INT(J9*F9*'ATTACK &amp; ARMOR'!$B$37)</f>
        <v>97</v>
      </c>
      <c r="N9" s="3"/>
    </row>
    <row r="10" spans="1:14">
      <c r="A10" s="20">
        <v>12</v>
      </c>
      <c r="B10" s="4" t="s">
        <v>1</v>
      </c>
      <c r="C10" s="3">
        <v>6</v>
      </c>
      <c r="D10" s="5">
        <f>(A10-10)*C10</f>
        <v>12</v>
      </c>
      <c r="E10" s="4"/>
      <c r="F10" s="20">
        <v>65</v>
      </c>
      <c r="G10" s="4" t="s">
        <v>16</v>
      </c>
      <c r="H10" s="3" t="str">
        <f t="shared" ref="H10:H13" si="0">VLOOKUP($H$8,$B$32:$D$37,2,FALSE) &amp; "%"</f>
        <v>55%</v>
      </c>
      <c r="I10" s="3" t="str">
        <f t="shared" ref="I10:I13" si="1">VLOOKUP($H$8,$B$32:$D$37,3,FALSE) &amp; "%"</f>
        <v>65%</v>
      </c>
      <c r="J10" s="3">
        <f>'ATTACK &amp; ARMOR'!B34</f>
        <v>1</v>
      </c>
      <c r="K10" s="3">
        <f>INT(J10*F10*'ATTACK &amp; ARMOR'!$B$37)</f>
        <v>162</v>
      </c>
      <c r="N10" s="3"/>
    </row>
    <row r="11" spans="1:14">
      <c r="A11" s="3"/>
      <c r="B11" s="4"/>
      <c r="C11" s="3"/>
      <c r="D11" s="3"/>
      <c r="E11" s="4"/>
      <c r="F11" s="20">
        <v>65</v>
      </c>
      <c r="G11" s="4" t="s">
        <v>17</v>
      </c>
      <c r="H11" s="3" t="str">
        <f t="shared" si="0"/>
        <v>55%</v>
      </c>
      <c r="I11" s="3" t="str">
        <f t="shared" si="1"/>
        <v>65%</v>
      </c>
      <c r="J11" s="3">
        <f>'ATTACK &amp; ARMOR'!B35</f>
        <v>0.35</v>
      </c>
      <c r="K11" s="3">
        <f>INT(J11*F11*'ATTACK &amp; ARMOR'!$B$37)</f>
        <v>56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65</v>
      </c>
      <c r="G12" s="4" t="s">
        <v>18</v>
      </c>
      <c r="H12" s="3" t="str">
        <f t="shared" si="0"/>
        <v>55%</v>
      </c>
      <c r="I12" s="3" t="str">
        <f t="shared" si="1"/>
        <v>65%</v>
      </c>
      <c r="J12" s="3">
        <f>'ATTACK &amp; ARMOR'!B36</f>
        <v>0.15</v>
      </c>
      <c r="K12" s="3">
        <f>INT(J12*F12*'ATTACK &amp; ARMOR'!$B$37)</f>
        <v>24</v>
      </c>
      <c r="N12" s="5"/>
    </row>
    <row r="13" spans="1:14">
      <c r="A13" s="20">
        <v>0</v>
      </c>
      <c r="B13" s="4" t="s">
        <v>2</v>
      </c>
      <c r="C13" s="3">
        <v>6</v>
      </c>
      <c r="D13" s="5">
        <f>IF(AND($C$4="YES", $C$5="YES"), $A13*$C13, 0)</f>
        <v>0</v>
      </c>
      <c r="E13" s="4"/>
      <c r="F13" s="20">
        <v>-1</v>
      </c>
      <c r="G13" s="4" t="s">
        <v>38</v>
      </c>
      <c r="H13" s="3" t="str">
        <f t="shared" si="0"/>
        <v>55%</v>
      </c>
      <c r="I13" s="3" t="str">
        <f t="shared" si="1"/>
        <v>65%</v>
      </c>
      <c r="J13" s="3">
        <f>IF($F13&gt;=0,1,0)</f>
        <v>0</v>
      </c>
      <c r="K13" s="3">
        <f>IF($J13=1, INT(((F13*3)+(A16*C16))/3), 0)</f>
        <v>0</v>
      </c>
      <c r="N13" s="3"/>
    </row>
    <row r="14" spans="1:14">
      <c r="A14" s="20">
        <v>0</v>
      </c>
      <c r="B14" s="4" t="s">
        <v>3</v>
      </c>
      <c r="C14" s="3">
        <v>8</v>
      </c>
      <c r="D14" s="5">
        <f>IF($C$4="YES", $A14*$C14, 0)</f>
        <v>0</v>
      </c>
      <c r="E14" s="4"/>
      <c r="F14" s="3"/>
      <c r="G14" s="4" t="s">
        <v>34</v>
      </c>
      <c r="H14" s="3"/>
      <c r="I14" s="3"/>
      <c r="J14" s="3"/>
      <c r="K14" s="5">
        <f>SUM(K9:K13)</f>
        <v>339</v>
      </c>
      <c r="N14" s="3"/>
    </row>
    <row r="15" spans="1:14">
      <c r="A15" s="20">
        <v>3</v>
      </c>
      <c r="B15" s="4" t="s">
        <v>4</v>
      </c>
      <c r="C15" s="3">
        <v>5</v>
      </c>
      <c r="D15" s="5">
        <f>IF($C$4&lt;&gt;"YES", $A15*$C15, 0)</f>
        <v>15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0</v>
      </c>
      <c r="B16" s="4" t="s">
        <v>5</v>
      </c>
      <c r="C16" s="3">
        <v>8</v>
      </c>
      <c r="D16" s="5">
        <v>0</v>
      </c>
      <c r="E16" s="4"/>
      <c r="F16" s="28" t="s">
        <v>22</v>
      </c>
      <c r="G16" s="29" t="s">
        <v>90</v>
      </c>
      <c r="H16" s="163" t="s">
        <v>137</v>
      </c>
      <c r="I16" s="163"/>
      <c r="J16" s="163"/>
      <c r="K16" s="163"/>
      <c r="N16" s="3"/>
    </row>
    <row r="17" spans="1:14">
      <c r="A17" s="20">
        <v>0</v>
      </c>
      <c r="B17" s="4" t="s">
        <v>6</v>
      </c>
      <c r="C17" s="3">
        <v>0</v>
      </c>
      <c r="D17" s="5">
        <v>0</v>
      </c>
      <c r="E17" s="4"/>
      <c r="F17" s="20">
        <v>-1</v>
      </c>
      <c r="G17" s="4" t="s">
        <v>9</v>
      </c>
      <c r="H17" s="3"/>
      <c r="I17" s="3"/>
      <c r="J17" s="3">
        <f>IF($F17&gt;=0,1,0)</f>
        <v>0</v>
      </c>
      <c r="K17" s="3">
        <f>IF($J17=1, INT($F17*'ATTACK &amp; ARMOR'!$B$10 + $A23*'ATTACK &amp; ARMOR'!$B$9 + $A$19*'ATTACK &amp; ARMOR'!$B$8), 0)</f>
        <v>0</v>
      </c>
      <c r="N17" s="3"/>
    </row>
    <row r="18" spans="1:14">
      <c r="A18" s="20">
        <v>0</v>
      </c>
      <c r="B18" s="4" t="s">
        <v>7</v>
      </c>
      <c r="C18" s="3">
        <v>0</v>
      </c>
      <c r="D18" s="5">
        <v>0</v>
      </c>
      <c r="E18" s="4"/>
      <c r="F18" s="20">
        <v>60</v>
      </c>
      <c r="G18" s="4" t="s">
        <v>10</v>
      </c>
      <c r="H18" s="3"/>
      <c r="I18" s="3"/>
      <c r="J18" s="3">
        <f t="shared" ref="J18:J19" si="2">IF($F18&gt;=0,1,0)</f>
        <v>1</v>
      </c>
      <c r="K18" s="3">
        <f>IF($J18=1, INT($F18*'ATTACK &amp; ARMOR'!$B$10 + $A24*'ATTACK &amp; ARMOR'!$B$9 + $A$19*'ATTACK &amp; ARMOR'!$B$8), 0)</f>
        <v>705</v>
      </c>
      <c r="N18" s="3"/>
    </row>
    <row r="19" spans="1:14">
      <c r="A19" s="20">
        <v>3</v>
      </c>
      <c r="B19" s="4" t="s">
        <v>8</v>
      </c>
      <c r="C19" s="3">
        <v>0</v>
      </c>
      <c r="D19" s="5">
        <v>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3</v>
      </c>
      <c r="B20" s="4" t="s">
        <v>29</v>
      </c>
      <c r="C20" s="3">
        <v>10</v>
      </c>
      <c r="D20" s="5">
        <f>$A20*$C20</f>
        <v>30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282</v>
      </c>
      <c r="N20" s="3">
        <f>IF($C$5="YES", INT(K20*-0.15), 0)</f>
        <v>0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137</v>
      </c>
      <c r="I22" s="163"/>
      <c r="J22" s="163"/>
      <c r="K22" s="163"/>
      <c r="N22" s="5"/>
    </row>
    <row r="23" spans="1:14">
      <c r="A23" s="20">
        <v>0</v>
      </c>
      <c r="B23" s="4" t="s">
        <v>9</v>
      </c>
      <c r="C23" s="3"/>
      <c r="D23" s="3"/>
      <c r="E23" s="4"/>
      <c r="F23" s="20">
        <v>-1</v>
      </c>
      <c r="G23" s="4" t="s">
        <v>12</v>
      </c>
      <c r="H23" s="3">
        <v>430</v>
      </c>
      <c r="I23" s="3">
        <v>474</v>
      </c>
      <c r="J23" s="3">
        <f>IF($F23&gt;=0,1,0)</f>
        <v>0</v>
      </c>
      <c r="K23" s="3">
        <f>IF($J23=1, INT($F23*'ATTACK &amp; ARMOR'!$B$10 + $A26*'ATTACK &amp; ARMOR'!$B$9 + $A17*'ATTACK &amp; ARMOR'!$B$8), 0)</f>
        <v>0</v>
      </c>
      <c r="N23" s="3"/>
    </row>
    <row r="24" spans="1:14">
      <c r="A24" s="20">
        <v>150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0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0</v>
      </c>
      <c r="K26" s="5">
        <f>IF(J26&gt;0, INT( (SUM(K23:K25)/J26)*'ATTACK &amp; ARMOR'!$B$13 ), 0)</f>
        <v>0</v>
      </c>
      <c r="N26" s="3">
        <f>IF($C$5="YES", INT(K26*-0.15), 0)</f>
        <v>0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</v>
      </c>
      <c r="K28" s="5">
        <f>INT(IF($C$4="YES", $C$6*J28, 0) )</f>
        <v>0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4</v>
      </c>
      <c r="D44" s="24">
        <f>C44*175</f>
        <v>700</v>
      </c>
      <c r="E44" s="25">
        <f>(C44+1)*175-1</f>
        <v>874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9:K42 G23:J26 K23:K25">
    <cfRule type="expression" dxfId="93" priority="6">
      <formula>$C$5="NO"</formula>
    </cfRule>
  </conditionalFormatting>
  <conditionalFormatting sqref="B13:D14">
    <cfRule type="expression" dxfId="92" priority="5">
      <formula>$C$4="NO"</formula>
    </cfRule>
  </conditionalFormatting>
  <conditionalFormatting sqref="B15:D15">
    <cfRule type="expression" dxfId="91" priority="4">
      <formula>$C$4="YES"</formula>
    </cfRule>
  </conditionalFormatting>
  <conditionalFormatting sqref="K26">
    <cfRule type="expression" dxfId="90" priority="2">
      <formula>$C$5="NO"</formula>
    </cfRule>
  </conditionalFormatting>
  <conditionalFormatting sqref="K26">
    <cfRule type="expression" dxfId="89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F9" sqref="F9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159</v>
      </c>
      <c r="D2" s="150"/>
      <c r="E2" s="150"/>
      <c r="F2" s="150"/>
      <c r="G2" s="150"/>
      <c r="H2" s="106"/>
      <c r="I2" s="106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27</v>
      </c>
      <c r="D4" s="107"/>
      <c r="E4" s="14"/>
      <c r="F4" s="16"/>
      <c r="G4" s="22" t="s">
        <v>32</v>
      </c>
      <c r="H4" s="44"/>
      <c r="I4" s="176">
        <f>INT( (C6+K28-N20-N26)*I5*I6/100 )</f>
        <v>65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27</v>
      </c>
      <c r="D5" s="107"/>
      <c r="E5" s="14"/>
      <c r="F5" s="16"/>
      <c r="G5" s="22" t="s">
        <v>33</v>
      </c>
      <c r="H5" s="44"/>
      <c r="I5" s="176">
        <f>INT( C6/175 )</f>
        <v>2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06">
        <f>INT(SUM(D9:D10)+SUM(D13:D20)+K14+K20+K26+N20+N26)</f>
        <v>363</v>
      </c>
      <c r="D6" s="107"/>
      <c r="E6" s="14"/>
      <c r="F6" s="16"/>
      <c r="G6" s="14" t="s">
        <v>35</v>
      </c>
      <c r="H6" s="107"/>
      <c r="I6" s="177">
        <f>I5+7</f>
        <v>9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119</v>
      </c>
      <c r="I8" s="163"/>
      <c r="J8" s="163"/>
      <c r="K8" s="163"/>
      <c r="N8" s="5"/>
    </row>
    <row r="9" spans="1:14">
      <c r="A9" s="20">
        <v>14</v>
      </c>
      <c r="B9" s="4" t="s">
        <v>0</v>
      </c>
      <c r="C9" s="3">
        <v>6</v>
      </c>
      <c r="D9" s="5">
        <f>(A9-10)*C9</f>
        <v>24</v>
      </c>
      <c r="E9" s="4"/>
      <c r="F9" s="20">
        <v>20</v>
      </c>
      <c r="G9" s="4" t="s">
        <v>15</v>
      </c>
      <c r="H9" s="3" t="str">
        <f>VLOOKUP($H$8,$B$32:$D$37,2,FALSE) &amp; "%"</f>
        <v>15%</v>
      </c>
      <c r="I9" s="3" t="str">
        <f>VLOOKUP($H$8,$B$32:$D$37,3,FALSE) &amp; "%"</f>
        <v>25%</v>
      </c>
      <c r="J9" s="3">
        <f>'ATTACK &amp; ARMOR'!B33</f>
        <v>0.6</v>
      </c>
      <c r="K9" s="3">
        <f>INT(J9*F9*'ATTACK &amp; ARMOR'!$B$37)</f>
        <v>30</v>
      </c>
      <c r="N9" s="3"/>
    </row>
    <row r="10" spans="1:14">
      <c r="A10" s="20">
        <v>14</v>
      </c>
      <c r="B10" s="4" t="s">
        <v>1</v>
      </c>
      <c r="C10" s="3">
        <v>6</v>
      </c>
      <c r="D10" s="5">
        <f>(A10-10)*C10</f>
        <v>24</v>
      </c>
      <c r="E10" s="4"/>
      <c r="F10" s="20">
        <v>20</v>
      </c>
      <c r="G10" s="4" t="s">
        <v>16</v>
      </c>
      <c r="H10" s="3" t="str">
        <f t="shared" ref="H10:H13" si="0">VLOOKUP($H$8,$B$32:$D$37,2,FALSE) &amp; "%"</f>
        <v>15%</v>
      </c>
      <c r="I10" s="3" t="str">
        <f t="shared" ref="I10:I13" si="1">VLOOKUP($H$8,$B$32:$D$37,3,FALSE) &amp; "%"</f>
        <v>25%</v>
      </c>
      <c r="J10" s="3">
        <f>'ATTACK &amp; ARMOR'!B34</f>
        <v>1</v>
      </c>
      <c r="K10" s="3">
        <f>INT(J10*F10*'ATTACK &amp; ARMOR'!$B$37)</f>
        <v>50</v>
      </c>
      <c r="N10" s="3"/>
    </row>
    <row r="11" spans="1:14">
      <c r="A11" s="3"/>
      <c r="B11" s="4"/>
      <c r="C11" s="3"/>
      <c r="D11" s="3"/>
      <c r="E11" s="4"/>
      <c r="F11" s="20">
        <v>20</v>
      </c>
      <c r="G11" s="4" t="s">
        <v>17</v>
      </c>
      <c r="H11" s="3" t="str">
        <f t="shared" si="0"/>
        <v>15%</v>
      </c>
      <c r="I11" s="3" t="str">
        <f t="shared" si="1"/>
        <v>25%</v>
      </c>
      <c r="J11" s="3">
        <f>'ATTACK &amp; ARMOR'!B35</f>
        <v>0.35</v>
      </c>
      <c r="K11" s="3">
        <f>INT(J11*F11*'ATTACK &amp; ARMOR'!$B$37)</f>
        <v>17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20</v>
      </c>
      <c r="G12" s="4" t="s">
        <v>18</v>
      </c>
      <c r="H12" s="3" t="str">
        <f t="shared" si="0"/>
        <v>15%</v>
      </c>
      <c r="I12" s="3" t="str">
        <f t="shared" si="1"/>
        <v>25%</v>
      </c>
      <c r="J12" s="3">
        <f>'ATTACK &amp; ARMOR'!B36</f>
        <v>0.15</v>
      </c>
      <c r="K12" s="3">
        <f>INT(J12*F12*'ATTACK &amp; ARMOR'!$B$37)</f>
        <v>7</v>
      </c>
      <c r="N12" s="5"/>
    </row>
    <row r="13" spans="1:14">
      <c r="A13" s="20">
        <v>0</v>
      </c>
      <c r="B13" s="4" t="s">
        <v>2</v>
      </c>
      <c r="C13" s="3">
        <v>6</v>
      </c>
      <c r="D13" s="5">
        <f>IF(AND($C$4="YES", $C$5="YES"), $A13*$C13, 0)</f>
        <v>0</v>
      </c>
      <c r="E13" s="4"/>
      <c r="F13" s="20">
        <v>15</v>
      </c>
      <c r="G13" s="4" t="s">
        <v>38</v>
      </c>
      <c r="H13" s="3" t="str">
        <f t="shared" si="0"/>
        <v>15%</v>
      </c>
      <c r="I13" s="3" t="str">
        <f t="shared" si="1"/>
        <v>25%</v>
      </c>
      <c r="J13" s="3">
        <f>IF($F13&gt;=0,1,0)</f>
        <v>1</v>
      </c>
      <c r="K13" s="3">
        <f>IF($J13=1, INT(((F13*3)+(A16*C16))/3), 0)</f>
        <v>17</v>
      </c>
      <c r="N13" s="3"/>
    </row>
    <row r="14" spans="1:14">
      <c r="A14" s="20">
        <v>0</v>
      </c>
      <c r="B14" s="4" t="s">
        <v>3</v>
      </c>
      <c r="C14" s="3">
        <v>8</v>
      </c>
      <c r="D14" s="5">
        <f>IF($C$4="YES", $A14*$C14, 0)</f>
        <v>0</v>
      </c>
      <c r="E14" s="4"/>
      <c r="F14" s="3"/>
      <c r="G14" s="4" t="s">
        <v>34</v>
      </c>
      <c r="H14" s="3"/>
      <c r="I14" s="3"/>
      <c r="J14" s="3"/>
      <c r="K14" s="5">
        <f>SUM(K9:K13)</f>
        <v>121</v>
      </c>
      <c r="N14" s="3"/>
    </row>
    <row r="15" spans="1:14">
      <c r="A15" s="20">
        <v>2</v>
      </c>
      <c r="B15" s="4" t="s">
        <v>4</v>
      </c>
      <c r="C15" s="3">
        <v>5</v>
      </c>
      <c r="D15" s="5">
        <f>IF($C$4&lt;&gt;"YES", $A15*$C15, 0)</f>
        <v>10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1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139</v>
      </c>
      <c r="I16" s="163"/>
      <c r="J16" s="163"/>
      <c r="K16" s="163"/>
      <c r="N16" s="3"/>
    </row>
    <row r="17" spans="1:14">
      <c r="A17" s="20">
        <v>0</v>
      </c>
      <c r="B17" s="4" t="s">
        <v>6</v>
      </c>
      <c r="C17" s="3">
        <v>0</v>
      </c>
      <c r="D17" s="5" t="s">
        <v>30</v>
      </c>
      <c r="E17" s="4"/>
      <c r="F17" s="20">
        <v>20</v>
      </c>
      <c r="G17" s="4" t="s">
        <v>9</v>
      </c>
      <c r="H17" s="3"/>
      <c r="I17" s="3"/>
      <c r="J17" s="3">
        <f>IF($F17&gt;=0,1,0)</f>
        <v>1</v>
      </c>
      <c r="K17" s="3">
        <f>IF($J17=1, INT($F17*'ATTACK &amp; ARMOR'!$B$10 + $A23*'ATTACK &amp; ARMOR'!$B$9 + $A$19*'ATTACK &amp; ARMOR'!$B$8), 0)</f>
        <v>435</v>
      </c>
      <c r="N17" s="3"/>
    </row>
    <row r="18" spans="1:14">
      <c r="A18" s="20">
        <v>0</v>
      </c>
      <c r="B18" s="4" t="s">
        <v>7</v>
      </c>
      <c r="C18" s="3">
        <v>0</v>
      </c>
      <c r="D18" s="5" t="s">
        <v>30</v>
      </c>
      <c r="E18" s="4"/>
      <c r="F18" s="20">
        <v>-1</v>
      </c>
      <c r="G18" s="4" t="s">
        <v>10</v>
      </c>
      <c r="H18" s="3"/>
      <c r="I18" s="3"/>
      <c r="J18" s="3">
        <f t="shared" ref="J18:J19" si="2">IF($F18&gt;=0,1,0)</f>
        <v>0</v>
      </c>
      <c r="K18" s="3">
        <f>IF($J18=1, INT($F18*'ATTACK &amp; ARMOR'!$B$10 + $A24*'ATTACK &amp; ARMOR'!$B$9 + $A$19*'ATTACK &amp; ARMOR'!$B$8), 0)</f>
        <v>0</v>
      </c>
      <c r="N18" s="3"/>
    </row>
    <row r="19" spans="1:14">
      <c r="A19" s="20">
        <v>1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1</v>
      </c>
      <c r="B20" s="4" t="s">
        <v>29</v>
      </c>
      <c r="C20" s="3">
        <v>10</v>
      </c>
      <c r="D20" s="5">
        <f>$A20*$C20</f>
        <v>10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174</v>
      </c>
      <c r="N20" s="3">
        <f>IF($C$5="YES", INT(K20*-0.15), 0)</f>
        <v>0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137</v>
      </c>
      <c r="I22" s="163"/>
      <c r="J22" s="163"/>
      <c r="K22" s="163"/>
      <c r="N22" s="5"/>
    </row>
    <row r="23" spans="1:14">
      <c r="A23" s="20">
        <v>150</v>
      </c>
      <c r="B23" s="4" t="s">
        <v>9</v>
      </c>
      <c r="C23" s="3"/>
      <c r="D23" s="3"/>
      <c r="E23" s="4"/>
      <c r="F23" s="20">
        <v>-1</v>
      </c>
      <c r="G23" s="4" t="s">
        <v>12</v>
      </c>
      <c r="H23" s="3"/>
      <c r="I23" s="3"/>
      <c r="J23" s="3">
        <f>IF($F23&gt;=0,1,0)</f>
        <v>0</v>
      </c>
      <c r="K23" s="3">
        <f>IF($J23=1, INT($F23*'ATTACK &amp; ARMOR'!$B$10 + $A26*'ATTACK &amp; ARMOR'!$B$9 + $A17*'ATTACK &amp; ARMOR'!$B$8), 0)</f>
        <v>0</v>
      </c>
      <c r="N23" s="3"/>
    </row>
    <row r="24" spans="1:14">
      <c r="A24" s="20">
        <v>0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0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0</v>
      </c>
      <c r="K26" s="5">
        <f>IF(J26&gt;0, INT( (SUM(K23:K25)/J26)*'ATTACK &amp; ARMOR'!$B$13 ), 0)</f>
        <v>0</v>
      </c>
      <c r="N26" s="3">
        <f>IF($C$5="YES", INT(K26*-0.15), 0)</f>
        <v>0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</v>
      </c>
      <c r="K28" s="5">
        <f>INT(IF($C$4="YES", $C$6*J28, 0) )</f>
        <v>0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2</v>
      </c>
      <c r="D44" s="24">
        <f>C44*175</f>
        <v>350</v>
      </c>
      <c r="E44" s="25">
        <f>(C44+1)*175-1</f>
        <v>524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88" priority="12">
      <formula>$C$5="NO"</formula>
    </cfRule>
  </conditionalFormatting>
  <conditionalFormatting sqref="B13:D14">
    <cfRule type="expression" dxfId="87" priority="11">
      <formula>$C$4="NO"</formula>
    </cfRule>
  </conditionalFormatting>
  <conditionalFormatting sqref="B15:D15">
    <cfRule type="expression" dxfId="86" priority="10">
      <formula>$C$4="YES"</formula>
    </cfRule>
  </conditionalFormatting>
  <conditionalFormatting sqref="K26">
    <cfRule type="expression" dxfId="85" priority="9">
      <formula>$C$5="NO"</formula>
    </cfRule>
  </conditionalFormatting>
  <conditionalFormatting sqref="K26">
    <cfRule type="expression" dxfId="84" priority="8">
      <formula>$C$5="NO"</formula>
    </cfRule>
  </conditionalFormatting>
  <conditionalFormatting sqref="K26">
    <cfRule type="expression" dxfId="83" priority="7">
      <formula>$C$5="NO"</formula>
    </cfRule>
  </conditionalFormatting>
  <conditionalFormatting sqref="K26">
    <cfRule type="expression" dxfId="82" priority="6">
      <formula>$C$5="NO"</formula>
    </cfRule>
  </conditionalFormatting>
  <conditionalFormatting sqref="K26">
    <cfRule type="expression" dxfId="81" priority="5">
      <formula>$C$5="NO"</formula>
    </cfRule>
  </conditionalFormatting>
  <conditionalFormatting sqref="K26">
    <cfRule type="expression" dxfId="80" priority="4">
      <formula>$C$5="NO"</formula>
    </cfRule>
  </conditionalFormatting>
  <conditionalFormatting sqref="K26">
    <cfRule type="expression" dxfId="79" priority="3">
      <formula>$C$5="NO"</formula>
    </cfRule>
  </conditionalFormatting>
  <conditionalFormatting sqref="K26">
    <cfRule type="expression" dxfId="78" priority="2">
      <formula>$C$5="NO"</formula>
    </cfRule>
  </conditionalFormatting>
  <conditionalFormatting sqref="K26">
    <cfRule type="expression" dxfId="77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E43" sqref="E43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153</v>
      </c>
      <c r="D2" s="150"/>
      <c r="E2" s="150"/>
      <c r="F2" s="150"/>
      <c r="G2" s="150"/>
      <c r="H2" s="108"/>
      <c r="I2" s="108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27</v>
      </c>
      <c r="D4" s="109"/>
      <c r="E4" s="14"/>
      <c r="F4" s="16"/>
      <c r="G4" s="22" t="s">
        <v>32</v>
      </c>
      <c r="H4" s="44"/>
      <c r="I4" s="176">
        <f>INT( (C6+K28-N20-N26)*I5*I6/100 )</f>
        <v>198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26</v>
      </c>
      <c r="D5" s="109"/>
      <c r="E5" s="14"/>
      <c r="F5" s="16"/>
      <c r="G5" s="22" t="s">
        <v>33</v>
      </c>
      <c r="H5" s="44"/>
      <c r="I5" s="176">
        <f>INT( C6/175 )</f>
        <v>3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08">
        <f>INT(SUM(D9:D10)+SUM(D13:D20)+K14+K20+K26+N20+N26)</f>
        <v>587</v>
      </c>
      <c r="D6" s="109"/>
      <c r="E6" s="14"/>
      <c r="F6" s="16"/>
      <c r="G6" s="14" t="s">
        <v>35</v>
      </c>
      <c r="H6" s="109"/>
      <c r="I6" s="177">
        <f>I5+7</f>
        <v>10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119</v>
      </c>
      <c r="I8" s="163"/>
      <c r="J8" s="163"/>
      <c r="K8" s="163"/>
      <c r="N8" s="5"/>
    </row>
    <row r="9" spans="1:14">
      <c r="A9" s="20">
        <v>14</v>
      </c>
      <c r="B9" s="4" t="s">
        <v>0</v>
      </c>
      <c r="C9" s="3">
        <v>6</v>
      </c>
      <c r="D9" s="5">
        <f>(A9-10)*C9</f>
        <v>24</v>
      </c>
      <c r="E9" s="4"/>
      <c r="F9" s="20">
        <v>20</v>
      </c>
      <c r="G9" s="4" t="s">
        <v>15</v>
      </c>
      <c r="H9" s="3" t="str">
        <f>VLOOKUP($H$8,$B$32:$D$37,2,FALSE) &amp; "%"</f>
        <v>15%</v>
      </c>
      <c r="I9" s="3" t="str">
        <f>VLOOKUP($H$8,$B$32:$D$37,3,FALSE) &amp; "%"</f>
        <v>25%</v>
      </c>
      <c r="J9" s="3">
        <f>'ATTACK &amp; ARMOR'!B33</f>
        <v>0.6</v>
      </c>
      <c r="K9" s="3">
        <f>INT(J9*F9*'ATTACK &amp; ARMOR'!$B$37)</f>
        <v>30</v>
      </c>
      <c r="N9" s="3"/>
    </row>
    <row r="10" spans="1:14">
      <c r="A10" s="20">
        <v>14</v>
      </c>
      <c r="B10" s="4" t="s">
        <v>1</v>
      </c>
      <c r="C10" s="3">
        <v>6</v>
      </c>
      <c r="D10" s="5">
        <f>(A10-10)*C10</f>
        <v>24</v>
      </c>
      <c r="E10" s="4"/>
      <c r="F10" s="20">
        <v>20</v>
      </c>
      <c r="G10" s="4" t="s">
        <v>16</v>
      </c>
      <c r="H10" s="3" t="str">
        <f t="shared" ref="H10:H13" si="0">VLOOKUP($H$8,$B$32:$D$37,2,FALSE) &amp; "%"</f>
        <v>15%</v>
      </c>
      <c r="I10" s="3" t="str">
        <f t="shared" ref="I10:I13" si="1">VLOOKUP($H$8,$B$32:$D$37,3,FALSE) &amp; "%"</f>
        <v>25%</v>
      </c>
      <c r="J10" s="3">
        <f>'ATTACK &amp; ARMOR'!B34</f>
        <v>1</v>
      </c>
      <c r="K10" s="3">
        <f>INT(J10*F10*'ATTACK &amp; ARMOR'!$B$37)</f>
        <v>50</v>
      </c>
      <c r="N10" s="3"/>
    </row>
    <row r="11" spans="1:14">
      <c r="A11" s="3"/>
      <c r="B11" s="4"/>
      <c r="C11" s="3"/>
      <c r="D11" s="3"/>
      <c r="E11" s="4"/>
      <c r="F11" s="20">
        <v>20</v>
      </c>
      <c r="G11" s="4" t="s">
        <v>17</v>
      </c>
      <c r="H11" s="3" t="str">
        <f t="shared" si="0"/>
        <v>15%</v>
      </c>
      <c r="I11" s="3" t="str">
        <f t="shared" si="1"/>
        <v>25%</v>
      </c>
      <c r="J11" s="3">
        <f>'ATTACK &amp; ARMOR'!B35</f>
        <v>0.35</v>
      </c>
      <c r="K11" s="3">
        <f>INT(J11*F11*'ATTACK &amp; ARMOR'!$B$37)</f>
        <v>17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20</v>
      </c>
      <c r="G12" s="4" t="s">
        <v>18</v>
      </c>
      <c r="H12" s="3" t="str">
        <f t="shared" si="0"/>
        <v>15%</v>
      </c>
      <c r="I12" s="3" t="str">
        <f t="shared" si="1"/>
        <v>25%</v>
      </c>
      <c r="J12" s="3">
        <f>'ATTACK &amp; ARMOR'!B36</f>
        <v>0.15</v>
      </c>
      <c r="K12" s="3">
        <f>INT(J12*F12*'ATTACK &amp; ARMOR'!$B$37)</f>
        <v>7</v>
      </c>
      <c r="N12" s="5"/>
    </row>
    <row r="13" spans="1:14">
      <c r="A13" s="20">
        <v>0</v>
      </c>
      <c r="B13" s="4" t="s">
        <v>2</v>
      </c>
      <c r="C13" s="3">
        <v>6</v>
      </c>
      <c r="D13" s="5">
        <f>IF(AND($C$4="YES", $C$5="YES"), $A13*$C13, 0)</f>
        <v>0</v>
      </c>
      <c r="E13" s="4"/>
      <c r="F13" s="20">
        <v>0</v>
      </c>
      <c r="G13" s="4" t="s">
        <v>38</v>
      </c>
      <c r="H13" s="3" t="str">
        <f t="shared" si="0"/>
        <v>15%</v>
      </c>
      <c r="I13" s="3" t="str">
        <f t="shared" si="1"/>
        <v>25%</v>
      </c>
      <c r="J13" s="3">
        <f>IF($F13&gt;=0,1,0)</f>
        <v>1</v>
      </c>
      <c r="K13" s="3">
        <f>IF($J13=1, INT(((F13*3)+(A16*C16))/3), 0)</f>
        <v>0</v>
      </c>
      <c r="N13" s="3"/>
    </row>
    <row r="14" spans="1:14">
      <c r="A14" s="20">
        <v>0</v>
      </c>
      <c r="B14" s="4" t="s">
        <v>3</v>
      </c>
      <c r="C14" s="3">
        <v>8</v>
      </c>
      <c r="D14" s="5">
        <f>IF($C$4="YES", $A14*$C14, 0)</f>
        <v>0</v>
      </c>
      <c r="E14" s="4"/>
      <c r="F14" s="3"/>
      <c r="G14" s="4" t="s">
        <v>34</v>
      </c>
      <c r="H14" s="3"/>
      <c r="I14" s="3"/>
      <c r="J14" s="3"/>
      <c r="K14" s="5">
        <f>SUM(K9:K13)</f>
        <v>104</v>
      </c>
      <c r="N14" s="3"/>
    </row>
    <row r="15" spans="1:14">
      <c r="A15" s="20">
        <v>4</v>
      </c>
      <c r="B15" s="4" t="s">
        <v>4</v>
      </c>
      <c r="C15" s="3">
        <v>5</v>
      </c>
      <c r="D15" s="5">
        <f>IF($C$4&lt;&gt;"YES", $A15*$C15, 0)</f>
        <v>20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0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139</v>
      </c>
      <c r="I16" s="163"/>
      <c r="J16" s="163"/>
      <c r="K16" s="163"/>
      <c r="N16" s="3"/>
    </row>
    <row r="17" spans="1:14">
      <c r="A17" s="20">
        <v>4</v>
      </c>
      <c r="B17" s="4" t="s">
        <v>6</v>
      </c>
      <c r="C17" s="3">
        <v>0</v>
      </c>
      <c r="D17" s="5" t="s">
        <v>30</v>
      </c>
      <c r="E17" s="4"/>
      <c r="F17" s="20">
        <v>20</v>
      </c>
      <c r="G17" s="4" t="s">
        <v>9</v>
      </c>
      <c r="H17" s="3"/>
      <c r="I17" s="3"/>
      <c r="J17" s="3">
        <f>IF($F17&gt;=0,1,0)</f>
        <v>1</v>
      </c>
      <c r="K17" s="3">
        <f>IF($J17=1, INT($F17*'ATTACK &amp; ARMOR'!$B$10 + $A23*'ATTACK &amp; ARMOR'!$B$9 + $A$19*'ATTACK &amp; ARMOR'!$B$8), 0)</f>
        <v>335</v>
      </c>
      <c r="N17" s="3"/>
    </row>
    <row r="18" spans="1:14">
      <c r="A18" s="20">
        <v>0</v>
      </c>
      <c r="B18" s="4" t="s">
        <v>7</v>
      </c>
      <c r="C18" s="3">
        <v>0</v>
      </c>
      <c r="D18" s="5" t="s">
        <v>30</v>
      </c>
      <c r="E18" s="4"/>
      <c r="F18" s="20">
        <v>-1</v>
      </c>
      <c r="G18" s="4" t="s">
        <v>10</v>
      </c>
      <c r="H18" s="3"/>
      <c r="I18" s="3"/>
      <c r="J18" s="3">
        <f t="shared" ref="J18:J19" si="2">IF($F18&gt;=0,1,0)</f>
        <v>0</v>
      </c>
      <c r="K18" s="3">
        <f>IF($J18=1, INT($F18*'ATTACK &amp; ARMOR'!$B$10 + $A24*'ATTACK &amp; ARMOR'!$B$9 + $A$19*'ATTACK &amp; ARMOR'!$B$8), 0)</f>
        <v>0</v>
      </c>
      <c r="N18" s="3"/>
    </row>
    <row r="19" spans="1:14">
      <c r="A19" s="20">
        <v>1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0</v>
      </c>
      <c r="B20" s="4" t="s">
        <v>29</v>
      </c>
      <c r="C20" s="3">
        <v>10</v>
      </c>
      <c r="D20" s="5">
        <f>$A20*$C20</f>
        <v>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134</v>
      </c>
      <c r="N20" s="3">
        <f>IF($C$5="YES", INT(K20*-0.15), 0)</f>
        <v>-21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141</v>
      </c>
      <c r="I22" s="163"/>
      <c r="J22" s="163"/>
      <c r="K22" s="163"/>
      <c r="N22" s="5"/>
    </row>
    <row r="23" spans="1:14">
      <c r="A23" s="20">
        <v>100</v>
      </c>
      <c r="B23" s="4" t="s">
        <v>9</v>
      </c>
      <c r="C23" s="3"/>
      <c r="D23" s="3"/>
      <c r="E23" s="4"/>
      <c r="F23" s="20">
        <v>80</v>
      </c>
      <c r="G23" s="4" t="s">
        <v>12</v>
      </c>
      <c r="H23" s="3"/>
      <c r="I23" s="3"/>
      <c r="J23" s="3">
        <f>IF($F23&gt;=0,1,0)</f>
        <v>1</v>
      </c>
      <c r="K23" s="3">
        <f>IF($J23=1, INT($F23*'ATTACK &amp; ARMOR'!$B$10 + $A26*'ATTACK &amp; ARMOR'!$B$9 + $A17*'ATTACK &amp; ARMOR'!$B$8), 0)</f>
        <v>890</v>
      </c>
      <c r="N23" s="3"/>
    </row>
    <row r="24" spans="1:14">
      <c r="A24" s="20">
        <v>0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175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1</v>
      </c>
      <c r="K26" s="5">
        <f>IF(J26&gt;0, INT( (SUM(K23:K25)/J26)*'ATTACK &amp; ARMOR'!$B$13 ), 0)</f>
        <v>356</v>
      </c>
      <c r="N26" s="3">
        <f>IF($C$5="YES", INT(K26*-0.15), 0)</f>
        <v>-54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</v>
      </c>
      <c r="K28" s="5">
        <f>INT(IF($C$4="YES", $C$6*J28, 0) )</f>
        <v>0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3</v>
      </c>
      <c r="D44" s="24">
        <f>C44*175</f>
        <v>525</v>
      </c>
      <c r="E44" s="25">
        <f>(C44+1)*175-1</f>
        <v>699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76" priority="12">
      <formula>$C$5="NO"</formula>
    </cfRule>
  </conditionalFormatting>
  <conditionalFormatting sqref="B13:D14">
    <cfRule type="expression" dxfId="75" priority="11">
      <formula>$C$4="NO"</formula>
    </cfRule>
  </conditionalFormatting>
  <conditionalFormatting sqref="B15:D15">
    <cfRule type="expression" dxfId="74" priority="10">
      <formula>$C$4="YES"</formula>
    </cfRule>
  </conditionalFormatting>
  <conditionalFormatting sqref="K26">
    <cfRule type="expression" dxfId="73" priority="9">
      <formula>$C$5="NO"</formula>
    </cfRule>
  </conditionalFormatting>
  <conditionalFormatting sqref="K26">
    <cfRule type="expression" dxfId="72" priority="8">
      <formula>$C$5="NO"</formula>
    </cfRule>
  </conditionalFormatting>
  <conditionalFormatting sqref="K26">
    <cfRule type="expression" dxfId="71" priority="7">
      <formula>$C$5="NO"</formula>
    </cfRule>
  </conditionalFormatting>
  <conditionalFormatting sqref="K26">
    <cfRule type="expression" dxfId="70" priority="6">
      <formula>$C$5="NO"</formula>
    </cfRule>
  </conditionalFormatting>
  <conditionalFormatting sqref="K26">
    <cfRule type="expression" dxfId="69" priority="5">
      <formula>$C$5="NO"</formula>
    </cfRule>
  </conditionalFormatting>
  <conditionalFormatting sqref="K26">
    <cfRule type="expression" dxfId="68" priority="4">
      <formula>$C$5="NO"</formula>
    </cfRule>
  </conditionalFormatting>
  <conditionalFormatting sqref="K26">
    <cfRule type="expression" dxfId="67" priority="3">
      <formula>$C$5="NO"</formula>
    </cfRule>
  </conditionalFormatting>
  <conditionalFormatting sqref="K26">
    <cfRule type="expression" dxfId="66" priority="2">
      <formula>$C$5="NO"</formula>
    </cfRule>
  </conditionalFormatting>
  <conditionalFormatting sqref="K26">
    <cfRule type="expression" dxfId="65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75"/>
  <sheetViews>
    <sheetView workbookViewId="0">
      <selection activeCell="E4" sqref="E4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187</v>
      </c>
      <c r="D2" s="150"/>
      <c r="E2" s="150"/>
      <c r="F2" s="150"/>
      <c r="G2" s="150"/>
      <c r="H2" s="110"/>
      <c r="I2" s="110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27</v>
      </c>
      <c r="D4" s="111"/>
      <c r="E4" s="14"/>
      <c r="F4" s="16"/>
      <c r="G4" s="22" t="s">
        <v>32</v>
      </c>
      <c r="H4" s="44"/>
      <c r="I4" s="176">
        <f>INT( (C6+K28-N20-N26)*I5*I6/100 )</f>
        <v>1363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27</v>
      </c>
      <c r="D5" s="111"/>
      <c r="E5" s="14"/>
      <c r="F5" s="16"/>
      <c r="G5" s="22" t="s">
        <v>33</v>
      </c>
      <c r="H5" s="44"/>
      <c r="I5" s="176">
        <f>INT( C6/175 )</f>
        <v>7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10">
        <f>INT(SUM(D9:D10)+SUM(D13:D20)+K14+K20+K26+N20+N26)</f>
        <v>1391</v>
      </c>
      <c r="D6" s="111"/>
      <c r="E6" s="14"/>
      <c r="F6" s="16"/>
      <c r="G6" s="14" t="s">
        <v>35</v>
      </c>
      <c r="H6" s="111"/>
      <c r="I6" s="177">
        <f>I5+7</f>
        <v>14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123</v>
      </c>
      <c r="I8" s="163"/>
      <c r="J8" s="163"/>
      <c r="K8" s="163"/>
      <c r="N8" s="5"/>
    </row>
    <row r="9" spans="1:14">
      <c r="A9" s="20">
        <v>28</v>
      </c>
      <c r="B9" s="4" t="s">
        <v>0</v>
      </c>
      <c r="C9" s="3">
        <v>6</v>
      </c>
      <c r="D9" s="5">
        <f>(A9-10)*C9</f>
        <v>108</v>
      </c>
      <c r="E9" s="4"/>
      <c r="F9" s="20">
        <v>100</v>
      </c>
      <c r="G9" s="4" t="s">
        <v>15</v>
      </c>
      <c r="H9" s="3" t="str">
        <f>VLOOKUP($H$8,$B$32:$D$37,2,FALSE) &amp; "%"</f>
        <v>95%</v>
      </c>
      <c r="I9" s="3" t="str">
        <f>VLOOKUP($H$8,$B$32:$D$37,3,FALSE) &amp; "%"</f>
        <v>100%</v>
      </c>
      <c r="J9" s="3">
        <f>'ATTACK &amp; ARMOR'!B33</f>
        <v>0.6</v>
      </c>
      <c r="K9" s="3">
        <f>INT(J9*F9*'ATTACK &amp; ARMOR'!$B$37)</f>
        <v>150</v>
      </c>
      <c r="N9" s="3"/>
    </row>
    <row r="10" spans="1:14">
      <c r="A10" s="20">
        <v>24</v>
      </c>
      <c r="B10" s="4" t="s">
        <v>1</v>
      </c>
      <c r="C10" s="3">
        <v>6</v>
      </c>
      <c r="D10" s="5">
        <f>(A10-10)*C10</f>
        <v>84</v>
      </c>
      <c r="E10" s="4"/>
      <c r="F10" s="20">
        <v>100</v>
      </c>
      <c r="G10" s="4" t="s">
        <v>16</v>
      </c>
      <c r="H10" s="3" t="str">
        <f t="shared" ref="H10:H13" si="0">VLOOKUP($H$8,$B$32:$D$37,2,FALSE) &amp; "%"</f>
        <v>95%</v>
      </c>
      <c r="I10" s="3" t="str">
        <f t="shared" ref="I10:I13" si="1">VLOOKUP($H$8,$B$32:$D$37,3,FALSE) &amp; "%"</f>
        <v>100%</v>
      </c>
      <c r="J10" s="3">
        <f>'ATTACK &amp; ARMOR'!B34</f>
        <v>1</v>
      </c>
      <c r="K10" s="3">
        <f>INT(J10*F10*'ATTACK &amp; ARMOR'!$B$37)</f>
        <v>250</v>
      </c>
      <c r="N10" s="3"/>
    </row>
    <row r="11" spans="1:14">
      <c r="A11" s="3"/>
      <c r="B11" s="4"/>
      <c r="C11" s="3"/>
      <c r="D11" s="3"/>
      <c r="E11" s="4"/>
      <c r="F11" s="20">
        <v>100</v>
      </c>
      <c r="G11" s="4" t="s">
        <v>17</v>
      </c>
      <c r="H11" s="3" t="str">
        <f t="shared" si="0"/>
        <v>95%</v>
      </c>
      <c r="I11" s="3" t="str">
        <f t="shared" si="1"/>
        <v>100%</v>
      </c>
      <c r="J11" s="3">
        <f>'ATTACK &amp; ARMOR'!B35</f>
        <v>0.35</v>
      </c>
      <c r="K11" s="3">
        <f>INT(J11*F11*'ATTACK &amp; ARMOR'!$B$37)</f>
        <v>87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100</v>
      </c>
      <c r="G12" s="4" t="s">
        <v>18</v>
      </c>
      <c r="H12" s="3" t="str">
        <f t="shared" si="0"/>
        <v>95%</v>
      </c>
      <c r="I12" s="3" t="str">
        <f t="shared" si="1"/>
        <v>100%</v>
      </c>
      <c r="J12" s="3">
        <f>'ATTACK &amp; ARMOR'!B36</f>
        <v>0.15</v>
      </c>
      <c r="K12" s="3">
        <f>INT(J12*F12*'ATTACK &amp; ARMOR'!$B$37)</f>
        <v>37</v>
      </c>
      <c r="N12" s="5"/>
    </row>
    <row r="13" spans="1:14">
      <c r="A13" s="20">
        <v>0</v>
      </c>
      <c r="B13" s="4" t="s">
        <v>2</v>
      </c>
      <c r="C13" s="3">
        <v>6</v>
      </c>
      <c r="D13" s="5">
        <f>IF(AND($C$4="YES", $C$5="YES"), $A13*$C13, 0)</f>
        <v>0</v>
      </c>
      <c r="E13" s="4"/>
      <c r="F13" s="20">
        <v>0</v>
      </c>
      <c r="G13" s="4" t="s">
        <v>38</v>
      </c>
      <c r="H13" s="3" t="str">
        <f t="shared" si="0"/>
        <v>95%</v>
      </c>
      <c r="I13" s="3" t="str">
        <f t="shared" si="1"/>
        <v>100%</v>
      </c>
      <c r="J13" s="3">
        <f>IF($F13&gt;=0,1,0)</f>
        <v>1</v>
      </c>
      <c r="K13" s="3">
        <f>IF($J13=1, INT(((F13*3)+(A16*C16))/3), 0)</f>
        <v>0</v>
      </c>
      <c r="N13" s="3"/>
    </row>
    <row r="14" spans="1:14">
      <c r="A14" s="20">
        <v>0</v>
      </c>
      <c r="B14" s="4" t="s">
        <v>3</v>
      </c>
      <c r="C14" s="3">
        <v>8</v>
      </c>
      <c r="D14" s="5">
        <f>IF($C$4="YES", $A14*$C14, 0)</f>
        <v>0</v>
      </c>
      <c r="E14" s="4"/>
      <c r="F14" s="3"/>
      <c r="G14" s="4" t="s">
        <v>34</v>
      </c>
      <c r="H14" s="3"/>
      <c r="I14" s="3"/>
      <c r="J14" s="3"/>
      <c r="K14" s="5">
        <f>SUM(K9:K13)</f>
        <v>524</v>
      </c>
      <c r="N14" s="3"/>
    </row>
    <row r="15" spans="1:14">
      <c r="A15" s="20">
        <v>5</v>
      </c>
      <c r="B15" s="4" t="s">
        <v>4</v>
      </c>
      <c r="C15" s="3">
        <v>5</v>
      </c>
      <c r="D15" s="5">
        <f>IF($C$4&lt;&gt;"YES", $A15*$C15, 0)</f>
        <v>25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0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176</v>
      </c>
      <c r="I16" s="163"/>
      <c r="J16" s="163"/>
      <c r="K16" s="163"/>
      <c r="N16" s="3"/>
    </row>
    <row r="17" spans="1:14">
      <c r="A17" s="20">
        <v>0</v>
      </c>
      <c r="B17" s="4" t="s">
        <v>6</v>
      </c>
      <c r="C17" s="3">
        <v>0</v>
      </c>
      <c r="D17" s="5" t="s">
        <v>30</v>
      </c>
      <c r="E17" s="4"/>
      <c r="F17" s="20">
        <v>100</v>
      </c>
      <c r="G17" s="4" t="s">
        <v>9</v>
      </c>
      <c r="H17" s="3"/>
      <c r="I17" s="3"/>
      <c r="J17" s="3">
        <f>IF($F17&gt;=0,1,0)</f>
        <v>1</v>
      </c>
      <c r="K17" s="3">
        <f>IF($J17=1, INT($F17*'ATTACK &amp; ARMOR'!$B$10 + $A23*'ATTACK &amp; ARMOR'!$B$9 + $A$19*'ATTACK &amp; ARMOR'!$B$8), 0)</f>
        <v>1450</v>
      </c>
      <c r="N17" s="3"/>
    </row>
    <row r="18" spans="1:14">
      <c r="A18" s="20">
        <v>0</v>
      </c>
      <c r="B18" s="4" t="s">
        <v>7</v>
      </c>
      <c r="C18" s="3">
        <v>0</v>
      </c>
      <c r="D18" s="5" t="s">
        <v>30</v>
      </c>
      <c r="E18" s="4"/>
      <c r="F18" s="20">
        <v>-1</v>
      </c>
      <c r="G18" s="4" t="s">
        <v>10</v>
      </c>
      <c r="H18" s="3"/>
      <c r="I18" s="3"/>
      <c r="J18" s="3">
        <f t="shared" ref="J18:J19" si="2">IF($F18&gt;=0,1,0)</f>
        <v>0</v>
      </c>
      <c r="K18" s="3">
        <f>IF($J18=1, INT($F18*'ATTACK &amp; ARMOR'!$B$10 + $A24*'ATTACK &amp; ARMOR'!$B$9 + $A$19*'ATTACK &amp; ARMOR'!$B$8), 0)</f>
        <v>0</v>
      </c>
      <c r="N18" s="3"/>
    </row>
    <row r="19" spans="1:14">
      <c r="A19" s="20">
        <v>8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7</v>
      </c>
      <c r="B20" s="4" t="s">
        <v>29</v>
      </c>
      <c r="C20" s="3">
        <v>10</v>
      </c>
      <c r="D20" s="5">
        <f>$A20*$C20</f>
        <v>70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580</v>
      </c>
      <c r="N20" s="3">
        <f>IF($C$5="YES", INT(K20*-0.15), 0)</f>
        <v>0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177</v>
      </c>
      <c r="I22" s="163"/>
      <c r="J22" s="163"/>
      <c r="K22" s="163"/>
      <c r="N22" s="5"/>
    </row>
    <row r="23" spans="1:14">
      <c r="A23" s="20">
        <v>275</v>
      </c>
      <c r="B23" s="4" t="s">
        <v>9</v>
      </c>
      <c r="C23" s="3"/>
      <c r="D23" s="3"/>
      <c r="E23" s="4"/>
      <c r="F23" s="20">
        <v>-1</v>
      </c>
      <c r="G23" s="4" t="s">
        <v>12</v>
      </c>
      <c r="H23" s="3"/>
      <c r="I23" s="3"/>
      <c r="J23" s="3">
        <f>IF($F23&gt;=0,1,0)</f>
        <v>0</v>
      </c>
      <c r="K23" s="3">
        <f>IF($J23=1, INT($F23*'ATTACK &amp; ARMOR'!$B$10 + $A26*'ATTACK &amp; ARMOR'!$B$9 + $A17*'ATTACK &amp; ARMOR'!$B$8), 0)</f>
        <v>0</v>
      </c>
      <c r="N23" s="3"/>
    </row>
    <row r="24" spans="1:14">
      <c r="A24" s="20">
        <v>0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0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0</v>
      </c>
      <c r="K26" s="5">
        <f>IF(J26&gt;0, INT( (SUM(K23:K25)/J26)*'ATTACK &amp; ARMOR'!$B$13 ), 0)</f>
        <v>0</v>
      </c>
      <c r="N26" s="3">
        <f>IF($C$5="YES", INT(K26*-0.15), 0)</f>
        <v>0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</v>
      </c>
      <c r="K28" s="5">
        <f>INT(IF($C$4="YES", $C$6*J28, 0) )</f>
        <v>0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7</v>
      </c>
      <c r="D44" s="24">
        <f>C44*175</f>
        <v>1225</v>
      </c>
      <c r="E44" s="25">
        <f>(C44+1)*175-1</f>
        <v>1399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64" priority="12">
      <formula>$C$5="NO"</formula>
    </cfRule>
  </conditionalFormatting>
  <conditionalFormatting sqref="B13:D14">
    <cfRule type="expression" dxfId="63" priority="11">
      <formula>$C$4="NO"</formula>
    </cfRule>
  </conditionalFormatting>
  <conditionalFormatting sqref="B15:D15">
    <cfRule type="expression" dxfId="62" priority="10">
      <formula>$C$4="YES"</formula>
    </cfRule>
  </conditionalFormatting>
  <conditionalFormatting sqref="K26">
    <cfRule type="expression" dxfId="61" priority="9">
      <formula>$C$5="NO"</formula>
    </cfRule>
  </conditionalFormatting>
  <conditionalFormatting sqref="K26">
    <cfRule type="expression" dxfId="60" priority="8">
      <formula>$C$5="NO"</formula>
    </cfRule>
  </conditionalFormatting>
  <conditionalFormatting sqref="K26">
    <cfRule type="expression" dxfId="59" priority="7">
      <formula>$C$5="NO"</formula>
    </cfRule>
  </conditionalFormatting>
  <conditionalFormatting sqref="K26">
    <cfRule type="expression" dxfId="58" priority="6">
      <formula>$C$5="NO"</formula>
    </cfRule>
  </conditionalFormatting>
  <conditionalFormatting sqref="K26">
    <cfRule type="expression" dxfId="57" priority="5">
      <formula>$C$5="NO"</formula>
    </cfRule>
  </conditionalFormatting>
  <conditionalFormatting sqref="K26">
    <cfRule type="expression" dxfId="56" priority="4">
      <formula>$C$5="NO"</formula>
    </cfRule>
  </conditionalFormatting>
  <conditionalFormatting sqref="K26">
    <cfRule type="expression" dxfId="55" priority="3">
      <formula>$C$5="NO"</formula>
    </cfRule>
  </conditionalFormatting>
  <conditionalFormatting sqref="K26">
    <cfRule type="expression" dxfId="54" priority="2">
      <formula>$C$5="NO"</formula>
    </cfRule>
  </conditionalFormatting>
  <conditionalFormatting sqref="K26">
    <cfRule type="expression" dxfId="53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75"/>
  <sheetViews>
    <sheetView workbookViewId="0">
      <selection activeCell="F18" sqref="F18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157</v>
      </c>
      <c r="D2" s="150"/>
      <c r="E2" s="150"/>
      <c r="F2" s="150"/>
      <c r="G2" s="150"/>
      <c r="H2" s="119"/>
      <c r="I2" s="119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27</v>
      </c>
      <c r="D4" s="120"/>
      <c r="E4" s="14"/>
      <c r="F4" s="16"/>
      <c r="G4" s="22" t="s">
        <v>32</v>
      </c>
      <c r="H4" s="44"/>
      <c r="I4" s="176">
        <f>INT( (C6+K28-N20-N26)*I5*I6/100 )</f>
        <v>925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27</v>
      </c>
      <c r="D5" s="120"/>
      <c r="E5" s="14"/>
      <c r="F5" s="16"/>
      <c r="G5" s="22" t="s">
        <v>33</v>
      </c>
      <c r="H5" s="44"/>
      <c r="I5" s="176">
        <f>INT( C6/175 )</f>
        <v>6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19">
        <f>INT(SUM(D9:D10)+SUM(D13:D20)+K14+K20+K26+N20+N26)</f>
        <v>1186</v>
      </c>
      <c r="D6" s="120"/>
      <c r="E6" s="14"/>
      <c r="F6" s="16"/>
      <c r="G6" s="14" t="s">
        <v>35</v>
      </c>
      <c r="H6" s="120"/>
      <c r="I6" s="177">
        <f>I5+7</f>
        <v>13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122</v>
      </c>
      <c r="I8" s="163"/>
      <c r="J8" s="163"/>
      <c r="K8" s="163"/>
      <c r="N8" s="5"/>
    </row>
    <row r="9" spans="1:14">
      <c r="A9" s="20">
        <v>24</v>
      </c>
      <c r="B9" s="4" t="s">
        <v>0</v>
      </c>
      <c r="C9" s="3">
        <v>6</v>
      </c>
      <c r="D9" s="5">
        <f>(A9-10)*C9</f>
        <v>84</v>
      </c>
      <c r="E9" s="4"/>
      <c r="F9" s="20">
        <v>80</v>
      </c>
      <c r="G9" s="4" t="s">
        <v>15</v>
      </c>
      <c r="H9" s="3" t="str">
        <f>VLOOKUP($H$8,$B$32:$D$37,2,FALSE) &amp; "%"</f>
        <v>75%</v>
      </c>
      <c r="I9" s="3" t="str">
        <f>VLOOKUP($H$8,$B$32:$D$37,3,FALSE) &amp; "%"</f>
        <v>85%</v>
      </c>
      <c r="J9" s="3">
        <f>'ATTACK &amp; ARMOR'!B33</f>
        <v>0.6</v>
      </c>
      <c r="K9" s="3">
        <f>INT(J9*F9*'ATTACK &amp; ARMOR'!$B$37)</f>
        <v>120</v>
      </c>
      <c r="N9" s="3"/>
    </row>
    <row r="10" spans="1:14">
      <c r="A10" s="20">
        <v>24</v>
      </c>
      <c r="B10" s="4" t="s">
        <v>1</v>
      </c>
      <c r="C10" s="3">
        <v>6</v>
      </c>
      <c r="D10" s="5">
        <f>(A10-10)*C10</f>
        <v>84</v>
      </c>
      <c r="E10" s="4"/>
      <c r="F10" s="20">
        <v>80</v>
      </c>
      <c r="G10" s="4" t="s">
        <v>16</v>
      </c>
      <c r="H10" s="3" t="str">
        <f t="shared" ref="H10:H13" si="0">VLOOKUP($H$8,$B$32:$D$37,2,FALSE) &amp; "%"</f>
        <v>75%</v>
      </c>
      <c r="I10" s="3" t="str">
        <f t="shared" ref="I10:I13" si="1">VLOOKUP($H$8,$B$32:$D$37,3,FALSE) &amp; "%"</f>
        <v>85%</v>
      </c>
      <c r="J10" s="3">
        <f>'ATTACK &amp; ARMOR'!B34</f>
        <v>1</v>
      </c>
      <c r="K10" s="3">
        <f>INT(J10*F10*'ATTACK &amp; ARMOR'!$B$37)</f>
        <v>200</v>
      </c>
      <c r="N10" s="3"/>
    </row>
    <row r="11" spans="1:14">
      <c r="A11" s="3"/>
      <c r="B11" s="4"/>
      <c r="C11" s="3"/>
      <c r="D11" s="3"/>
      <c r="E11" s="4"/>
      <c r="F11" s="20">
        <v>80</v>
      </c>
      <c r="G11" s="4" t="s">
        <v>17</v>
      </c>
      <c r="H11" s="3" t="str">
        <f t="shared" si="0"/>
        <v>75%</v>
      </c>
      <c r="I11" s="3" t="str">
        <f t="shared" si="1"/>
        <v>85%</v>
      </c>
      <c r="J11" s="3">
        <f>'ATTACK &amp; ARMOR'!B35</f>
        <v>0.35</v>
      </c>
      <c r="K11" s="3">
        <f>INT(J11*F11*'ATTACK &amp; ARMOR'!$B$37)</f>
        <v>70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80</v>
      </c>
      <c r="G12" s="4" t="s">
        <v>18</v>
      </c>
      <c r="H12" s="3" t="str">
        <f t="shared" si="0"/>
        <v>75%</v>
      </c>
      <c r="I12" s="3" t="str">
        <f t="shared" si="1"/>
        <v>85%</v>
      </c>
      <c r="J12" s="3">
        <f>'ATTACK &amp; ARMOR'!B36</f>
        <v>0.15</v>
      </c>
      <c r="K12" s="3">
        <f>INT(J12*F12*'ATTACK &amp; ARMOR'!$B$37)</f>
        <v>30</v>
      </c>
      <c r="N12" s="5"/>
    </row>
    <row r="13" spans="1:14">
      <c r="A13" s="20">
        <v>0</v>
      </c>
      <c r="B13" s="4" t="s">
        <v>2</v>
      </c>
      <c r="C13" s="3">
        <v>6</v>
      </c>
      <c r="D13" s="5">
        <f>IF(AND($C$4="YES", $C$5="YES"), $A13*$C13, 0)</f>
        <v>0</v>
      </c>
      <c r="E13" s="4"/>
      <c r="F13" s="20">
        <v>75</v>
      </c>
      <c r="G13" s="4" t="s">
        <v>38</v>
      </c>
      <c r="H13" s="3" t="str">
        <f t="shared" si="0"/>
        <v>75%</v>
      </c>
      <c r="I13" s="3" t="str">
        <f t="shared" si="1"/>
        <v>85%</v>
      </c>
      <c r="J13" s="3">
        <f>IF($F13&gt;=0,1,0)</f>
        <v>1</v>
      </c>
      <c r="K13" s="3">
        <f>IF($J13=1, INT(((F13*3)+(A16*C16))/3), 0)</f>
        <v>88</v>
      </c>
      <c r="N13" s="3"/>
    </row>
    <row r="14" spans="1:14">
      <c r="A14" s="20">
        <v>0</v>
      </c>
      <c r="B14" s="4" t="s">
        <v>3</v>
      </c>
      <c r="C14" s="3">
        <v>8</v>
      </c>
      <c r="D14" s="5">
        <f>IF($C$4="YES", $A14*$C14, 0)</f>
        <v>0</v>
      </c>
      <c r="E14" s="4"/>
      <c r="F14" s="3"/>
      <c r="G14" s="4" t="s">
        <v>34</v>
      </c>
      <c r="H14" s="3"/>
      <c r="I14" s="3"/>
      <c r="J14" s="3"/>
      <c r="K14" s="5">
        <f>SUM(K9:K13)</f>
        <v>508</v>
      </c>
      <c r="N14" s="3"/>
    </row>
    <row r="15" spans="1:14">
      <c r="A15" s="20">
        <v>6</v>
      </c>
      <c r="B15" s="4" t="s">
        <v>4</v>
      </c>
      <c r="C15" s="3">
        <v>5</v>
      </c>
      <c r="D15" s="5">
        <f>IF($C$4&lt;&gt;"YES", $A15*$C15, 0)</f>
        <v>30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5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165</v>
      </c>
      <c r="I16" s="163"/>
      <c r="J16" s="163"/>
      <c r="K16" s="163"/>
      <c r="N16" s="3"/>
    </row>
    <row r="17" spans="1:14">
      <c r="A17" s="20">
        <v>0</v>
      </c>
      <c r="B17" s="4" t="s">
        <v>6</v>
      </c>
      <c r="C17" s="3">
        <v>0</v>
      </c>
      <c r="D17" s="5" t="s">
        <v>30</v>
      </c>
      <c r="E17" s="4"/>
      <c r="F17" s="20">
        <v>100</v>
      </c>
      <c r="G17" s="4" t="s">
        <v>9</v>
      </c>
      <c r="H17" s="3"/>
      <c r="I17" s="3"/>
      <c r="J17" s="3">
        <f>IF($F17&gt;=0,1,0)</f>
        <v>1</v>
      </c>
      <c r="K17" s="3">
        <f>IF($J17=1, INT($F17*'ATTACK &amp; ARMOR'!$B$10 + $A23*'ATTACK &amp; ARMOR'!$B$9 + $A$19*'ATTACK &amp; ARMOR'!$B$8), 0)</f>
        <v>1075</v>
      </c>
      <c r="N17" s="3"/>
    </row>
    <row r="18" spans="1:14">
      <c r="A18" s="20">
        <v>0</v>
      </c>
      <c r="B18" s="4" t="s">
        <v>7</v>
      </c>
      <c r="C18" s="3">
        <v>0</v>
      </c>
      <c r="D18" s="5" t="s">
        <v>30</v>
      </c>
      <c r="E18" s="4"/>
      <c r="F18" s="20">
        <v>-1</v>
      </c>
      <c r="G18" s="4" t="s">
        <v>10</v>
      </c>
      <c r="H18" s="3"/>
      <c r="I18" s="3"/>
      <c r="J18" s="3">
        <f t="shared" ref="J18:J19" si="2">IF($F18&gt;=0,1,0)</f>
        <v>0</v>
      </c>
      <c r="K18" s="3">
        <f>IF($J18=1, INT($F18*'ATTACK &amp; ARMOR'!$B$10 + $A24*'ATTACK &amp; ARMOR'!$B$9 + $A$19*'ATTACK &amp; ARMOR'!$B$8), 0)</f>
        <v>0</v>
      </c>
      <c r="N18" s="3"/>
    </row>
    <row r="19" spans="1:14">
      <c r="A19" s="20">
        <v>5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5</v>
      </c>
      <c r="B20" s="4" t="s">
        <v>29</v>
      </c>
      <c r="C20" s="3">
        <v>10</v>
      </c>
      <c r="D20" s="5">
        <f>$A20*$C20</f>
        <v>50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430</v>
      </c>
      <c r="N20" s="3">
        <f>IF($C$5="YES", INT(K20*-0.15), 0)</f>
        <v>0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177</v>
      </c>
      <c r="I22" s="163"/>
      <c r="J22" s="163"/>
      <c r="K22" s="163"/>
      <c r="N22" s="5"/>
    </row>
    <row r="23" spans="1:14">
      <c r="A23" s="20">
        <v>200</v>
      </c>
      <c r="B23" s="4" t="s">
        <v>9</v>
      </c>
      <c r="C23" s="3"/>
      <c r="D23" s="3"/>
      <c r="E23" s="4"/>
      <c r="F23" s="20">
        <v>-1</v>
      </c>
      <c r="G23" s="4" t="s">
        <v>12</v>
      </c>
      <c r="H23" s="3"/>
      <c r="I23" s="3"/>
      <c r="J23" s="3">
        <f>IF($F23&gt;=0,1,0)</f>
        <v>0</v>
      </c>
      <c r="K23" s="3">
        <f>IF($J23=1, INT($F23*'ATTACK &amp; ARMOR'!$B$10 + $A26*'ATTACK &amp; ARMOR'!$B$9 + $A17*'ATTACK &amp; ARMOR'!$B$8), 0)</f>
        <v>0</v>
      </c>
      <c r="N23" s="3"/>
    </row>
    <row r="24" spans="1:14">
      <c r="A24" s="20">
        <v>0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0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0</v>
      </c>
      <c r="K26" s="5">
        <f>IF(J26&gt;0, INT( (SUM(K23:K25)/J26)*'ATTACK &amp; ARMOR'!$B$13 ), 0)</f>
        <v>0</v>
      </c>
      <c r="N26" s="3">
        <f>IF($C$5="YES", INT(K26*-0.15), 0)</f>
        <v>0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</v>
      </c>
      <c r="K28" s="5">
        <f>INT(IF($C$4="YES", $C$6*J28, 0) )</f>
        <v>0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6</v>
      </c>
      <c r="D44" s="24">
        <f>C44*175</f>
        <v>1050</v>
      </c>
      <c r="E44" s="25">
        <f>(C44+1)*175-1</f>
        <v>1224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52" priority="12">
      <formula>$C$5="NO"</formula>
    </cfRule>
  </conditionalFormatting>
  <conditionalFormatting sqref="B13:D14">
    <cfRule type="expression" dxfId="51" priority="11">
      <formula>$C$4="NO"</formula>
    </cfRule>
  </conditionalFormatting>
  <conditionalFormatting sqref="B15:D15">
    <cfRule type="expression" dxfId="50" priority="10">
      <formula>$C$4="YES"</formula>
    </cfRule>
  </conditionalFormatting>
  <conditionalFormatting sqref="K26">
    <cfRule type="expression" dxfId="49" priority="9">
      <formula>$C$5="NO"</formula>
    </cfRule>
  </conditionalFormatting>
  <conditionalFormatting sqref="K26">
    <cfRule type="expression" dxfId="48" priority="8">
      <formula>$C$5="NO"</formula>
    </cfRule>
  </conditionalFormatting>
  <conditionalFormatting sqref="K26">
    <cfRule type="expression" dxfId="47" priority="7">
      <formula>$C$5="NO"</formula>
    </cfRule>
  </conditionalFormatting>
  <conditionalFormatting sqref="K26">
    <cfRule type="expression" dxfId="46" priority="6">
      <formula>$C$5="NO"</formula>
    </cfRule>
  </conditionalFormatting>
  <conditionalFormatting sqref="K26">
    <cfRule type="expression" dxfId="45" priority="5">
      <formula>$C$5="NO"</formula>
    </cfRule>
  </conditionalFormatting>
  <conditionalFormatting sqref="K26">
    <cfRule type="expression" dxfId="44" priority="4">
      <formula>$C$5="NO"</formula>
    </cfRule>
  </conditionalFormatting>
  <conditionalFormatting sqref="K26">
    <cfRule type="expression" dxfId="43" priority="3">
      <formula>$C$5="NO"</formula>
    </cfRule>
  </conditionalFormatting>
  <conditionalFormatting sqref="K26">
    <cfRule type="expression" dxfId="42" priority="2">
      <formula>$C$5="NO"</formula>
    </cfRule>
  </conditionalFormatting>
  <conditionalFormatting sqref="K26">
    <cfRule type="expression" dxfId="41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K3" sqref="K3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174</v>
      </c>
      <c r="D2" s="150"/>
      <c r="E2" s="150"/>
      <c r="F2" s="150"/>
      <c r="G2" s="150"/>
      <c r="H2" s="108"/>
      <c r="I2" s="108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26</v>
      </c>
      <c r="D4" s="109"/>
      <c r="E4" s="14"/>
      <c r="F4" s="16"/>
      <c r="G4" s="22" t="s">
        <v>32</v>
      </c>
      <c r="H4" s="44"/>
      <c r="I4" s="176">
        <f>INT( (C6+K28-N20-N26)*I5*I6/100 )</f>
        <v>2854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26</v>
      </c>
      <c r="D5" s="109"/>
      <c r="E5" s="14"/>
      <c r="F5" s="16"/>
      <c r="G5" s="22" t="s">
        <v>33</v>
      </c>
      <c r="H5" s="44"/>
      <c r="I5" s="176">
        <f>INT( C6/175 )</f>
        <v>8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08">
        <f>INT(SUM(D9:D10)+SUM(D13:D20)+K14+K20+K26+N20+N26)</f>
        <v>1531</v>
      </c>
      <c r="D6" s="109"/>
      <c r="E6" s="14"/>
      <c r="F6" s="16"/>
      <c r="G6" s="14" t="s">
        <v>35</v>
      </c>
      <c r="H6" s="109"/>
      <c r="I6" s="177">
        <f>I5+7</f>
        <v>15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121</v>
      </c>
      <c r="I8" s="163"/>
      <c r="J8" s="163"/>
      <c r="K8" s="163"/>
      <c r="N8" s="5"/>
    </row>
    <row r="9" spans="1:14">
      <c r="A9" s="20">
        <v>24</v>
      </c>
      <c r="B9" s="4" t="s">
        <v>0</v>
      </c>
      <c r="C9" s="3">
        <v>6</v>
      </c>
      <c r="D9" s="5">
        <f>(A9-10)*C9</f>
        <v>84</v>
      </c>
      <c r="E9" s="4"/>
      <c r="F9" s="20">
        <v>65</v>
      </c>
      <c r="G9" s="4" t="s">
        <v>15</v>
      </c>
      <c r="H9" s="3" t="str">
        <f>VLOOKUP($H$8,$B$32:$D$37,2,FALSE) &amp; "%"</f>
        <v>55%</v>
      </c>
      <c r="I9" s="3" t="str">
        <f>VLOOKUP($H$8,$B$32:$D$37,3,FALSE) &amp; "%"</f>
        <v>65%</v>
      </c>
      <c r="J9" s="3">
        <f>'ATTACK &amp; ARMOR'!B33</f>
        <v>0.6</v>
      </c>
      <c r="K9" s="3">
        <f>INT(J9*F9*'ATTACK &amp; ARMOR'!$B$37)</f>
        <v>97</v>
      </c>
      <c r="N9" s="3"/>
    </row>
    <row r="10" spans="1:14">
      <c r="A10" s="20">
        <v>24</v>
      </c>
      <c r="B10" s="4" t="s">
        <v>1</v>
      </c>
      <c r="C10" s="3">
        <v>6</v>
      </c>
      <c r="D10" s="5">
        <f>(A10-10)*C10</f>
        <v>84</v>
      </c>
      <c r="E10" s="4"/>
      <c r="F10" s="20">
        <v>65</v>
      </c>
      <c r="G10" s="4" t="s">
        <v>16</v>
      </c>
      <c r="H10" s="3" t="str">
        <f t="shared" ref="H10:H13" si="0">VLOOKUP($H$8,$B$32:$D$37,2,FALSE) &amp; "%"</f>
        <v>55%</v>
      </c>
      <c r="I10" s="3" t="str">
        <f t="shared" ref="I10:I13" si="1">VLOOKUP($H$8,$B$32:$D$37,3,FALSE) &amp; "%"</f>
        <v>65%</v>
      </c>
      <c r="J10" s="3">
        <f>'ATTACK &amp; ARMOR'!B34</f>
        <v>1</v>
      </c>
      <c r="K10" s="3">
        <f>INT(J10*F10*'ATTACK &amp; ARMOR'!$B$37)</f>
        <v>162</v>
      </c>
      <c r="N10" s="3"/>
    </row>
    <row r="11" spans="1:14">
      <c r="A11" s="3"/>
      <c r="B11" s="4"/>
      <c r="C11" s="3"/>
      <c r="D11" s="3"/>
      <c r="E11" s="4"/>
      <c r="F11" s="20">
        <v>65</v>
      </c>
      <c r="G11" s="4" t="s">
        <v>17</v>
      </c>
      <c r="H11" s="3" t="str">
        <f t="shared" si="0"/>
        <v>55%</v>
      </c>
      <c r="I11" s="3" t="str">
        <f t="shared" si="1"/>
        <v>65%</v>
      </c>
      <c r="J11" s="3">
        <f>'ATTACK &amp; ARMOR'!B35</f>
        <v>0.35</v>
      </c>
      <c r="K11" s="3">
        <f>INT(J11*F11*'ATTACK &amp; ARMOR'!$B$37)</f>
        <v>56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65</v>
      </c>
      <c r="G12" s="4" t="s">
        <v>18</v>
      </c>
      <c r="H12" s="3" t="str">
        <f t="shared" si="0"/>
        <v>55%</v>
      </c>
      <c r="I12" s="3" t="str">
        <f t="shared" si="1"/>
        <v>65%</v>
      </c>
      <c r="J12" s="3">
        <f>'ATTACK &amp; ARMOR'!B36</f>
        <v>0.15</v>
      </c>
      <c r="K12" s="3">
        <f>INT(J12*F12*'ATTACK &amp; ARMOR'!$B$37)</f>
        <v>24</v>
      </c>
      <c r="N12" s="5"/>
    </row>
    <row r="13" spans="1:14">
      <c r="A13" s="20">
        <v>6</v>
      </c>
      <c r="B13" s="4" t="s">
        <v>2</v>
      </c>
      <c r="C13" s="3">
        <v>6</v>
      </c>
      <c r="D13" s="5">
        <f>IF(AND($C$4="YES", $C$5="YES"), $A13*$C13, 0)</f>
        <v>36</v>
      </c>
      <c r="E13" s="4"/>
      <c r="F13" s="20">
        <v>0</v>
      </c>
      <c r="G13" s="4" t="s">
        <v>38</v>
      </c>
      <c r="H13" s="3" t="str">
        <f t="shared" si="0"/>
        <v>55%</v>
      </c>
      <c r="I13" s="3" t="str">
        <f t="shared" si="1"/>
        <v>65%</v>
      </c>
      <c r="J13" s="3">
        <f>IF($F13&gt;=0,1,0)</f>
        <v>1</v>
      </c>
      <c r="K13" s="3">
        <f>IF($J13=1, INT(((F13*3)+(A16*C16))/3), 0)</f>
        <v>0</v>
      </c>
      <c r="N13" s="3"/>
    </row>
    <row r="14" spans="1:14">
      <c r="A14" s="20">
        <v>6</v>
      </c>
      <c r="B14" s="4" t="s">
        <v>3</v>
      </c>
      <c r="C14" s="3">
        <v>8</v>
      </c>
      <c r="D14" s="5">
        <f>IF($C$4="YES", $A14*$C14, 0)</f>
        <v>48</v>
      </c>
      <c r="E14" s="4"/>
      <c r="F14" s="3"/>
      <c r="G14" s="4" t="s">
        <v>34</v>
      </c>
      <c r="H14" s="3"/>
      <c r="I14" s="3"/>
      <c r="J14" s="3"/>
      <c r="K14" s="5">
        <f>SUM(K9:K13)</f>
        <v>339</v>
      </c>
      <c r="N14" s="3"/>
    </row>
    <row r="15" spans="1:14">
      <c r="A15" s="20">
        <v>4</v>
      </c>
      <c r="B15" s="4" t="s">
        <v>4</v>
      </c>
      <c r="C15" s="3">
        <v>5</v>
      </c>
      <c r="D15" s="5">
        <f>IF($C$4&lt;&gt;"YES", $A15*$C15, 0)</f>
        <v>0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0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175</v>
      </c>
      <c r="I16" s="163"/>
      <c r="J16" s="163"/>
      <c r="K16" s="163"/>
      <c r="N16" s="3"/>
    </row>
    <row r="17" spans="1:14">
      <c r="A17" s="20">
        <v>7</v>
      </c>
      <c r="B17" s="4" t="s">
        <v>6</v>
      </c>
      <c r="C17" s="3">
        <v>0</v>
      </c>
      <c r="D17" s="5" t="s">
        <v>30</v>
      </c>
      <c r="E17" s="4"/>
      <c r="F17" s="20">
        <v>-1</v>
      </c>
      <c r="G17" s="4" t="s">
        <v>9</v>
      </c>
      <c r="H17" s="3"/>
      <c r="I17" s="3"/>
      <c r="J17" s="3">
        <f>IF($F17&gt;=0,1,0)</f>
        <v>0</v>
      </c>
      <c r="K17" s="3">
        <f>IF($J17=1, INT($F17*'ATTACK &amp; ARMOR'!$B$10 + $A23*'ATTACK &amp; ARMOR'!$B$9 + $A$19*'ATTACK &amp; ARMOR'!$B$8), 0)</f>
        <v>0</v>
      </c>
      <c r="N17" s="3"/>
    </row>
    <row r="18" spans="1:14">
      <c r="A18" s="20">
        <v>0</v>
      </c>
      <c r="B18" s="4" t="s">
        <v>7</v>
      </c>
      <c r="C18" s="3">
        <v>0</v>
      </c>
      <c r="D18" s="5" t="s">
        <v>30</v>
      </c>
      <c r="E18" s="4"/>
      <c r="F18" s="20">
        <v>100</v>
      </c>
      <c r="G18" s="4" t="s">
        <v>10</v>
      </c>
      <c r="H18" s="3"/>
      <c r="I18" s="3"/>
      <c r="J18" s="3">
        <f t="shared" ref="J18:J19" si="2">IF($F18&gt;=0,1,0)</f>
        <v>1</v>
      </c>
      <c r="K18" s="3">
        <f>IF($J18=1, INT($F18*'ATTACK &amp; ARMOR'!$B$10 + $A24*'ATTACK &amp; ARMOR'!$B$9 + $A$19*'ATTACK &amp; ARMOR'!$B$8), 0)</f>
        <v>1325</v>
      </c>
      <c r="N18" s="3"/>
    </row>
    <row r="19" spans="1:14">
      <c r="A19" s="20">
        <v>7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4</v>
      </c>
      <c r="B20" s="4" t="s">
        <v>29</v>
      </c>
      <c r="C20" s="3">
        <v>10</v>
      </c>
      <c r="D20" s="5">
        <f>$A20*$C20</f>
        <v>40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530</v>
      </c>
      <c r="N20" s="3">
        <f>IF($C$5="YES", INT(K20*-0.15), 0)</f>
        <v>-80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175</v>
      </c>
      <c r="I22" s="163"/>
      <c r="J22" s="163"/>
      <c r="K22" s="163"/>
      <c r="N22" s="5"/>
    </row>
    <row r="23" spans="1:14">
      <c r="A23" s="20">
        <v>0</v>
      </c>
      <c r="B23" s="4" t="s">
        <v>9</v>
      </c>
      <c r="C23" s="3"/>
      <c r="D23" s="3"/>
      <c r="E23" s="4"/>
      <c r="F23" s="20">
        <v>100</v>
      </c>
      <c r="G23" s="4" t="s">
        <v>12</v>
      </c>
      <c r="H23" s="3"/>
      <c r="I23" s="3"/>
      <c r="J23" s="3">
        <f>IF($F23&gt;=0,1,0)</f>
        <v>1</v>
      </c>
      <c r="K23" s="3">
        <f>IF($J23=1, INT($F23*'ATTACK &amp; ARMOR'!$B$10 + $A26*'ATTACK &amp; ARMOR'!$B$9 + $A17*'ATTACK &amp; ARMOR'!$B$8), 0)</f>
        <v>1325</v>
      </c>
      <c r="N23" s="3"/>
    </row>
    <row r="24" spans="1:14">
      <c r="A24" s="20">
        <v>250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250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1</v>
      </c>
      <c r="K26" s="5">
        <f>IF(J26&gt;0, INT( (SUM(K23:K25)/J26)*'ATTACK &amp; ARMOR'!$B$13 ), 0)</f>
        <v>530</v>
      </c>
      <c r="N26" s="3">
        <f>IF($C$5="YES", INT(K26*-0.15), 0)</f>
        <v>-80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0.45</v>
      </c>
      <c r="K28" s="5">
        <f>INT(IF($C$4="YES", $C$6*J28, 0) )</f>
        <v>688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8</v>
      </c>
      <c r="D44" s="24">
        <f>C44*175</f>
        <v>1400</v>
      </c>
      <c r="E44" s="25">
        <f>(C44+1)*175-1</f>
        <v>1574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40" priority="12">
      <formula>$C$5="NO"</formula>
    </cfRule>
  </conditionalFormatting>
  <conditionalFormatting sqref="B13:D14">
    <cfRule type="expression" dxfId="39" priority="11">
      <formula>$C$4="NO"</formula>
    </cfRule>
  </conditionalFormatting>
  <conditionalFormatting sqref="B15:D15">
    <cfRule type="expression" dxfId="38" priority="10">
      <formula>$C$4="YES"</formula>
    </cfRule>
  </conditionalFormatting>
  <conditionalFormatting sqref="K26">
    <cfRule type="expression" dxfId="37" priority="9">
      <formula>$C$5="NO"</formula>
    </cfRule>
  </conditionalFormatting>
  <conditionalFormatting sqref="K26">
    <cfRule type="expression" dxfId="36" priority="8">
      <formula>$C$5="NO"</formula>
    </cfRule>
  </conditionalFormatting>
  <conditionalFormatting sqref="K26">
    <cfRule type="expression" dxfId="35" priority="7">
      <formula>$C$5="NO"</formula>
    </cfRule>
  </conditionalFormatting>
  <conditionalFormatting sqref="K26">
    <cfRule type="expression" dxfId="34" priority="6">
      <formula>$C$5="NO"</formula>
    </cfRule>
  </conditionalFormatting>
  <conditionalFormatting sqref="K26">
    <cfRule type="expression" dxfId="33" priority="5">
      <formula>$C$5="NO"</formula>
    </cfRule>
  </conditionalFormatting>
  <conditionalFormatting sqref="K26">
    <cfRule type="expression" dxfId="32" priority="4">
      <formula>$C$5="NO"</formula>
    </cfRule>
  </conditionalFormatting>
  <conditionalFormatting sqref="K26">
    <cfRule type="expression" dxfId="31" priority="3">
      <formula>$C$5="NO"</formula>
    </cfRule>
  </conditionalFormatting>
  <conditionalFormatting sqref="K26">
    <cfRule type="expression" dxfId="30" priority="2">
      <formula>$C$5="NO"</formula>
    </cfRule>
  </conditionalFormatting>
  <conditionalFormatting sqref="K26">
    <cfRule type="expression" dxfId="29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A9" sqref="A9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173</v>
      </c>
      <c r="D2" s="150"/>
      <c r="E2" s="150"/>
      <c r="F2" s="150"/>
      <c r="G2" s="150"/>
      <c r="H2" s="108"/>
      <c r="I2" s="108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26</v>
      </c>
      <c r="D4" s="109"/>
      <c r="E4" s="14"/>
      <c r="F4" s="16"/>
      <c r="G4" s="22" t="s">
        <v>32</v>
      </c>
      <c r="H4" s="44"/>
      <c r="I4" s="176">
        <f>INT( (C6+K28-N20-N26)*I5*I6/100 )</f>
        <v>3647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26</v>
      </c>
      <c r="D5" s="109"/>
      <c r="E5" s="14"/>
      <c r="F5" s="16"/>
      <c r="G5" s="22" t="s">
        <v>33</v>
      </c>
      <c r="H5" s="44"/>
      <c r="I5" s="176">
        <f>INT( C6/175 )</f>
        <v>9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08">
        <f>INT(SUM(D9:D10)+SUM(D13:D20)+K14+K20+K26+N20+N26)</f>
        <v>1627</v>
      </c>
      <c r="D6" s="109"/>
      <c r="E6" s="14"/>
      <c r="F6" s="16"/>
      <c r="G6" s="14" t="s">
        <v>35</v>
      </c>
      <c r="H6" s="109"/>
      <c r="I6" s="177">
        <f>I5+7</f>
        <v>16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121</v>
      </c>
      <c r="I8" s="163"/>
      <c r="J8" s="163"/>
      <c r="K8" s="163"/>
      <c r="N8" s="5"/>
    </row>
    <row r="9" spans="1:14">
      <c r="A9" s="20">
        <v>24</v>
      </c>
      <c r="B9" s="4" t="s">
        <v>0</v>
      </c>
      <c r="C9" s="3">
        <v>6</v>
      </c>
      <c r="D9" s="5">
        <f>(A9-10)*C9</f>
        <v>84</v>
      </c>
      <c r="E9" s="4"/>
      <c r="F9" s="20">
        <v>65</v>
      </c>
      <c r="G9" s="4" t="s">
        <v>15</v>
      </c>
      <c r="H9" s="3" t="str">
        <f>VLOOKUP($H$8,$B$32:$D$37,2,FALSE) &amp; "%"</f>
        <v>55%</v>
      </c>
      <c r="I9" s="3" t="str">
        <f>VLOOKUP($H$8,$B$32:$D$37,3,FALSE) &amp; "%"</f>
        <v>65%</v>
      </c>
      <c r="J9" s="3">
        <f>'ATTACK &amp; ARMOR'!B33</f>
        <v>0.6</v>
      </c>
      <c r="K9" s="3">
        <f>INT(J9*F9*'ATTACK &amp; ARMOR'!$B$37)</f>
        <v>97</v>
      </c>
      <c r="N9" s="3"/>
    </row>
    <row r="10" spans="1:14">
      <c r="A10" s="20">
        <v>24</v>
      </c>
      <c r="B10" s="4" t="s">
        <v>1</v>
      </c>
      <c r="C10" s="3">
        <v>6</v>
      </c>
      <c r="D10" s="5">
        <f>(A10-10)*C10</f>
        <v>84</v>
      </c>
      <c r="E10" s="4"/>
      <c r="F10" s="20">
        <v>65</v>
      </c>
      <c r="G10" s="4" t="s">
        <v>16</v>
      </c>
      <c r="H10" s="3" t="str">
        <f t="shared" ref="H10:H13" si="0">VLOOKUP($H$8,$B$32:$D$37,2,FALSE) &amp; "%"</f>
        <v>55%</v>
      </c>
      <c r="I10" s="3" t="str">
        <f t="shared" ref="I10:I13" si="1">VLOOKUP($H$8,$B$32:$D$37,3,FALSE) &amp; "%"</f>
        <v>65%</v>
      </c>
      <c r="J10" s="3">
        <f>'ATTACK &amp; ARMOR'!B34</f>
        <v>1</v>
      </c>
      <c r="K10" s="3">
        <f>INT(J10*F10*'ATTACK &amp; ARMOR'!$B$37)</f>
        <v>162</v>
      </c>
      <c r="N10" s="3"/>
    </row>
    <row r="11" spans="1:14">
      <c r="A11" s="3"/>
      <c r="B11" s="4"/>
      <c r="C11" s="3"/>
      <c r="D11" s="3"/>
      <c r="E11" s="4"/>
      <c r="F11" s="20">
        <v>65</v>
      </c>
      <c r="G11" s="4" t="s">
        <v>17</v>
      </c>
      <c r="H11" s="3" t="str">
        <f t="shared" si="0"/>
        <v>55%</v>
      </c>
      <c r="I11" s="3" t="str">
        <f t="shared" si="1"/>
        <v>65%</v>
      </c>
      <c r="J11" s="3">
        <f>'ATTACK &amp; ARMOR'!B35</f>
        <v>0.35</v>
      </c>
      <c r="K11" s="3">
        <f>INT(J11*F11*'ATTACK &amp; ARMOR'!$B$37)</f>
        <v>56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65</v>
      </c>
      <c r="G12" s="4" t="s">
        <v>18</v>
      </c>
      <c r="H12" s="3" t="str">
        <f t="shared" si="0"/>
        <v>55%</v>
      </c>
      <c r="I12" s="3" t="str">
        <f t="shared" si="1"/>
        <v>65%</v>
      </c>
      <c r="J12" s="3">
        <f>'ATTACK &amp; ARMOR'!B36</f>
        <v>0.15</v>
      </c>
      <c r="K12" s="3">
        <f>INT(J12*F12*'ATTACK &amp; ARMOR'!$B$37)</f>
        <v>24</v>
      </c>
      <c r="N12" s="5"/>
    </row>
    <row r="13" spans="1:14">
      <c r="A13" s="20">
        <v>6</v>
      </c>
      <c r="B13" s="4" t="s">
        <v>2</v>
      </c>
      <c r="C13" s="3">
        <v>6</v>
      </c>
      <c r="D13" s="5">
        <f>IF(AND($C$4="YES", $C$5="YES"), $A13*$C13, 0)</f>
        <v>36</v>
      </c>
      <c r="E13" s="4"/>
      <c r="F13" s="20">
        <v>0</v>
      </c>
      <c r="G13" s="4" t="s">
        <v>38</v>
      </c>
      <c r="H13" s="3" t="str">
        <f t="shared" si="0"/>
        <v>55%</v>
      </c>
      <c r="I13" s="3" t="str">
        <f t="shared" si="1"/>
        <v>65%</v>
      </c>
      <c r="J13" s="3">
        <f>IF($F13&gt;=0,1,0)</f>
        <v>1</v>
      </c>
      <c r="K13" s="3">
        <f>IF($J13=1, INT(((F13*3)+(A16*C16))/3), 0)</f>
        <v>0</v>
      </c>
      <c r="N13" s="3"/>
    </row>
    <row r="14" spans="1:14">
      <c r="A14" s="20">
        <v>6</v>
      </c>
      <c r="B14" s="4" t="s">
        <v>3</v>
      </c>
      <c r="C14" s="3">
        <v>8</v>
      </c>
      <c r="D14" s="5">
        <f>IF($C$4="YES", $A14*$C14, 0)</f>
        <v>48</v>
      </c>
      <c r="E14" s="4"/>
      <c r="F14" s="3"/>
      <c r="G14" s="4" t="s">
        <v>34</v>
      </c>
      <c r="H14" s="3"/>
      <c r="I14" s="3"/>
      <c r="J14" s="3"/>
      <c r="K14" s="5">
        <f>SUM(K9:K13)</f>
        <v>339</v>
      </c>
      <c r="N14" s="3"/>
    </row>
    <row r="15" spans="1:14">
      <c r="A15" s="20">
        <v>5</v>
      </c>
      <c r="B15" s="4" t="s">
        <v>4</v>
      </c>
      <c r="C15" s="3">
        <v>5</v>
      </c>
      <c r="D15" s="5">
        <f>IF($C$4&lt;&gt;"YES", $A15*$C15, 0)</f>
        <v>0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0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176</v>
      </c>
      <c r="I16" s="163"/>
      <c r="J16" s="163"/>
      <c r="K16" s="163"/>
      <c r="N16" s="3"/>
    </row>
    <row r="17" spans="1:14">
      <c r="A17" s="20">
        <v>8</v>
      </c>
      <c r="B17" s="4" t="s">
        <v>6</v>
      </c>
      <c r="C17" s="3">
        <v>0</v>
      </c>
      <c r="D17" s="5" t="s">
        <v>30</v>
      </c>
      <c r="E17" s="4"/>
      <c r="F17" s="20">
        <v>-1</v>
      </c>
      <c r="G17" s="4" t="s">
        <v>9</v>
      </c>
      <c r="H17" s="3"/>
      <c r="I17" s="3"/>
      <c r="J17" s="3">
        <f>IF($F17&gt;=0,1,0)</f>
        <v>0</v>
      </c>
      <c r="K17" s="3">
        <f>IF($J17=1, INT($F17*'ATTACK &amp; ARMOR'!$B$10 + $A23*'ATTACK &amp; ARMOR'!$B$9 + $A$19*'ATTACK &amp; ARMOR'!$B$8), 0)</f>
        <v>0</v>
      </c>
      <c r="N17" s="3"/>
    </row>
    <row r="18" spans="1:14">
      <c r="A18" s="20">
        <v>0</v>
      </c>
      <c r="B18" s="4" t="s">
        <v>7</v>
      </c>
      <c r="C18" s="3">
        <v>0</v>
      </c>
      <c r="D18" s="5" t="s">
        <v>30</v>
      </c>
      <c r="E18" s="4"/>
      <c r="F18" s="20">
        <v>100</v>
      </c>
      <c r="G18" s="4" t="s">
        <v>10</v>
      </c>
      <c r="H18" s="3"/>
      <c r="I18" s="3"/>
      <c r="J18" s="3">
        <f t="shared" ref="J18:J19" si="2">IF($F18&gt;=0,1,0)</f>
        <v>1</v>
      </c>
      <c r="K18" s="3">
        <f>IF($J18=1, INT($F18*'ATTACK &amp; ARMOR'!$B$10 + $A24*'ATTACK &amp; ARMOR'!$B$9 + $A$19*'ATTACK &amp; ARMOR'!$B$8), 0)</f>
        <v>1450</v>
      </c>
      <c r="N18" s="3"/>
    </row>
    <row r="19" spans="1:14">
      <c r="A19" s="20">
        <v>8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5</v>
      </c>
      <c r="B20" s="4" t="s">
        <v>29</v>
      </c>
      <c r="C20" s="3">
        <v>10</v>
      </c>
      <c r="D20" s="5">
        <f>$A20*$C20</f>
        <v>50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580</v>
      </c>
      <c r="N20" s="3">
        <f>IF($C$5="YES", INT(K20*-0.15), 0)</f>
        <v>-87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176</v>
      </c>
      <c r="I22" s="163"/>
      <c r="J22" s="163"/>
      <c r="K22" s="163"/>
      <c r="N22" s="5"/>
    </row>
    <row r="23" spans="1:14">
      <c r="A23" s="20">
        <v>0</v>
      </c>
      <c r="B23" s="4" t="s">
        <v>9</v>
      </c>
      <c r="C23" s="3"/>
      <c r="D23" s="3"/>
      <c r="E23" s="4"/>
      <c r="F23" s="20">
        <v>100</v>
      </c>
      <c r="G23" s="4" t="s">
        <v>12</v>
      </c>
      <c r="H23" s="3"/>
      <c r="I23" s="3"/>
      <c r="J23" s="3">
        <f>IF($F23&gt;=0,1,0)</f>
        <v>1</v>
      </c>
      <c r="K23" s="3">
        <f>IF($J23=1, INT($F23*'ATTACK &amp; ARMOR'!$B$10 + $A26*'ATTACK &amp; ARMOR'!$B$9 + $A17*'ATTACK &amp; ARMOR'!$B$8), 0)</f>
        <v>1450</v>
      </c>
      <c r="N23" s="3"/>
    </row>
    <row r="24" spans="1:14">
      <c r="A24" s="20">
        <v>275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275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1</v>
      </c>
      <c r="K26" s="5">
        <f>IF(J26&gt;0, INT( (SUM(K23:K25)/J26)*'ATTACK &amp; ARMOR'!$B$13 ), 0)</f>
        <v>580</v>
      </c>
      <c r="N26" s="3">
        <f>IF($C$5="YES", INT(K26*-0.15), 0)</f>
        <v>-87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0.45</v>
      </c>
      <c r="K28" s="5">
        <f>INT(IF($C$4="YES", $C$6*J28, 0) )</f>
        <v>732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9</v>
      </c>
      <c r="D44" s="24">
        <f>C44*175</f>
        <v>1575</v>
      </c>
      <c r="E44" s="25">
        <f>(C44+1)*175-1</f>
        <v>1749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28" priority="12">
      <formula>$C$5="NO"</formula>
    </cfRule>
  </conditionalFormatting>
  <conditionalFormatting sqref="B13:D14">
    <cfRule type="expression" dxfId="27" priority="11">
      <formula>$C$4="NO"</formula>
    </cfRule>
  </conditionalFormatting>
  <conditionalFormatting sqref="B15:D15">
    <cfRule type="expression" dxfId="26" priority="10">
      <formula>$C$4="YES"</formula>
    </cfRule>
  </conditionalFormatting>
  <conditionalFormatting sqref="K26">
    <cfRule type="expression" dxfId="25" priority="9">
      <formula>$C$5="NO"</formula>
    </cfRule>
  </conditionalFormatting>
  <conditionalFormatting sqref="K26">
    <cfRule type="expression" dxfId="24" priority="8">
      <formula>$C$5="NO"</formula>
    </cfRule>
  </conditionalFormatting>
  <conditionalFormatting sqref="K26">
    <cfRule type="expression" dxfId="23" priority="7">
      <formula>$C$5="NO"</formula>
    </cfRule>
  </conditionalFormatting>
  <conditionalFormatting sqref="K26">
    <cfRule type="expression" dxfId="22" priority="6">
      <formula>$C$5="NO"</formula>
    </cfRule>
  </conditionalFormatting>
  <conditionalFormatting sqref="K26">
    <cfRule type="expression" dxfId="21" priority="5">
      <formula>$C$5="NO"</formula>
    </cfRule>
  </conditionalFormatting>
  <conditionalFormatting sqref="K26">
    <cfRule type="expression" dxfId="20" priority="4">
      <formula>$C$5="NO"</formula>
    </cfRule>
  </conditionalFormatting>
  <conditionalFormatting sqref="K26">
    <cfRule type="expression" dxfId="19" priority="3">
      <formula>$C$5="NO"</formula>
    </cfRule>
  </conditionalFormatting>
  <conditionalFormatting sqref="K26">
    <cfRule type="expression" dxfId="18" priority="2">
      <formula>$C$5="NO"</formula>
    </cfRule>
  </conditionalFormatting>
  <conditionalFormatting sqref="K26">
    <cfRule type="expression" dxfId="17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4"/>
  <sheetViews>
    <sheetView workbookViewId="0"/>
  </sheetViews>
  <sheetFormatPr defaultRowHeight="15"/>
  <cols>
    <col min="1" max="1" width="8.42578125" style="2" customWidth="1"/>
    <col min="2" max="2" width="101.28515625" customWidth="1"/>
    <col min="5" max="9" width="9.140625" style="2"/>
  </cols>
  <sheetData>
    <row r="2" spans="1:9">
      <c r="B2" s="1" t="s">
        <v>81</v>
      </c>
    </row>
    <row r="3" spans="1:9">
      <c r="A3" s="2" t="s">
        <v>84</v>
      </c>
      <c r="B3" t="s">
        <v>69</v>
      </c>
    </row>
    <row r="4" spans="1:9">
      <c r="A4" s="2" t="s">
        <v>84</v>
      </c>
      <c r="B4" t="s">
        <v>70</v>
      </c>
    </row>
    <row r="5" spans="1:9">
      <c r="A5" s="2" t="s">
        <v>84</v>
      </c>
      <c r="B5" t="s">
        <v>71</v>
      </c>
    </row>
    <row r="6" spans="1:9">
      <c r="A6" s="2" t="s">
        <v>84</v>
      </c>
      <c r="B6" t="s">
        <v>72</v>
      </c>
    </row>
    <row r="7" spans="1:9">
      <c r="A7" s="2" t="s">
        <v>84</v>
      </c>
      <c r="B7" t="s">
        <v>73</v>
      </c>
    </row>
    <row r="8" spans="1:9">
      <c r="A8" s="2" t="s">
        <v>84</v>
      </c>
      <c r="B8" t="s">
        <v>74</v>
      </c>
    </row>
    <row r="9" spans="1:9">
      <c r="A9" s="2" t="s">
        <v>84</v>
      </c>
      <c r="B9" t="s">
        <v>75</v>
      </c>
    </row>
    <row r="10" spans="1:9">
      <c r="A10" s="2" t="s">
        <v>84</v>
      </c>
      <c r="B10" t="s">
        <v>76</v>
      </c>
    </row>
    <row r="11" spans="1:9">
      <c r="A11" s="2" t="s">
        <v>84</v>
      </c>
      <c r="B11" t="s">
        <v>78</v>
      </c>
    </row>
    <row r="12" spans="1:9">
      <c r="A12" s="2" t="s">
        <v>84</v>
      </c>
      <c r="B12" t="s">
        <v>79</v>
      </c>
    </row>
    <row r="13" spans="1:9">
      <c r="A13" s="2" t="s">
        <v>84</v>
      </c>
      <c r="B13" t="s">
        <v>80</v>
      </c>
      <c r="H13" s="2" t="s">
        <v>135</v>
      </c>
      <c r="I13" s="2" t="s">
        <v>136</v>
      </c>
    </row>
    <row r="14" spans="1:9">
      <c r="A14" s="2" t="s">
        <v>84</v>
      </c>
      <c r="B14" t="s">
        <v>85</v>
      </c>
      <c r="F14" s="2" t="s">
        <v>132</v>
      </c>
      <c r="G14" s="2" t="s">
        <v>134</v>
      </c>
      <c r="H14" s="2" t="s">
        <v>133</v>
      </c>
      <c r="I14" s="2" t="s">
        <v>133</v>
      </c>
    </row>
    <row r="15" spans="1:9">
      <c r="A15" s="2" t="s">
        <v>84</v>
      </c>
      <c r="B15" t="s">
        <v>86</v>
      </c>
      <c r="D15">
        <f>E15*175</f>
        <v>175</v>
      </c>
      <c r="E15" s="2">
        <v>1</v>
      </c>
      <c r="F15" s="84">
        <v>152</v>
      </c>
      <c r="G15" s="84"/>
      <c r="H15" s="84">
        <v>182</v>
      </c>
    </row>
    <row r="16" spans="1:9">
      <c r="B16" t="s">
        <v>124</v>
      </c>
      <c r="D16">
        <f t="shared" ref="D16:D24" si="0">E16*175</f>
        <v>350</v>
      </c>
      <c r="E16" s="2">
        <v>2</v>
      </c>
      <c r="F16" s="84">
        <v>284</v>
      </c>
      <c r="G16" s="84">
        <v>304</v>
      </c>
      <c r="H16" s="84">
        <v>334</v>
      </c>
    </row>
    <row r="17" spans="2:8">
      <c r="B17" t="s">
        <v>87</v>
      </c>
      <c r="D17">
        <f t="shared" si="0"/>
        <v>525</v>
      </c>
      <c r="E17" s="2">
        <v>3</v>
      </c>
      <c r="F17" s="84">
        <v>454</v>
      </c>
      <c r="G17" s="84">
        <v>494</v>
      </c>
      <c r="H17" s="84">
        <v>524</v>
      </c>
    </row>
    <row r="18" spans="2:8">
      <c r="B18" t="s">
        <v>88</v>
      </c>
      <c r="D18">
        <f t="shared" si="0"/>
        <v>700</v>
      </c>
      <c r="E18" s="2">
        <v>4</v>
      </c>
      <c r="F18" s="2">
        <v>670</v>
      </c>
      <c r="G18" s="2">
        <v>715</v>
      </c>
      <c r="H18" s="2">
        <v>796</v>
      </c>
    </row>
    <row r="19" spans="2:8">
      <c r="D19">
        <f t="shared" si="0"/>
        <v>875</v>
      </c>
      <c r="E19" s="2">
        <v>5</v>
      </c>
      <c r="F19" s="2">
        <v>864</v>
      </c>
      <c r="G19" s="2">
        <v>924</v>
      </c>
      <c r="H19" s="2">
        <v>1022</v>
      </c>
    </row>
    <row r="20" spans="2:8">
      <c r="D20">
        <f t="shared" si="0"/>
        <v>1050</v>
      </c>
      <c r="E20" s="2">
        <v>6</v>
      </c>
      <c r="F20" s="2">
        <v>1048</v>
      </c>
      <c r="G20" s="2">
        <v>1148</v>
      </c>
      <c r="H20" s="2">
        <v>1238</v>
      </c>
    </row>
    <row r="21" spans="2:8">
      <c r="D21">
        <f t="shared" si="0"/>
        <v>1225</v>
      </c>
      <c r="E21" s="2">
        <v>7</v>
      </c>
      <c r="F21" s="2">
        <v>1088</v>
      </c>
      <c r="G21" s="2">
        <v>1188</v>
      </c>
      <c r="H21" s="2">
        <v>1298</v>
      </c>
    </row>
    <row r="22" spans="2:8">
      <c r="D22">
        <f t="shared" si="0"/>
        <v>1400</v>
      </c>
      <c r="E22" s="2">
        <v>8</v>
      </c>
      <c r="H22" s="2">
        <v>1358</v>
      </c>
    </row>
    <row r="23" spans="2:8">
      <c r="D23">
        <f t="shared" si="0"/>
        <v>1575</v>
      </c>
      <c r="E23" s="2">
        <v>9</v>
      </c>
    </row>
    <row r="24" spans="2:8">
      <c r="D24">
        <f t="shared" si="0"/>
        <v>1750</v>
      </c>
      <c r="E24" s="2">
        <v>10</v>
      </c>
      <c r="F24" s="2">
        <v>1256</v>
      </c>
      <c r="G24" s="2">
        <v>1380</v>
      </c>
      <c r="H24" s="2">
        <v>1526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F28" sqref="F28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172</v>
      </c>
      <c r="D2" s="150"/>
      <c r="E2" s="150"/>
      <c r="F2" s="150"/>
      <c r="G2" s="150"/>
      <c r="H2" s="108"/>
      <c r="I2" s="108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26</v>
      </c>
      <c r="D4" s="109"/>
      <c r="E4" s="14"/>
      <c r="F4" s="16"/>
      <c r="G4" s="22" t="s">
        <v>32</v>
      </c>
      <c r="H4" s="44"/>
      <c r="I4" s="176">
        <f>INT( (C6+K28-N20-N26)*I5*I6/100 )</f>
        <v>4916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26</v>
      </c>
      <c r="D5" s="109"/>
      <c r="E5" s="14"/>
      <c r="F5" s="16"/>
      <c r="G5" s="22" t="s">
        <v>33</v>
      </c>
      <c r="H5" s="44"/>
      <c r="I5" s="176">
        <f>INT( C6/175 )</f>
        <v>10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108">
        <f>INT(SUM(D9:D10)+SUM(D13:D20)+K14+K20+K26+N20+N26)</f>
        <v>1864</v>
      </c>
      <c r="D6" s="109"/>
      <c r="E6" s="14"/>
      <c r="F6" s="16"/>
      <c r="G6" s="14" t="s">
        <v>35</v>
      </c>
      <c r="H6" s="109"/>
      <c r="I6" s="177">
        <f>I5+7</f>
        <v>17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122</v>
      </c>
      <c r="I8" s="163"/>
      <c r="J8" s="163"/>
      <c r="K8" s="163"/>
      <c r="N8" s="5"/>
    </row>
    <row r="9" spans="1:14">
      <c r="A9" s="20">
        <v>30</v>
      </c>
      <c r="B9" s="4" t="s">
        <v>0</v>
      </c>
      <c r="C9" s="3">
        <v>6</v>
      </c>
      <c r="D9" s="5">
        <f>(A9-10)*C9</f>
        <v>120</v>
      </c>
      <c r="E9" s="4"/>
      <c r="F9" s="20">
        <v>80</v>
      </c>
      <c r="G9" s="4" t="s">
        <v>15</v>
      </c>
      <c r="H9" s="3" t="str">
        <f>VLOOKUP($H$8,$B$32:$D$37,2,FALSE) &amp; "%"</f>
        <v>75%</v>
      </c>
      <c r="I9" s="3" t="str">
        <f>VLOOKUP($H$8,$B$32:$D$37,3,FALSE) &amp; "%"</f>
        <v>85%</v>
      </c>
      <c r="J9" s="3">
        <f>'ATTACK &amp; ARMOR'!B33</f>
        <v>0.6</v>
      </c>
      <c r="K9" s="3">
        <f>INT(J9*F9*'ATTACK &amp; ARMOR'!$B$37)</f>
        <v>120</v>
      </c>
      <c r="N9" s="3"/>
    </row>
    <row r="10" spans="1:14">
      <c r="A10" s="20">
        <v>30</v>
      </c>
      <c r="B10" s="4" t="s">
        <v>1</v>
      </c>
      <c r="C10" s="3">
        <v>6</v>
      </c>
      <c r="D10" s="5">
        <f>(A10-10)*C10</f>
        <v>120</v>
      </c>
      <c r="E10" s="4"/>
      <c r="F10" s="20">
        <v>80</v>
      </c>
      <c r="G10" s="4" t="s">
        <v>16</v>
      </c>
      <c r="H10" s="3" t="str">
        <f t="shared" ref="H10:H13" si="0">VLOOKUP($H$8,$B$32:$D$37,2,FALSE) &amp; "%"</f>
        <v>75%</v>
      </c>
      <c r="I10" s="3" t="str">
        <f t="shared" ref="I10:I13" si="1">VLOOKUP($H$8,$B$32:$D$37,3,FALSE) &amp; "%"</f>
        <v>85%</v>
      </c>
      <c r="J10" s="3">
        <f>'ATTACK &amp; ARMOR'!B34</f>
        <v>1</v>
      </c>
      <c r="K10" s="3">
        <f>INT(J10*F10*'ATTACK &amp; ARMOR'!$B$37)</f>
        <v>200</v>
      </c>
      <c r="N10" s="3"/>
    </row>
    <row r="11" spans="1:14">
      <c r="A11" s="3"/>
      <c r="B11" s="4"/>
      <c r="C11" s="3"/>
      <c r="D11" s="3"/>
      <c r="E11" s="4"/>
      <c r="F11" s="20">
        <v>80</v>
      </c>
      <c r="G11" s="4" t="s">
        <v>17</v>
      </c>
      <c r="H11" s="3" t="str">
        <f t="shared" si="0"/>
        <v>75%</v>
      </c>
      <c r="I11" s="3" t="str">
        <f t="shared" si="1"/>
        <v>85%</v>
      </c>
      <c r="J11" s="3">
        <f>'ATTACK &amp; ARMOR'!B35</f>
        <v>0.35</v>
      </c>
      <c r="K11" s="3">
        <f>INT(J11*F11*'ATTACK &amp; ARMOR'!$B$37)</f>
        <v>70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80</v>
      </c>
      <c r="G12" s="4" t="s">
        <v>18</v>
      </c>
      <c r="H12" s="3" t="str">
        <f t="shared" si="0"/>
        <v>75%</v>
      </c>
      <c r="I12" s="3" t="str">
        <f t="shared" si="1"/>
        <v>85%</v>
      </c>
      <c r="J12" s="3">
        <f>'ATTACK &amp; ARMOR'!B36</f>
        <v>0.15</v>
      </c>
      <c r="K12" s="3">
        <f>INT(J12*F12*'ATTACK &amp; ARMOR'!$B$37)</f>
        <v>30</v>
      </c>
      <c r="N12" s="5"/>
    </row>
    <row r="13" spans="1:14">
      <c r="A13" s="20">
        <v>6</v>
      </c>
      <c r="B13" s="4" t="s">
        <v>2</v>
      </c>
      <c r="C13" s="3">
        <v>6</v>
      </c>
      <c r="D13" s="5">
        <f>IF(AND($C$4="YES", $C$5="YES"), $A13*$C13, 0)</f>
        <v>36</v>
      </c>
      <c r="E13" s="4"/>
      <c r="F13" s="20">
        <v>0</v>
      </c>
      <c r="G13" s="4" t="s">
        <v>38</v>
      </c>
      <c r="H13" s="3" t="str">
        <f t="shared" si="0"/>
        <v>75%</v>
      </c>
      <c r="I13" s="3" t="str">
        <f t="shared" si="1"/>
        <v>85%</v>
      </c>
      <c r="J13" s="3">
        <f>IF($F13&gt;=0,1,0)</f>
        <v>1</v>
      </c>
      <c r="K13" s="3">
        <f>IF($J13=1, INT(((F13*3)+(A16*C16))/3), 0)</f>
        <v>0</v>
      </c>
      <c r="N13" s="3"/>
    </row>
    <row r="14" spans="1:14">
      <c r="A14" s="20">
        <v>6</v>
      </c>
      <c r="B14" s="4" t="s">
        <v>3</v>
      </c>
      <c r="C14" s="3">
        <v>8</v>
      </c>
      <c r="D14" s="5">
        <f>IF($C$4="YES", $A14*$C14, 0)</f>
        <v>48</v>
      </c>
      <c r="E14" s="4"/>
      <c r="F14" s="3"/>
      <c r="G14" s="4" t="s">
        <v>34</v>
      </c>
      <c r="H14" s="3"/>
      <c r="I14" s="3"/>
      <c r="J14" s="3"/>
      <c r="K14" s="5">
        <f>SUM(K9:K13)</f>
        <v>420</v>
      </c>
      <c r="N14" s="3"/>
    </row>
    <row r="15" spans="1:14">
      <c r="A15" s="20">
        <v>5</v>
      </c>
      <c r="B15" s="4" t="s">
        <v>4</v>
      </c>
      <c r="C15" s="3">
        <v>5</v>
      </c>
      <c r="D15" s="5">
        <f>IF($C$4&lt;&gt;"YES", $A15*$C15, 0)</f>
        <v>0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0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177</v>
      </c>
      <c r="I16" s="163"/>
      <c r="J16" s="163"/>
      <c r="K16" s="163"/>
      <c r="N16" s="3"/>
    </row>
    <row r="17" spans="1:14">
      <c r="A17" s="20">
        <v>9</v>
      </c>
      <c r="B17" s="4" t="s">
        <v>6</v>
      </c>
      <c r="C17" s="3">
        <v>0</v>
      </c>
      <c r="D17" s="5" t="s">
        <v>30</v>
      </c>
      <c r="E17" s="4"/>
      <c r="F17" s="20">
        <v>-1</v>
      </c>
      <c r="G17" s="4" t="s">
        <v>9</v>
      </c>
      <c r="H17" s="3"/>
      <c r="I17" s="3"/>
      <c r="J17" s="3">
        <f>IF($F17&gt;=0,1,0)</f>
        <v>0</v>
      </c>
      <c r="K17" s="3">
        <f>IF($J17=1, INT($F17*'ATTACK &amp; ARMOR'!$B$10 + $A23*'ATTACK &amp; ARMOR'!$B$9 + $A$19*'ATTACK &amp; ARMOR'!$B$8), 0)</f>
        <v>0</v>
      </c>
      <c r="N17" s="3"/>
    </row>
    <row r="18" spans="1:14">
      <c r="A18" s="20">
        <v>0</v>
      </c>
      <c r="B18" s="4" t="s">
        <v>7</v>
      </c>
      <c r="C18" s="3">
        <v>0</v>
      </c>
      <c r="D18" s="5" t="s">
        <v>30</v>
      </c>
      <c r="E18" s="4"/>
      <c r="F18" s="20">
        <v>100</v>
      </c>
      <c r="G18" s="4" t="s">
        <v>10</v>
      </c>
      <c r="H18" s="3"/>
      <c r="I18" s="3"/>
      <c r="J18" s="3">
        <f t="shared" ref="J18:J19" si="2">IF($F18&gt;=0,1,0)</f>
        <v>1</v>
      </c>
      <c r="K18" s="3">
        <f>IF($J18=1, INT($F18*'ATTACK &amp; ARMOR'!$B$10 + $A24*'ATTACK &amp; ARMOR'!$B$9 + $A$19*'ATTACK &amp; ARMOR'!$B$8), 0)</f>
        <v>1575</v>
      </c>
      <c r="N18" s="3"/>
    </row>
    <row r="19" spans="1:14">
      <c r="A19" s="20">
        <v>9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5</v>
      </c>
      <c r="B20" s="4" t="s">
        <v>29</v>
      </c>
      <c r="C20" s="3">
        <v>10</v>
      </c>
      <c r="D20" s="5">
        <f>$A20*$C20</f>
        <v>50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630</v>
      </c>
      <c r="N20" s="3">
        <f>IF($C$5="YES", INT(K20*-0.15), 0)</f>
        <v>-95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177</v>
      </c>
      <c r="I22" s="163"/>
      <c r="J22" s="163"/>
      <c r="K22" s="163"/>
      <c r="N22" s="5"/>
    </row>
    <row r="23" spans="1:14">
      <c r="A23" s="20">
        <v>0</v>
      </c>
      <c r="B23" s="4" t="s">
        <v>9</v>
      </c>
      <c r="C23" s="3"/>
      <c r="D23" s="3"/>
      <c r="E23" s="4"/>
      <c r="F23" s="20">
        <v>100</v>
      </c>
      <c r="G23" s="4" t="s">
        <v>12</v>
      </c>
      <c r="H23" s="3"/>
      <c r="I23" s="3"/>
      <c r="J23" s="3">
        <f>IF($F23&gt;=0,1,0)</f>
        <v>1</v>
      </c>
      <c r="K23" s="3">
        <f>IF($J23=1, INT($F23*'ATTACK &amp; ARMOR'!$B$10 + $A26*'ATTACK &amp; ARMOR'!$B$9 + $A17*'ATTACK &amp; ARMOR'!$B$8), 0)</f>
        <v>1575</v>
      </c>
      <c r="N23" s="3"/>
    </row>
    <row r="24" spans="1:14">
      <c r="A24" s="20">
        <v>300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-1</v>
      </c>
      <c r="G25" s="4" t="s">
        <v>14</v>
      </c>
      <c r="H25" s="3"/>
      <c r="I25" s="3"/>
      <c r="J25" s="3">
        <f t="shared" si="3"/>
        <v>0</v>
      </c>
      <c r="K25" s="3">
        <f>IF($J25=1, INT($F25*'ATTACK &amp; ARMOR'!$B$10 + $A28*'ATTACK &amp; ARMOR'!$B$9 + $A18*'ATTACK &amp; ARMOR'!$B$8), 0)</f>
        <v>0</v>
      </c>
      <c r="N25" s="3"/>
    </row>
    <row r="26" spans="1:14">
      <c r="A26" s="20">
        <v>300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1</v>
      </c>
      <c r="K26" s="5">
        <f>IF(J26&gt;0, INT( (SUM(K23:K25)/J26)*'ATTACK &amp; ARMOR'!$B$13 ), 0)</f>
        <v>630</v>
      </c>
      <c r="N26" s="3">
        <f>IF($C$5="YES", INT(K26*-0.15), 0)</f>
        <v>-95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0.45</v>
      </c>
      <c r="K28" s="5">
        <f>INT(IF($C$4="YES", $C$6*J28, 0) )</f>
        <v>838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10</v>
      </c>
      <c r="D44" s="24">
        <f>C44*175</f>
        <v>1750</v>
      </c>
      <c r="E44" s="25">
        <f>(C44+1)*175-1</f>
        <v>1924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16" priority="12">
      <formula>$C$5="NO"</formula>
    </cfRule>
  </conditionalFormatting>
  <conditionalFormatting sqref="B13:D14">
    <cfRule type="expression" dxfId="15" priority="11">
      <formula>$C$4="NO"</formula>
    </cfRule>
  </conditionalFormatting>
  <conditionalFormatting sqref="B15:D15">
    <cfRule type="expression" dxfId="14" priority="10">
      <formula>$C$4="YES"</formula>
    </cfRule>
  </conditionalFormatting>
  <conditionalFormatting sqref="K26">
    <cfRule type="expression" dxfId="13" priority="9">
      <formula>$C$5="NO"</formula>
    </cfRule>
  </conditionalFormatting>
  <conditionalFormatting sqref="K26">
    <cfRule type="expression" dxfId="12" priority="8">
      <formula>$C$5="NO"</formula>
    </cfRule>
  </conditionalFormatting>
  <conditionalFormatting sqref="K26">
    <cfRule type="expression" dxfId="11" priority="7">
      <formula>$C$5="NO"</formula>
    </cfRule>
  </conditionalFormatting>
  <conditionalFormatting sqref="K26">
    <cfRule type="expression" dxfId="10" priority="6">
      <formula>$C$5="NO"</formula>
    </cfRule>
  </conditionalFormatting>
  <conditionalFormatting sqref="K26">
    <cfRule type="expression" dxfId="9" priority="5">
      <formula>$C$5="NO"</formula>
    </cfRule>
  </conditionalFormatting>
  <conditionalFormatting sqref="K26">
    <cfRule type="expression" dxfId="8" priority="4">
      <formula>$C$5="NO"</formula>
    </cfRule>
  </conditionalFormatting>
  <conditionalFormatting sqref="K26">
    <cfRule type="expression" dxfId="7" priority="3">
      <formula>$C$5="NO"</formula>
    </cfRule>
  </conditionalFormatting>
  <conditionalFormatting sqref="K26">
    <cfRule type="expression" dxfId="6" priority="2">
      <formula>$C$5="NO"</formula>
    </cfRule>
  </conditionalFormatting>
  <conditionalFormatting sqref="K26">
    <cfRule type="expression" dxfId="5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7"/>
  <sheetViews>
    <sheetView zoomScale="85" zoomScaleNormal="85" workbookViewId="0">
      <selection activeCell="B8" sqref="B8"/>
    </sheetView>
  </sheetViews>
  <sheetFormatPr defaultRowHeight="18.75"/>
  <cols>
    <col min="1" max="1" width="6.85546875" style="91" customWidth="1"/>
    <col min="2" max="2" width="37.5703125" customWidth="1"/>
    <col min="3" max="3" width="7.7109375" style="2" customWidth="1"/>
    <col min="4" max="4" width="23.140625" customWidth="1"/>
    <col min="5" max="5" width="17.7109375" customWidth="1"/>
    <col min="6" max="12" width="10.5703125" style="2" customWidth="1"/>
    <col min="13" max="13" width="40.42578125" style="2" customWidth="1"/>
    <col min="14" max="14" width="9.140625" style="2"/>
  </cols>
  <sheetData>
    <row r="1" spans="1:19" s="1" customFormat="1">
      <c r="A1" s="96"/>
      <c r="B1" s="29"/>
      <c r="C1" s="28"/>
      <c r="D1" s="29"/>
      <c r="E1" s="29"/>
      <c r="F1" s="28"/>
      <c r="G1" s="28"/>
      <c r="H1" s="28"/>
      <c r="I1" s="28"/>
      <c r="J1" s="28" t="s">
        <v>92</v>
      </c>
      <c r="K1" s="28" t="s">
        <v>90</v>
      </c>
      <c r="L1" s="28" t="s">
        <v>89</v>
      </c>
      <c r="M1" s="28"/>
      <c r="N1" s="43"/>
    </row>
    <row r="2" spans="1:19" s="1" customFormat="1">
      <c r="A2" s="96"/>
      <c r="B2" s="29" t="s">
        <v>142</v>
      </c>
      <c r="C2" s="28"/>
      <c r="D2" s="29" t="s">
        <v>143</v>
      </c>
      <c r="E2" s="29" t="s">
        <v>161</v>
      </c>
      <c r="F2" s="28" t="s">
        <v>146</v>
      </c>
      <c r="G2" s="28" t="s">
        <v>23</v>
      </c>
      <c r="H2" s="28" t="s">
        <v>89</v>
      </c>
      <c r="I2" s="28" t="s">
        <v>144</v>
      </c>
      <c r="J2" s="28" t="s">
        <v>23</v>
      </c>
      <c r="K2" s="28" t="s">
        <v>145</v>
      </c>
      <c r="L2" s="28" t="s">
        <v>145</v>
      </c>
      <c r="M2" s="28" t="s">
        <v>156</v>
      </c>
      <c r="N2" s="43"/>
    </row>
    <row r="3" spans="1:19" s="88" customFormat="1" ht="33.75" customHeight="1">
      <c r="A3" s="101">
        <v>7</v>
      </c>
      <c r="B3" s="102" t="s">
        <v>187</v>
      </c>
      <c r="C3" s="112" t="s">
        <v>189</v>
      </c>
      <c r="D3" s="102" t="s">
        <v>162</v>
      </c>
      <c r="E3" s="102" t="s">
        <v>55</v>
      </c>
      <c r="F3" s="103">
        <v>1336</v>
      </c>
      <c r="G3" s="103">
        <v>1391</v>
      </c>
      <c r="H3" s="103" t="s">
        <v>27</v>
      </c>
      <c r="I3" s="103" t="s">
        <v>27</v>
      </c>
      <c r="J3" s="103">
        <v>524</v>
      </c>
      <c r="K3" s="103">
        <v>580</v>
      </c>
      <c r="L3" s="103" t="s">
        <v>30</v>
      </c>
      <c r="M3" s="104" t="s">
        <v>188</v>
      </c>
      <c r="N3" s="87"/>
      <c r="S3" s="88" t="s">
        <v>26</v>
      </c>
    </row>
    <row r="4" spans="1:19" s="88" customFormat="1" ht="48.75" customHeight="1">
      <c r="A4" s="101">
        <v>6</v>
      </c>
      <c r="B4" s="102" t="s">
        <v>186</v>
      </c>
      <c r="C4" s="112" t="s">
        <v>190</v>
      </c>
      <c r="D4" s="102" t="s">
        <v>162</v>
      </c>
      <c r="E4" s="102" t="s">
        <v>163</v>
      </c>
      <c r="F4" s="103">
        <v>1036</v>
      </c>
      <c r="G4" s="103">
        <v>1221</v>
      </c>
      <c r="H4" s="103" t="s">
        <v>26</v>
      </c>
      <c r="I4" s="103" t="s">
        <v>27</v>
      </c>
      <c r="J4" s="103">
        <v>462</v>
      </c>
      <c r="K4" s="103">
        <v>430</v>
      </c>
      <c r="L4" s="103">
        <v>282</v>
      </c>
      <c r="M4" s="104" t="s">
        <v>184</v>
      </c>
      <c r="N4" s="87"/>
      <c r="S4" s="88" t="s">
        <v>27</v>
      </c>
    </row>
    <row r="5" spans="1:19" s="88" customFormat="1" ht="34.5" customHeight="1">
      <c r="A5" s="101">
        <v>6</v>
      </c>
      <c r="B5" s="102" t="s">
        <v>157</v>
      </c>
      <c r="C5" s="112" t="s">
        <v>190</v>
      </c>
      <c r="D5" s="102" t="s">
        <v>158</v>
      </c>
      <c r="E5" s="102" t="s">
        <v>55</v>
      </c>
      <c r="F5" s="103">
        <v>925</v>
      </c>
      <c r="G5" s="103">
        <v>1186</v>
      </c>
      <c r="H5" s="103" t="s">
        <v>27</v>
      </c>
      <c r="I5" s="103" t="s">
        <v>27</v>
      </c>
      <c r="J5" s="103">
        <v>508</v>
      </c>
      <c r="K5" s="103">
        <v>430</v>
      </c>
      <c r="L5" s="103" t="s">
        <v>30</v>
      </c>
      <c r="M5" s="104" t="s">
        <v>178</v>
      </c>
      <c r="N5" s="87"/>
    </row>
    <row r="6" spans="1:19" s="88" customFormat="1" ht="22.5" customHeight="1">
      <c r="A6" s="92">
        <v>5</v>
      </c>
      <c r="B6" s="94" t="s">
        <v>183</v>
      </c>
      <c r="C6" s="113" t="s">
        <v>191</v>
      </c>
      <c r="D6" s="94" t="s">
        <v>147</v>
      </c>
      <c r="E6" s="94" t="s">
        <v>55</v>
      </c>
      <c r="F6" s="90">
        <v>633</v>
      </c>
      <c r="G6" s="90">
        <v>972</v>
      </c>
      <c r="H6" s="90" t="s">
        <v>26</v>
      </c>
      <c r="I6" s="90" t="s">
        <v>27</v>
      </c>
      <c r="J6" s="90">
        <v>392</v>
      </c>
      <c r="K6" s="90">
        <v>208</v>
      </c>
      <c r="L6" s="90">
        <v>338</v>
      </c>
      <c r="M6" s="99" t="s">
        <v>213</v>
      </c>
      <c r="N6" s="87"/>
    </row>
    <row r="7" spans="1:19" s="88" customFormat="1" ht="22.5" customHeight="1">
      <c r="A7" s="92">
        <v>5</v>
      </c>
      <c r="B7" s="94" t="s">
        <v>152</v>
      </c>
      <c r="C7" s="113" t="s">
        <v>212</v>
      </c>
      <c r="D7" s="94" t="s">
        <v>154</v>
      </c>
      <c r="E7" s="94" t="s">
        <v>55</v>
      </c>
      <c r="F7" s="90"/>
      <c r="G7" s="90"/>
      <c r="H7" s="90" t="s">
        <v>27</v>
      </c>
      <c r="I7" s="90" t="s">
        <v>27</v>
      </c>
      <c r="J7" s="90"/>
      <c r="K7" s="90"/>
      <c r="L7" s="90" t="s">
        <v>30</v>
      </c>
      <c r="M7" s="99"/>
      <c r="N7" s="87"/>
    </row>
    <row r="8" spans="1:19" s="88" customFormat="1" ht="22.5" customHeight="1">
      <c r="A8" s="92">
        <v>4</v>
      </c>
      <c r="B8" s="94" t="s">
        <v>41</v>
      </c>
      <c r="C8" s="113" t="s">
        <v>192</v>
      </c>
      <c r="D8" s="94" t="s">
        <v>148</v>
      </c>
      <c r="E8" s="94" t="s">
        <v>56</v>
      </c>
      <c r="F8" s="90">
        <v>319</v>
      </c>
      <c r="G8" s="90">
        <v>726</v>
      </c>
      <c r="H8" s="90" t="s">
        <v>27</v>
      </c>
      <c r="I8" s="90" t="s">
        <v>27</v>
      </c>
      <c r="J8" s="90">
        <v>339</v>
      </c>
      <c r="K8" s="90">
        <v>282</v>
      </c>
      <c r="L8" s="90" t="s">
        <v>30</v>
      </c>
      <c r="M8" s="99"/>
      <c r="N8" s="87"/>
    </row>
    <row r="9" spans="1:19" s="88" customFormat="1" ht="22.5" customHeight="1">
      <c r="A9" s="92">
        <v>4</v>
      </c>
      <c r="B9" s="94" t="s">
        <v>181</v>
      </c>
      <c r="C9" s="113" t="s">
        <v>211</v>
      </c>
      <c r="D9" s="94" t="s">
        <v>182</v>
      </c>
      <c r="E9" s="94" t="s">
        <v>56</v>
      </c>
      <c r="F9" s="90"/>
      <c r="G9" s="90"/>
      <c r="H9" s="90"/>
      <c r="I9" s="90"/>
      <c r="J9" s="90"/>
      <c r="K9" s="90"/>
      <c r="L9" s="90"/>
      <c r="M9" s="99"/>
      <c r="N9" s="87"/>
    </row>
    <row r="10" spans="1:19" s="88" customFormat="1" ht="22.5" customHeight="1">
      <c r="A10" s="92">
        <v>4</v>
      </c>
      <c r="B10" s="94" t="s">
        <v>171</v>
      </c>
      <c r="C10" s="113" t="s">
        <v>193</v>
      </c>
      <c r="D10" s="94" t="s">
        <v>170</v>
      </c>
      <c r="E10" s="94" t="s">
        <v>56</v>
      </c>
      <c r="F10" s="90"/>
      <c r="G10" s="90"/>
      <c r="H10" s="90" t="s">
        <v>27</v>
      </c>
      <c r="I10" s="90" t="s">
        <v>26</v>
      </c>
      <c r="J10" s="90"/>
      <c r="K10" s="90"/>
      <c r="L10" s="90" t="s">
        <v>30</v>
      </c>
      <c r="M10" s="99"/>
      <c r="N10" s="87"/>
    </row>
    <row r="11" spans="1:19" s="88" customFormat="1" ht="51.75" customHeight="1">
      <c r="A11" s="93">
        <v>4</v>
      </c>
      <c r="B11" s="95" t="s">
        <v>155</v>
      </c>
      <c r="C11" s="114" t="s">
        <v>193</v>
      </c>
      <c r="D11" s="95" t="s">
        <v>205</v>
      </c>
      <c r="E11" s="95" t="s">
        <v>55</v>
      </c>
      <c r="F11" s="89"/>
      <c r="G11" s="89"/>
      <c r="H11" s="89" t="s">
        <v>27</v>
      </c>
      <c r="I11" s="89" t="s">
        <v>26</v>
      </c>
      <c r="J11" s="89"/>
      <c r="K11" s="89"/>
      <c r="L11" s="89" t="s">
        <v>30</v>
      </c>
      <c r="M11" s="100" t="s">
        <v>206</v>
      </c>
      <c r="N11" s="87"/>
    </row>
    <row r="12" spans="1:19" s="88" customFormat="1" ht="22.5" customHeight="1">
      <c r="A12" s="101">
        <v>3</v>
      </c>
      <c r="B12" s="102" t="s">
        <v>82</v>
      </c>
      <c r="C12" s="112" t="s">
        <v>203</v>
      </c>
      <c r="D12" s="102" t="s">
        <v>151</v>
      </c>
      <c r="E12" s="102" t="s">
        <v>56</v>
      </c>
      <c r="F12" s="103">
        <v>308</v>
      </c>
      <c r="G12" s="103">
        <v>687</v>
      </c>
      <c r="H12" s="103" t="s">
        <v>26</v>
      </c>
      <c r="I12" s="103" t="s">
        <v>26</v>
      </c>
      <c r="J12" s="103">
        <v>210</v>
      </c>
      <c r="K12" s="103">
        <v>204</v>
      </c>
      <c r="L12" s="103">
        <v>208</v>
      </c>
      <c r="M12" s="104" t="s">
        <v>204</v>
      </c>
      <c r="N12" s="87"/>
    </row>
    <row r="13" spans="1:19" s="88" customFormat="1" ht="22.5" customHeight="1">
      <c r="A13" s="92">
        <v>3</v>
      </c>
      <c r="B13" s="94" t="s">
        <v>153</v>
      </c>
      <c r="C13" s="113" t="s">
        <v>194</v>
      </c>
      <c r="D13" s="94" t="s">
        <v>169</v>
      </c>
      <c r="E13" s="94" t="s">
        <v>56</v>
      </c>
      <c r="F13" s="90">
        <v>198</v>
      </c>
      <c r="G13" s="90">
        <v>587</v>
      </c>
      <c r="H13" s="90" t="s">
        <v>26</v>
      </c>
      <c r="I13" s="90" t="s">
        <v>27</v>
      </c>
      <c r="J13" s="90">
        <v>104</v>
      </c>
      <c r="K13" s="90">
        <v>134</v>
      </c>
      <c r="L13" s="90">
        <v>356</v>
      </c>
      <c r="M13" s="99"/>
      <c r="N13" s="87"/>
    </row>
    <row r="14" spans="1:19" s="88" customFormat="1" ht="33" customHeight="1">
      <c r="A14" s="93">
        <v>3</v>
      </c>
      <c r="B14" s="95" t="s">
        <v>185</v>
      </c>
      <c r="C14" s="114" t="s">
        <v>195</v>
      </c>
      <c r="D14" s="95" t="s">
        <v>207</v>
      </c>
      <c r="E14" s="95" t="s">
        <v>56</v>
      </c>
      <c r="F14" s="89"/>
      <c r="G14" s="89"/>
      <c r="H14" s="89"/>
      <c r="I14" s="89"/>
      <c r="J14" s="89">
        <v>224</v>
      </c>
      <c r="K14" s="89">
        <v>342</v>
      </c>
      <c r="L14" s="89"/>
      <c r="M14" s="100" t="s">
        <v>208</v>
      </c>
      <c r="N14" s="87"/>
    </row>
    <row r="15" spans="1:19" s="88" customFormat="1" ht="22.5" customHeight="1">
      <c r="A15" s="92">
        <v>2</v>
      </c>
      <c r="B15" s="94" t="s">
        <v>149</v>
      </c>
      <c r="C15" s="113" t="s">
        <v>196</v>
      </c>
      <c r="D15" s="94" t="s">
        <v>150</v>
      </c>
      <c r="E15" s="94" t="s">
        <v>56</v>
      </c>
      <c r="F15" s="90">
        <v>88</v>
      </c>
      <c r="G15" s="90">
        <v>436</v>
      </c>
      <c r="H15" s="90" t="s">
        <v>26</v>
      </c>
      <c r="I15" s="90" t="s">
        <v>27</v>
      </c>
      <c r="J15" s="90">
        <v>104</v>
      </c>
      <c r="K15" s="90">
        <v>134</v>
      </c>
      <c r="L15" s="90">
        <v>214</v>
      </c>
      <c r="M15" s="99"/>
      <c r="N15" s="87"/>
    </row>
    <row r="16" spans="1:19" s="88" customFormat="1" ht="22.5" customHeight="1">
      <c r="A16" s="92">
        <v>2</v>
      </c>
      <c r="B16" s="94" t="s">
        <v>214</v>
      </c>
      <c r="C16" s="113" t="s">
        <v>215</v>
      </c>
      <c r="D16" s="94" t="s">
        <v>216</v>
      </c>
      <c r="E16" s="94" t="s">
        <v>56</v>
      </c>
      <c r="F16" s="90"/>
      <c r="G16" s="90"/>
      <c r="H16" s="90"/>
      <c r="I16" s="90"/>
      <c r="J16" s="90"/>
      <c r="K16" s="90"/>
      <c r="L16" s="90"/>
      <c r="M16" s="99"/>
      <c r="N16" s="87"/>
    </row>
    <row r="17" spans="1:14" s="88" customFormat="1" ht="22.5" customHeight="1">
      <c r="A17" s="92">
        <v>2</v>
      </c>
      <c r="B17" s="94" t="s">
        <v>217</v>
      </c>
      <c r="C17" s="113" t="s">
        <v>197</v>
      </c>
      <c r="D17" s="94" t="s">
        <v>160</v>
      </c>
      <c r="E17" s="94" t="s">
        <v>56</v>
      </c>
      <c r="F17" s="90">
        <v>65</v>
      </c>
      <c r="G17" s="90">
        <v>363</v>
      </c>
      <c r="H17" s="90" t="s">
        <v>27</v>
      </c>
      <c r="I17" s="90" t="s">
        <v>27</v>
      </c>
      <c r="J17" s="90">
        <v>121</v>
      </c>
      <c r="K17" s="90">
        <v>174</v>
      </c>
      <c r="L17" s="90" t="s">
        <v>30</v>
      </c>
      <c r="M17" s="99"/>
      <c r="N17" s="87"/>
    </row>
    <row r="18" spans="1:14" s="88" customFormat="1" ht="22.5" customHeight="1">
      <c r="A18" s="101">
        <v>2</v>
      </c>
      <c r="B18" s="102" t="s">
        <v>179</v>
      </c>
      <c r="C18" s="112" t="s">
        <v>197</v>
      </c>
      <c r="D18" s="102" t="s">
        <v>158</v>
      </c>
      <c r="E18" s="102" t="s">
        <v>56</v>
      </c>
      <c r="F18" s="103"/>
      <c r="G18" s="103"/>
      <c r="H18" s="103" t="s">
        <v>27</v>
      </c>
      <c r="I18" s="103" t="s">
        <v>27</v>
      </c>
      <c r="J18" s="103"/>
      <c r="K18" s="103"/>
      <c r="L18" s="103" t="s">
        <v>30</v>
      </c>
      <c r="M18" s="104" t="s">
        <v>180</v>
      </c>
      <c r="N18" s="87"/>
    </row>
    <row r="19" spans="1:14" s="88" customFormat="1" ht="34.5" customHeight="1">
      <c r="A19" s="93">
        <v>2</v>
      </c>
      <c r="B19" s="95" t="s">
        <v>166</v>
      </c>
      <c r="C19" s="114" t="s">
        <v>197</v>
      </c>
      <c r="D19" s="95" t="s">
        <v>210</v>
      </c>
      <c r="E19" s="95" t="s">
        <v>55</v>
      </c>
      <c r="F19" s="89"/>
      <c r="G19" s="89"/>
      <c r="H19" s="89" t="s">
        <v>27</v>
      </c>
      <c r="I19" s="89" t="s">
        <v>27</v>
      </c>
      <c r="J19" s="89"/>
      <c r="K19" s="89"/>
      <c r="L19" s="89" t="s">
        <v>30</v>
      </c>
      <c r="M19" s="100" t="s">
        <v>209</v>
      </c>
      <c r="N19" s="87"/>
    </row>
    <row r="23" spans="1:14">
      <c r="B23" s="1" t="s">
        <v>198</v>
      </c>
      <c r="C23" s="43" t="s">
        <v>44</v>
      </c>
      <c r="D23" s="43" t="s">
        <v>45</v>
      </c>
      <c r="E23" s="43" t="s">
        <v>46</v>
      </c>
      <c r="F23" s="43" t="s">
        <v>47</v>
      </c>
      <c r="G23" s="43" t="s">
        <v>48</v>
      </c>
      <c r="H23" s="43" t="s">
        <v>49</v>
      </c>
      <c r="I23" s="43" t="s">
        <v>50</v>
      </c>
    </row>
    <row r="24" spans="1:14">
      <c r="A24" s="91" t="s">
        <v>67</v>
      </c>
      <c r="B24" t="s">
        <v>199</v>
      </c>
      <c r="C24" s="115"/>
      <c r="D24" s="115">
        <v>3</v>
      </c>
      <c r="E24" s="115">
        <v>1</v>
      </c>
      <c r="F24" s="115">
        <v>1</v>
      </c>
      <c r="G24" s="115">
        <v>1</v>
      </c>
      <c r="H24" s="115">
        <v>2</v>
      </c>
      <c r="I24" s="115">
        <v>1</v>
      </c>
      <c r="K24" s="41">
        <f>SUM(C24:I24)/SUM($C$24:$I$27)</f>
        <v>0.52941176470588236</v>
      </c>
    </row>
    <row r="25" spans="1:14">
      <c r="A25" s="91" t="s">
        <v>167</v>
      </c>
      <c r="B25" t="s">
        <v>200</v>
      </c>
      <c r="C25" s="116"/>
      <c r="D25" s="116">
        <v>1</v>
      </c>
      <c r="E25" s="116">
        <v>1</v>
      </c>
      <c r="F25" s="116"/>
      <c r="G25" s="116">
        <v>1</v>
      </c>
      <c r="H25" s="43"/>
      <c r="I25" s="43"/>
      <c r="K25" s="41">
        <f t="shared" ref="K25:K27" si="0">SUM(C25:I25)/SUM($C$24:$I$27)</f>
        <v>0.17647058823529413</v>
      </c>
    </row>
    <row r="26" spans="1:14">
      <c r="A26" s="91" t="s">
        <v>68</v>
      </c>
      <c r="B26" t="s">
        <v>201</v>
      </c>
      <c r="C26" s="117"/>
      <c r="D26" s="117">
        <v>1</v>
      </c>
      <c r="E26" s="117"/>
      <c r="F26" s="117">
        <v>2</v>
      </c>
      <c r="G26" s="43"/>
      <c r="H26" s="43"/>
      <c r="I26" s="43"/>
      <c r="K26" s="41">
        <f t="shared" si="0"/>
        <v>0.17647058823529413</v>
      </c>
    </row>
    <row r="27" spans="1:14">
      <c r="A27" s="91" t="s">
        <v>168</v>
      </c>
      <c r="B27" t="s">
        <v>202</v>
      </c>
      <c r="C27" s="118"/>
      <c r="D27" s="118"/>
      <c r="E27" s="118">
        <v>1</v>
      </c>
      <c r="F27" s="118">
        <v>1</v>
      </c>
      <c r="G27" s="122"/>
      <c r="H27" s="43"/>
      <c r="I27" s="43"/>
      <c r="K27" s="41">
        <f t="shared" si="0"/>
        <v>0.11764705882352941</v>
      </c>
    </row>
  </sheetData>
  <dataValidations count="1">
    <dataValidation type="list" allowBlank="1" showInputMessage="1" showErrorMessage="1" sqref="H3:I19">
      <formula1>$S$3:$S$4</formula1>
    </dataValidation>
  </dataValidations>
  <pageMargins left="0.7" right="0.7" top="0.75" bottom="0.75" header="0.3" footer="0.3"/>
  <pageSetup scale="63" orientation="landscape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activeCell="D39" sqref="D39"/>
    </sheetView>
  </sheetViews>
  <sheetFormatPr defaultRowHeight="15"/>
  <cols>
    <col min="1" max="1" width="22.85546875" customWidth="1"/>
    <col min="2" max="11" width="10.140625" style="2" customWidth="1"/>
  </cols>
  <sheetData>
    <row r="3" spans="1:11">
      <c r="B3" s="30"/>
      <c r="C3" s="30"/>
      <c r="D3" s="148" t="s">
        <v>57</v>
      </c>
      <c r="E3" s="148"/>
      <c r="F3" s="149" t="s">
        <v>58</v>
      </c>
      <c r="G3" s="149"/>
    </row>
    <row r="4" spans="1:11">
      <c r="B4" s="147" t="s">
        <v>56</v>
      </c>
      <c r="C4" s="147"/>
      <c r="D4" s="147"/>
      <c r="E4" s="147"/>
      <c r="F4" s="146" t="s">
        <v>55</v>
      </c>
      <c r="G4" s="146"/>
      <c r="H4" s="146"/>
      <c r="I4" s="145" t="s">
        <v>54</v>
      </c>
      <c r="J4" s="145"/>
      <c r="K4" s="145"/>
    </row>
    <row r="5" spans="1:11" s="1" customFormat="1">
      <c r="A5" s="1" t="s">
        <v>43</v>
      </c>
      <c r="B5" s="31" t="s">
        <v>44</v>
      </c>
      <c r="C5" s="31" t="s">
        <v>45</v>
      </c>
      <c r="D5" s="31" t="s">
        <v>46</v>
      </c>
      <c r="E5" s="31" t="s">
        <v>47</v>
      </c>
      <c r="F5" s="32" t="s">
        <v>48</v>
      </c>
      <c r="G5" s="32" t="s">
        <v>49</v>
      </c>
      <c r="H5" s="32" t="s">
        <v>50</v>
      </c>
      <c r="I5" s="27" t="s">
        <v>53</v>
      </c>
      <c r="J5" s="27" t="s">
        <v>51</v>
      </c>
      <c r="K5" s="27" t="s">
        <v>52</v>
      </c>
    </row>
    <row r="6" spans="1:11">
      <c r="A6" t="s">
        <v>59</v>
      </c>
      <c r="C6" s="33"/>
      <c r="D6" s="34"/>
      <c r="E6" s="34"/>
      <c r="F6" s="34"/>
      <c r="G6" s="34"/>
      <c r="H6" s="35"/>
    </row>
    <row r="7" spans="1:11">
      <c r="A7" t="s">
        <v>60</v>
      </c>
      <c r="B7" s="33"/>
      <c r="C7" s="36"/>
      <c r="D7" s="36"/>
      <c r="E7" s="37" t="s">
        <v>64</v>
      </c>
    </row>
    <row r="8" spans="1:11">
      <c r="A8" t="s">
        <v>61</v>
      </c>
      <c r="E8" s="38"/>
      <c r="F8" s="39"/>
      <c r="G8" s="34"/>
      <c r="H8" s="34"/>
      <c r="I8" s="35" t="s">
        <v>64</v>
      </c>
    </row>
    <row r="9" spans="1:11">
      <c r="A9" t="s">
        <v>62</v>
      </c>
      <c r="D9" s="38"/>
      <c r="E9" s="39"/>
      <c r="F9" s="40" t="s">
        <v>64</v>
      </c>
    </row>
    <row r="10" spans="1:11">
      <c r="A10" t="s">
        <v>63</v>
      </c>
      <c r="D10" s="33"/>
      <c r="E10" s="34"/>
      <c r="F10" s="34"/>
      <c r="G10" s="35" t="s">
        <v>64</v>
      </c>
    </row>
  </sheetData>
  <mergeCells count="5">
    <mergeCell ref="I4:K4"/>
    <mergeCell ref="F4:H4"/>
    <mergeCell ref="B4:E4"/>
    <mergeCell ref="D3:E3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C1:X101"/>
  <sheetViews>
    <sheetView topLeftCell="C4" zoomScale="80" zoomScaleNormal="80" zoomScaleSheetLayoutView="75" workbookViewId="0">
      <selection activeCell="E28" sqref="E28:H28"/>
    </sheetView>
  </sheetViews>
  <sheetFormatPr defaultColWidth="0" defaultRowHeight="15" zeroHeight="1"/>
  <cols>
    <col min="1" max="2" width="9.140625" hidden="1" customWidth="1"/>
    <col min="3" max="3" width="8.28515625" style="2" customWidth="1"/>
    <col min="4" max="4" width="21" customWidth="1"/>
    <col min="5" max="5" width="9.85546875" style="2" customWidth="1"/>
    <col min="6" max="6" width="9" style="2" customWidth="1"/>
    <col min="7" max="7" width="12.28515625" style="2" customWidth="1"/>
    <col min="8" max="8" width="7.42578125" customWidth="1"/>
    <col min="9" max="9" width="5" style="2" customWidth="1"/>
    <col min="10" max="10" width="1.42578125" style="2" hidden="1" customWidth="1"/>
    <col min="11" max="11" width="8.28515625" style="2" customWidth="1"/>
    <col min="12" max="12" width="7.28515625" style="2" customWidth="1"/>
    <col min="13" max="13" width="6.140625" style="2" customWidth="1"/>
    <col min="14" max="14" width="5.42578125" style="2" customWidth="1"/>
    <col min="15" max="15" width="8.140625" style="2" customWidth="1"/>
    <col min="16" max="16" width="10.7109375" style="2" customWidth="1"/>
    <col min="17" max="17" width="12" customWidth="1"/>
    <col min="18" max="18" width="1.42578125" customWidth="1"/>
    <col min="19" max="19" width="8.28515625" style="2" hidden="1" customWidth="1"/>
    <col min="20" max="20" width="8.28515625" hidden="1" customWidth="1"/>
    <col min="21" max="21" width="22.5703125" hidden="1" customWidth="1"/>
    <col min="22" max="22" width="21.85546875" hidden="1" customWidth="1"/>
    <col min="23" max="23" width="15.5703125" hidden="1" customWidth="1"/>
    <col min="24" max="24" width="3.140625" hidden="1" customWidth="1"/>
    <col min="25" max="16384" width="9.140625" hidden="1"/>
  </cols>
  <sheetData>
    <row r="1" spans="3:24">
      <c r="C1" s="3"/>
      <c r="D1" s="4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4"/>
      <c r="R1" s="4"/>
      <c r="S1" s="3"/>
      <c r="T1" s="4"/>
      <c r="U1" s="4"/>
      <c r="V1" s="4"/>
      <c r="W1" s="4"/>
      <c r="X1" s="4"/>
    </row>
    <row r="2" spans="3:24" ht="18.75">
      <c r="C2" s="3"/>
      <c r="D2" s="23" t="s">
        <v>37</v>
      </c>
      <c r="E2" s="150" t="s">
        <v>259</v>
      </c>
      <c r="F2" s="150"/>
      <c r="G2" s="150"/>
      <c r="H2" s="150"/>
      <c r="I2" s="17"/>
      <c r="J2" s="17"/>
      <c r="K2" s="3"/>
      <c r="L2" s="3"/>
      <c r="M2" s="3"/>
      <c r="N2" s="3"/>
      <c r="O2" s="3"/>
      <c r="P2" s="3"/>
      <c r="Q2" s="4"/>
      <c r="R2" s="4"/>
      <c r="S2" s="3"/>
      <c r="T2" s="4"/>
      <c r="U2" s="4"/>
      <c r="V2" s="4"/>
      <c r="W2" s="4"/>
      <c r="X2" s="4"/>
    </row>
    <row r="3" spans="3:24" ht="24" thickBot="1">
      <c r="C3" s="3"/>
      <c r="D3" s="4"/>
      <c r="E3" s="3"/>
      <c r="F3" s="3"/>
      <c r="G3" s="13"/>
      <c r="H3" s="4"/>
      <c r="I3" s="3"/>
      <c r="J3" s="3"/>
      <c r="K3" s="135"/>
      <c r="L3" s="135"/>
      <c r="M3" s="135"/>
      <c r="N3" s="135"/>
      <c r="O3" s="135"/>
      <c r="P3" s="135"/>
      <c r="Q3" s="135"/>
      <c r="R3" s="4"/>
      <c r="S3" s="3"/>
      <c r="T3" s="4"/>
      <c r="U3" s="4"/>
      <c r="V3" s="4"/>
      <c r="W3" s="4"/>
      <c r="X3" s="4"/>
    </row>
    <row r="4" spans="3:24" ht="18.75">
      <c r="C4" s="3"/>
      <c r="D4" s="22" t="s">
        <v>24</v>
      </c>
      <c r="E4" s="164" t="s">
        <v>27</v>
      </c>
      <c r="F4" s="164"/>
      <c r="G4" s="16"/>
      <c r="H4" s="4"/>
      <c r="I4" s="3"/>
      <c r="J4" s="3"/>
      <c r="K4" s="131" t="s">
        <v>28</v>
      </c>
      <c r="L4" s="154" t="s">
        <v>218</v>
      </c>
      <c r="M4" s="154"/>
      <c r="N4" s="154"/>
      <c r="O4" s="154" t="s">
        <v>219</v>
      </c>
      <c r="P4" s="154"/>
      <c r="Q4" s="132" t="s">
        <v>220</v>
      </c>
      <c r="R4" s="4"/>
      <c r="S4"/>
    </row>
    <row r="5" spans="3:24" ht="18.75">
      <c r="C5" s="3"/>
      <c r="D5" s="22" t="s">
        <v>25</v>
      </c>
      <c r="E5" s="164" t="s">
        <v>27</v>
      </c>
      <c r="F5" s="164"/>
      <c r="G5" s="16"/>
      <c r="H5" s="4"/>
      <c r="I5" s="3"/>
      <c r="J5" s="3"/>
      <c r="K5" s="126">
        <v>84</v>
      </c>
      <c r="L5" s="153" t="s">
        <v>242</v>
      </c>
      <c r="M5" s="153"/>
      <c r="N5" s="153"/>
      <c r="O5" s="153" t="s">
        <v>268</v>
      </c>
      <c r="P5" s="153"/>
      <c r="Q5" s="137" t="s">
        <v>222</v>
      </c>
      <c r="R5" s="13"/>
      <c r="S5"/>
    </row>
    <row r="6" spans="3:24" ht="18.75">
      <c r="C6" s="3"/>
      <c r="D6" s="22" t="s">
        <v>31</v>
      </c>
      <c r="E6" s="121">
        <f>INT(SUM(G15:H16)+SUM(G19:H26)+G34+G40+G46+H40+H46)</f>
        <v>1189</v>
      </c>
      <c r="F6" s="15"/>
      <c r="G6" s="16"/>
      <c r="H6" s="4"/>
      <c r="I6" s="3"/>
      <c r="J6" s="3"/>
      <c r="K6" s="127">
        <v>75</v>
      </c>
      <c r="L6" s="152" t="s">
        <v>261</v>
      </c>
      <c r="M6" s="152"/>
      <c r="N6" s="152"/>
      <c r="O6" s="152" t="s">
        <v>264</v>
      </c>
      <c r="P6" s="152"/>
      <c r="Q6" s="137" t="s">
        <v>223</v>
      </c>
      <c r="R6" s="3"/>
      <c r="S6"/>
    </row>
    <row r="7" spans="3:24" ht="18.75">
      <c r="C7" s="3"/>
      <c r="D7" s="22" t="s">
        <v>32</v>
      </c>
      <c r="E7" s="121">
        <f>INT( (E6+F10-H40-H46)*E8*E68/100 )</f>
        <v>927</v>
      </c>
      <c r="F7" s="123" t="s">
        <v>36</v>
      </c>
      <c r="G7" s="13"/>
      <c r="H7" s="4"/>
      <c r="I7" s="3"/>
      <c r="J7" s="3"/>
      <c r="K7" s="127">
        <v>100</v>
      </c>
      <c r="L7" s="152" t="s">
        <v>263</v>
      </c>
      <c r="M7" s="152"/>
      <c r="N7" s="152"/>
      <c r="O7" s="152" t="s">
        <v>267</v>
      </c>
      <c r="P7" s="152"/>
      <c r="Q7" s="137" t="s">
        <v>221</v>
      </c>
      <c r="R7" s="13"/>
      <c r="S7"/>
    </row>
    <row r="8" spans="3:24" s="1" customFormat="1" ht="18.75" customHeight="1">
      <c r="C8" s="6"/>
      <c r="D8" s="157" t="s">
        <v>33</v>
      </c>
      <c r="E8" s="158">
        <f>INT( E6/175 )</f>
        <v>6</v>
      </c>
      <c r="F8" s="159" t="str">
        <f>"x"&amp;E68&amp; " BASE COST"</f>
        <v>x13 BASE COST</v>
      </c>
      <c r="G8" s="159"/>
      <c r="I8" s="6"/>
      <c r="J8" s="5"/>
      <c r="K8" s="127">
        <v>97</v>
      </c>
      <c r="L8" s="152" t="s">
        <v>260</v>
      </c>
      <c r="M8" s="152"/>
      <c r="N8" s="152"/>
      <c r="O8" s="152" t="s">
        <v>265</v>
      </c>
      <c r="P8" s="152"/>
      <c r="Q8" s="137" t="s">
        <v>16</v>
      </c>
      <c r="R8" s="4"/>
      <c r="S8"/>
    </row>
    <row r="9" spans="3:24" ht="15" customHeight="1">
      <c r="C9" s="3"/>
      <c r="D9" s="157"/>
      <c r="E9" s="158"/>
      <c r="F9" s="159"/>
      <c r="G9" s="159"/>
      <c r="H9" s="4"/>
      <c r="I9" s="3"/>
      <c r="J9" s="3"/>
      <c r="K9" s="127"/>
      <c r="L9" s="152"/>
      <c r="M9" s="152"/>
      <c r="N9" s="152"/>
      <c r="O9" s="152"/>
      <c r="P9" s="152"/>
      <c r="Q9" s="137"/>
      <c r="R9" s="4"/>
      <c r="S9"/>
    </row>
    <row r="10" spans="3:24" ht="15.75" customHeight="1">
      <c r="C10" s="6"/>
      <c r="D10" s="6" t="s">
        <v>77</v>
      </c>
      <c r="E10" s="7">
        <f>IF(E4="YES", 0.45, 0)</f>
        <v>0</v>
      </c>
      <c r="F10" s="5">
        <f>INT(IF($E$4="YES", $E$6*E10, 0) )</f>
        <v>0</v>
      </c>
      <c r="G10" s="3"/>
      <c r="H10" s="6"/>
      <c r="I10" s="3"/>
      <c r="J10" s="3"/>
      <c r="K10" s="127">
        <v>98</v>
      </c>
      <c r="L10" s="152" t="s">
        <v>257</v>
      </c>
      <c r="M10" s="152"/>
      <c r="N10" s="152"/>
      <c r="O10" s="152" t="s">
        <v>258</v>
      </c>
      <c r="P10" s="152"/>
      <c r="Q10" s="137" t="s">
        <v>38</v>
      </c>
      <c r="R10" s="4"/>
      <c r="S10"/>
    </row>
    <row r="11" spans="3:24">
      <c r="C11" s="3"/>
      <c r="D11" s="6" t="s">
        <v>40</v>
      </c>
      <c r="E11" s="26">
        <v>7</v>
      </c>
      <c r="F11" s="24">
        <f>E11*175</f>
        <v>1225</v>
      </c>
      <c r="G11" s="25">
        <f>(E11+1)*175-1</f>
        <v>1399</v>
      </c>
      <c r="H11" s="4"/>
      <c r="I11" s="3"/>
      <c r="J11" s="3"/>
      <c r="K11" s="127">
        <v>94</v>
      </c>
      <c r="L11" s="152" t="s">
        <v>262</v>
      </c>
      <c r="M11" s="152"/>
      <c r="N11" s="152"/>
      <c r="O11" s="152" t="s">
        <v>266</v>
      </c>
      <c r="P11" s="152"/>
      <c r="Q11" s="137" t="s">
        <v>15</v>
      </c>
      <c r="R11" s="4"/>
      <c r="S11"/>
    </row>
    <row r="12" spans="3:24" s="1" customFormat="1">
      <c r="C12" s="3"/>
      <c r="D12" s="6" t="s">
        <v>39</v>
      </c>
      <c r="E12" s="5">
        <f>IF(AND(E6&gt;=F11, E6&lt;=G11), "N/A", IF(E8&gt;E11, E6-G11, E6-F11))</f>
        <v>-36</v>
      </c>
      <c r="F12" s="5" t="str">
        <f>IF(AND(E6&gt;=F11, E6&lt;=G11), " ",  IF(E8&gt;E11, "too high", "too low"))</f>
        <v>too low</v>
      </c>
      <c r="G12" s="19"/>
      <c r="H12" s="4"/>
      <c r="I12" s="6"/>
      <c r="J12" s="5"/>
      <c r="K12" s="127"/>
      <c r="L12" s="152"/>
      <c r="M12" s="152"/>
      <c r="N12" s="152"/>
      <c r="O12" s="152"/>
      <c r="P12" s="152"/>
      <c r="Q12" s="137"/>
      <c r="R12" s="6"/>
    </row>
    <row r="13" spans="3:24">
      <c r="C13" s="3"/>
      <c r="D13" s="4"/>
      <c r="E13" s="3"/>
      <c r="F13" s="3"/>
      <c r="G13" s="3"/>
      <c r="H13" s="4"/>
      <c r="I13" s="3"/>
      <c r="J13" s="3"/>
      <c r="K13" s="127"/>
      <c r="L13" s="152"/>
      <c r="M13" s="152"/>
      <c r="N13" s="152"/>
      <c r="O13" s="130"/>
      <c r="P13" s="130"/>
      <c r="Q13" s="137"/>
      <c r="R13" s="4"/>
      <c r="S13"/>
    </row>
    <row r="14" spans="3:24">
      <c r="C14" s="28" t="s">
        <v>22</v>
      </c>
      <c r="D14" s="29" t="s">
        <v>21</v>
      </c>
      <c r="E14" s="161" t="s">
        <v>28</v>
      </c>
      <c r="F14" s="161"/>
      <c r="G14" s="161" t="s">
        <v>23</v>
      </c>
      <c r="H14" s="161"/>
      <c r="I14" s="3"/>
      <c r="J14" s="3"/>
      <c r="K14" s="127"/>
      <c r="L14" s="152"/>
      <c r="M14" s="152"/>
      <c r="N14" s="152"/>
      <c r="O14" s="130"/>
      <c r="P14" s="130"/>
      <c r="Q14" s="137"/>
      <c r="R14" s="4"/>
      <c r="S14"/>
    </row>
    <row r="15" spans="3:24">
      <c r="C15" s="20">
        <v>16</v>
      </c>
      <c r="D15" s="4" t="s">
        <v>0</v>
      </c>
      <c r="E15" s="162">
        <v>8</v>
      </c>
      <c r="F15" s="162"/>
      <c r="G15" s="160">
        <f>(C15-10)*E15</f>
        <v>48</v>
      </c>
      <c r="H15" s="160"/>
      <c r="I15" s="3"/>
      <c r="J15" s="3"/>
      <c r="K15" s="127"/>
      <c r="L15" s="152"/>
      <c r="M15" s="152"/>
      <c r="N15" s="152"/>
      <c r="O15" s="152"/>
      <c r="P15" s="152"/>
      <c r="Q15" s="137"/>
      <c r="R15" s="4"/>
      <c r="S15"/>
    </row>
    <row r="16" spans="3:24">
      <c r="C16" s="20">
        <v>14</v>
      </c>
      <c r="D16" s="4" t="s">
        <v>1</v>
      </c>
      <c r="E16" s="162">
        <v>8</v>
      </c>
      <c r="F16" s="162"/>
      <c r="G16" s="160">
        <f>(C16-10)*E16</f>
        <v>32</v>
      </c>
      <c r="H16" s="160"/>
      <c r="I16" s="3"/>
      <c r="J16" s="3"/>
      <c r="K16" s="127"/>
      <c r="L16" s="152"/>
      <c r="M16" s="152"/>
      <c r="N16" s="152"/>
      <c r="O16" s="152"/>
      <c r="P16" s="152"/>
      <c r="Q16" s="137"/>
      <c r="R16" s="6"/>
      <c r="S16" s="1"/>
    </row>
    <row r="17" spans="3:19">
      <c r="C17" s="3"/>
      <c r="D17" s="4"/>
      <c r="E17" s="3"/>
      <c r="F17" s="3"/>
      <c r="G17" s="162"/>
      <c r="H17" s="162"/>
      <c r="I17" s="3"/>
      <c r="J17" s="3"/>
      <c r="K17" s="127"/>
      <c r="L17" s="152"/>
      <c r="M17" s="152"/>
      <c r="N17" s="152"/>
      <c r="O17" s="152"/>
      <c r="P17" s="152"/>
      <c r="Q17" s="137"/>
      <c r="R17" s="4"/>
      <c r="S17"/>
    </row>
    <row r="18" spans="3:19">
      <c r="C18" s="28" t="s">
        <v>22</v>
      </c>
      <c r="D18" s="29" t="s">
        <v>20</v>
      </c>
      <c r="E18" s="161" t="s">
        <v>28</v>
      </c>
      <c r="F18" s="161"/>
      <c r="G18" s="161" t="s">
        <v>23</v>
      </c>
      <c r="H18" s="161"/>
      <c r="I18" s="3"/>
      <c r="J18" s="3"/>
      <c r="K18" s="127"/>
      <c r="L18" s="152"/>
      <c r="M18" s="152"/>
      <c r="N18" s="152"/>
      <c r="O18" s="152"/>
      <c r="P18" s="152"/>
      <c r="Q18" s="137"/>
      <c r="R18" s="4"/>
      <c r="S18"/>
    </row>
    <row r="19" spans="3:19">
      <c r="C19" s="20">
        <v>0</v>
      </c>
      <c r="D19" s="4" t="s">
        <v>2</v>
      </c>
      <c r="E19" s="162">
        <v>6</v>
      </c>
      <c r="F19" s="162"/>
      <c r="G19" s="160">
        <f>IF(AND($E$4="YES", $E$5="YES"), $C19*$E19, 0)</f>
        <v>0</v>
      </c>
      <c r="H19" s="160"/>
      <c r="I19" s="3"/>
      <c r="J19" s="3"/>
      <c r="K19" s="127"/>
      <c r="L19" s="152"/>
      <c r="M19" s="152"/>
      <c r="N19" s="152"/>
      <c r="O19" s="152"/>
      <c r="P19" s="152"/>
      <c r="Q19" s="137"/>
      <c r="R19" s="4"/>
      <c r="S19"/>
    </row>
    <row r="20" spans="3:19">
      <c r="C20" s="20">
        <v>0</v>
      </c>
      <c r="D20" s="4" t="s">
        <v>3</v>
      </c>
      <c r="E20" s="162">
        <v>8</v>
      </c>
      <c r="F20" s="162"/>
      <c r="G20" s="160">
        <f>IF($E$4="YES", $C20*$E20, 0)</f>
        <v>0</v>
      </c>
      <c r="H20" s="160"/>
      <c r="I20" s="3"/>
      <c r="J20" s="3"/>
      <c r="K20" s="127"/>
      <c r="L20" s="152"/>
      <c r="M20" s="152"/>
      <c r="N20" s="152"/>
      <c r="O20" s="152"/>
      <c r="P20" s="152"/>
      <c r="Q20" s="137"/>
      <c r="R20" s="4"/>
      <c r="S20"/>
    </row>
    <row r="21" spans="3:19">
      <c r="C21" s="20">
        <v>6</v>
      </c>
      <c r="D21" s="4" t="s">
        <v>4</v>
      </c>
      <c r="E21" s="162">
        <v>5</v>
      </c>
      <c r="F21" s="162"/>
      <c r="G21" s="160">
        <f>IF($E$4&lt;&gt;"YES", $C21*$E21, 0)</f>
        <v>30</v>
      </c>
      <c r="H21" s="160"/>
      <c r="I21" s="3"/>
      <c r="J21" s="3"/>
      <c r="K21" s="127"/>
      <c r="L21" s="152"/>
      <c r="M21" s="152"/>
      <c r="N21" s="152"/>
      <c r="O21" s="152"/>
      <c r="P21" s="152"/>
      <c r="Q21" s="137"/>
      <c r="R21" s="4"/>
      <c r="S21"/>
    </row>
    <row r="22" spans="3:19" s="1" customFormat="1">
      <c r="C22" s="20">
        <v>7</v>
      </c>
      <c r="D22" s="4" t="s">
        <v>5</v>
      </c>
      <c r="E22" s="162">
        <v>8</v>
      </c>
      <c r="F22" s="162"/>
      <c r="G22" s="160" t="s">
        <v>30</v>
      </c>
      <c r="H22" s="160"/>
      <c r="I22" s="6"/>
      <c r="J22" s="5"/>
      <c r="K22" s="127"/>
      <c r="L22" s="152"/>
      <c r="M22" s="152"/>
      <c r="N22" s="152"/>
      <c r="O22" s="152"/>
      <c r="P22" s="152"/>
      <c r="Q22" s="137"/>
      <c r="R22" s="4"/>
      <c r="S22"/>
    </row>
    <row r="23" spans="3:19">
      <c r="C23" s="20">
        <v>0</v>
      </c>
      <c r="D23" s="4" t="s">
        <v>6</v>
      </c>
      <c r="E23" s="162">
        <v>0</v>
      </c>
      <c r="F23" s="162"/>
      <c r="G23" s="160" t="s">
        <v>30</v>
      </c>
      <c r="H23" s="160"/>
      <c r="I23" s="3"/>
      <c r="J23" s="3"/>
      <c r="K23" s="127"/>
      <c r="L23" s="152"/>
      <c r="M23" s="152"/>
      <c r="N23" s="152"/>
      <c r="O23" s="152"/>
      <c r="P23" s="152"/>
      <c r="Q23" s="137"/>
      <c r="R23" s="4"/>
      <c r="S23"/>
    </row>
    <row r="24" spans="3:19">
      <c r="C24" s="20">
        <v>0</v>
      </c>
      <c r="D24" s="4" t="s">
        <v>7</v>
      </c>
      <c r="E24" s="162">
        <v>0</v>
      </c>
      <c r="F24" s="162"/>
      <c r="G24" s="160" t="s">
        <v>30</v>
      </c>
      <c r="H24" s="160"/>
      <c r="I24" s="3"/>
      <c r="J24" s="3"/>
      <c r="K24" s="127"/>
      <c r="L24" s="152"/>
      <c r="M24" s="152"/>
      <c r="N24" s="152"/>
      <c r="O24" s="152"/>
      <c r="P24" s="152"/>
      <c r="Q24" s="137"/>
      <c r="R24" s="4"/>
      <c r="S24"/>
    </row>
    <row r="25" spans="3:19">
      <c r="C25" s="20">
        <v>5</v>
      </c>
      <c r="D25" s="4" t="s">
        <v>8</v>
      </c>
      <c r="E25" s="162">
        <v>0</v>
      </c>
      <c r="F25" s="162"/>
      <c r="G25" s="160" t="s">
        <v>30</v>
      </c>
      <c r="H25" s="160"/>
      <c r="I25" s="3"/>
      <c r="J25" s="3"/>
      <c r="K25" s="127"/>
      <c r="L25" s="152"/>
      <c r="M25" s="152"/>
      <c r="N25" s="152"/>
      <c r="O25" s="152"/>
      <c r="P25" s="152"/>
      <c r="Q25" s="137"/>
      <c r="R25" s="4"/>
      <c r="S25"/>
    </row>
    <row r="26" spans="3:19">
      <c r="C26" s="20">
        <v>7</v>
      </c>
      <c r="D26" s="4" t="s">
        <v>29</v>
      </c>
      <c r="E26" s="162">
        <v>10</v>
      </c>
      <c r="F26" s="162"/>
      <c r="G26" s="160">
        <f>$C26*$E26</f>
        <v>70</v>
      </c>
      <c r="H26" s="160"/>
      <c r="I26" s="3"/>
      <c r="K26" s="127"/>
      <c r="L26" s="152"/>
      <c r="M26" s="152"/>
      <c r="N26" s="152"/>
      <c r="O26" s="152"/>
      <c r="P26" s="152"/>
      <c r="Q26" s="137"/>
      <c r="R26" s="6"/>
      <c r="S26" s="1"/>
    </row>
    <row r="27" spans="3:19">
      <c r="C27" s="3"/>
      <c r="D27" s="4"/>
      <c r="E27" s="3"/>
      <c r="F27" s="3"/>
      <c r="G27" s="3"/>
      <c r="H27" s="4"/>
      <c r="I27" s="3"/>
      <c r="J27" s="3"/>
      <c r="K27" s="127"/>
      <c r="L27" s="152"/>
      <c r="M27" s="152"/>
      <c r="N27" s="152"/>
      <c r="O27" s="152"/>
      <c r="P27" s="152"/>
      <c r="Q27" s="137"/>
      <c r="R27" s="4"/>
      <c r="S27"/>
    </row>
    <row r="28" spans="3:19">
      <c r="C28" s="28" t="s">
        <v>22</v>
      </c>
      <c r="D28" s="29" t="s">
        <v>92</v>
      </c>
      <c r="E28" s="163" t="s">
        <v>123</v>
      </c>
      <c r="F28" s="163"/>
      <c r="G28" s="163"/>
      <c r="H28" s="163"/>
      <c r="I28" s="3"/>
      <c r="J28" s="3"/>
      <c r="K28" s="127"/>
      <c r="L28" s="152"/>
      <c r="M28" s="152"/>
      <c r="N28" s="152"/>
      <c r="O28" s="152"/>
      <c r="P28" s="152"/>
      <c r="Q28" s="137"/>
      <c r="R28" s="4"/>
      <c r="S28"/>
    </row>
    <row r="29" spans="3:19" ht="15" customHeight="1">
      <c r="C29" s="133">
        <f>Q41*100</f>
        <v>94</v>
      </c>
      <c r="D29" s="4" t="s">
        <v>15</v>
      </c>
      <c r="E29" s="3" t="str">
        <f>VLOOKUP($E$28,$D$73:$F$78,2,FALSE) &amp; "%"</f>
        <v>95%</v>
      </c>
      <c r="F29" s="3" t="str">
        <f>VLOOKUP($E$28,$D$73:$F$78,3,FALSE) &amp; "%"</f>
        <v>100%</v>
      </c>
      <c r="G29" s="3">
        <f>INT('ATTACK &amp; ARMOR'!B33*C29*'ATTACK &amp; ARMOR'!$B$37)</f>
        <v>141</v>
      </c>
      <c r="H29" s="4"/>
      <c r="I29" s="3"/>
      <c r="J29" s="3"/>
      <c r="K29" s="127"/>
      <c r="L29" s="152"/>
      <c r="M29" s="152"/>
      <c r="N29" s="152"/>
      <c r="O29" s="152"/>
      <c r="P29" s="152"/>
      <c r="Q29" s="137"/>
      <c r="R29" s="4"/>
      <c r="S29"/>
    </row>
    <row r="30" spans="3:19" ht="15" customHeight="1">
      <c r="C30" s="133">
        <f>Q42*100</f>
        <v>97</v>
      </c>
      <c r="D30" s="4" t="s">
        <v>16</v>
      </c>
      <c r="E30" s="3" t="str">
        <f>VLOOKUP($E$28,$D$73:$F$78,2,FALSE) &amp; "%"</f>
        <v>95%</v>
      </c>
      <c r="F30" s="3" t="str">
        <f>VLOOKUP($E$28,$D$73:$F$78,3,FALSE) &amp; "%"</f>
        <v>100%</v>
      </c>
      <c r="G30" s="3">
        <f>INT('ATTACK &amp; ARMOR'!B34*C30*'ATTACK &amp; ARMOR'!$B$37)</f>
        <v>242</v>
      </c>
      <c r="H30" s="4"/>
      <c r="I30" s="3"/>
      <c r="J30" s="3"/>
      <c r="K30" s="127"/>
      <c r="L30" s="152"/>
      <c r="M30" s="152"/>
      <c r="N30" s="152"/>
      <c r="O30" s="152"/>
      <c r="P30" s="152"/>
      <c r="Q30" s="137"/>
      <c r="R30" s="4"/>
      <c r="S30"/>
    </row>
    <row r="31" spans="3:19" ht="15" customHeight="1">
      <c r="C31" s="133">
        <f>Q44*100</f>
        <v>84</v>
      </c>
      <c r="D31" s="4" t="s">
        <v>17</v>
      </c>
      <c r="E31" s="3" t="str">
        <f>VLOOKUP($E$28,$D$73:$F$78,2,FALSE) &amp; "%"</f>
        <v>95%</v>
      </c>
      <c r="F31" s="3" t="str">
        <f>VLOOKUP($E$28,$D$73:$F$78,3,FALSE) &amp; "%"</f>
        <v>100%</v>
      </c>
      <c r="G31" s="3">
        <f>INT('ATTACK &amp; ARMOR'!B35*C31*'ATTACK &amp; ARMOR'!$B$37)</f>
        <v>73</v>
      </c>
      <c r="H31" s="4"/>
      <c r="I31" s="3"/>
      <c r="J31" s="3"/>
      <c r="K31" s="127"/>
      <c r="L31" s="152"/>
      <c r="M31" s="152"/>
      <c r="N31" s="152"/>
      <c r="O31" s="152"/>
      <c r="P31" s="152"/>
      <c r="Q31" s="137"/>
      <c r="R31" s="4"/>
      <c r="S31"/>
    </row>
    <row r="32" spans="3:19" ht="15" customHeight="1">
      <c r="C32" s="133">
        <f>Q43*100</f>
        <v>100</v>
      </c>
      <c r="D32" s="4" t="s">
        <v>18</v>
      </c>
      <c r="E32" s="3" t="str">
        <f>VLOOKUP($E$28,$D$73:$F$78,2,FALSE) &amp; "%"</f>
        <v>95%</v>
      </c>
      <c r="F32" s="3" t="str">
        <f>VLOOKUP($E$28,$D$73:$F$78,3,FALSE) &amp; "%"</f>
        <v>100%</v>
      </c>
      <c r="G32" s="3">
        <f>INT('ATTACK &amp; ARMOR'!B36*C32*'ATTACK &amp; ARMOR'!$B$37)</f>
        <v>37</v>
      </c>
      <c r="H32" s="4"/>
      <c r="I32" s="3"/>
      <c r="J32" s="3"/>
      <c r="K32" s="127"/>
      <c r="L32" s="152"/>
      <c r="M32" s="152"/>
      <c r="N32" s="152"/>
      <c r="O32" s="152"/>
      <c r="P32" s="152"/>
      <c r="Q32" s="137"/>
      <c r="R32" s="4"/>
      <c r="S32"/>
    </row>
    <row r="33" spans="3:19" ht="15" customHeight="1">
      <c r="C33" s="133">
        <f>Q45*100</f>
        <v>98</v>
      </c>
      <c r="D33" s="4" t="s">
        <v>38</v>
      </c>
      <c r="E33" s="3" t="str">
        <f>VLOOKUP($E$28,$D$73:$F$78,2,FALSE) &amp; "%"</f>
        <v>95%</v>
      </c>
      <c r="F33" s="3" t="str">
        <f>VLOOKUP($E$28,$D$73:$F$78,3,FALSE) &amp; "%"</f>
        <v>100%</v>
      </c>
      <c r="G33" s="3">
        <f>IF($C33&gt;0, INT(((C33*3)+(C22*E22))/3), 0)</f>
        <v>116</v>
      </c>
      <c r="H33" s="4"/>
      <c r="I33" s="3"/>
      <c r="J33" s="3"/>
      <c r="K33" s="127"/>
      <c r="L33" s="152"/>
      <c r="M33" s="152"/>
      <c r="N33" s="152"/>
      <c r="O33" s="152"/>
      <c r="P33" s="152"/>
      <c r="Q33" s="137"/>
      <c r="R33" s="4"/>
      <c r="S33"/>
    </row>
    <row r="34" spans="3:19" ht="15" customHeight="1">
      <c r="C34" s="3"/>
      <c r="D34" s="4" t="s">
        <v>34</v>
      </c>
      <c r="E34" s="3"/>
      <c r="F34" s="3"/>
      <c r="G34" s="5">
        <f>SUM(G29:G33)</f>
        <v>609</v>
      </c>
      <c r="H34" s="4"/>
      <c r="I34" s="3"/>
      <c r="J34" s="3"/>
      <c r="K34" s="127"/>
      <c r="L34" s="152"/>
      <c r="M34" s="152"/>
      <c r="N34" s="152"/>
      <c r="O34" s="152"/>
      <c r="P34" s="152"/>
      <c r="Q34" s="137"/>
      <c r="R34" s="4"/>
      <c r="S34"/>
    </row>
    <row r="35" spans="3:19" ht="15" customHeight="1">
      <c r="C35" s="3"/>
      <c r="D35" s="4"/>
      <c r="E35" s="3"/>
      <c r="F35" s="3"/>
      <c r="G35" s="3"/>
      <c r="H35" s="4"/>
      <c r="I35" s="3"/>
      <c r="J35" s="3"/>
      <c r="K35" s="127"/>
      <c r="L35" s="152"/>
      <c r="M35" s="152"/>
      <c r="N35" s="152"/>
      <c r="O35" s="152"/>
      <c r="P35" s="152"/>
      <c r="Q35" s="137"/>
      <c r="R35" s="4"/>
      <c r="S35"/>
    </row>
    <row r="36" spans="3:19" ht="15" customHeight="1">
      <c r="C36" s="28" t="s">
        <v>22</v>
      </c>
      <c r="D36" s="29" t="s">
        <v>90</v>
      </c>
      <c r="E36" s="163" t="s">
        <v>165</v>
      </c>
      <c r="F36" s="163"/>
      <c r="G36" s="163"/>
      <c r="H36" s="163"/>
      <c r="I36" s="3"/>
      <c r="J36" s="3"/>
      <c r="K36" s="127"/>
      <c r="L36" s="152"/>
      <c r="M36" s="152"/>
      <c r="N36" s="152"/>
      <c r="O36" s="152"/>
      <c r="P36" s="152"/>
      <c r="Q36" s="137"/>
      <c r="R36" s="4"/>
      <c r="S36"/>
    </row>
    <row r="37" spans="3:19" ht="15" customHeight="1" thickBot="1">
      <c r="C37" s="20">
        <v>200</v>
      </c>
      <c r="D37" s="4" t="s">
        <v>9</v>
      </c>
      <c r="E37" s="133">
        <f>Q46*100</f>
        <v>75</v>
      </c>
      <c r="F37" s="3">
        <f>IF($E37&gt;0,1,0)</f>
        <v>1</v>
      </c>
      <c r="G37" s="3">
        <f>IF($F37=1, INT($E37*'ATTACK &amp; ARMOR'!$B$10 + $C37*'ATTACK &amp; ARMOR'!$B$9 + $C$25*'ATTACK &amp; ARMOR'!$B$8), 0)</f>
        <v>1000</v>
      </c>
      <c r="H37" s="4"/>
      <c r="I37" s="3"/>
      <c r="J37" s="3"/>
      <c r="K37" s="128"/>
      <c r="L37" s="151"/>
      <c r="M37" s="151"/>
      <c r="N37" s="151"/>
      <c r="O37" s="151"/>
      <c r="P37" s="151"/>
      <c r="Q37" s="138"/>
      <c r="R37" s="4"/>
      <c r="S37"/>
    </row>
    <row r="38" spans="3:19" ht="15" customHeight="1">
      <c r="C38" s="20">
        <v>0</v>
      </c>
      <c r="D38" s="4" t="s">
        <v>10</v>
      </c>
      <c r="E38" s="133">
        <f>Q47*100</f>
        <v>0</v>
      </c>
      <c r="F38" s="3">
        <f>IF($E38&gt;0,1,0)</f>
        <v>0</v>
      </c>
      <c r="G38" s="3">
        <f>IF($F38=1, INT($E38*'ATTACK &amp; ARMOR'!$B$10 + $C38*'ATTACK &amp; ARMOR'!$B$9 + $C$25*'ATTACK &amp; ARMOR'!$B$8), 0)</f>
        <v>0</v>
      </c>
      <c r="H38" s="4"/>
      <c r="I38" s="3"/>
      <c r="J38" s="3"/>
      <c r="K38" s="4"/>
      <c r="L38" s="4"/>
      <c r="M38" s="4"/>
      <c r="N38" s="4"/>
      <c r="O38" s="4"/>
      <c r="P38" s="4"/>
      <c r="Q38" s="4"/>
      <c r="R38" s="4"/>
      <c r="S38"/>
    </row>
    <row r="39" spans="3:19" ht="15" customHeight="1">
      <c r="C39" s="20">
        <v>0</v>
      </c>
      <c r="D39" s="4" t="s">
        <v>11</v>
      </c>
      <c r="E39" s="133">
        <f>Q48*100</f>
        <v>0</v>
      </c>
      <c r="F39" s="3">
        <f>IF($E39&gt;0,1,0)</f>
        <v>0</v>
      </c>
      <c r="G39" s="3">
        <f>IF($F39=1, INT($E39*'ATTACK &amp; ARMOR'!$B$10 + $C39*'ATTACK &amp; ARMOR'!$B$9 + $C$25*'ATTACK &amp; ARMOR'!$B$8), 0)</f>
        <v>0</v>
      </c>
      <c r="H39" s="4"/>
      <c r="I39" s="3"/>
      <c r="J39" s="3"/>
      <c r="K39" s="123"/>
      <c r="L39" s="123"/>
      <c r="M39" s="13"/>
      <c r="N39" s="13"/>
      <c r="O39" s="13"/>
      <c r="P39" s="124" t="s">
        <v>230</v>
      </c>
      <c r="Q39" s="129" t="s">
        <v>231</v>
      </c>
      <c r="R39" s="4"/>
      <c r="S39"/>
    </row>
    <row r="40" spans="3:19" ht="15" customHeight="1">
      <c r="C40" s="3"/>
      <c r="D40" s="4" t="s">
        <v>91</v>
      </c>
      <c r="E40" s="3"/>
      <c r="F40" s="3">
        <f>SUM(F37:F39)</f>
        <v>1</v>
      </c>
      <c r="G40" s="5">
        <f>INT( (SUM(G37:G39)/F40)*'ATTACK &amp; ARMOR'!$B$13 )</f>
        <v>400</v>
      </c>
      <c r="H40" s="3">
        <f>IF($E$5="YES", INT(G40*-0.15), 0)</f>
        <v>0</v>
      </c>
      <c r="I40" s="3"/>
      <c r="J40" s="3"/>
      <c r="K40" s="156" t="s">
        <v>220</v>
      </c>
      <c r="L40" s="156"/>
      <c r="M40" s="19" t="s">
        <v>99</v>
      </c>
      <c r="N40" s="19" t="s">
        <v>100</v>
      </c>
      <c r="O40" s="5" t="s">
        <v>229</v>
      </c>
      <c r="P40" s="124" t="s">
        <v>28</v>
      </c>
      <c r="Q40" s="129" t="s">
        <v>28</v>
      </c>
      <c r="R40" s="4"/>
      <c r="S40"/>
    </row>
    <row r="41" spans="3:19" ht="15" customHeight="1">
      <c r="C41" s="3"/>
      <c r="D41" s="4"/>
      <c r="E41" s="3"/>
      <c r="F41" s="3"/>
      <c r="G41" s="3"/>
      <c r="H41" s="4"/>
      <c r="I41" s="3"/>
      <c r="J41" s="3"/>
      <c r="K41" s="155" t="s">
        <v>15</v>
      </c>
      <c r="L41" s="155"/>
      <c r="M41" s="13" t="str">
        <f t="shared" ref="M41:N45" si="0">E29</f>
        <v>95%</v>
      </c>
      <c r="N41" s="13" t="str">
        <f t="shared" si="0"/>
        <v>100%</v>
      </c>
      <c r="O41" s="13">
        <f t="shared" ref="O41:O51" si="1">COUNTIF($Q$5:$Q$37, K41)</f>
        <v>1</v>
      </c>
      <c r="P41" s="13">
        <f t="shared" ref="P41:P51" si="2">SUMIF($Q$5:$Q$37, $K41, $K$5:$K$37)</f>
        <v>94</v>
      </c>
      <c r="Q41" s="7">
        <f t="shared" ref="Q41:Q51" si="3">IF(P41&gt;0, P41/O41/100, 0)</f>
        <v>0.94</v>
      </c>
      <c r="R41" s="4"/>
      <c r="S41"/>
    </row>
    <row r="42" spans="3:19" ht="15" customHeight="1">
      <c r="C42" s="28" t="s">
        <v>22</v>
      </c>
      <c r="D42" s="29" t="s">
        <v>89</v>
      </c>
      <c r="E42" s="163" t="s">
        <v>177</v>
      </c>
      <c r="F42" s="163"/>
      <c r="G42" s="163"/>
      <c r="H42" s="163"/>
      <c r="I42" s="3"/>
      <c r="J42" s="3"/>
      <c r="K42" s="155" t="s">
        <v>16</v>
      </c>
      <c r="L42" s="155"/>
      <c r="M42" s="13" t="str">
        <f t="shared" si="0"/>
        <v>95%</v>
      </c>
      <c r="N42" s="13" t="str">
        <f t="shared" si="0"/>
        <v>100%</v>
      </c>
      <c r="O42" s="13">
        <f t="shared" si="1"/>
        <v>1</v>
      </c>
      <c r="P42" s="13">
        <f t="shared" si="2"/>
        <v>97</v>
      </c>
      <c r="Q42" s="7">
        <f t="shared" si="3"/>
        <v>0.97</v>
      </c>
      <c r="R42" s="4"/>
      <c r="S42"/>
    </row>
    <row r="43" spans="3:19">
      <c r="C43" s="20">
        <v>0</v>
      </c>
      <c r="D43" s="4" t="s">
        <v>12</v>
      </c>
      <c r="E43" s="134">
        <f>Q49*100</f>
        <v>0</v>
      </c>
      <c r="F43" s="3">
        <f>IF($E43&gt;30,1,0)</f>
        <v>0</v>
      </c>
      <c r="G43" s="3">
        <f>IF($F43=1, INT($E43*'ATTACK &amp; ARMOR'!$B$10 + $C43*'ATTACK &amp; ARMOR'!$B$9 + $C23*'ATTACK &amp; ARMOR'!$B$8), 0)</f>
        <v>0</v>
      </c>
      <c r="H43" s="4"/>
      <c r="I43" s="5"/>
      <c r="J43" s="3"/>
      <c r="K43" s="155" t="s">
        <v>221</v>
      </c>
      <c r="L43" s="155"/>
      <c r="M43" s="13" t="str">
        <f t="shared" si="0"/>
        <v>95%</v>
      </c>
      <c r="N43" s="13" t="str">
        <f t="shared" si="0"/>
        <v>100%</v>
      </c>
      <c r="O43" s="13">
        <f t="shared" si="1"/>
        <v>1</v>
      </c>
      <c r="P43" s="13">
        <f t="shared" si="2"/>
        <v>100</v>
      </c>
      <c r="Q43" s="7">
        <f t="shared" si="3"/>
        <v>1</v>
      </c>
      <c r="R43" s="4"/>
      <c r="S43"/>
    </row>
    <row r="44" spans="3:19">
      <c r="C44" s="20">
        <v>0</v>
      </c>
      <c r="D44" s="4" t="s">
        <v>13</v>
      </c>
      <c r="E44" s="134">
        <f>Q50*100</f>
        <v>0</v>
      </c>
      <c r="F44" s="3">
        <f>IF($E44&gt;30,1,0)</f>
        <v>0</v>
      </c>
      <c r="G44" s="3">
        <f>IF($F44=1, INT($E44*('ATTACK &amp; ARMOR'!$B$10+1) + $C44*('ATTACK &amp; ARMOR'!$B$9*1.5)), 0)</f>
        <v>0</v>
      </c>
      <c r="H44" s="4"/>
      <c r="I44" s="3"/>
      <c r="J44" s="3"/>
      <c r="K44" s="155" t="s">
        <v>222</v>
      </c>
      <c r="L44" s="155"/>
      <c r="M44" s="13" t="str">
        <f t="shared" si="0"/>
        <v>95%</v>
      </c>
      <c r="N44" s="13" t="str">
        <f t="shared" si="0"/>
        <v>100%</v>
      </c>
      <c r="O44" s="13">
        <f t="shared" si="1"/>
        <v>1</v>
      </c>
      <c r="P44" s="13">
        <f t="shared" si="2"/>
        <v>84</v>
      </c>
      <c r="Q44" s="7">
        <f t="shared" si="3"/>
        <v>0.84</v>
      </c>
      <c r="R44" s="4"/>
      <c r="S44"/>
    </row>
    <row r="45" spans="3:19">
      <c r="C45" s="20">
        <v>0</v>
      </c>
      <c r="D45" s="4" t="s">
        <v>14</v>
      </c>
      <c r="E45" s="134">
        <f>Q51*100</f>
        <v>0</v>
      </c>
      <c r="F45" s="3">
        <f>IF($E45&gt;30,1,0)</f>
        <v>0</v>
      </c>
      <c r="G45" s="3">
        <f>IF($F45=1, INT($E45*'ATTACK &amp; ARMOR'!$B$10 + $C45*'ATTACK &amp; ARMOR'!$B$9 + $C24*'ATTACK &amp; ARMOR'!$B$8), 0)</f>
        <v>0</v>
      </c>
      <c r="H45" s="4"/>
      <c r="I45" s="3"/>
      <c r="J45" s="3"/>
      <c r="K45" s="155" t="s">
        <v>38</v>
      </c>
      <c r="L45" s="155"/>
      <c r="M45" s="13" t="str">
        <f t="shared" si="0"/>
        <v>95%</v>
      </c>
      <c r="N45" s="13" t="str">
        <f t="shared" si="0"/>
        <v>100%</v>
      </c>
      <c r="O45" s="13">
        <f t="shared" si="1"/>
        <v>1</v>
      </c>
      <c r="P45" s="13">
        <f t="shared" si="2"/>
        <v>98</v>
      </c>
      <c r="Q45" s="7">
        <f t="shared" si="3"/>
        <v>0.98</v>
      </c>
      <c r="R45" s="4"/>
    </row>
    <row r="46" spans="3:19">
      <c r="C46" s="3"/>
      <c r="D46" s="4" t="s">
        <v>91</v>
      </c>
      <c r="E46" s="3"/>
      <c r="F46" s="3">
        <f>SUM(F43:F45)</f>
        <v>0</v>
      </c>
      <c r="G46" s="5">
        <f>IF(F46&gt;0, INT( (SUM(G43:G45)/F46)*'ATTACK &amp; ARMOR'!$B$13 ), 0)</f>
        <v>0</v>
      </c>
      <c r="H46" s="3">
        <f>IF($E$5="YES", INT(G46*-0.15), 0)</f>
        <v>0</v>
      </c>
      <c r="I46" s="13"/>
      <c r="J46" s="3"/>
      <c r="K46" s="155" t="s">
        <v>223</v>
      </c>
      <c r="L46" s="155"/>
      <c r="M46" s="13">
        <f>IF(C37&gt;0, C37-5, 0)</f>
        <v>195</v>
      </c>
      <c r="N46" s="13">
        <f>IF(C37&gt;0, C37+5, 0)</f>
        <v>205</v>
      </c>
      <c r="O46" s="13">
        <f t="shared" si="1"/>
        <v>1</v>
      </c>
      <c r="P46" s="13">
        <f t="shared" si="2"/>
        <v>75</v>
      </c>
      <c r="Q46" s="7">
        <f t="shared" si="3"/>
        <v>0.75</v>
      </c>
      <c r="R46" s="4"/>
    </row>
    <row r="47" spans="3:19">
      <c r="C47" s="3"/>
      <c r="D47" s="4"/>
      <c r="E47" s="3"/>
      <c r="F47" s="3"/>
      <c r="G47" s="3"/>
      <c r="H47" s="4"/>
      <c r="I47" s="129"/>
      <c r="J47" s="3"/>
      <c r="K47" s="155" t="s">
        <v>224</v>
      </c>
      <c r="L47" s="155"/>
      <c r="M47" s="13">
        <f>IF(C38&gt;0, C38-5, 0)</f>
        <v>0</v>
      </c>
      <c r="N47" s="13">
        <f>IF(C38&gt;0, C38+5, 0)</f>
        <v>0</v>
      </c>
      <c r="O47" s="13">
        <f t="shared" si="1"/>
        <v>0</v>
      </c>
      <c r="P47" s="13">
        <f t="shared" si="2"/>
        <v>0</v>
      </c>
      <c r="Q47" s="7">
        <f t="shared" si="3"/>
        <v>0</v>
      </c>
      <c r="R47" s="4"/>
    </row>
    <row r="48" spans="3:19">
      <c r="C48" s="3"/>
      <c r="D48" s="4"/>
      <c r="E48" s="3"/>
      <c r="F48" s="3"/>
      <c r="G48" s="3"/>
      <c r="H48" s="4"/>
      <c r="I48" s="129"/>
      <c r="J48" s="3"/>
      <c r="K48" s="155" t="s">
        <v>225</v>
      </c>
      <c r="L48" s="155"/>
      <c r="M48" s="13">
        <f>IF(C39&gt;0, C39-5, 0)</f>
        <v>0</v>
      </c>
      <c r="N48" s="13">
        <f>IF(C39&gt;0, C39+5, 0)</f>
        <v>0</v>
      </c>
      <c r="O48" s="13">
        <f t="shared" si="1"/>
        <v>0</v>
      </c>
      <c r="P48" s="13">
        <f t="shared" si="2"/>
        <v>0</v>
      </c>
      <c r="Q48" s="7">
        <f t="shared" si="3"/>
        <v>0</v>
      </c>
      <c r="R48" s="4"/>
    </row>
    <row r="49" spans="3:24">
      <c r="C49" s="3"/>
      <c r="D49" s="4"/>
      <c r="E49" s="3"/>
      <c r="F49" s="3"/>
      <c r="G49" s="3"/>
      <c r="H49" s="4"/>
      <c r="I49" s="3"/>
      <c r="J49" s="3"/>
      <c r="K49" s="155" t="s">
        <v>226</v>
      </c>
      <c r="L49" s="155"/>
      <c r="M49" s="13">
        <f>IF(C43&gt;0, C43-5, 0)</f>
        <v>0</v>
      </c>
      <c r="N49" s="13">
        <f>IF(C43&gt;0, C43+5, 0)</f>
        <v>0</v>
      </c>
      <c r="O49" s="13">
        <f t="shared" si="1"/>
        <v>0</v>
      </c>
      <c r="P49" s="13">
        <f t="shared" si="2"/>
        <v>0</v>
      </c>
      <c r="Q49" s="7">
        <f t="shared" si="3"/>
        <v>0</v>
      </c>
      <c r="R49" s="4"/>
    </row>
    <row r="50" spans="3:24">
      <c r="C50" s="3"/>
      <c r="D50" s="4"/>
      <c r="E50" s="3"/>
      <c r="F50" s="3"/>
      <c r="G50" s="3"/>
      <c r="H50" s="4"/>
      <c r="I50" s="3"/>
      <c r="J50" s="3"/>
      <c r="K50" s="155" t="s">
        <v>228</v>
      </c>
      <c r="L50" s="155"/>
      <c r="M50" s="13">
        <f>IF(C44&gt;0, C44-5, 0)</f>
        <v>0</v>
      </c>
      <c r="N50" s="13">
        <f>IF(C44&gt;0, C44+5, 0)</f>
        <v>0</v>
      </c>
      <c r="O50" s="13">
        <f t="shared" si="1"/>
        <v>0</v>
      </c>
      <c r="P50" s="13">
        <f t="shared" si="2"/>
        <v>0</v>
      </c>
      <c r="Q50" s="7">
        <f t="shared" si="3"/>
        <v>0</v>
      </c>
      <c r="R50" s="4"/>
    </row>
    <row r="51" spans="3:24">
      <c r="C51" s="3"/>
      <c r="D51" s="4"/>
      <c r="E51" s="3"/>
      <c r="F51" s="3"/>
      <c r="G51" s="3"/>
      <c r="H51" s="4"/>
      <c r="I51" s="3"/>
      <c r="J51" s="3"/>
      <c r="K51" s="155" t="s">
        <v>227</v>
      </c>
      <c r="L51" s="155"/>
      <c r="M51" s="13">
        <f>IF(C45&gt;0, C45-5, 0)</f>
        <v>0</v>
      </c>
      <c r="N51" s="13">
        <f>IF(C45&gt;0, C45+5, 0)</f>
        <v>0</v>
      </c>
      <c r="O51" s="13">
        <f t="shared" si="1"/>
        <v>0</v>
      </c>
      <c r="P51" s="13">
        <f t="shared" si="2"/>
        <v>0</v>
      </c>
      <c r="Q51" s="7">
        <f t="shared" si="3"/>
        <v>0</v>
      </c>
      <c r="R51" s="4"/>
    </row>
    <row r="52" spans="3:24">
      <c r="C52" s="3"/>
      <c r="D52" s="4"/>
      <c r="E52" s="3"/>
      <c r="F52" s="3"/>
      <c r="G52" s="3"/>
      <c r="H52" s="4"/>
      <c r="I52" s="3"/>
      <c r="J52" s="3"/>
      <c r="K52" s="4"/>
      <c r="L52" s="4"/>
      <c r="M52" s="4"/>
      <c r="N52" s="4"/>
      <c r="O52" s="4"/>
      <c r="P52" s="4"/>
      <c r="Q52" s="4"/>
      <c r="R52" s="4"/>
    </row>
    <row r="53" spans="3:24" hidden="1">
      <c r="C53" s="3"/>
      <c r="D53" s="4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4"/>
      <c r="R53" s="4"/>
    </row>
    <row r="54" spans="3:24" hidden="1">
      <c r="C54" s="3"/>
      <c r="D54" s="4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4"/>
      <c r="R54" s="4"/>
    </row>
    <row r="55" spans="3:24" hidden="1">
      <c r="C55" s="3"/>
      <c r="D55" s="4"/>
      <c r="E55" s="3"/>
      <c r="F55" s="3"/>
      <c r="G55" s="3"/>
      <c r="H55" s="4"/>
      <c r="I55" s="3"/>
      <c r="J55" s="3"/>
      <c r="K55" s="13"/>
      <c r="L55" s="13"/>
      <c r="M55" s="13"/>
      <c r="N55" s="13"/>
      <c r="O55" s="13"/>
      <c r="P55" s="13"/>
      <c r="Q55" s="4"/>
      <c r="R55" s="4"/>
    </row>
    <row r="56" spans="3:24" hidden="1">
      <c r="C56" s="3"/>
      <c r="D56" s="4"/>
      <c r="E56" s="3"/>
      <c r="F56" s="3"/>
      <c r="G56" s="3"/>
      <c r="H56" s="4"/>
      <c r="I56" s="3"/>
      <c r="J56" s="3"/>
      <c r="K56" s="13"/>
      <c r="L56" s="13"/>
      <c r="M56" s="13"/>
      <c r="N56" s="13"/>
      <c r="O56" s="13"/>
      <c r="P56" s="13"/>
      <c r="Q56" s="4"/>
      <c r="R56" s="4"/>
    </row>
    <row r="57" spans="3:24" hidden="1">
      <c r="C57" s="3"/>
      <c r="D57" s="4"/>
      <c r="E57" s="3"/>
      <c r="F57" s="3"/>
      <c r="G57" s="3"/>
      <c r="H57" s="4"/>
      <c r="I57" s="3"/>
      <c r="J57" s="3"/>
      <c r="K57" s="13"/>
      <c r="L57" s="13"/>
      <c r="M57" s="19"/>
      <c r="N57" s="19"/>
      <c r="O57" s="19"/>
      <c r="P57" s="19"/>
      <c r="Q57" s="4"/>
      <c r="R57" s="4"/>
    </row>
    <row r="58" spans="3:24" hidden="1">
      <c r="C58" s="3"/>
      <c r="D58" s="4"/>
      <c r="E58" s="3"/>
      <c r="F58" s="3"/>
      <c r="G58" s="19"/>
      <c r="H58" s="4"/>
      <c r="I58" s="3"/>
      <c r="J58" s="3"/>
      <c r="K58" s="13"/>
      <c r="L58" s="13"/>
      <c r="M58" s="13"/>
      <c r="N58" s="13"/>
      <c r="O58" s="13"/>
      <c r="P58" s="13"/>
      <c r="Q58" s="4"/>
      <c r="R58" s="4"/>
      <c r="S58"/>
    </row>
    <row r="59" spans="3:24" hidden="1">
      <c r="C59" s="3"/>
      <c r="D59" s="4"/>
      <c r="E59" s="3"/>
      <c r="F59" s="3"/>
      <c r="G59" s="19"/>
      <c r="H59" s="123"/>
      <c r="I59" s="3"/>
      <c r="J59" s="3"/>
      <c r="K59" s="125"/>
      <c r="L59" s="125"/>
      <c r="M59" s="19"/>
      <c r="N59" s="19"/>
      <c r="O59" s="19"/>
      <c r="P59" s="19"/>
      <c r="Q59" s="4"/>
      <c r="R59" s="4"/>
      <c r="S59" s="3"/>
      <c r="X59" s="4"/>
    </row>
    <row r="60" spans="3:24" hidden="1">
      <c r="C60" s="3"/>
      <c r="D60" s="4"/>
      <c r="E60" s="3"/>
      <c r="F60" s="3"/>
      <c r="G60" s="19"/>
      <c r="H60" s="123"/>
      <c r="I60" s="3"/>
      <c r="J60" s="3"/>
      <c r="K60" s="125"/>
      <c r="L60" s="125"/>
      <c r="M60" s="19"/>
      <c r="N60" s="19"/>
      <c r="O60" s="19"/>
      <c r="P60" s="19"/>
      <c r="Q60" s="4"/>
      <c r="R60" s="4"/>
      <c r="S60" s="3"/>
      <c r="X60" s="4"/>
    </row>
    <row r="61" spans="3:24" hidden="1">
      <c r="C61" s="3"/>
      <c r="D61" s="4"/>
      <c r="E61" s="3"/>
      <c r="F61" s="3"/>
      <c r="G61" s="13"/>
      <c r="H61" s="123"/>
      <c r="I61" s="13"/>
      <c r="J61" s="13"/>
      <c r="K61" s="7"/>
      <c r="L61" s="7"/>
      <c r="M61" s="5"/>
      <c r="N61" s="5"/>
      <c r="O61" s="5"/>
      <c r="P61" s="5"/>
      <c r="Q61" s="4"/>
      <c r="R61" s="4"/>
      <c r="S61" s="3"/>
      <c r="X61" s="4"/>
    </row>
    <row r="62" spans="3:24" hidden="1">
      <c r="C62" s="3"/>
      <c r="D62" s="4"/>
      <c r="E62" s="3"/>
      <c r="F62" s="3"/>
      <c r="G62" s="13"/>
      <c r="H62" s="18"/>
      <c r="I62" s="13"/>
      <c r="J62" s="13"/>
      <c r="K62" s="7"/>
      <c r="L62" s="7"/>
      <c r="M62" s="5"/>
      <c r="N62" s="5"/>
      <c r="O62" s="5"/>
      <c r="P62" s="5"/>
      <c r="Q62" s="4"/>
      <c r="R62" s="4"/>
      <c r="S62" s="3"/>
      <c r="X62" s="4"/>
    </row>
    <row r="63" spans="3:24" hidden="1">
      <c r="C63" s="3"/>
      <c r="G63" s="13"/>
      <c r="H63" s="18"/>
      <c r="I63" s="13"/>
      <c r="J63" s="13"/>
      <c r="K63" s="46"/>
      <c r="L63" s="46"/>
      <c r="M63" s="5"/>
      <c r="N63" s="5"/>
      <c r="O63" s="5"/>
      <c r="P63" s="5"/>
      <c r="Q63" s="4"/>
      <c r="R63" s="4"/>
      <c r="S63" s="3"/>
    </row>
    <row r="64" spans="3:24" hidden="1">
      <c r="C64" s="3"/>
      <c r="G64" s="13"/>
      <c r="H64" s="18"/>
      <c r="I64" s="13"/>
      <c r="J64" s="13"/>
      <c r="K64" s="47"/>
      <c r="L64" s="47"/>
      <c r="M64" s="45"/>
      <c r="N64" s="45"/>
      <c r="O64" s="45"/>
      <c r="P64" s="45"/>
      <c r="Q64" s="4"/>
      <c r="R64" s="4"/>
      <c r="S64" s="3"/>
    </row>
    <row r="65" spans="4:19" hidden="1">
      <c r="G65" s="13"/>
      <c r="H65" s="6"/>
      <c r="I65" s="13"/>
      <c r="J65" s="13"/>
      <c r="K65" s="47"/>
      <c r="L65" s="47"/>
      <c r="M65" s="45"/>
      <c r="N65" s="45"/>
      <c r="O65" s="45"/>
      <c r="P65" s="45"/>
      <c r="Q65" s="4"/>
      <c r="R65" s="4"/>
      <c r="S65" s="3"/>
    </row>
    <row r="66" spans="4:19" hidden="1">
      <c r="G66" s="13"/>
      <c r="H66" s="6"/>
      <c r="I66" s="13"/>
      <c r="J66" s="13"/>
      <c r="K66" s="47"/>
      <c r="L66" s="47"/>
      <c r="M66" s="45"/>
      <c r="N66" s="45"/>
      <c r="O66" s="45"/>
      <c r="P66" s="45"/>
      <c r="Q66" s="4"/>
      <c r="R66" s="4"/>
      <c r="S66" s="3"/>
    </row>
    <row r="67" spans="4:19" hidden="1">
      <c r="G67" s="3"/>
      <c r="H67" s="6"/>
      <c r="I67" s="5"/>
      <c r="J67" s="5"/>
      <c r="K67" s="47"/>
      <c r="L67" s="47"/>
      <c r="M67" s="45"/>
      <c r="N67" s="45"/>
      <c r="O67" s="45"/>
      <c r="P67" s="45"/>
      <c r="Q67" s="4"/>
      <c r="R67" s="4"/>
      <c r="S67" s="3"/>
    </row>
    <row r="68" spans="4:19" ht="15.75" hidden="1">
      <c r="D68" s="4" t="s">
        <v>26</v>
      </c>
      <c r="E68" s="136">
        <f>E8+7</f>
        <v>13</v>
      </c>
      <c r="G68" s="3"/>
      <c r="I68" s="5"/>
      <c r="J68" s="5"/>
      <c r="K68" s="47"/>
      <c r="L68" s="47"/>
      <c r="M68" s="45"/>
      <c r="N68" s="45"/>
      <c r="O68" s="45"/>
      <c r="P68" s="45"/>
      <c r="Q68" s="4"/>
      <c r="R68" s="4"/>
      <c r="S68" s="3"/>
    </row>
    <row r="69" spans="4:19" hidden="1">
      <c r="D69" s="4" t="s">
        <v>27</v>
      </c>
      <c r="G69" s="3"/>
      <c r="I69" s="5"/>
      <c r="J69" s="5"/>
      <c r="K69" s="47"/>
      <c r="L69" s="47"/>
      <c r="M69" s="45"/>
      <c r="N69" s="45"/>
      <c r="O69" s="45"/>
      <c r="P69" s="45"/>
      <c r="Q69" s="4"/>
      <c r="R69" s="4"/>
      <c r="S69" s="3"/>
    </row>
    <row r="70" spans="4:19" hidden="1">
      <c r="G70" s="3"/>
      <c r="I70" s="5"/>
      <c r="J70" s="5"/>
      <c r="K70" s="6" t="s">
        <v>98</v>
      </c>
      <c r="L70" s="47"/>
      <c r="M70" s="45"/>
      <c r="N70" s="45"/>
      <c r="O70" s="45"/>
      <c r="P70" s="45"/>
      <c r="Q70" s="4"/>
      <c r="R70" s="4"/>
      <c r="S70" s="3"/>
    </row>
    <row r="71" spans="4:19" hidden="1">
      <c r="G71" s="3"/>
      <c r="I71" s="5"/>
      <c r="J71" s="5"/>
      <c r="K71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L71" s="47"/>
      <c r="M71" s="45"/>
      <c r="N71" s="45"/>
      <c r="O71" s="45"/>
      <c r="P71" s="45"/>
      <c r="Q71" s="4"/>
      <c r="R71" s="4"/>
      <c r="S71" s="3"/>
    </row>
    <row r="72" spans="4:19" hidden="1">
      <c r="D72" s="4"/>
      <c r="E72" s="5" t="s">
        <v>99</v>
      </c>
      <c r="F72" s="5" t="s">
        <v>100</v>
      </c>
      <c r="G72" s="3"/>
      <c r="I72" s="5"/>
      <c r="J72" s="5"/>
      <c r="K72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L72" s="47"/>
      <c r="M72" s="45"/>
      <c r="N72" s="45"/>
      <c r="O72" s="45"/>
      <c r="P72" s="45"/>
      <c r="Q72" s="4"/>
      <c r="R72" s="4"/>
      <c r="S72" s="3"/>
    </row>
    <row r="73" spans="4:19" hidden="1">
      <c r="D73" s="6" t="s">
        <v>118</v>
      </c>
      <c r="E73" s="45">
        <v>0</v>
      </c>
      <c r="F73" s="45">
        <v>5</v>
      </c>
      <c r="G73" s="3"/>
      <c r="I73" s="5"/>
      <c r="J73" s="5"/>
      <c r="K73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L73" s="47"/>
      <c r="M73" s="45"/>
      <c r="N73" s="45"/>
      <c r="O73" s="45"/>
      <c r="P73" s="45"/>
      <c r="Q73" s="4"/>
      <c r="R73" s="4"/>
      <c r="S73" s="3"/>
    </row>
    <row r="74" spans="4:19" hidden="1">
      <c r="D74" s="6" t="s">
        <v>119</v>
      </c>
      <c r="E74" s="45">
        <f>'ATTACK &amp; ARMOR'!E$32-5</f>
        <v>15</v>
      </c>
      <c r="F74" s="45">
        <f>'ATTACK &amp; ARMOR'!E$32+5</f>
        <v>25</v>
      </c>
      <c r="G74" s="3"/>
      <c r="I74" s="5"/>
      <c r="J74" s="5"/>
      <c r="K74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L74" s="47"/>
      <c r="M74" s="45"/>
      <c r="N74" s="45"/>
      <c r="O74" s="45"/>
      <c r="P74" s="45"/>
      <c r="Q74" s="4"/>
      <c r="R74" s="4"/>
      <c r="S74" s="3"/>
    </row>
    <row r="75" spans="4:19" hidden="1">
      <c r="D75" s="6" t="s">
        <v>120</v>
      </c>
      <c r="E75" s="45">
        <f>'ATTACK &amp; ARMOR'!G$32-5</f>
        <v>35</v>
      </c>
      <c r="F75" s="45">
        <f>'ATTACK &amp; ARMOR'!G$32+5</f>
        <v>45</v>
      </c>
      <c r="G75" s="3"/>
      <c r="I75" s="5"/>
      <c r="J75" s="5"/>
      <c r="K75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L75" s="3"/>
      <c r="M75" s="3"/>
      <c r="N75" s="3"/>
      <c r="O75" s="3"/>
      <c r="P75" s="3"/>
      <c r="Q75" s="4"/>
      <c r="R75" s="4"/>
      <c r="S75" s="3"/>
    </row>
    <row r="76" spans="4:19" hidden="1">
      <c r="D76" s="6" t="s">
        <v>121</v>
      </c>
      <c r="E76" s="45">
        <f>'ATTACK &amp; ARMOR'!I$32-5</f>
        <v>55</v>
      </c>
      <c r="F76" s="45">
        <f>'ATTACK &amp; ARMOR'!I$32+5</f>
        <v>65</v>
      </c>
      <c r="G76" s="3"/>
      <c r="I76" s="5"/>
      <c r="J76" s="5"/>
      <c r="K76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L76" s="3"/>
      <c r="M76" s="3"/>
      <c r="N76" s="3"/>
      <c r="O76" s="3"/>
      <c r="P76" s="3"/>
      <c r="Q76" s="4"/>
      <c r="R76" s="4"/>
      <c r="S76" s="3"/>
    </row>
    <row r="77" spans="4:19" hidden="1">
      <c r="D77" s="6" t="s">
        <v>122</v>
      </c>
      <c r="E77" s="45">
        <f>'ATTACK &amp; ARMOR'!K$32-5</f>
        <v>75</v>
      </c>
      <c r="F77" s="45">
        <f>'ATTACK &amp; ARMOR'!K$32+5</f>
        <v>85</v>
      </c>
      <c r="G77" s="3"/>
      <c r="I77" s="5"/>
      <c r="J77" s="5"/>
      <c r="K77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L77" s="3"/>
      <c r="M77" s="3"/>
      <c r="N77" s="3"/>
      <c r="O77" s="3"/>
      <c r="P77" s="3"/>
      <c r="Q77" s="4"/>
      <c r="R77" s="4"/>
      <c r="S77" s="3"/>
    </row>
    <row r="78" spans="4:19" hidden="1">
      <c r="D78" s="6" t="s">
        <v>123</v>
      </c>
      <c r="E78" s="45">
        <f>'ATTACK &amp; ARMOR'!M$32-5</f>
        <v>95</v>
      </c>
      <c r="F78" s="45">
        <v>100</v>
      </c>
      <c r="G78" s="3"/>
      <c r="I78" s="5"/>
      <c r="J78" s="5"/>
      <c r="K78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L78" s="3"/>
      <c r="M78" s="3"/>
      <c r="N78" s="3"/>
      <c r="O78" s="3"/>
      <c r="P78" s="3"/>
      <c r="Q78" s="4"/>
      <c r="R78" s="4"/>
      <c r="S78" s="3"/>
    </row>
    <row r="79" spans="4:19" hidden="1">
      <c r="G79" s="3"/>
      <c r="H79" s="4"/>
      <c r="I79" s="5"/>
      <c r="J79" s="5"/>
      <c r="K79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L79" s="3"/>
      <c r="M79" s="3"/>
      <c r="N79" s="3"/>
      <c r="O79" s="3"/>
      <c r="P79" s="3"/>
      <c r="Q79" s="4"/>
      <c r="R79" s="4"/>
      <c r="S79" s="3"/>
    </row>
    <row r="80" spans="4:19" hidden="1">
      <c r="G80" s="3"/>
      <c r="H80" s="4"/>
      <c r="I80" s="5"/>
      <c r="J80" s="5"/>
      <c r="K80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L80" s="3"/>
      <c r="M80" s="3"/>
      <c r="N80" s="3"/>
      <c r="O80" s="3"/>
      <c r="P80" s="3"/>
      <c r="Q80" s="4"/>
      <c r="R80" s="4"/>
      <c r="S80" s="3"/>
    </row>
    <row r="81" spans="7:19" hidden="1">
      <c r="G81" s="3"/>
      <c r="H81" s="4"/>
      <c r="I81" s="3"/>
      <c r="J81" s="3"/>
      <c r="K81" s="3"/>
      <c r="L81" s="3"/>
      <c r="M81" s="3"/>
      <c r="N81" s="3"/>
      <c r="O81" s="3"/>
      <c r="P81" s="3"/>
      <c r="Q81" s="4"/>
      <c r="R81" s="4"/>
      <c r="S81" s="3"/>
    </row>
    <row r="82" spans="7:19" hidden="1">
      <c r="G82" s="3"/>
      <c r="H82" s="4"/>
      <c r="I82" s="3"/>
      <c r="J82" s="3"/>
      <c r="K82" s="3"/>
      <c r="L82" s="3"/>
      <c r="M82" s="3"/>
      <c r="N82" s="3"/>
      <c r="O82" s="3"/>
      <c r="P82" s="3"/>
      <c r="Q82" s="4"/>
      <c r="R82" s="4"/>
      <c r="S82" s="3"/>
    </row>
    <row r="83" spans="7:19" hidden="1">
      <c r="G83" s="3"/>
      <c r="H83" s="4"/>
      <c r="I83" s="3"/>
      <c r="J83" s="3"/>
      <c r="K83" s="3"/>
      <c r="L83" s="3"/>
      <c r="M83" s="3"/>
      <c r="N83" s="3"/>
      <c r="O83" s="3"/>
      <c r="P83" s="3"/>
      <c r="Q83" s="4"/>
      <c r="R83" s="4"/>
      <c r="S83" s="3"/>
    </row>
    <row r="84" spans="7:19" hidden="1">
      <c r="G84" s="3"/>
      <c r="H84" s="4"/>
      <c r="I84" s="3"/>
      <c r="J84" s="3"/>
      <c r="K84" s="3"/>
      <c r="L84" s="3"/>
      <c r="M84" s="3"/>
      <c r="N84" s="3"/>
      <c r="O84" s="3"/>
      <c r="P84" s="3"/>
      <c r="Q84" s="4"/>
      <c r="R84" s="4"/>
      <c r="S84" s="3"/>
    </row>
    <row r="85" spans="7:19" hidden="1">
      <c r="G85" s="3"/>
      <c r="H85" s="4"/>
      <c r="I85" s="3"/>
      <c r="J85" s="3"/>
      <c r="K85" s="3"/>
      <c r="L85" s="3"/>
      <c r="M85" s="3"/>
      <c r="N85" s="3"/>
      <c r="O85" s="3"/>
      <c r="P85" s="3"/>
      <c r="Q85" s="4"/>
      <c r="R85" s="4"/>
      <c r="S85" s="3"/>
    </row>
    <row r="86" spans="7:19" hidden="1">
      <c r="G86" s="3"/>
      <c r="H86" s="4"/>
      <c r="I86" s="3"/>
      <c r="J86" s="3"/>
      <c r="K86" s="3"/>
      <c r="L86" s="3"/>
      <c r="M86" s="3"/>
      <c r="N86" s="3"/>
      <c r="O86" s="3"/>
      <c r="P86" s="3"/>
      <c r="Q86" s="4"/>
      <c r="R86" s="4"/>
      <c r="S86" s="3"/>
    </row>
    <row r="87" spans="7:19" hidden="1">
      <c r="G87" s="3"/>
      <c r="H87" s="4"/>
      <c r="I87" s="3"/>
      <c r="J87" s="3"/>
      <c r="K87" s="3"/>
      <c r="L87" s="3"/>
      <c r="M87" s="3"/>
      <c r="N87" s="3"/>
      <c r="O87" s="3"/>
      <c r="P87" s="3"/>
      <c r="Q87" s="4"/>
      <c r="R87" s="4"/>
      <c r="S87" s="3"/>
    </row>
    <row r="88" spans="7:19" hidden="1">
      <c r="G88" s="3"/>
      <c r="H88" s="4"/>
      <c r="I88" s="3"/>
      <c r="J88" s="3"/>
      <c r="K88" s="3"/>
      <c r="L88" s="3"/>
      <c r="M88" s="3"/>
      <c r="N88" s="3"/>
      <c r="O88" s="3"/>
      <c r="P88" s="3"/>
      <c r="Q88" s="4"/>
      <c r="R88" s="4"/>
      <c r="S88" s="3"/>
    </row>
    <row r="89" spans="7:19" hidden="1">
      <c r="G89" s="3"/>
      <c r="H89" s="4"/>
      <c r="I89" s="3"/>
      <c r="J89" s="3"/>
      <c r="K89" s="3"/>
      <c r="L89" s="3"/>
      <c r="M89" s="3"/>
      <c r="N89" s="3"/>
      <c r="O89" s="3"/>
      <c r="P89" s="3"/>
      <c r="Q89" s="4"/>
      <c r="R89" s="4"/>
      <c r="S89" s="3"/>
    </row>
    <row r="90" spans="7:19" hidden="1">
      <c r="G90" s="3"/>
      <c r="H90" s="4"/>
      <c r="I90" s="3"/>
      <c r="J90" s="3"/>
      <c r="K90" s="3"/>
      <c r="L90" s="3"/>
      <c r="M90" s="3"/>
      <c r="N90" s="3"/>
      <c r="O90" s="3"/>
      <c r="P90" s="3"/>
      <c r="Q90" s="4"/>
      <c r="R90" s="4"/>
      <c r="S90" s="3"/>
    </row>
    <row r="91" spans="7:19" hidden="1">
      <c r="G91" s="3"/>
      <c r="H91" s="4"/>
      <c r="I91" s="3"/>
      <c r="J91" s="3"/>
      <c r="K91" s="3"/>
      <c r="L91" s="3"/>
      <c r="M91" s="3"/>
      <c r="N91" s="3"/>
      <c r="O91" s="3"/>
      <c r="P91" s="3"/>
      <c r="Q91" s="4"/>
      <c r="R91" s="4"/>
      <c r="S91" s="3"/>
    </row>
    <row r="92" spans="7:19" hidden="1">
      <c r="G92" s="3"/>
      <c r="H92" s="4"/>
      <c r="I92" s="3"/>
      <c r="J92" s="3"/>
      <c r="K92" s="3"/>
      <c r="L92" s="3"/>
      <c r="M92" s="3"/>
      <c r="N92" s="3"/>
      <c r="O92" s="3"/>
      <c r="P92" s="3"/>
      <c r="Q92" s="4"/>
      <c r="R92" s="4"/>
      <c r="S92" s="3"/>
    </row>
    <row r="93" spans="7:19" hidden="1">
      <c r="G93" s="3"/>
      <c r="H93" s="4"/>
      <c r="I93" s="3"/>
      <c r="J93" s="3"/>
      <c r="K93" s="3"/>
      <c r="L93" s="3"/>
      <c r="M93" s="3"/>
      <c r="N93" s="3"/>
      <c r="O93" s="3"/>
      <c r="P93" s="3"/>
      <c r="Q93" s="4"/>
      <c r="R93" s="4"/>
      <c r="S93" s="3"/>
    </row>
    <row r="94" spans="7:19" hidden="1">
      <c r="G94" s="3"/>
      <c r="H94" s="4"/>
      <c r="I94" s="3"/>
      <c r="J94" s="3"/>
      <c r="Q94" s="4"/>
      <c r="R94" s="4"/>
      <c r="S94" s="3"/>
    </row>
    <row r="95" spans="7:19" hidden="1">
      <c r="G95" s="3"/>
      <c r="H95" s="4"/>
      <c r="I95" s="3"/>
      <c r="J95" s="3"/>
      <c r="Q95" s="4"/>
      <c r="R95" s="4"/>
      <c r="S95" s="3"/>
    </row>
    <row r="96" spans="7:19" hidden="1">
      <c r="G96" s="3"/>
      <c r="H96" s="4"/>
      <c r="I96" s="3"/>
      <c r="J96" s="3"/>
      <c r="R96" s="4"/>
      <c r="S96" s="3"/>
    </row>
    <row r="97" spans="7:19" hidden="1">
      <c r="G97" s="3"/>
      <c r="H97" s="4"/>
      <c r="I97" s="3"/>
      <c r="J97" s="3"/>
      <c r="R97" s="4"/>
      <c r="S97" s="3"/>
    </row>
    <row r="98" spans="7:19" hidden="1">
      <c r="I98" s="3"/>
      <c r="J98" s="3"/>
      <c r="R98" s="4"/>
      <c r="S98" s="3"/>
    </row>
    <row r="99" spans="7:19" hidden="1">
      <c r="I99" s="3"/>
      <c r="J99" s="3"/>
      <c r="R99" s="4"/>
      <c r="S99" s="3"/>
    </row>
    <row r="100" spans="7:19" hidden="1">
      <c r="R100" s="4"/>
      <c r="S100" s="3"/>
    </row>
    <row r="101" spans="7:19" hidden="1">
      <c r="R101" s="4"/>
      <c r="S101" s="3"/>
    </row>
  </sheetData>
  <mergeCells count="112">
    <mergeCell ref="G14:H14"/>
    <mergeCell ref="E16:F16"/>
    <mergeCell ref="E15:F15"/>
    <mergeCell ref="E14:F14"/>
    <mergeCell ref="E42:H42"/>
    <mergeCell ref="E4:F4"/>
    <mergeCell ref="E5:F5"/>
    <mergeCell ref="E28:H28"/>
    <mergeCell ref="E36:H36"/>
    <mergeCell ref="D8:D9"/>
    <mergeCell ref="E8:E9"/>
    <mergeCell ref="F8:G9"/>
    <mergeCell ref="G26:H26"/>
    <mergeCell ref="G25:H25"/>
    <mergeCell ref="G24:H24"/>
    <mergeCell ref="G23:H23"/>
    <mergeCell ref="G22:H22"/>
    <mergeCell ref="G21:H21"/>
    <mergeCell ref="G20:H20"/>
    <mergeCell ref="G19:H19"/>
    <mergeCell ref="G18:H18"/>
    <mergeCell ref="E26:F26"/>
    <mergeCell ref="E25:F25"/>
    <mergeCell ref="E24:F24"/>
    <mergeCell ref="E23:F23"/>
    <mergeCell ref="E22:F22"/>
    <mergeCell ref="E21:F21"/>
    <mergeCell ref="E20:F20"/>
    <mergeCell ref="E19:F19"/>
    <mergeCell ref="E18:F18"/>
    <mergeCell ref="G17:H17"/>
    <mergeCell ref="G16:H16"/>
    <mergeCell ref="G15:H15"/>
    <mergeCell ref="L36:N36"/>
    <mergeCell ref="K51:L51"/>
    <mergeCell ref="K50:L50"/>
    <mergeCell ref="K49:L49"/>
    <mergeCell ref="K48:L48"/>
    <mergeCell ref="K47:L47"/>
    <mergeCell ref="K46:L46"/>
    <mergeCell ref="K45:L45"/>
    <mergeCell ref="K44:L44"/>
    <mergeCell ref="K43:L43"/>
    <mergeCell ref="K42:L42"/>
    <mergeCell ref="K41:L41"/>
    <mergeCell ref="K40:L40"/>
    <mergeCell ref="L30:N30"/>
    <mergeCell ref="L31:N31"/>
    <mergeCell ref="L32:N32"/>
    <mergeCell ref="L33:N33"/>
    <mergeCell ref="L24:N24"/>
    <mergeCell ref="L25:N25"/>
    <mergeCell ref="L26:N26"/>
    <mergeCell ref="L27:N27"/>
    <mergeCell ref="L28:N28"/>
    <mergeCell ref="L19:N19"/>
    <mergeCell ref="L20:N20"/>
    <mergeCell ref="L21:N21"/>
    <mergeCell ref="L22:N22"/>
    <mergeCell ref="L23:N23"/>
    <mergeCell ref="L4:N4"/>
    <mergeCell ref="L37:N37"/>
    <mergeCell ref="L6:N6"/>
    <mergeCell ref="L5:N5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34:N34"/>
    <mergeCell ref="L35:N35"/>
    <mergeCell ref="L29:N29"/>
    <mergeCell ref="O24:P24"/>
    <mergeCell ref="O25:P25"/>
    <mergeCell ref="O26:P26"/>
    <mergeCell ref="O27:P27"/>
    <mergeCell ref="O18:P18"/>
    <mergeCell ref="O19:P19"/>
    <mergeCell ref="O20:P20"/>
    <mergeCell ref="O21:P21"/>
    <mergeCell ref="O22:P22"/>
    <mergeCell ref="E2:H2"/>
    <mergeCell ref="O37:P37"/>
    <mergeCell ref="O6:P6"/>
    <mergeCell ref="O5:P5"/>
    <mergeCell ref="O7:P7"/>
    <mergeCell ref="O8:P8"/>
    <mergeCell ref="O9:P9"/>
    <mergeCell ref="O10:P10"/>
    <mergeCell ref="O11:P11"/>
    <mergeCell ref="O12:P12"/>
    <mergeCell ref="O15:P15"/>
    <mergeCell ref="O16:P16"/>
    <mergeCell ref="O17:P17"/>
    <mergeCell ref="O33:P33"/>
    <mergeCell ref="O34:P34"/>
    <mergeCell ref="O35:P35"/>
    <mergeCell ref="O36:P36"/>
    <mergeCell ref="O4:P4"/>
    <mergeCell ref="O28:P28"/>
    <mergeCell ref="O29:P29"/>
    <mergeCell ref="O30:P30"/>
    <mergeCell ref="O31:P31"/>
    <mergeCell ref="O32:P32"/>
    <mergeCell ref="O23:P23"/>
  </mergeCells>
  <conditionalFormatting sqref="D43:H46 D23:H24 D19">
    <cfRule type="expression" dxfId="129" priority="20">
      <formula>$E$5="NO"</formula>
    </cfRule>
  </conditionalFormatting>
  <conditionalFormatting sqref="D19:H20">
    <cfRule type="expression" dxfId="128" priority="19">
      <formula>$E$4="NO"</formula>
    </cfRule>
  </conditionalFormatting>
  <conditionalFormatting sqref="D21">
    <cfRule type="expression" dxfId="127" priority="18">
      <formula>$E$4="YES"</formula>
    </cfRule>
  </conditionalFormatting>
  <conditionalFormatting sqref="O41:O51">
    <cfRule type="cellIs" dxfId="126" priority="8" operator="equal">
      <formula>0</formula>
    </cfRule>
  </conditionalFormatting>
  <conditionalFormatting sqref="Q41:Q51">
    <cfRule type="cellIs" dxfId="125" priority="61" operator="notBetween">
      <formula>$M41</formula>
      <formula>$N41</formula>
    </cfRule>
  </conditionalFormatting>
  <dataValidations count="6">
    <dataValidation type="list" allowBlank="1" showInputMessage="1" showErrorMessage="1" sqref="E28">
      <formula1>$D$73:$D$78</formula1>
    </dataValidation>
    <dataValidation type="list" allowBlank="1" showInputMessage="1" showErrorMessage="1" sqref="E42">
      <formula1>$K$70:$K$80</formula1>
    </dataValidation>
    <dataValidation type="list" allowBlank="1" showInputMessage="1" showErrorMessage="1" sqref="E36">
      <formula1>$K$71:$K$80</formula1>
    </dataValidation>
    <dataValidation type="list" allowBlank="1" showInputMessage="1" showErrorMessage="1" sqref="Q5:Q37">
      <formula1>$K$41:$K$51</formula1>
    </dataValidation>
    <dataValidation type="whole" allowBlank="1" showInputMessage="1" showErrorMessage="1" sqref="K5:K37">
      <formula1>0</formula1>
      <formula2>100</formula2>
    </dataValidation>
    <dataValidation type="list" allowBlank="1" showInputMessage="1" showErrorMessage="1" sqref="E4:E5">
      <formula1>$D$68:$D$69</formula1>
    </dataValidation>
  </dataValidations>
  <pageMargins left="0.56000000000000005" right="0.22" top="0.75" bottom="0.75" header="0.3" footer="0.3"/>
  <pageSetup scale="74" orientation="portrait" r:id="rId1"/>
  <rowBreaks count="1" manualBreakCount="1">
    <brk id="62" min="2" max="20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7"/>
  <sheetViews>
    <sheetView tabSelected="1" workbookViewId="0">
      <selection activeCell="F19" sqref="F19"/>
    </sheetView>
  </sheetViews>
  <sheetFormatPr defaultRowHeight="15"/>
  <cols>
    <col min="1" max="1" width="22.42578125" customWidth="1"/>
    <col min="2" max="2" width="7.5703125" style="2" customWidth="1"/>
    <col min="3" max="12" width="9.140625" style="2"/>
  </cols>
  <sheetData>
    <row r="3" spans="1:14">
      <c r="A3" s="48" t="s">
        <v>113</v>
      </c>
      <c r="C3" s="62" t="s">
        <v>44</v>
      </c>
      <c r="D3" s="62" t="s">
        <v>45</v>
      </c>
      <c r="E3" s="62" t="s">
        <v>46</v>
      </c>
      <c r="F3" s="62" t="s">
        <v>47</v>
      </c>
      <c r="G3" s="62" t="s">
        <v>48</v>
      </c>
      <c r="H3" s="62" t="s">
        <v>49</v>
      </c>
      <c r="I3" s="62" t="s">
        <v>50</v>
      </c>
      <c r="J3" s="62" t="s">
        <v>53</v>
      </c>
      <c r="K3" s="62" t="s">
        <v>51</v>
      </c>
      <c r="L3" s="62" t="s">
        <v>52</v>
      </c>
    </row>
    <row r="4" spans="1:14">
      <c r="A4" s="1" t="s">
        <v>101</v>
      </c>
      <c r="C4" s="61">
        <v>0</v>
      </c>
      <c r="D4" s="61">
        <v>1</v>
      </c>
      <c r="E4" s="61">
        <v>2</v>
      </c>
      <c r="F4" s="61">
        <v>3</v>
      </c>
      <c r="G4" s="61">
        <v>4</v>
      </c>
      <c r="H4" s="61">
        <v>5</v>
      </c>
      <c r="I4" s="61">
        <v>6</v>
      </c>
      <c r="J4" s="61">
        <v>7</v>
      </c>
      <c r="K4" s="61">
        <v>8</v>
      </c>
      <c r="L4" s="61">
        <v>9</v>
      </c>
    </row>
    <row r="5" spans="1:14">
      <c r="A5" s="1" t="s">
        <v>102</v>
      </c>
      <c r="C5" s="61">
        <v>75</v>
      </c>
      <c r="D5" s="61">
        <v>100</v>
      </c>
      <c r="E5" s="61">
        <v>125</v>
      </c>
      <c r="F5" s="61">
        <v>150</v>
      </c>
      <c r="G5" s="61">
        <v>175</v>
      </c>
      <c r="H5" s="61">
        <v>200</v>
      </c>
      <c r="I5" s="61">
        <v>225</v>
      </c>
      <c r="J5" s="61">
        <v>250</v>
      </c>
      <c r="K5" s="61">
        <v>275</v>
      </c>
      <c r="L5" s="61">
        <v>300</v>
      </c>
    </row>
    <row r="6" spans="1:14">
      <c r="A6" s="1" t="s">
        <v>103</v>
      </c>
      <c r="C6" s="61">
        <v>0</v>
      </c>
      <c r="D6" s="61">
        <v>20</v>
      </c>
      <c r="E6" s="61">
        <v>40</v>
      </c>
      <c r="F6" s="61">
        <v>60</v>
      </c>
      <c r="G6" s="61">
        <v>80</v>
      </c>
      <c r="H6" s="61">
        <v>100</v>
      </c>
      <c r="I6" s="61">
        <v>100</v>
      </c>
      <c r="J6" s="61">
        <v>100</v>
      </c>
      <c r="K6" s="61">
        <v>100</v>
      </c>
      <c r="L6" s="61">
        <v>100</v>
      </c>
    </row>
    <row r="7" spans="1:14">
      <c r="A7" s="1"/>
    </row>
    <row r="8" spans="1:14">
      <c r="A8" s="1" t="s">
        <v>104</v>
      </c>
      <c r="B8" s="61">
        <v>75</v>
      </c>
      <c r="C8" s="75">
        <f>C4*$B8</f>
        <v>0</v>
      </c>
      <c r="D8" s="76">
        <f t="shared" ref="D8:L8" si="0">D4*$B8</f>
        <v>75</v>
      </c>
      <c r="E8" s="76">
        <f t="shared" si="0"/>
        <v>150</v>
      </c>
      <c r="F8" s="76">
        <f t="shared" si="0"/>
        <v>225</v>
      </c>
      <c r="G8" s="76">
        <f t="shared" si="0"/>
        <v>300</v>
      </c>
      <c r="H8" s="76">
        <f t="shared" si="0"/>
        <v>375</v>
      </c>
      <c r="I8" s="76">
        <f t="shared" si="0"/>
        <v>450</v>
      </c>
      <c r="J8" s="76">
        <f t="shared" si="0"/>
        <v>525</v>
      </c>
      <c r="K8" s="76">
        <f t="shared" si="0"/>
        <v>600</v>
      </c>
      <c r="L8" s="77">
        <f t="shared" si="0"/>
        <v>675</v>
      </c>
      <c r="N8" t="s">
        <v>130</v>
      </c>
    </row>
    <row r="9" spans="1:14">
      <c r="A9" s="1" t="s">
        <v>102</v>
      </c>
      <c r="B9" s="61">
        <v>2</v>
      </c>
      <c r="C9" s="78">
        <f t="shared" ref="C9:L10" si="1">C5*$B9</f>
        <v>150</v>
      </c>
      <c r="D9" s="79">
        <f t="shared" si="1"/>
        <v>200</v>
      </c>
      <c r="E9" s="79">
        <f t="shared" si="1"/>
        <v>250</v>
      </c>
      <c r="F9" s="79">
        <f t="shared" si="1"/>
        <v>300</v>
      </c>
      <c r="G9" s="79">
        <f t="shared" si="1"/>
        <v>350</v>
      </c>
      <c r="H9" s="79">
        <f t="shared" si="1"/>
        <v>400</v>
      </c>
      <c r="I9" s="79">
        <f t="shared" si="1"/>
        <v>450</v>
      </c>
      <c r="J9" s="79">
        <f t="shared" si="1"/>
        <v>500</v>
      </c>
      <c r="K9" s="79">
        <f t="shared" si="1"/>
        <v>550</v>
      </c>
      <c r="L9" s="80">
        <f t="shared" si="1"/>
        <v>600</v>
      </c>
      <c r="M9" s="2"/>
      <c r="N9" t="s">
        <v>138</v>
      </c>
    </row>
    <row r="10" spans="1:14">
      <c r="A10" s="1" t="s">
        <v>103</v>
      </c>
      <c r="B10" s="61">
        <v>3</v>
      </c>
      <c r="C10" s="81">
        <f t="shared" si="1"/>
        <v>0</v>
      </c>
      <c r="D10" s="82">
        <f t="shared" si="1"/>
        <v>60</v>
      </c>
      <c r="E10" s="82">
        <f t="shared" si="1"/>
        <v>120</v>
      </c>
      <c r="F10" s="82">
        <f t="shared" si="1"/>
        <v>180</v>
      </c>
      <c r="G10" s="82">
        <f t="shared" si="1"/>
        <v>240</v>
      </c>
      <c r="H10" s="82">
        <f t="shared" si="1"/>
        <v>300</v>
      </c>
      <c r="I10" s="82">
        <f t="shared" si="1"/>
        <v>300</v>
      </c>
      <c r="J10" s="82">
        <f t="shared" si="1"/>
        <v>300</v>
      </c>
      <c r="K10" s="82">
        <f t="shared" si="1"/>
        <v>300</v>
      </c>
      <c r="L10" s="83">
        <f t="shared" si="1"/>
        <v>300</v>
      </c>
      <c r="M10" s="2"/>
      <c r="N10" t="s">
        <v>131</v>
      </c>
    </row>
    <row r="11" spans="1:14">
      <c r="A11" s="1"/>
    </row>
    <row r="12" spans="1:14">
      <c r="A12" s="1" t="s">
        <v>105</v>
      </c>
      <c r="C12" s="2">
        <f>SUM(C8:C10)</f>
        <v>150</v>
      </c>
      <c r="D12" s="2">
        <f t="shared" ref="D12:L12" si="2">SUM(D8:D10)</f>
        <v>335</v>
      </c>
      <c r="E12" s="2">
        <f t="shared" si="2"/>
        <v>520</v>
      </c>
      <c r="F12" s="2">
        <f t="shared" si="2"/>
        <v>705</v>
      </c>
      <c r="G12" s="2">
        <f t="shared" si="2"/>
        <v>890</v>
      </c>
      <c r="H12" s="2">
        <f t="shared" si="2"/>
        <v>1075</v>
      </c>
      <c r="I12" s="2">
        <f t="shared" si="2"/>
        <v>1200</v>
      </c>
      <c r="J12" s="2">
        <f t="shared" si="2"/>
        <v>1325</v>
      </c>
      <c r="K12" s="2">
        <f t="shared" si="2"/>
        <v>1450</v>
      </c>
      <c r="L12" s="2">
        <f t="shared" si="2"/>
        <v>1575</v>
      </c>
    </row>
    <row r="13" spans="1:14" ht="18.75">
      <c r="A13" s="1" t="s">
        <v>106</v>
      </c>
      <c r="B13" s="63">
        <v>0.4</v>
      </c>
      <c r="C13" s="66">
        <f>INT(C12*$B13)</f>
        <v>60</v>
      </c>
      <c r="D13" s="74">
        <f t="shared" ref="D13:L13" si="3">INT(D12*$B13)</f>
        <v>134</v>
      </c>
      <c r="E13" s="74">
        <f t="shared" si="3"/>
        <v>208</v>
      </c>
      <c r="F13" s="74">
        <f t="shared" si="3"/>
        <v>282</v>
      </c>
      <c r="G13" s="74">
        <f t="shared" si="3"/>
        <v>356</v>
      </c>
      <c r="H13" s="74">
        <f t="shared" si="3"/>
        <v>430</v>
      </c>
      <c r="I13" s="74">
        <f t="shared" si="3"/>
        <v>480</v>
      </c>
      <c r="J13" s="74">
        <f t="shared" si="3"/>
        <v>530</v>
      </c>
      <c r="K13" s="74">
        <f t="shared" si="3"/>
        <v>580</v>
      </c>
      <c r="L13" s="67">
        <f t="shared" si="3"/>
        <v>630</v>
      </c>
    </row>
    <row r="16" spans="1:14">
      <c r="A16" t="s">
        <v>107</v>
      </c>
      <c r="C16" s="61">
        <v>15</v>
      </c>
      <c r="D16" s="2">
        <f>INT( ($L16-$C16)*D6/100 + $C16 )</f>
        <v>17</v>
      </c>
      <c r="E16" s="2">
        <f t="shared" ref="E16:K16" si="4">INT( ($L16-$C16)*E6/100 + $C16 )</f>
        <v>19</v>
      </c>
      <c r="F16" s="2">
        <f t="shared" si="4"/>
        <v>22</v>
      </c>
      <c r="G16" s="2">
        <f t="shared" si="4"/>
        <v>24</v>
      </c>
      <c r="H16" s="2">
        <f t="shared" si="4"/>
        <v>27</v>
      </c>
      <c r="I16" s="2">
        <f t="shared" si="4"/>
        <v>27</v>
      </c>
      <c r="J16" s="2">
        <f t="shared" si="4"/>
        <v>27</v>
      </c>
      <c r="K16" s="2">
        <f t="shared" si="4"/>
        <v>27</v>
      </c>
      <c r="L16" s="61">
        <v>27</v>
      </c>
    </row>
    <row r="17" spans="1:14">
      <c r="A17" t="s">
        <v>108</v>
      </c>
      <c r="C17" s="41">
        <f>C4*0.14</f>
        <v>0</v>
      </c>
      <c r="D17" s="41">
        <f t="shared" ref="D17:L17" si="5">D4*0.14</f>
        <v>0.14000000000000001</v>
      </c>
      <c r="E17" s="41">
        <f t="shared" si="5"/>
        <v>0.28000000000000003</v>
      </c>
      <c r="F17" s="41">
        <f t="shared" si="5"/>
        <v>0.42000000000000004</v>
      </c>
      <c r="G17" s="41">
        <f t="shared" si="5"/>
        <v>0.56000000000000005</v>
      </c>
      <c r="H17" s="41">
        <f t="shared" si="5"/>
        <v>0.70000000000000007</v>
      </c>
      <c r="I17" s="41">
        <f t="shared" si="5"/>
        <v>0.84000000000000008</v>
      </c>
      <c r="J17" s="41">
        <f t="shared" si="5"/>
        <v>0.98000000000000009</v>
      </c>
      <c r="K17" s="41">
        <f t="shared" si="5"/>
        <v>1.1200000000000001</v>
      </c>
      <c r="L17" s="41">
        <f t="shared" si="5"/>
        <v>1.2600000000000002</v>
      </c>
    </row>
    <row r="18" spans="1:14">
      <c r="A18" t="s">
        <v>109</v>
      </c>
      <c r="C18" s="41">
        <f>C5/100*0.16</f>
        <v>0.12</v>
      </c>
      <c r="D18" s="41">
        <f t="shared" ref="D18:L18" si="6">D5/100*0.16</f>
        <v>0.16</v>
      </c>
      <c r="E18" s="41">
        <f t="shared" si="6"/>
        <v>0.2</v>
      </c>
      <c r="F18" s="41">
        <f t="shared" si="6"/>
        <v>0.24</v>
      </c>
      <c r="G18" s="41">
        <f t="shared" si="6"/>
        <v>0.28000000000000003</v>
      </c>
      <c r="H18" s="41">
        <f t="shared" si="6"/>
        <v>0.32</v>
      </c>
      <c r="I18" s="41">
        <f t="shared" si="6"/>
        <v>0.36</v>
      </c>
      <c r="J18" s="41">
        <f t="shared" si="6"/>
        <v>0.4</v>
      </c>
      <c r="K18" s="41">
        <f t="shared" si="6"/>
        <v>0.44</v>
      </c>
      <c r="L18" s="41">
        <f t="shared" si="6"/>
        <v>0.48</v>
      </c>
    </row>
    <row r="20" spans="1:14">
      <c r="A20" t="s">
        <v>110</v>
      </c>
      <c r="C20" s="43">
        <f>INT( C16*(1+C17+C18) )</f>
        <v>16</v>
      </c>
      <c r="D20" s="43">
        <f t="shared" ref="D20:L20" si="7">INT( D16*(1+D17+D18) )</f>
        <v>22</v>
      </c>
      <c r="E20" s="43">
        <f t="shared" si="7"/>
        <v>28</v>
      </c>
      <c r="F20" s="43">
        <f t="shared" si="7"/>
        <v>36</v>
      </c>
      <c r="G20" s="43">
        <f t="shared" si="7"/>
        <v>44</v>
      </c>
      <c r="H20" s="43">
        <f t="shared" si="7"/>
        <v>54</v>
      </c>
      <c r="I20" s="43">
        <f t="shared" si="7"/>
        <v>59</v>
      </c>
      <c r="J20" s="43">
        <f t="shared" si="7"/>
        <v>64</v>
      </c>
      <c r="K20" s="43">
        <f t="shared" si="7"/>
        <v>69</v>
      </c>
      <c r="L20" s="43">
        <f t="shared" si="7"/>
        <v>73</v>
      </c>
    </row>
    <row r="25" spans="1:14">
      <c r="A25" s="48" t="s">
        <v>112</v>
      </c>
      <c r="C25" s="58" t="s">
        <v>44</v>
      </c>
      <c r="D25" s="59" t="s">
        <v>45</v>
      </c>
      <c r="E25" s="59" t="s">
        <v>46</v>
      </c>
      <c r="F25" s="59" t="s">
        <v>47</v>
      </c>
      <c r="G25" s="59" t="s">
        <v>48</v>
      </c>
      <c r="H25" s="59" t="s">
        <v>49</v>
      </c>
      <c r="I25" s="59" t="s">
        <v>50</v>
      </c>
      <c r="J25" s="59" t="s">
        <v>53</v>
      </c>
      <c r="K25" s="59" t="s">
        <v>51</v>
      </c>
      <c r="L25" s="60" t="s">
        <v>52</v>
      </c>
    </row>
    <row r="26" spans="1:14">
      <c r="A26" s="1" t="s">
        <v>38</v>
      </c>
      <c r="B26" s="56">
        <v>8</v>
      </c>
      <c r="C26" s="68">
        <v>0</v>
      </c>
      <c r="D26" s="69">
        <v>1</v>
      </c>
      <c r="E26" s="69">
        <v>2</v>
      </c>
      <c r="F26" s="69">
        <v>3</v>
      </c>
      <c r="G26" s="69">
        <v>4</v>
      </c>
      <c r="H26" s="69">
        <v>5</v>
      </c>
      <c r="I26" s="69">
        <v>6</v>
      </c>
      <c r="J26" s="69">
        <v>7</v>
      </c>
      <c r="K26" s="69">
        <v>8</v>
      </c>
      <c r="L26" s="70">
        <v>9</v>
      </c>
    </row>
    <row r="27" spans="1:14">
      <c r="A27" s="1" t="s">
        <v>116</v>
      </c>
      <c r="B27" s="57">
        <v>3</v>
      </c>
      <c r="C27" s="71">
        <v>0</v>
      </c>
      <c r="D27" s="72">
        <v>15</v>
      </c>
      <c r="E27" s="72">
        <v>30</v>
      </c>
      <c r="F27" s="72">
        <v>45</v>
      </c>
      <c r="G27" s="72">
        <v>60</v>
      </c>
      <c r="H27" s="72">
        <v>75</v>
      </c>
      <c r="I27" s="72">
        <v>90</v>
      </c>
      <c r="J27" s="72">
        <v>100</v>
      </c>
      <c r="K27" s="72">
        <v>100</v>
      </c>
      <c r="L27" s="73">
        <v>100</v>
      </c>
    </row>
    <row r="28" spans="1:14" ht="18.75">
      <c r="A28" s="1" t="s">
        <v>111</v>
      </c>
      <c r="B28" s="55">
        <v>3</v>
      </c>
      <c r="C28" s="66">
        <f>INT( ((C27*$B27)+(C26*$B26))/$B28 )</f>
        <v>0</v>
      </c>
      <c r="D28" s="74">
        <f t="shared" ref="D28:L28" si="8">INT( ((D27*$B27)+(D26*$B26))/$B28 )</f>
        <v>17</v>
      </c>
      <c r="E28" s="74">
        <f t="shared" si="8"/>
        <v>35</v>
      </c>
      <c r="F28" s="74">
        <f t="shared" si="8"/>
        <v>53</v>
      </c>
      <c r="G28" s="74">
        <f t="shared" si="8"/>
        <v>70</v>
      </c>
      <c r="H28" s="74">
        <f t="shared" si="8"/>
        <v>88</v>
      </c>
      <c r="I28" s="74">
        <f t="shared" si="8"/>
        <v>106</v>
      </c>
      <c r="J28" s="74">
        <f t="shared" si="8"/>
        <v>118</v>
      </c>
      <c r="K28" s="74">
        <f t="shared" si="8"/>
        <v>121</v>
      </c>
      <c r="L28" s="67">
        <f t="shared" si="8"/>
        <v>124</v>
      </c>
    </row>
    <row r="30" spans="1:14">
      <c r="C30" s="175" t="s">
        <v>97</v>
      </c>
      <c r="D30" s="173"/>
      <c r="E30" s="169" t="s">
        <v>93</v>
      </c>
      <c r="F30" s="170"/>
      <c r="G30" s="173" t="s">
        <v>94</v>
      </c>
      <c r="H30" s="173"/>
      <c r="I30" s="169" t="s">
        <v>117</v>
      </c>
      <c r="J30" s="170"/>
      <c r="K30" s="173" t="s">
        <v>95</v>
      </c>
      <c r="L30" s="173"/>
      <c r="M30" s="169" t="s">
        <v>96</v>
      </c>
      <c r="N30" s="170"/>
    </row>
    <row r="31" spans="1:14">
      <c r="A31" s="48" t="s">
        <v>114</v>
      </c>
      <c r="C31" s="174" t="s">
        <v>44</v>
      </c>
      <c r="D31" s="172"/>
      <c r="E31" s="167" t="s">
        <v>45</v>
      </c>
      <c r="F31" s="168"/>
      <c r="G31" s="172" t="s">
        <v>46</v>
      </c>
      <c r="H31" s="172"/>
      <c r="I31" s="167" t="s">
        <v>47</v>
      </c>
      <c r="J31" s="168"/>
      <c r="K31" s="172" t="s">
        <v>48</v>
      </c>
      <c r="L31" s="172"/>
      <c r="M31" s="167" t="s">
        <v>49</v>
      </c>
      <c r="N31" s="168"/>
    </row>
    <row r="32" spans="1:14">
      <c r="A32" s="1" t="s">
        <v>115</v>
      </c>
      <c r="C32" s="165">
        <v>0</v>
      </c>
      <c r="D32" s="171"/>
      <c r="E32" s="165">
        <v>20</v>
      </c>
      <c r="F32" s="166"/>
      <c r="G32" s="171">
        <v>40</v>
      </c>
      <c r="H32" s="171"/>
      <c r="I32" s="165">
        <v>60</v>
      </c>
      <c r="J32" s="166"/>
      <c r="K32" s="171">
        <v>80</v>
      </c>
      <c r="L32" s="171"/>
      <c r="M32" s="165">
        <v>100</v>
      </c>
      <c r="N32" s="166"/>
    </row>
    <row r="33" spans="1:14">
      <c r="A33" s="1" t="s">
        <v>128</v>
      </c>
      <c r="B33" s="53">
        <v>0.6</v>
      </c>
      <c r="C33" s="49">
        <f>INT( ($C$32)*$B33*$B$37 )</f>
        <v>0</v>
      </c>
      <c r="D33" s="50">
        <f>INT( ($C$32+5)*$B33*$B$37 )</f>
        <v>7</v>
      </c>
      <c r="E33" s="52">
        <f>INT( ($E$32-5)*$B33*$B$37 )</f>
        <v>22</v>
      </c>
      <c r="F33" s="51">
        <f>INT( ($E$32+5)*$B33*$B$37 )</f>
        <v>37</v>
      </c>
      <c r="G33" s="50">
        <f>INT( ($G$32-5)*$B33*$B$37 )</f>
        <v>52</v>
      </c>
      <c r="H33" s="50">
        <f>INT( ($G$32+5)*$B33*$B$37 )</f>
        <v>67</v>
      </c>
      <c r="I33" s="52">
        <f>INT( ($I$32-5)*$B33*$B$37 )</f>
        <v>82</v>
      </c>
      <c r="J33" s="51">
        <f>INT( ($I$32+5)*$B33*$B$37 )</f>
        <v>97</v>
      </c>
      <c r="K33" s="50">
        <f>INT( ($K$32-5)*$B33*$B$37 )</f>
        <v>112</v>
      </c>
      <c r="L33" s="50">
        <f>INT( ($K$32+5)*$B33*$B$37 )</f>
        <v>127</v>
      </c>
      <c r="M33" s="52">
        <f>INT( ($M$32-5)*$B33*$B$37 )</f>
        <v>142</v>
      </c>
      <c r="N33" s="51">
        <f>INT( ($M$32+5)*$B33*$B$37 )</f>
        <v>157</v>
      </c>
    </row>
    <row r="34" spans="1:14">
      <c r="A34" s="1" t="s">
        <v>127</v>
      </c>
      <c r="B34" s="54">
        <v>1</v>
      </c>
      <c r="C34" s="49">
        <f t="shared" ref="C34:C36" si="9">INT( ($C$32)*$B34*$B$37 )</f>
        <v>0</v>
      </c>
      <c r="D34" s="50">
        <f t="shared" ref="D34:D36" si="10">INT( ($C$32+5)*$B34*$B$37 )</f>
        <v>12</v>
      </c>
      <c r="E34" s="52">
        <f t="shared" ref="E34:E36" si="11">INT( ($E$32-5)*$B34*$B$37 )</f>
        <v>37</v>
      </c>
      <c r="F34" s="51">
        <f t="shared" ref="F34:F36" si="12">INT( ($E$32+5)*$B34*$B$37 )</f>
        <v>62</v>
      </c>
      <c r="G34" s="50">
        <f t="shared" ref="G34:G36" si="13">INT( ($G$32-5)*$B34*$B$37 )</f>
        <v>87</v>
      </c>
      <c r="H34" s="50">
        <f t="shared" ref="H34:H36" si="14">INT( ($G$32+5)*$B34*$B$37 )</f>
        <v>112</v>
      </c>
      <c r="I34" s="52">
        <f t="shared" ref="I34:I36" si="15">INT( ($I$32-5)*$B34*$B$37 )</f>
        <v>137</v>
      </c>
      <c r="J34" s="51">
        <f t="shared" ref="J34:J36" si="16">INT( ($I$32+5)*$B34*$B$37 )</f>
        <v>162</v>
      </c>
      <c r="K34" s="50">
        <f t="shared" ref="K34:K36" si="17">INT( ($K$32-5)*$B34*$B$37 )</f>
        <v>187</v>
      </c>
      <c r="L34" s="50">
        <f t="shared" ref="L34:L36" si="18">INT( ($K$32+5)*$B34*$B$37 )</f>
        <v>212</v>
      </c>
      <c r="M34" s="52">
        <f t="shared" ref="M34:M36" si="19">INT( ($M$32-5)*$B34*$B$37 )</f>
        <v>237</v>
      </c>
      <c r="N34" s="51">
        <f t="shared" ref="N34:N36" si="20">INT( ($M$32+5)*$B34*$B$37 )</f>
        <v>262</v>
      </c>
    </row>
    <row r="35" spans="1:14">
      <c r="A35" s="1" t="s">
        <v>126</v>
      </c>
      <c r="B35" s="54">
        <v>0.35</v>
      </c>
      <c r="C35" s="49">
        <f t="shared" si="9"/>
        <v>0</v>
      </c>
      <c r="D35" s="50">
        <f t="shared" si="10"/>
        <v>4</v>
      </c>
      <c r="E35" s="52">
        <f t="shared" si="11"/>
        <v>13</v>
      </c>
      <c r="F35" s="51">
        <f t="shared" si="12"/>
        <v>21</v>
      </c>
      <c r="G35" s="50">
        <f t="shared" si="13"/>
        <v>30</v>
      </c>
      <c r="H35" s="50">
        <f t="shared" si="14"/>
        <v>39</v>
      </c>
      <c r="I35" s="52">
        <f t="shared" si="15"/>
        <v>48</v>
      </c>
      <c r="J35" s="51">
        <f t="shared" si="16"/>
        <v>56</v>
      </c>
      <c r="K35" s="50">
        <f t="shared" si="17"/>
        <v>65</v>
      </c>
      <c r="L35" s="50">
        <f t="shared" si="18"/>
        <v>74</v>
      </c>
      <c r="M35" s="52">
        <f t="shared" si="19"/>
        <v>83</v>
      </c>
      <c r="N35" s="51">
        <f t="shared" si="20"/>
        <v>91</v>
      </c>
    </row>
    <row r="36" spans="1:14">
      <c r="A36" s="1" t="s">
        <v>125</v>
      </c>
      <c r="B36" s="54">
        <v>0.15</v>
      </c>
      <c r="C36" s="49">
        <f t="shared" si="9"/>
        <v>0</v>
      </c>
      <c r="D36" s="50">
        <f t="shared" si="10"/>
        <v>1</v>
      </c>
      <c r="E36" s="52">
        <f t="shared" si="11"/>
        <v>5</v>
      </c>
      <c r="F36" s="51">
        <f t="shared" si="12"/>
        <v>9</v>
      </c>
      <c r="G36" s="50">
        <f t="shared" si="13"/>
        <v>13</v>
      </c>
      <c r="H36" s="50">
        <f t="shared" si="14"/>
        <v>16</v>
      </c>
      <c r="I36" s="52">
        <f t="shared" si="15"/>
        <v>20</v>
      </c>
      <c r="J36" s="51">
        <f t="shared" si="16"/>
        <v>24</v>
      </c>
      <c r="K36" s="50">
        <f t="shared" si="17"/>
        <v>28</v>
      </c>
      <c r="L36" s="50">
        <f t="shared" si="18"/>
        <v>31</v>
      </c>
      <c r="M36" s="52">
        <f t="shared" si="19"/>
        <v>35</v>
      </c>
      <c r="N36" s="51">
        <f t="shared" si="20"/>
        <v>39</v>
      </c>
    </row>
    <row r="37" spans="1:14" ht="18.75">
      <c r="A37" s="1" t="s">
        <v>129</v>
      </c>
      <c r="B37" s="55">
        <v>2.5</v>
      </c>
      <c r="C37" s="64">
        <f>SUM(C33:C36)</f>
        <v>0</v>
      </c>
      <c r="D37" s="65">
        <f>SUM(D33:D36)</f>
        <v>24</v>
      </c>
      <c r="E37" s="66">
        <f t="shared" ref="E37:N37" si="21">SUM(E33:E36)</f>
        <v>77</v>
      </c>
      <c r="F37" s="67">
        <f t="shared" si="21"/>
        <v>129</v>
      </c>
      <c r="G37" s="65">
        <f t="shared" si="21"/>
        <v>182</v>
      </c>
      <c r="H37" s="65">
        <f t="shared" si="21"/>
        <v>234</v>
      </c>
      <c r="I37" s="66">
        <f t="shared" si="21"/>
        <v>287</v>
      </c>
      <c r="J37" s="67">
        <f t="shared" si="21"/>
        <v>339</v>
      </c>
      <c r="K37" s="65">
        <f t="shared" si="21"/>
        <v>392</v>
      </c>
      <c r="L37" s="65">
        <f t="shared" si="21"/>
        <v>444</v>
      </c>
      <c r="M37" s="66">
        <f t="shared" si="21"/>
        <v>497</v>
      </c>
      <c r="N37" s="67">
        <f t="shared" si="21"/>
        <v>549</v>
      </c>
    </row>
  </sheetData>
  <mergeCells count="18">
    <mergeCell ref="E31:F31"/>
    <mergeCell ref="E30:F30"/>
    <mergeCell ref="C32:D32"/>
    <mergeCell ref="C31:D31"/>
    <mergeCell ref="C30:D30"/>
    <mergeCell ref="E32:F32"/>
    <mergeCell ref="M32:N32"/>
    <mergeCell ref="M31:N31"/>
    <mergeCell ref="M30:N30"/>
    <mergeCell ref="K32:L32"/>
    <mergeCell ref="K31:L31"/>
    <mergeCell ref="K30:L30"/>
    <mergeCell ref="I32:J32"/>
    <mergeCell ref="I31:J31"/>
    <mergeCell ref="I30:J30"/>
    <mergeCell ref="G32:H32"/>
    <mergeCell ref="G31:H31"/>
    <mergeCell ref="G30:H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9"/>
  <sheetViews>
    <sheetView workbookViewId="0"/>
  </sheetViews>
  <sheetFormatPr defaultRowHeight="15"/>
  <cols>
    <col min="1" max="5" width="9.140625" style="2"/>
  </cols>
  <sheetData>
    <row r="1" spans="1:5">
      <c r="C1" s="41">
        <v>0.45</v>
      </c>
    </row>
    <row r="2" spans="1:5">
      <c r="A2" s="43" t="s">
        <v>23</v>
      </c>
      <c r="B2" s="43" t="s">
        <v>67</v>
      </c>
      <c r="C2" s="43" t="s">
        <v>68</v>
      </c>
      <c r="D2" s="43" t="s">
        <v>65</v>
      </c>
      <c r="E2" s="43" t="s">
        <v>66</v>
      </c>
    </row>
    <row r="3" spans="1:5">
      <c r="A3" s="2">
        <v>100</v>
      </c>
      <c r="B3" s="2">
        <f t="shared" ref="B3:B39" si="0">INT( ($A3)*$D3*$E3/100 )</f>
        <v>8</v>
      </c>
      <c r="C3" s="2">
        <f t="shared" ref="C3:C39" si="1">INT( ($A3+($A3*C$1))*$D3*$E3/100 )</f>
        <v>11</v>
      </c>
      <c r="D3" s="2">
        <f>IF(INT(A3/175)&lt;1, 1, INT(A3/175))</f>
        <v>1</v>
      </c>
      <c r="E3" s="2">
        <f>D3+7</f>
        <v>8</v>
      </c>
    </row>
    <row r="4" spans="1:5">
      <c r="A4" s="2">
        <v>150</v>
      </c>
      <c r="B4" s="2">
        <f t="shared" si="0"/>
        <v>12</v>
      </c>
      <c r="C4" s="2">
        <f t="shared" si="1"/>
        <v>17</v>
      </c>
      <c r="D4" s="2">
        <f t="shared" ref="D4:D39" si="2">IF(INT(A4/175)&lt;1, 1, INT(A4/175))</f>
        <v>1</v>
      </c>
      <c r="E4" s="2">
        <f>D4+7</f>
        <v>8</v>
      </c>
    </row>
    <row r="5" spans="1:5">
      <c r="A5" s="2">
        <v>200</v>
      </c>
      <c r="B5" s="2">
        <f t="shared" si="0"/>
        <v>16</v>
      </c>
      <c r="C5" s="2">
        <f t="shared" si="1"/>
        <v>23</v>
      </c>
      <c r="D5" s="2">
        <f t="shared" si="2"/>
        <v>1</v>
      </c>
      <c r="E5" s="2">
        <f t="shared" ref="E5:E39" si="3">D5+7</f>
        <v>8</v>
      </c>
    </row>
    <row r="6" spans="1:5">
      <c r="A6" s="2">
        <v>250</v>
      </c>
      <c r="B6" s="2">
        <f t="shared" si="0"/>
        <v>20</v>
      </c>
      <c r="C6" s="2">
        <f t="shared" si="1"/>
        <v>29</v>
      </c>
      <c r="D6" s="2">
        <f t="shared" si="2"/>
        <v>1</v>
      </c>
      <c r="E6" s="2">
        <f t="shared" si="3"/>
        <v>8</v>
      </c>
    </row>
    <row r="7" spans="1:5">
      <c r="A7" s="2">
        <v>300</v>
      </c>
      <c r="B7" s="2">
        <f t="shared" si="0"/>
        <v>24</v>
      </c>
      <c r="C7" s="2">
        <f t="shared" si="1"/>
        <v>34</v>
      </c>
      <c r="D7" s="2">
        <f t="shared" si="2"/>
        <v>1</v>
      </c>
      <c r="E7" s="2">
        <f t="shared" si="3"/>
        <v>8</v>
      </c>
    </row>
    <row r="8" spans="1:5">
      <c r="A8" s="2">
        <v>350</v>
      </c>
      <c r="B8" s="2">
        <f t="shared" si="0"/>
        <v>63</v>
      </c>
      <c r="C8" s="2">
        <f t="shared" si="1"/>
        <v>91</v>
      </c>
      <c r="D8" s="2">
        <f t="shared" si="2"/>
        <v>2</v>
      </c>
      <c r="E8" s="2">
        <f t="shared" si="3"/>
        <v>9</v>
      </c>
    </row>
    <row r="9" spans="1:5">
      <c r="A9" s="2">
        <v>400</v>
      </c>
      <c r="B9" s="42">
        <f t="shared" si="0"/>
        <v>72</v>
      </c>
      <c r="C9" s="42">
        <f t="shared" si="1"/>
        <v>104</v>
      </c>
      <c r="D9" s="2">
        <f t="shared" si="2"/>
        <v>2</v>
      </c>
      <c r="E9" s="2">
        <f t="shared" si="3"/>
        <v>9</v>
      </c>
    </row>
    <row r="10" spans="1:5">
      <c r="A10" s="2">
        <v>450</v>
      </c>
      <c r="B10" s="2">
        <f t="shared" si="0"/>
        <v>81</v>
      </c>
      <c r="C10" s="2">
        <f t="shared" si="1"/>
        <v>117</v>
      </c>
      <c r="D10" s="2">
        <f t="shared" si="2"/>
        <v>2</v>
      </c>
      <c r="E10" s="2">
        <f t="shared" si="3"/>
        <v>9</v>
      </c>
    </row>
    <row r="11" spans="1:5">
      <c r="A11" s="2">
        <v>500</v>
      </c>
      <c r="B11" s="2">
        <f t="shared" si="0"/>
        <v>90</v>
      </c>
      <c r="C11" s="2">
        <f t="shared" si="1"/>
        <v>130</v>
      </c>
      <c r="D11" s="2">
        <f t="shared" si="2"/>
        <v>2</v>
      </c>
      <c r="E11" s="2">
        <f t="shared" si="3"/>
        <v>9</v>
      </c>
    </row>
    <row r="12" spans="1:5">
      <c r="A12" s="2">
        <v>550</v>
      </c>
      <c r="B12" s="2">
        <f t="shared" si="0"/>
        <v>165</v>
      </c>
      <c r="C12" s="2">
        <f t="shared" si="1"/>
        <v>239</v>
      </c>
      <c r="D12" s="2">
        <f t="shared" si="2"/>
        <v>3</v>
      </c>
      <c r="E12" s="2">
        <f t="shared" si="3"/>
        <v>10</v>
      </c>
    </row>
    <row r="13" spans="1:5">
      <c r="A13" s="2">
        <v>600</v>
      </c>
      <c r="B13" s="42">
        <f t="shared" si="0"/>
        <v>180</v>
      </c>
      <c r="C13" s="42">
        <f t="shared" si="1"/>
        <v>261</v>
      </c>
      <c r="D13" s="2">
        <f t="shared" si="2"/>
        <v>3</v>
      </c>
      <c r="E13" s="2">
        <f t="shared" si="3"/>
        <v>10</v>
      </c>
    </row>
    <row r="14" spans="1:5">
      <c r="A14" s="2">
        <v>650</v>
      </c>
      <c r="B14" s="2">
        <f t="shared" si="0"/>
        <v>195</v>
      </c>
      <c r="C14" s="2">
        <f t="shared" si="1"/>
        <v>282</v>
      </c>
      <c r="D14" s="2">
        <f t="shared" si="2"/>
        <v>3</v>
      </c>
      <c r="E14" s="2">
        <f t="shared" si="3"/>
        <v>10</v>
      </c>
    </row>
    <row r="15" spans="1:5">
      <c r="A15" s="2">
        <v>700</v>
      </c>
      <c r="B15" s="2">
        <f t="shared" si="0"/>
        <v>308</v>
      </c>
      <c r="C15" s="2">
        <f t="shared" si="1"/>
        <v>446</v>
      </c>
      <c r="D15" s="2">
        <f t="shared" si="2"/>
        <v>4</v>
      </c>
      <c r="E15" s="2">
        <f t="shared" si="3"/>
        <v>11</v>
      </c>
    </row>
    <row r="16" spans="1:5">
      <c r="A16" s="2">
        <v>750</v>
      </c>
      <c r="B16" s="2">
        <f t="shared" si="0"/>
        <v>330</v>
      </c>
      <c r="C16" s="2">
        <f t="shared" si="1"/>
        <v>478</v>
      </c>
      <c r="D16" s="2">
        <f t="shared" si="2"/>
        <v>4</v>
      </c>
      <c r="E16" s="2">
        <f t="shared" si="3"/>
        <v>11</v>
      </c>
    </row>
    <row r="17" spans="1:5">
      <c r="A17" s="2">
        <v>800</v>
      </c>
      <c r="B17" s="42">
        <f t="shared" si="0"/>
        <v>352</v>
      </c>
      <c r="C17" s="42">
        <f t="shared" si="1"/>
        <v>510</v>
      </c>
      <c r="D17" s="2">
        <f t="shared" si="2"/>
        <v>4</v>
      </c>
      <c r="E17" s="2">
        <f t="shared" si="3"/>
        <v>11</v>
      </c>
    </row>
    <row r="18" spans="1:5">
      <c r="A18" s="2">
        <v>850</v>
      </c>
      <c r="B18" s="2">
        <f t="shared" si="0"/>
        <v>374</v>
      </c>
      <c r="C18" s="2">
        <f t="shared" si="1"/>
        <v>542</v>
      </c>
      <c r="D18" s="2">
        <f t="shared" si="2"/>
        <v>4</v>
      </c>
      <c r="E18" s="2">
        <f t="shared" si="3"/>
        <v>11</v>
      </c>
    </row>
    <row r="19" spans="1:5">
      <c r="A19" s="2">
        <v>900</v>
      </c>
      <c r="B19" s="2">
        <f t="shared" si="0"/>
        <v>540</v>
      </c>
      <c r="C19" s="2">
        <f t="shared" si="1"/>
        <v>783</v>
      </c>
      <c r="D19" s="2">
        <f t="shared" si="2"/>
        <v>5</v>
      </c>
      <c r="E19" s="2">
        <f t="shared" si="3"/>
        <v>12</v>
      </c>
    </row>
    <row r="20" spans="1:5">
      <c r="A20" s="2">
        <v>950</v>
      </c>
      <c r="B20" s="2">
        <f t="shared" si="0"/>
        <v>570</v>
      </c>
      <c r="C20" s="2">
        <f t="shared" si="1"/>
        <v>826</v>
      </c>
      <c r="D20" s="2">
        <f t="shared" si="2"/>
        <v>5</v>
      </c>
      <c r="E20" s="2">
        <f t="shared" si="3"/>
        <v>12</v>
      </c>
    </row>
    <row r="21" spans="1:5">
      <c r="A21" s="2">
        <v>1000</v>
      </c>
      <c r="B21" s="42">
        <f t="shared" si="0"/>
        <v>600</v>
      </c>
      <c r="C21" s="42">
        <f t="shared" si="1"/>
        <v>870</v>
      </c>
      <c r="D21" s="2">
        <f t="shared" si="2"/>
        <v>5</v>
      </c>
      <c r="E21" s="2">
        <f t="shared" si="3"/>
        <v>12</v>
      </c>
    </row>
    <row r="22" spans="1:5">
      <c r="A22" s="2">
        <v>1050</v>
      </c>
      <c r="B22" s="2">
        <f t="shared" si="0"/>
        <v>819</v>
      </c>
      <c r="C22" s="2">
        <f t="shared" si="1"/>
        <v>1187</v>
      </c>
      <c r="D22" s="2">
        <f t="shared" si="2"/>
        <v>6</v>
      </c>
      <c r="E22" s="2">
        <f t="shared" si="3"/>
        <v>13</v>
      </c>
    </row>
    <row r="23" spans="1:5">
      <c r="A23" s="2">
        <v>1100</v>
      </c>
      <c r="B23" s="2">
        <f t="shared" si="0"/>
        <v>858</v>
      </c>
      <c r="C23" s="2">
        <f t="shared" si="1"/>
        <v>1244</v>
      </c>
      <c r="D23" s="2">
        <f t="shared" si="2"/>
        <v>6</v>
      </c>
      <c r="E23" s="2">
        <f t="shared" si="3"/>
        <v>13</v>
      </c>
    </row>
    <row r="24" spans="1:5">
      <c r="A24" s="2">
        <v>1150</v>
      </c>
      <c r="B24" s="2">
        <f t="shared" si="0"/>
        <v>897</v>
      </c>
      <c r="C24" s="2">
        <f t="shared" si="1"/>
        <v>1300</v>
      </c>
      <c r="D24" s="2">
        <f t="shared" si="2"/>
        <v>6</v>
      </c>
      <c r="E24" s="2">
        <f t="shared" si="3"/>
        <v>13</v>
      </c>
    </row>
    <row r="25" spans="1:5">
      <c r="A25" s="2">
        <v>1200</v>
      </c>
      <c r="B25" s="42">
        <f t="shared" si="0"/>
        <v>936</v>
      </c>
      <c r="C25" s="42">
        <f t="shared" si="1"/>
        <v>1357</v>
      </c>
      <c r="D25" s="2">
        <f t="shared" si="2"/>
        <v>6</v>
      </c>
      <c r="E25" s="2">
        <f t="shared" si="3"/>
        <v>13</v>
      </c>
    </row>
    <row r="26" spans="1:5">
      <c r="A26" s="2">
        <v>1250</v>
      </c>
      <c r="B26" s="2">
        <f t="shared" si="0"/>
        <v>1225</v>
      </c>
      <c r="C26" s="2">
        <f t="shared" si="1"/>
        <v>1776</v>
      </c>
      <c r="D26" s="2">
        <f t="shared" si="2"/>
        <v>7</v>
      </c>
      <c r="E26" s="2">
        <f t="shared" si="3"/>
        <v>14</v>
      </c>
    </row>
    <row r="27" spans="1:5">
      <c r="A27" s="2">
        <v>1300</v>
      </c>
      <c r="B27" s="2">
        <f t="shared" si="0"/>
        <v>1274</v>
      </c>
      <c r="C27" s="2">
        <f t="shared" si="1"/>
        <v>1847</v>
      </c>
      <c r="D27" s="2">
        <f t="shared" si="2"/>
        <v>7</v>
      </c>
      <c r="E27" s="2">
        <f t="shared" si="3"/>
        <v>14</v>
      </c>
    </row>
    <row r="28" spans="1:5">
      <c r="A28" s="2">
        <v>1350</v>
      </c>
      <c r="B28" s="2">
        <f t="shared" si="0"/>
        <v>1323</v>
      </c>
      <c r="C28" s="2">
        <f t="shared" si="1"/>
        <v>1918</v>
      </c>
      <c r="D28" s="2">
        <f t="shared" si="2"/>
        <v>7</v>
      </c>
      <c r="E28" s="2">
        <f t="shared" si="3"/>
        <v>14</v>
      </c>
    </row>
    <row r="29" spans="1:5">
      <c r="A29" s="2">
        <v>1400</v>
      </c>
      <c r="B29" s="42">
        <f t="shared" si="0"/>
        <v>1680</v>
      </c>
      <c r="C29" s="42">
        <f t="shared" si="1"/>
        <v>2436</v>
      </c>
      <c r="D29" s="2">
        <f t="shared" si="2"/>
        <v>8</v>
      </c>
      <c r="E29" s="2">
        <f t="shared" si="3"/>
        <v>15</v>
      </c>
    </row>
    <row r="30" spans="1:5">
      <c r="A30" s="2">
        <v>1450</v>
      </c>
      <c r="B30" s="2">
        <f t="shared" si="0"/>
        <v>1740</v>
      </c>
      <c r="C30" s="2">
        <f t="shared" si="1"/>
        <v>2523</v>
      </c>
      <c r="D30" s="2">
        <f t="shared" si="2"/>
        <v>8</v>
      </c>
      <c r="E30" s="2">
        <f t="shared" si="3"/>
        <v>15</v>
      </c>
    </row>
    <row r="31" spans="1:5">
      <c r="A31" s="2">
        <v>1500</v>
      </c>
      <c r="B31" s="2">
        <f t="shared" si="0"/>
        <v>1800</v>
      </c>
      <c r="C31" s="2">
        <f t="shared" si="1"/>
        <v>2610</v>
      </c>
      <c r="D31" s="2">
        <f t="shared" si="2"/>
        <v>8</v>
      </c>
      <c r="E31" s="2">
        <f t="shared" si="3"/>
        <v>15</v>
      </c>
    </row>
    <row r="32" spans="1:5">
      <c r="A32" s="2">
        <v>1550</v>
      </c>
      <c r="B32" s="2">
        <f t="shared" si="0"/>
        <v>1860</v>
      </c>
      <c r="C32" s="2">
        <f t="shared" si="1"/>
        <v>2697</v>
      </c>
      <c r="D32" s="2">
        <f t="shared" si="2"/>
        <v>8</v>
      </c>
      <c r="E32" s="2">
        <f t="shared" si="3"/>
        <v>15</v>
      </c>
    </row>
    <row r="33" spans="1:5">
      <c r="A33" s="2">
        <v>1600</v>
      </c>
      <c r="B33" s="42">
        <f t="shared" si="0"/>
        <v>2304</v>
      </c>
      <c r="C33" s="42">
        <f t="shared" si="1"/>
        <v>3340</v>
      </c>
      <c r="D33" s="2">
        <f t="shared" si="2"/>
        <v>9</v>
      </c>
      <c r="E33" s="2">
        <f t="shared" si="3"/>
        <v>16</v>
      </c>
    </row>
    <row r="34" spans="1:5">
      <c r="A34" s="2">
        <v>1650</v>
      </c>
      <c r="B34" s="2">
        <f t="shared" si="0"/>
        <v>2376</v>
      </c>
      <c r="C34" s="2">
        <f t="shared" si="1"/>
        <v>3445</v>
      </c>
      <c r="D34" s="2">
        <f t="shared" si="2"/>
        <v>9</v>
      </c>
      <c r="E34" s="2">
        <f t="shared" si="3"/>
        <v>16</v>
      </c>
    </row>
    <row r="35" spans="1:5">
      <c r="A35" s="2">
        <v>1700</v>
      </c>
      <c r="B35" s="2">
        <f t="shared" si="0"/>
        <v>2448</v>
      </c>
      <c r="C35" s="2">
        <f t="shared" si="1"/>
        <v>3549</v>
      </c>
      <c r="D35" s="2">
        <f t="shared" si="2"/>
        <v>9</v>
      </c>
      <c r="E35" s="2">
        <f t="shared" si="3"/>
        <v>16</v>
      </c>
    </row>
    <row r="36" spans="1:5">
      <c r="A36" s="2">
        <v>1750</v>
      </c>
      <c r="B36" s="2">
        <f t="shared" si="0"/>
        <v>2975</v>
      </c>
      <c r="C36" s="2">
        <f t="shared" si="1"/>
        <v>4313</v>
      </c>
      <c r="D36" s="2">
        <f t="shared" si="2"/>
        <v>10</v>
      </c>
      <c r="E36" s="2">
        <f t="shared" si="3"/>
        <v>17</v>
      </c>
    </row>
    <row r="37" spans="1:5">
      <c r="A37" s="2">
        <v>1800</v>
      </c>
      <c r="B37" s="42">
        <f t="shared" si="0"/>
        <v>3060</v>
      </c>
      <c r="C37" s="42">
        <f t="shared" si="1"/>
        <v>4437</v>
      </c>
      <c r="D37" s="2">
        <f t="shared" si="2"/>
        <v>10</v>
      </c>
      <c r="E37" s="2">
        <f t="shared" si="3"/>
        <v>17</v>
      </c>
    </row>
    <row r="38" spans="1:5">
      <c r="A38" s="2">
        <v>1850</v>
      </c>
      <c r="B38" s="2">
        <f t="shared" si="0"/>
        <v>3145</v>
      </c>
      <c r="C38" s="2">
        <f t="shared" si="1"/>
        <v>4560</v>
      </c>
      <c r="D38" s="2">
        <f t="shared" si="2"/>
        <v>10</v>
      </c>
      <c r="E38" s="2">
        <f t="shared" si="3"/>
        <v>17</v>
      </c>
    </row>
    <row r="39" spans="1:5">
      <c r="A39" s="2">
        <v>1900</v>
      </c>
      <c r="B39" s="2">
        <f t="shared" si="0"/>
        <v>3230</v>
      </c>
      <c r="C39" s="2">
        <f t="shared" si="1"/>
        <v>4683</v>
      </c>
      <c r="D39" s="2">
        <f t="shared" si="2"/>
        <v>10</v>
      </c>
      <c r="E39" s="2">
        <f t="shared" si="3"/>
        <v>17</v>
      </c>
    </row>
    <row r="41" spans="1:5">
      <c r="B41" s="42"/>
      <c r="C41" s="42"/>
    </row>
    <row r="45" spans="1:5">
      <c r="B45" s="42"/>
      <c r="C45" s="42"/>
    </row>
    <row r="56" spans="1:15">
      <c r="A56" s="43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43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43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43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43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43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43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43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43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43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43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43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43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4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C1:X101"/>
  <sheetViews>
    <sheetView topLeftCell="C1" zoomScale="80" zoomScaleNormal="80" zoomScaleSheetLayoutView="75" workbookViewId="0">
      <selection activeCell="L25" sqref="L25:N25"/>
    </sheetView>
  </sheetViews>
  <sheetFormatPr defaultColWidth="0" defaultRowHeight="15" customHeight="1" zeroHeight="1"/>
  <cols>
    <col min="1" max="2" width="9.140625" hidden="1" customWidth="1"/>
    <col min="3" max="3" width="8.28515625" style="2" customWidth="1"/>
    <col min="4" max="4" width="21" customWidth="1"/>
    <col min="5" max="5" width="9.85546875" style="2" customWidth="1"/>
    <col min="6" max="6" width="9" style="2" customWidth="1"/>
    <col min="7" max="7" width="12.28515625" style="2" customWidth="1"/>
    <col min="8" max="8" width="7.42578125" customWidth="1"/>
    <col min="9" max="9" width="5" style="2" customWidth="1"/>
    <col min="10" max="10" width="1.42578125" style="2" hidden="1" customWidth="1"/>
    <col min="11" max="11" width="8.28515625" style="2" customWidth="1"/>
    <col min="12" max="12" width="7.28515625" style="2" customWidth="1"/>
    <col min="13" max="13" width="6.140625" style="2" customWidth="1"/>
    <col min="14" max="14" width="5.42578125" style="2" customWidth="1"/>
    <col min="15" max="15" width="8.140625" style="2" customWidth="1"/>
    <col min="16" max="16" width="10.7109375" style="2" customWidth="1"/>
    <col min="17" max="17" width="12" customWidth="1"/>
    <col min="18" max="18" width="1.42578125" customWidth="1"/>
    <col min="19" max="19" width="8.28515625" style="2" hidden="1" customWidth="1"/>
    <col min="20" max="20" width="8.28515625" hidden="1" customWidth="1"/>
    <col min="21" max="21" width="22.5703125" hidden="1" customWidth="1"/>
    <col min="22" max="22" width="21.85546875" hidden="1" customWidth="1"/>
    <col min="23" max="23" width="15.5703125" hidden="1" customWidth="1"/>
    <col min="24" max="24" width="3.140625" hidden="1" customWidth="1"/>
    <col min="25" max="16384" width="9.140625" hidden="1"/>
  </cols>
  <sheetData>
    <row r="1" spans="3:24">
      <c r="C1" s="140"/>
      <c r="D1" s="4"/>
      <c r="E1" s="140"/>
      <c r="F1" s="140"/>
      <c r="G1" s="140"/>
      <c r="H1" s="4"/>
      <c r="I1" s="140"/>
      <c r="J1" s="140"/>
      <c r="K1" s="140"/>
      <c r="L1" s="140"/>
      <c r="M1" s="140"/>
      <c r="N1" s="140"/>
      <c r="O1" s="140"/>
      <c r="P1" s="140"/>
      <c r="Q1" s="4"/>
      <c r="R1" s="4"/>
      <c r="S1" s="140"/>
      <c r="T1" s="4"/>
      <c r="U1" s="4"/>
      <c r="V1" s="4"/>
      <c r="W1" s="4"/>
      <c r="X1" s="4"/>
    </row>
    <row r="2" spans="3:24" ht="18.75">
      <c r="C2" s="140"/>
      <c r="D2" s="23" t="s">
        <v>37</v>
      </c>
      <c r="E2" s="150" t="s">
        <v>185</v>
      </c>
      <c r="F2" s="150"/>
      <c r="G2" s="150"/>
      <c r="H2" s="150"/>
      <c r="I2" s="143"/>
      <c r="J2" s="143"/>
      <c r="K2" s="140"/>
      <c r="L2" s="140"/>
      <c r="M2" s="140"/>
      <c r="N2" s="140"/>
      <c r="O2" s="140"/>
      <c r="P2" s="140"/>
      <c r="Q2" s="4"/>
      <c r="R2" s="4"/>
      <c r="S2" s="140"/>
      <c r="T2" s="4"/>
      <c r="U2" s="4"/>
      <c r="V2" s="4"/>
      <c r="W2" s="4"/>
      <c r="X2" s="4"/>
    </row>
    <row r="3" spans="3:24" ht="24" thickBot="1">
      <c r="C3" s="140"/>
      <c r="D3" s="4"/>
      <c r="E3" s="140"/>
      <c r="F3" s="140"/>
      <c r="G3" s="13"/>
      <c r="H3" s="4"/>
      <c r="I3" s="140"/>
      <c r="J3" s="140"/>
      <c r="K3" s="135"/>
      <c r="L3" s="135"/>
      <c r="M3" s="135"/>
      <c r="N3" s="135"/>
      <c r="O3" s="135"/>
      <c r="P3" s="135"/>
      <c r="Q3" s="135"/>
      <c r="R3" s="4"/>
      <c r="S3" s="140"/>
      <c r="T3" s="4"/>
      <c r="U3" s="4"/>
      <c r="V3" s="4"/>
      <c r="W3" s="4"/>
      <c r="X3" s="4"/>
    </row>
    <row r="4" spans="3:24" ht="18.75">
      <c r="C4" s="140"/>
      <c r="D4" s="22" t="s">
        <v>24</v>
      </c>
      <c r="E4" s="164" t="s">
        <v>26</v>
      </c>
      <c r="F4" s="164"/>
      <c r="G4" s="16"/>
      <c r="H4" s="4"/>
      <c r="I4" s="140"/>
      <c r="J4" s="140"/>
      <c r="K4" s="131" t="s">
        <v>28</v>
      </c>
      <c r="L4" s="154" t="s">
        <v>218</v>
      </c>
      <c r="M4" s="154"/>
      <c r="N4" s="154"/>
      <c r="O4" s="154" t="s">
        <v>219</v>
      </c>
      <c r="P4" s="154"/>
      <c r="Q4" s="132" t="s">
        <v>220</v>
      </c>
      <c r="R4" s="4"/>
      <c r="S4"/>
    </row>
    <row r="5" spans="3:24" ht="18.75">
      <c r="C5" s="140"/>
      <c r="D5" s="22" t="s">
        <v>25</v>
      </c>
      <c r="E5" s="164" t="s">
        <v>27</v>
      </c>
      <c r="F5" s="164"/>
      <c r="G5" s="16"/>
      <c r="H5" s="4"/>
      <c r="I5" s="140"/>
      <c r="J5" s="140"/>
      <c r="K5" s="126">
        <v>76</v>
      </c>
      <c r="L5" s="153" t="s">
        <v>232</v>
      </c>
      <c r="M5" s="153"/>
      <c r="N5" s="153"/>
      <c r="O5" s="153"/>
      <c r="P5" s="153"/>
      <c r="Q5" s="137" t="s">
        <v>225</v>
      </c>
      <c r="R5" s="13"/>
      <c r="S5"/>
    </row>
    <row r="6" spans="3:24" ht="18.75">
      <c r="C6" s="140"/>
      <c r="D6" s="22" t="s">
        <v>31</v>
      </c>
      <c r="E6" s="143">
        <f>INT(SUM(G15:H16)+SUM(G19:H26)+G34+G40+G46+H40+H46)</f>
        <v>1012</v>
      </c>
      <c r="F6" s="144"/>
      <c r="G6" s="16"/>
      <c r="H6" s="4"/>
      <c r="I6" s="140"/>
      <c r="J6" s="140"/>
      <c r="K6" s="127">
        <v>67</v>
      </c>
      <c r="L6" s="152" t="s">
        <v>233</v>
      </c>
      <c r="M6" s="152"/>
      <c r="N6" s="152"/>
      <c r="O6" s="152"/>
      <c r="P6" s="152"/>
      <c r="Q6" s="137" t="s">
        <v>223</v>
      </c>
      <c r="R6" s="140"/>
      <c r="S6"/>
    </row>
    <row r="7" spans="3:24" ht="18.75">
      <c r="C7" s="140"/>
      <c r="D7" s="22" t="s">
        <v>32</v>
      </c>
      <c r="E7" s="143">
        <f>INT( (E6+F10-H40-H46)*E8*E68/100 )</f>
        <v>880</v>
      </c>
      <c r="F7" s="123" t="s">
        <v>36</v>
      </c>
      <c r="G7" s="13"/>
      <c r="H7" s="4"/>
      <c r="I7" s="140"/>
      <c r="J7" s="140"/>
      <c r="K7" s="127">
        <v>95</v>
      </c>
      <c r="L7" s="152" t="s">
        <v>234</v>
      </c>
      <c r="M7" s="152"/>
      <c r="N7" s="152"/>
      <c r="O7" s="152"/>
      <c r="P7" s="152"/>
      <c r="Q7" s="137" t="s">
        <v>235</v>
      </c>
      <c r="R7" s="13"/>
      <c r="S7"/>
    </row>
    <row r="8" spans="3:24" s="1" customFormat="1" ht="18.75" customHeight="1">
      <c r="C8" s="6"/>
      <c r="D8" s="157" t="s">
        <v>33</v>
      </c>
      <c r="E8" s="158">
        <f>INT( E6/175 )</f>
        <v>5</v>
      </c>
      <c r="F8" s="159" t="str">
        <f>"x"&amp;E68&amp; " BASE COST"</f>
        <v>x12 BASE COST</v>
      </c>
      <c r="G8" s="159"/>
      <c r="I8" s="6"/>
      <c r="J8" s="141"/>
      <c r="K8" s="127">
        <v>95</v>
      </c>
      <c r="L8" s="152" t="s">
        <v>234</v>
      </c>
      <c r="M8" s="152"/>
      <c r="N8" s="152"/>
      <c r="O8" s="152"/>
      <c r="P8" s="152"/>
      <c r="Q8" s="137" t="s">
        <v>235</v>
      </c>
      <c r="R8" s="4"/>
      <c r="S8"/>
    </row>
    <row r="9" spans="3:24" ht="15" customHeight="1">
      <c r="C9" s="140"/>
      <c r="D9" s="157"/>
      <c r="E9" s="158"/>
      <c r="F9" s="159"/>
      <c r="G9" s="159"/>
      <c r="H9" s="4"/>
      <c r="I9" s="140"/>
      <c r="J9" s="140"/>
      <c r="K9" s="127">
        <v>67</v>
      </c>
      <c r="L9" s="152" t="s">
        <v>233</v>
      </c>
      <c r="M9" s="152"/>
      <c r="N9" s="152"/>
      <c r="O9" s="152"/>
      <c r="P9" s="152"/>
      <c r="Q9" s="137" t="s">
        <v>223</v>
      </c>
      <c r="R9" s="4"/>
      <c r="S9"/>
    </row>
    <row r="10" spans="3:24" ht="15.75" customHeight="1">
      <c r="C10" s="6"/>
      <c r="D10" s="6" t="s">
        <v>77</v>
      </c>
      <c r="E10" s="7">
        <f>IF(E4="YES", 0.45, 0)</f>
        <v>0.45</v>
      </c>
      <c r="F10" s="141">
        <f>INT(IF($E$4="YES", $E$6*E10, 0) )</f>
        <v>455</v>
      </c>
      <c r="G10" s="140"/>
      <c r="H10" s="6"/>
      <c r="I10" s="140"/>
      <c r="J10" s="140"/>
      <c r="K10" s="127">
        <v>41</v>
      </c>
      <c r="L10" s="152" t="s">
        <v>236</v>
      </c>
      <c r="M10" s="152"/>
      <c r="N10" s="152"/>
      <c r="O10" s="152"/>
      <c r="P10" s="152"/>
      <c r="Q10" s="137" t="s">
        <v>237</v>
      </c>
      <c r="R10" s="4"/>
      <c r="S10"/>
    </row>
    <row r="11" spans="3:24">
      <c r="C11" s="140"/>
      <c r="D11" s="6" t="s">
        <v>40</v>
      </c>
      <c r="E11" s="26">
        <v>5</v>
      </c>
      <c r="F11" s="24">
        <f>E11*175</f>
        <v>875</v>
      </c>
      <c r="G11" s="25">
        <f>(E11+1)*175-1</f>
        <v>1049</v>
      </c>
      <c r="H11" s="4"/>
      <c r="I11" s="140"/>
      <c r="J11" s="140"/>
      <c r="K11" s="127">
        <v>92</v>
      </c>
      <c r="L11" s="152" t="s">
        <v>238</v>
      </c>
      <c r="M11" s="152"/>
      <c r="N11" s="152"/>
      <c r="O11" s="152"/>
      <c r="P11" s="152"/>
      <c r="Q11" s="137" t="s">
        <v>239</v>
      </c>
      <c r="R11" s="4"/>
      <c r="S11"/>
    </row>
    <row r="12" spans="3:24" s="1" customFormat="1">
      <c r="C12" s="140"/>
      <c r="D12" s="6" t="s">
        <v>39</v>
      </c>
      <c r="E12" s="141" t="str">
        <f>IF(AND(E6&gt;=F11, E6&lt;=G11), "N/A", IF(E8&gt;E11, E6-G11, E6-F11))</f>
        <v>N/A</v>
      </c>
      <c r="F12" s="141" t="str">
        <f>IF(AND(E6&gt;=F11, E6&lt;=G11), " ",  IF(E8&gt;E11, "too high", "too low"))</f>
        <v xml:space="preserve"> </v>
      </c>
      <c r="G12" s="19"/>
      <c r="H12" s="4"/>
      <c r="I12" s="6"/>
      <c r="J12" s="141"/>
      <c r="K12" s="127">
        <v>85</v>
      </c>
      <c r="L12" s="152" t="s">
        <v>240</v>
      </c>
      <c r="M12" s="152"/>
      <c r="N12" s="152"/>
      <c r="O12" s="152"/>
      <c r="P12" s="152"/>
      <c r="Q12" s="137" t="s">
        <v>241</v>
      </c>
      <c r="R12" s="6"/>
    </row>
    <row r="13" spans="3:24">
      <c r="C13" s="140"/>
      <c r="D13" s="4"/>
      <c r="E13" s="140"/>
      <c r="F13" s="140"/>
      <c r="G13" s="140"/>
      <c r="H13" s="4"/>
      <c r="I13" s="140"/>
      <c r="J13" s="140"/>
      <c r="K13" s="127">
        <v>93</v>
      </c>
      <c r="L13" s="152" t="s">
        <v>242</v>
      </c>
      <c r="M13" s="152"/>
      <c r="N13" s="152"/>
      <c r="O13" s="142"/>
      <c r="P13" s="142"/>
      <c r="Q13" s="137" t="s">
        <v>243</v>
      </c>
      <c r="R13" s="4"/>
      <c r="S13"/>
    </row>
    <row r="14" spans="3:24">
      <c r="C14" s="139" t="s">
        <v>22</v>
      </c>
      <c r="D14" s="29" t="s">
        <v>21</v>
      </c>
      <c r="E14" s="161" t="s">
        <v>28</v>
      </c>
      <c r="F14" s="161"/>
      <c r="G14" s="161" t="s">
        <v>23</v>
      </c>
      <c r="H14" s="161"/>
      <c r="I14" s="140"/>
      <c r="J14" s="140"/>
      <c r="K14" s="127">
        <v>88</v>
      </c>
      <c r="L14" s="152" t="s">
        <v>244</v>
      </c>
      <c r="M14" s="152"/>
      <c r="N14" s="152"/>
      <c r="O14" s="142"/>
      <c r="P14" s="142"/>
      <c r="Q14" s="137" t="s">
        <v>239</v>
      </c>
      <c r="R14" s="4"/>
      <c r="S14"/>
    </row>
    <row r="15" spans="3:24">
      <c r="C15" s="20">
        <v>14</v>
      </c>
      <c r="D15" s="4" t="s">
        <v>0</v>
      </c>
      <c r="E15" s="162">
        <v>8</v>
      </c>
      <c r="F15" s="162"/>
      <c r="G15" s="160">
        <f>(C15-10)*E15</f>
        <v>32</v>
      </c>
      <c r="H15" s="160"/>
      <c r="I15" s="140"/>
      <c r="J15" s="140"/>
      <c r="K15" s="127">
        <v>35</v>
      </c>
      <c r="L15" s="152" t="s">
        <v>245</v>
      </c>
      <c r="M15" s="152"/>
      <c r="N15" s="152"/>
      <c r="O15" s="152"/>
      <c r="P15" s="152"/>
      <c r="Q15" s="137" t="s">
        <v>246</v>
      </c>
      <c r="R15" s="4"/>
      <c r="S15"/>
    </row>
    <row r="16" spans="3:24">
      <c r="C16" s="20">
        <v>14</v>
      </c>
      <c r="D16" s="4" t="s">
        <v>1</v>
      </c>
      <c r="E16" s="162">
        <v>8</v>
      </c>
      <c r="F16" s="162"/>
      <c r="G16" s="160">
        <f>(C16-10)*E16</f>
        <v>32</v>
      </c>
      <c r="H16" s="160"/>
      <c r="I16" s="140"/>
      <c r="J16" s="140"/>
      <c r="K16" s="127">
        <v>70</v>
      </c>
      <c r="L16" s="152" t="s">
        <v>247</v>
      </c>
      <c r="M16" s="152"/>
      <c r="N16" s="152"/>
      <c r="O16" s="152"/>
      <c r="P16" s="152"/>
      <c r="Q16" s="137" t="s">
        <v>246</v>
      </c>
      <c r="R16" s="6"/>
      <c r="S16" s="1"/>
    </row>
    <row r="17" spans="3:19">
      <c r="C17" s="140"/>
      <c r="D17" s="4"/>
      <c r="E17" s="140"/>
      <c r="F17" s="140"/>
      <c r="G17" s="162"/>
      <c r="H17" s="162"/>
      <c r="I17" s="140"/>
      <c r="J17" s="140"/>
      <c r="K17" s="127"/>
      <c r="L17" s="152"/>
      <c r="M17" s="152"/>
      <c r="N17" s="152"/>
      <c r="O17" s="152"/>
      <c r="P17" s="152"/>
      <c r="Q17" s="137"/>
      <c r="R17" s="4"/>
      <c r="S17"/>
    </row>
    <row r="18" spans="3:19">
      <c r="C18" s="139" t="s">
        <v>22</v>
      </c>
      <c r="D18" s="29" t="s">
        <v>20</v>
      </c>
      <c r="E18" s="161" t="s">
        <v>28</v>
      </c>
      <c r="F18" s="161"/>
      <c r="G18" s="161" t="s">
        <v>23</v>
      </c>
      <c r="H18" s="161"/>
      <c r="I18" s="140"/>
      <c r="J18" s="140"/>
      <c r="K18" s="127"/>
      <c r="L18" s="152"/>
      <c r="M18" s="152"/>
      <c r="N18" s="152"/>
      <c r="O18" s="152"/>
      <c r="P18" s="152"/>
      <c r="Q18" s="137"/>
      <c r="R18" s="4"/>
      <c r="S18"/>
    </row>
    <row r="19" spans="3:19">
      <c r="C19" s="20">
        <v>0</v>
      </c>
      <c r="D19" s="4" t="s">
        <v>2</v>
      </c>
      <c r="E19" s="162">
        <v>6</v>
      </c>
      <c r="F19" s="162"/>
      <c r="G19" s="160">
        <f>IF(AND($E$4="YES", $E$5="YES"), $C19*$E19, 0)</f>
        <v>0</v>
      </c>
      <c r="H19" s="160"/>
      <c r="I19" s="140"/>
      <c r="J19" s="140"/>
      <c r="K19" s="127"/>
      <c r="L19" s="152"/>
      <c r="M19" s="152"/>
      <c r="N19" s="152"/>
      <c r="O19" s="152"/>
      <c r="P19" s="152"/>
      <c r="Q19" s="137"/>
      <c r="R19" s="4"/>
      <c r="S19"/>
    </row>
    <row r="20" spans="3:19">
      <c r="C20" s="20">
        <v>5</v>
      </c>
      <c r="D20" s="4" t="s">
        <v>3</v>
      </c>
      <c r="E20" s="162">
        <v>8</v>
      </c>
      <c r="F20" s="162"/>
      <c r="G20" s="160">
        <f>IF($E$4="YES", $C20*$E20, 0)</f>
        <v>40</v>
      </c>
      <c r="H20" s="160"/>
      <c r="I20" s="140"/>
      <c r="J20" s="140"/>
      <c r="K20" s="127"/>
      <c r="L20" s="152"/>
      <c r="M20" s="152"/>
      <c r="N20" s="152"/>
      <c r="O20" s="152"/>
      <c r="P20" s="152"/>
      <c r="Q20" s="137"/>
      <c r="R20" s="4"/>
      <c r="S20"/>
    </row>
    <row r="21" spans="3:19">
      <c r="C21" s="20">
        <v>0</v>
      </c>
      <c r="D21" s="4" t="s">
        <v>4</v>
      </c>
      <c r="E21" s="162">
        <v>5</v>
      </c>
      <c r="F21" s="162"/>
      <c r="G21" s="160">
        <f>IF($E$4&lt;&gt;"YES", $C21*$E21, 0)</f>
        <v>0</v>
      </c>
      <c r="H21" s="160"/>
      <c r="I21" s="140"/>
      <c r="J21" s="140"/>
      <c r="K21" s="127"/>
      <c r="L21" s="152"/>
      <c r="M21" s="152"/>
      <c r="N21" s="152"/>
      <c r="O21" s="152"/>
      <c r="P21" s="152"/>
      <c r="Q21" s="137"/>
      <c r="R21" s="4"/>
      <c r="S21"/>
    </row>
    <row r="22" spans="3:19" s="1" customFormat="1">
      <c r="C22" s="20">
        <v>6</v>
      </c>
      <c r="D22" s="4" t="s">
        <v>5</v>
      </c>
      <c r="E22" s="162">
        <v>8</v>
      </c>
      <c r="F22" s="162"/>
      <c r="G22" s="160" t="s">
        <v>30</v>
      </c>
      <c r="H22" s="160"/>
      <c r="I22" s="6"/>
      <c r="J22" s="141"/>
      <c r="K22" s="127"/>
      <c r="L22" s="152"/>
      <c r="M22" s="152"/>
      <c r="N22" s="152"/>
      <c r="O22" s="152"/>
      <c r="P22" s="152"/>
      <c r="Q22" s="137"/>
      <c r="R22" s="4"/>
      <c r="S22"/>
    </row>
    <row r="23" spans="3:19">
      <c r="C23" s="20">
        <v>0</v>
      </c>
      <c r="D23" s="4" t="s">
        <v>6</v>
      </c>
      <c r="E23" s="162">
        <v>0</v>
      </c>
      <c r="F23" s="162"/>
      <c r="G23" s="160" t="s">
        <v>30</v>
      </c>
      <c r="H23" s="160"/>
      <c r="I23" s="140"/>
      <c r="J23" s="140"/>
      <c r="K23" s="127"/>
      <c r="L23" s="152"/>
      <c r="M23" s="152"/>
      <c r="N23" s="152"/>
      <c r="O23" s="152"/>
      <c r="P23" s="152"/>
      <c r="Q23" s="137"/>
      <c r="R23" s="4"/>
      <c r="S23"/>
    </row>
    <row r="24" spans="3:19">
      <c r="C24" s="20">
        <v>0</v>
      </c>
      <c r="D24" s="4" t="s">
        <v>7</v>
      </c>
      <c r="E24" s="162">
        <v>0</v>
      </c>
      <c r="F24" s="162"/>
      <c r="G24" s="160" t="s">
        <v>30</v>
      </c>
      <c r="H24" s="160"/>
      <c r="I24" s="140"/>
      <c r="J24" s="140"/>
      <c r="K24" s="127"/>
      <c r="L24" s="152"/>
      <c r="M24" s="152"/>
      <c r="N24" s="152"/>
      <c r="O24" s="152"/>
      <c r="P24" s="152"/>
      <c r="Q24" s="137"/>
      <c r="R24" s="4"/>
      <c r="S24"/>
    </row>
    <row r="25" spans="3:19">
      <c r="C25" s="20">
        <v>5</v>
      </c>
      <c r="D25" s="4" t="s">
        <v>8</v>
      </c>
      <c r="E25" s="162">
        <v>0</v>
      </c>
      <c r="F25" s="162"/>
      <c r="G25" s="160" t="s">
        <v>30</v>
      </c>
      <c r="H25" s="160"/>
      <c r="I25" s="140"/>
      <c r="J25" s="140"/>
      <c r="K25" s="127"/>
      <c r="L25" s="152"/>
      <c r="M25" s="152"/>
      <c r="N25" s="152"/>
      <c r="O25" s="152"/>
      <c r="P25" s="152"/>
      <c r="Q25" s="137"/>
      <c r="R25" s="4"/>
      <c r="S25"/>
    </row>
    <row r="26" spans="3:19">
      <c r="C26" s="20">
        <v>5</v>
      </c>
      <c r="D26" s="4" t="s">
        <v>29</v>
      </c>
      <c r="E26" s="162">
        <v>10</v>
      </c>
      <c r="F26" s="162"/>
      <c r="G26" s="160">
        <f>$C26*$E26</f>
        <v>50</v>
      </c>
      <c r="H26" s="160"/>
      <c r="I26" s="140"/>
      <c r="K26" s="127"/>
      <c r="L26" s="152"/>
      <c r="M26" s="152"/>
      <c r="N26" s="152"/>
      <c r="O26" s="152"/>
      <c r="P26" s="152"/>
      <c r="Q26" s="137"/>
      <c r="R26" s="6"/>
      <c r="S26" s="1"/>
    </row>
    <row r="27" spans="3:19">
      <c r="C27" s="140"/>
      <c r="D27" s="4"/>
      <c r="E27" s="140"/>
      <c r="F27" s="140"/>
      <c r="G27" s="140"/>
      <c r="H27" s="4"/>
      <c r="I27" s="140"/>
      <c r="J27" s="140"/>
      <c r="K27" s="127"/>
      <c r="L27" s="152"/>
      <c r="M27" s="152"/>
      <c r="N27" s="152"/>
      <c r="O27" s="152"/>
      <c r="P27" s="152"/>
      <c r="Q27" s="137"/>
      <c r="R27" s="4"/>
      <c r="S27"/>
    </row>
    <row r="28" spans="3:19">
      <c r="C28" s="139" t="s">
        <v>22</v>
      </c>
      <c r="D28" s="29" t="s">
        <v>92</v>
      </c>
      <c r="E28" s="163" t="s">
        <v>120</v>
      </c>
      <c r="F28" s="163"/>
      <c r="G28" s="163"/>
      <c r="H28" s="163"/>
      <c r="I28" s="140"/>
      <c r="J28" s="140"/>
      <c r="K28" s="127"/>
      <c r="L28" s="152"/>
      <c r="M28" s="152"/>
      <c r="N28" s="152"/>
      <c r="O28" s="152"/>
      <c r="P28" s="152"/>
      <c r="Q28" s="137"/>
      <c r="R28" s="4"/>
      <c r="S28"/>
    </row>
    <row r="29" spans="3:19" ht="15" customHeight="1">
      <c r="C29" s="133">
        <f>Q41*100</f>
        <v>90</v>
      </c>
      <c r="D29" s="4" t="s">
        <v>15</v>
      </c>
      <c r="E29" s="140" t="str">
        <f>VLOOKUP($E$28,$D$73:$F$78,2,FALSE) &amp; "%"</f>
        <v>35%</v>
      </c>
      <c r="F29" s="140" t="str">
        <f>VLOOKUP($E$28,$D$73:$F$78,3,FALSE) &amp; "%"</f>
        <v>45%</v>
      </c>
      <c r="G29" s="140">
        <f>INT('ATTACK &amp; ARMOR'!B33*C29*'ATTACK &amp; ARMOR'!$B$37)</f>
        <v>135</v>
      </c>
      <c r="H29" s="4"/>
      <c r="I29" s="140"/>
      <c r="J29" s="140"/>
      <c r="K29" s="127"/>
      <c r="L29" s="152"/>
      <c r="M29" s="152"/>
      <c r="N29" s="152"/>
      <c r="O29" s="152"/>
      <c r="P29" s="152"/>
      <c r="Q29" s="137"/>
      <c r="R29" s="4"/>
      <c r="S29"/>
    </row>
    <row r="30" spans="3:19" ht="15" customHeight="1">
      <c r="C30" s="133">
        <f>Q42*100</f>
        <v>85</v>
      </c>
      <c r="D30" s="4" t="s">
        <v>16</v>
      </c>
      <c r="E30" s="140" t="str">
        <f>VLOOKUP($E$28,$D$73:$F$78,2,FALSE) &amp; "%"</f>
        <v>35%</v>
      </c>
      <c r="F30" s="140" t="str">
        <f>VLOOKUP($E$28,$D$73:$F$78,3,FALSE) &amp; "%"</f>
        <v>45%</v>
      </c>
      <c r="G30" s="140">
        <f>INT('ATTACK &amp; ARMOR'!B34*C30*'ATTACK &amp; ARMOR'!$B$37)</f>
        <v>212</v>
      </c>
      <c r="H30" s="4"/>
      <c r="I30" s="140"/>
      <c r="J30" s="140"/>
      <c r="K30" s="127"/>
      <c r="L30" s="152"/>
      <c r="M30" s="152"/>
      <c r="N30" s="152"/>
      <c r="O30" s="152"/>
      <c r="P30" s="152"/>
      <c r="Q30" s="137"/>
      <c r="R30" s="4"/>
      <c r="S30"/>
    </row>
    <row r="31" spans="3:19" ht="15" customHeight="1">
      <c r="C31" s="133">
        <f>Q44*100</f>
        <v>93</v>
      </c>
      <c r="D31" s="4" t="s">
        <v>17</v>
      </c>
      <c r="E31" s="140" t="str">
        <f>VLOOKUP($E$28,$D$73:$F$78,2,FALSE) &amp; "%"</f>
        <v>35%</v>
      </c>
      <c r="F31" s="140" t="str">
        <f>VLOOKUP($E$28,$D$73:$F$78,3,FALSE) &amp; "%"</f>
        <v>45%</v>
      </c>
      <c r="G31" s="140">
        <f>INT('ATTACK &amp; ARMOR'!B35*C31*'ATTACK &amp; ARMOR'!$B$37)</f>
        <v>81</v>
      </c>
      <c r="H31" s="4"/>
      <c r="I31" s="140"/>
      <c r="J31" s="140"/>
      <c r="K31" s="127"/>
      <c r="L31" s="152"/>
      <c r="M31" s="152"/>
      <c r="N31" s="152"/>
      <c r="O31" s="152"/>
      <c r="P31" s="152"/>
      <c r="Q31" s="137"/>
      <c r="R31" s="4"/>
      <c r="S31"/>
    </row>
    <row r="32" spans="3:19" ht="15" customHeight="1">
      <c r="C32" s="133">
        <f>Q43*100</f>
        <v>52.5</v>
      </c>
      <c r="D32" s="4" t="s">
        <v>18</v>
      </c>
      <c r="E32" s="140" t="str">
        <f>VLOOKUP($E$28,$D$73:$F$78,2,FALSE) &amp; "%"</f>
        <v>35%</v>
      </c>
      <c r="F32" s="140" t="str">
        <f>VLOOKUP($E$28,$D$73:$F$78,3,FALSE) &amp; "%"</f>
        <v>45%</v>
      </c>
      <c r="G32" s="140">
        <f>INT('ATTACK &amp; ARMOR'!B36*C32*'ATTACK &amp; ARMOR'!$B$37)</f>
        <v>19</v>
      </c>
      <c r="H32" s="4"/>
      <c r="I32" s="140"/>
      <c r="J32" s="140"/>
      <c r="K32" s="127"/>
      <c r="L32" s="152"/>
      <c r="M32" s="152"/>
      <c r="N32" s="152"/>
      <c r="O32" s="152"/>
      <c r="P32" s="152"/>
      <c r="Q32" s="137"/>
      <c r="R32" s="4"/>
      <c r="S32"/>
    </row>
    <row r="33" spans="3:19" ht="15" customHeight="1">
      <c r="C33" s="133">
        <f>Q45*100</f>
        <v>41</v>
      </c>
      <c r="D33" s="4" t="s">
        <v>38</v>
      </c>
      <c r="E33" s="140" t="str">
        <f>VLOOKUP($E$28,$D$73:$F$78,2,FALSE) &amp; "%"</f>
        <v>35%</v>
      </c>
      <c r="F33" s="140" t="str">
        <f>VLOOKUP($E$28,$D$73:$F$78,3,FALSE) &amp; "%"</f>
        <v>45%</v>
      </c>
      <c r="G33" s="140">
        <f>IF($C33&gt;0, INT(((C33*3)+(C22*E22))/3), 0)</f>
        <v>57</v>
      </c>
      <c r="H33" s="4"/>
      <c r="I33" s="140"/>
      <c r="J33" s="140"/>
      <c r="K33" s="127"/>
      <c r="L33" s="152"/>
      <c r="M33" s="152"/>
      <c r="N33" s="152"/>
      <c r="O33" s="152"/>
      <c r="P33" s="152"/>
      <c r="Q33" s="137"/>
      <c r="R33" s="4"/>
      <c r="S33"/>
    </row>
    <row r="34" spans="3:19" ht="15" customHeight="1">
      <c r="C34" s="140"/>
      <c r="D34" s="4" t="s">
        <v>34</v>
      </c>
      <c r="E34" s="140"/>
      <c r="F34" s="140"/>
      <c r="G34" s="141">
        <f>SUM(G29:G33)</f>
        <v>504</v>
      </c>
      <c r="H34" s="4"/>
      <c r="I34" s="140"/>
      <c r="J34" s="140"/>
      <c r="K34" s="127"/>
      <c r="L34" s="152"/>
      <c r="M34" s="152"/>
      <c r="N34" s="152"/>
      <c r="O34" s="152"/>
      <c r="P34" s="152"/>
      <c r="Q34" s="137"/>
      <c r="R34" s="4"/>
      <c r="S34"/>
    </row>
    <row r="35" spans="3:19" ht="15" customHeight="1">
      <c r="C35" s="140"/>
      <c r="D35" s="4"/>
      <c r="E35" s="140"/>
      <c r="F35" s="140"/>
      <c r="G35" s="140"/>
      <c r="H35" s="4"/>
      <c r="I35" s="140"/>
      <c r="J35" s="140"/>
      <c r="K35" s="127"/>
      <c r="L35" s="152"/>
      <c r="M35" s="152"/>
      <c r="N35" s="152"/>
      <c r="O35" s="152"/>
      <c r="P35" s="152"/>
      <c r="Q35" s="137"/>
      <c r="R35" s="4"/>
      <c r="S35"/>
    </row>
    <row r="36" spans="3:19" ht="15" customHeight="1">
      <c r="C36" s="139" t="s">
        <v>22</v>
      </c>
      <c r="D36" s="29" t="s">
        <v>90</v>
      </c>
      <c r="E36" s="163" t="s">
        <v>141</v>
      </c>
      <c r="F36" s="163"/>
      <c r="G36" s="163"/>
      <c r="H36" s="163"/>
      <c r="I36" s="140"/>
      <c r="J36" s="140"/>
      <c r="K36" s="127"/>
      <c r="L36" s="152"/>
      <c r="M36" s="152"/>
      <c r="N36" s="152"/>
      <c r="O36" s="152"/>
      <c r="P36" s="152"/>
      <c r="Q36" s="137"/>
      <c r="R36" s="4"/>
      <c r="S36"/>
    </row>
    <row r="37" spans="3:19" ht="15" customHeight="1" thickBot="1">
      <c r="C37" s="20">
        <v>150</v>
      </c>
      <c r="D37" s="4" t="s">
        <v>9</v>
      </c>
      <c r="E37" s="133">
        <f>Q46*100</f>
        <v>67</v>
      </c>
      <c r="F37" s="140">
        <f>IF($E37&gt;0,1,0)</f>
        <v>1</v>
      </c>
      <c r="G37" s="140">
        <f>IF($F37=1, INT($E37*'ATTACK &amp; ARMOR'!$B$10 + $C37*'ATTACK &amp; ARMOR'!$B$9 + $C$25*'ATTACK &amp; ARMOR'!$B$8), 0)</f>
        <v>876</v>
      </c>
      <c r="H37" s="4"/>
      <c r="I37" s="140"/>
      <c r="J37" s="140"/>
      <c r="K37" s="128"/>
      <c r="L37" s="151"/>
      <c r="M37" s="151"/>
      <c r="N37" s="151"/>
      <c r="O37" s="151"/>
      <c r="P37" s="151"/>
      <c r="Q37" s="138"/>
      <c r="R37" s="4"/>
      <c r="S37"/>
    </row>
    <row r="38" spans="3:19" ht="15" customHeight="1">
      <c r="C38" s="20">
        <v>130</v>
      </c>
      <c r="D38" s="4" t="s">
        <v>10</v>
      </c>
      <c r="E38" s="133">
        <f>Q47*100</f>
        <v>95</v>
      </c>
      <c r="F38" s="140">
        <f>IF($E38&gt;0,1,0)</f>
        <v>1</v>
      </c>
      <c r="G38" s="140">
        <f>IF($F38=1, INT($E38*'ATTACK &amp; ARMOR'!$B$10 + $C38*'ATTACK &amp; ARMOR'!$B$9 + $C$25*'ATTACK &amp; ARMOR'!$B$8), 0)</f>
        <v>920</v>
      </c>
      <c r="H38" s="4"/>
      <c r="I38" s="140"/>
      <c r="J38" s="140"/>
      <c r="K38" s="4"/>
      <c r="L38" s="4"/>
      <c r="M38" s="4"/>
      <c r="N38" s="4"/>
      <c r="O38" s="4"/>
      <c r="P38" s="4"/>
      <c r="Q38" s="4"/>
      <c r="R38" s="4"/>
      <c r="S38"/>
    </row>
    <row r="39" spans="3:19" ht="15" customHeight="1">
      <c r="C39" s="20">
        <v>130</v>
      </c>
      <c r="D39" s="4" t="s">
        <v>11</v>
      </c>
      <c r="E39" s="133">
        <f>Q48*100</f>
        <v>76</v>
      </c>
      <c r="F39" s="140">
        <f>IF($E39&gt;0,1,0)</f>
        <v>1</v>
      </c>
      <c r="G39" s="140">
        <f>IF($F39=1, INT($E39*'ATTACK &amp; ARMOR'!$B$10 + $C39*'ATTACK &amp; ARMOR'!$B$9 + $C$25*'ATTACK &amp; ARMOR'!$B$8), 0)</f>
        <v>863</v>
      </c>
      <c r="H39" s="4"/>
      <c r="I39" s="140"/>
      <c r="J39" s="140"/>
      <c r="K39" s="123"/>
      <c r="L39" s="123"/>
      <c r="M39" s="13"/>
      <c r="N39" s="13"/>
      <c r="O39" s="13"/>
      <c r="P39" s="124" t="s">
        <v>230</v>
      </c>
      <c r="Q39" s="129" t="s">
        <v>231</v>
      </c>
      <c r="R39" s="4"/>
      <c r="S39"/>
    </row>
    <row r="40" spans="3:19" ht="15" customHeight="1">
      <c r="C40" s="140"/>
      <c r="D40" s="4" t="s">
        <v>91</v>
      </c>
      <c r="E40" s="140"/>
      <c r="F40" s="140">
        <f>SUM(F37:F39)</f>
        <v>3</v>
      </c>
      <c r="G40" s="141">
        <f>INT( (SUM(G37:G39)/F40)*'ATTACK &amp; ARMOR'!$B$13 )</f>
        <v>354</v>
      </c>
      <c r="H40" s="140">
        <f>IF($E$5="YES", INT(G40*-0.15), 0)</f>
        <v>0</v>
      </c>
      <c r="I40" s="140"/>
      <c r="J40" s="140"/>
      <c r="K40" s="156" t="s">
        <v>220</v>
      </c>
      <c r="L40" s="156"/>
      <c r="M40" s="19" t="s">
        <v>99</v>
      </c>
      <c r="N40" s="19" t="s">
        <v>100</v>
      </c>
      <c r="O40" s="141" t="s">
        <v>229</v>
      </c>
      <c r="P40" s="124" t="s">
        <v>28</v>
      </c>
      <c r="Q40" s="129" t="s">
        <v>28</v>
      </c>
      <c r="R40" s="4"/>
      <c r="S40"/>
    </row>
    <row r="41" spans="3:19" ht="15" customHeight="1">
      <c r="C41" s="140"/>
      <c r="D41" s="4"/>
      <c r="E41" s="140"/>
      <c r="F41" s="140"/>
      <c r="G41" s="140"/>
      <c r="H41" s="4"/>
      <c r="I41" s="140"/>
      <c r="J41" s="140"/>
      <c r="K41" s="155" t="s">
        <v>15</v>
      </c>
      <c r="L41" s="155"/>
      <c r="M41" s="13" t="str">
        <f t="shared" ref="M41:N45" si="0">E29</f>
        <v>35%</v>
      </c>
      <c r="N41" s="13" t="str">
        <f t="shared" si="0"/>
        <v>45%</v>
      </c>
      <c r="O41" s="13">
        <f t="shared" ref="O41:O51" si="1">COUNTIF($Q$5:$Q$37, K41)</f>
        <v>2</v>
      </c>
      <c r="P41" s="13">
        <f t="shared" ref="P41:P51" si="2">SUMIF($Q$5:$Q$37, $K41, $K$5:$K$37)</f>
        <v>180</v>
      </c>
      <c r="Q41" s="7">
        <f t="shared" ref="Q41:Q51" si="3">IF(P41&gt;0, P41/O41/100, 0)</f>
        <v>0.9</v>
      </c>
      <c r="R41" s="4"/>
      <c r="S41"/>
    </row>
    <row r="42" spans="3:19" ht="15" customHeight="1">
      <c r="C42" s="139" t="s">
        <v>22</v>
      </c>
      <c r="D42" s="29" t="s">
        <v>89</v>
      </c>
      <c r="E42" s="163" t="s">
        <v>177</v>
      </c>
      <c r="F42" s="163"/>
      <c r="G42" s="163"/>
      <c r="H42" s="163"/>
      <c r="I42" s="140"/>
      <c r="J42" s="140"/>
      <c r="K42" s="155" t="s">
        <v>16</v>
      </c>
      <c r="L42" s="155"/>
      <c r="M42" s="13" t="str">
        <f t="shared" si="0"/>
        <v>35%</v>
      </c>
      <c r="N42" s="13" t="str">
        <f t="shared" si="0"/>
        <v>45%</v>
      </c>
      <c r="O42" s="13">
        <f t="shared" si="1"/>
        <v>1</v>
      </c>
      <c r="P42" s="13">
        <f t="shared" si="2"/>
        <v>85</v>
      </c>
      <c r="Q42" s="7">
        <f t="shared" si="3"/>
        <v>0.85</v>
      </c>
      <c r="R42" s="4"/>
      <c r="S42"/>
    </row>
    <row r="43" spans="3:19">
      <c r="C43" s="20">
        <v>75</v>
      </c>
      <c r="D43" s="4" t="s">
        <v>12</v>
      </c>
      <c r="E43" s="134">
        <f>Q49*100</f>
        <v>0</v>
      </c>
      <c r="F43" s="140">
        <f>IF($E43&gt;30,1,0)</f>
        <v>0</v>
      </c>
      <c r="G43" s="140">
        <f>IF($F43=1, INT($E43*'ATTACK &amp; ARMOR'!$B$10 + $C43*'ATTACK &amp; ARMOR'!$B$9 + $C23*'ATTACK &amp; ARMOR'!$B$8), 0)</f>
        <v>0</v>
      </c>
      <c r="H43" s="4"/>
      <c r="I43" s="141"/>
      <c r="J43" s="140"/>
      <c r="K43" s="155" t="s">
        <v>221</v>
      </c>
      <c r="L43" s="155"/>
      <c r="M43" s="13" t="str">
        <f t="shared" si="0"/>
        <v>35%</v>
      </c>
      <c r="N43" s="13" t="str">
        <f t="shared" si="0"/>
        <v>45%</v>
      </c>
      <c r="O43" s="13">
        <f t="shared" si="1"/>
        <v>2</v>
      </c>
      <c r="P43" s="13">
        <f t="shared" si="2"/>
        <v>105</v>
      </c>
      <c r="Q43" s="7">
        <f t="shared" si="3"/>
        <v>0.52500000000000002</v>
      </c>
      <c r="R43" s="4"/>
      <c r="S43"/>
    </row>
    <row r="44" spans="3:19">
      <c r="C44" s="20">
        <v>75</v>
      </c>
      <c r="D44" s="4" t="s">
        <v>13</v>
      </c>
      <c r="E44" s="134">
        <f>Q50*100</f>
        <v>0</v>
      </c>
      <c r="F44" s="140">
        <f>IF($E44&gt;30,1,0)</f>
        <v>0</v>
      </c>
      <c r="G44" s="140">
        <f>IF($F44=1, INT($E44*('ATTACK &amp; ARMOR'!$B$10+1) + $C44*('ATTACK &amp; ARMOR'!$B$9*1.5)), 0)</f>
        <v>0</v>
      </c>
      <c r="H44" s="4"/>
      <c r="I44" s="140"/>
      <c r="J44" s="140"/>
      <c r="K44" s="155" t="s">
        <v>222</v>
      </c>
      <c r="L44" s="155"/>
      <c r="M44" s="13" t="str">
        <f t="shared" si="0"/>
        <v>35%</v>
      </c>
      <c r="N44" s="13" t="str">
        <f t="shared" si="0"/>
        <v>45%</v>
      </c>
      <c r="O44" s="13">
        <f t="shared" si="1"/>
        <v>1</v>
      </c>
      <c r="P44" s="13">
        <f t="shared" si="2"/>
        <v>93</v>
      </c>
      <c r="Q44" s="7">
        <f t="shared" si="3"/>
        <v>0.93</v>
      </c>
      <c r="R44" s="4"/>
      <c r="S44"/>
    </row>
    <row r="45" spans="3:19">
      <c r="C45" s="20">
        <v>75</v>
      </c>
      <c r="D45" s="4" t="s">
        <v>14</v>
      </c>
      <c r="E45" s="134">
        <f>Q51*100</f>
        <v>0</v>
      </c>
      <c r="F45" s="140">
        <f>IF($E45&gt;30,1,0)</f>
        <v>0</v>
      </c>
      <c r="G45" s="140">
        <f>IF($F45=1, INT($E45*'ATTACK &amp; ARMOR'!$B$10 + $C45*'ATTACK &amp; ARMOR'!$B$9 + $C24*'ATTACK &amp; ARMOR'!$B$8), 0)</f>
        <v>0</v>
      </c>
      <c r="H45" s="4"/>
      <c r="I45" s="140"/>
      <c r="J45" s="140"/>
      <c r="K45" s="155" t="s">
        <v>38</v>
      </c>
      <c r="L45" s="155"/>
      <c r="M45" s="13" t="str">
        <f t="shared" si="0"/>
        <v>35%</v>
      </c>
      <c r="N45" s="13" t="str">
        <f t="shared" si="0"/>
        <v>45%</v>
      </c>
      <c r="O45" s="13">
        <f t="shared" si="1"/>
        <v>1</v>
      </c>
      <c r="P45" s="13">
        <f t="shared" si="2"/>
        <v>41</v>
      </c>
      <c r="Q45" s="7">
        <f t="shared" si="3"/>
        <v>0.41</v>
      </c>
      <c r="R45" s="4"/>
    </row>
    <row r="46" spans="3:19">
      <c r="C46" s="140"/>
      <c r="D46" s="4" t="s">
        <v>91</v>
      </c>
      <c r="E46" s="140"/>
      <c r="F46" s="140">
        <f>SUM(F43:F45)</f>
        <v>0</v>
      </c>
      <c r="G46" s="141">
        <f>IF(F46&gt;0, INT( (SUM(G43:G45)/F46)*'ATTACK &amp; ARMOR'!$B$13 ), 0)</f>
        <v>0</v>
      </c>
      <c r="H46" s="140">
        <f>IF($E$5="YES", INT(G46*-0.15), 0)</f>
        <v>0</v>
      </c>
      <c r="I46" s="13"/>
      <c r="J46" s="140"/>
      <c r="K46" s="155" t="s">
        <v>223</v>
      </c>
      <c r="L46" s="155"/>
      <c r="M46" s="13">
        <f>IF(C37&gt;0, C37-5, 0)</f>
        <v>145</v>
      </c>
      <c r="N46" s="13">
        <f>IF(C37&gt;0, C37+5, 0)</f>
        <v>155</v>
      </c>
      <c r="O46" s="13">
        <f t="shared" si="1"/>
        <v>2</v>
      </c>
      <c r="P46" s="13">
        <f t="shared" si="2"/>
        <v>134</v>
      </c>
      <c r="Q46" s="7">
        <f t="shared" si="3"/>
        <v>0.67</v>
      </c>
      <c r="R46" s="4"/>
    </row>
    <row r="47" spans="3:19">
      <c r="C47" s="140"/>
      <c r="D47" s="4"/>
      <c r="E47" s="140"/>
      <c r="F47" s="140"/>
      <c r="G47" s="140"/>
      <c r="H47" s="4"/>
      <c r="I47" s="129"/>
      <c r="J47" s="140"/>
      <c r="K47" s="155" t="s">
        <v>224</v>
      </c>
      <c r="L47" s="155"/>
      <c r="M47" s="13">
        <f>IF(C38&gt;0, C38-5, 0)</f>
        <v>125</v>
      </c>
      <c r="N47" s="13">
        <f>IF(C38&gt;0, C38+5, 0)</f>
        <v>135</v>
      </c>
      <c r="O47" s="13">
        <f t="shared" si="1"/>
        <v>2</v>
      </c>
      <c r="P47" s="13">
        <f t="shared" si="2"/>
        <v>190</v>
      </c>
      <c r="Q47" s="7">
        <f t="shared" si="3"/>
        <v>0.95</v>
      </c>
      <c r="R47" s="4"/>
    </row>
    <row r="48" spans="3:19">
      <c r="C48" s="140"/>
      <c r="D48" s="4"/>
      <c r="E48" s="140"/>
      <c r="F48" s="140"/>
      <c r="G48" s="140"/>
      <c r="H48" s="4"/>
      <c r="I48" s="129"/>
      <c r="J48" s="140"/>
      <c r="K48" s="155" t="s">
        <v>225</v>
      </c>
      <c r="L48" s="155"/>
      <c r="M48" s="13">
        <f>IF(C39&gt;0, C39-5, 0)</f>
        <v>125</v>
      </c>
      <c r="N48" s="13">
        <f>IF(C39&gt;0, C39+5, 0)</f>
        <v>135</v>
      </c>
      <c r="O48" s="13">
        <f t="shared" si="1"/>
        <v>1</v>
      </c>
      <c r="P48" s="13">
        <f t="shared" si="2"/>
        <v>76</v>
      </c>
      <c r="Q48" s="7">
        <f t="shared" si="3"/>
        <v>0.76</v>
      </c>
      <c r="R48" s="4"/>
    </row>
    <row r="49" spans="3:24">
      <c r="C49" s="140"/>
      <c r="D49" s="4"/>
      <c r="E49" s="140"/>
      <c r="F49" s="140"/>
      <c r="G49" s="140"/>
      <c r="H49" s="4"/>
      <c r="I49" s="140"/>
      <c r="J49" s="140"/>
      <c r="K49" s="155" t="s">
        <v>226</v>
      </c>
      <c r="L49" s="155"/>
      <c r="M49" s="13">
        <f>IF(C43&gt;0, C43-5, 0)</f>
        <v>70</v>
      </c>
      <c r="N49" s="13">
        <f>IF(C43&gt;0, C43+5, 0)</f>
        <v>80</v>
      </c>
      <c r="O49" s="13">
        <f t="shared" si="1"/>
        <v>0</v>
      </c>
      <c r="P49" s="13">
        <f t="shared" si="2"/>
        <v>0</v>
      </c>
      <c r="Q49" s="7">
        <f t="shared" si="3"/>
        <v>0</v>
      </c>
      <c r="R49" s="4"/>
    </row>
    <row r="50" spans="3:24">
      <c r="C50" s="140"/>
      <c r="D50" s="4"/>
      <c r="E50" s="140"/>
      <c r="F50" s="140"/>
      <c r="G50" s="140"/>
      <c r="H50" s="4"/>
      <c r="I50" s="140"/>
      <c r="J50" s="140"/>
      <c r="K50" s="155" t="s">
        <v>228</v>
      </c>
      <c r="L50" s="155"/>
      <c r="M50" s="13">
        <f>IF(C44&gt;0, C44-5, 0)</f>
        <v>70</v>
      </c>
      <c r="N50" s="13">
        <f>IF(C44&gt;0, C44+5, 0)</f>
        <v>80</v>
      </c>
      <c r="O50" s="13">
        <f t="shared" si="1"/>
        <v>0</v>
      </c>
      <c r="P50" s="13">
        <f t="shared" si="2"/>
        <v>0</v>
      </c>
      <c r="Q50" s="7">
        <f t="shared" si="3"/>
        <v>0</v>
      </c>
      <c r="R50" s="4"/>
    </row>
    <row r="51" spans="3:24">
      <c r="C51" s="140"/>
      <c r="D51" s="4"/>
      <c r="E51" s="140"/>
      <c r="F51" s="140"/>
      <c r="G51" s="140"/>
      <c r="H51" s="4"/>
      <c r="I51" s="140"/>
      <c r="J51" s="140"/>
      <c r="K51" s="155" t="s">
        <v>227</v>
      </c>
      <c r="L51" s="155"/>
      <c r="M51" s="13">
        <f>IF(C45&gt;0, C45-5, 0)</f>
        <v>70</v>
      </c>
      <c r="N51" s="13">
        <f>IF(C45&gt;0, C45+5, 0)</f>
        <v>80</v>
      </c>
      <c r="O51" s="13">
        <f t="shared" si="1"/>
        <v>0</v>
      </c>
      <c r="P51" s="13">
        <f t="shared" si="2"/>
        <v>0</v>
      </c>
      <c r="Q51" s="7">
        <f t="shared" si="3"/>
        <v>0</v>
      </c>
      <c r="R51" s="4"/>
    </row>
    <row r="52" spans="3:24">
      <c r="C52" s="140"/>
      <c r="D52" s="4"/>
      <c r="E52" s="140"/>
      <c r="F52" s="140"/>
      <c r="G52" s="140"/>
      <c r="H52" s="4"/>
      <c r="I52" s="140"/>
      <c r="J52" s="140"/>
      <c r="K52" s="4"/>
      <c r="L52" s="4"/>
      <c r="M52" s="4"/>
      <c r="N52" s="4"/>
      <c r="O52" s="4"/>
      <c r="P52" s="4"/>
      <c r="Q52" s="4"/>
      <c r="R52" s="4"/>
    </row>
    <row r="53" spans="3:24" hidden="1">
      <c r="C53" s="140"/>
      <c r="D53" s="4"/>
      <c r="E53" s="140"/>
      <c r="F53" s="140"/>
      <c r="G53" s="140"/>
      <c r="H53" s="4"/>
      <c r="I53" s="140"/>
      <c r="J53" s="140"/>
      <c r="K53" s="140"/>
      <c r="L53" s="140"/>
      <c r="M53" s="140"/>
      <c r="N53" s="140"/>
      <c r="O53" s="140"/>
      <c r="P53" s="140"/>
      <c r="Q53" s="4"/>
      <c r="R53" s="4"/>
    </row>
    <row r="54" spans="3:24" hidden="1">
      <c r="C54" s="140"/>
      <c r="D54" s="4"/>
      <c r="E54" s="140"/>
      <c r="F54" s="140"/>
      <c r="G54" s="140"/>
      <c r="H54" s="4"/>
      <c r="I54" s="140"/>
      <c r="J54" s="140"/>
      <c r="K54" s="140"/>
      <c r="L54" s="140"/>
      <c r="M54" s="140"/>
      <c r="N54" s="140"/>
      <c r="O54" s="140"/>
      <c r="P54" s="140"/>
      <c r="Q54" s="4"/>
      <c r="R54" s="4"/>
    </row>
    <row r="55" spans="3:24" hidden="1">
      <c r="C55" s="140"/>
      <c r="D55" s="4"/>
      <c r="E55" s="140"/>
      <c r="F55" s="140"/>
      <c r="G55" s="140"/>
      <c r="H55" s="4"/>
      <c r="I55" s="140"/>
      <c r="J55" s="140"/>
      <c r="K55" s="13"/>
      <c r="L55" s="13"/>
      <c r="M55" s="13"/>
      <c r="N55" s="13"/>
      <c r="O55" s="13"/>
      <c r="P55" s="13"/>
      <c r="Q55" s="4"/>
      <c r="R55" s="4"/>
    </row>
    <row r="56" spans="3:24" hidden="1">
      <c r="C56" s="140"/>
      <c r="D56" s="4"/>
      <c r="E56" s="140"/>
      <c r="F56" s="140"/>
      <c r="G56" s="140"/>
      <c r="H56" s="4"/>
      <c r="I56" s="140"/>
      <c r="J56" s="140"/>
      <c r="K56" s="13"/>
      <c r="L56" s="13"/>
      <c r="M56" s="13"/>
      <c r="N56" s="13"/>
      <c r="O56" s="13"/>
      <c r="P56" s="13"/>
      <c r="Q56" s="4"/>
      <c r="R56" s="4"/>
    </row>
    <row r="57" spans="3:24" hidden="1">
      <c r="C57" s="140"/>
      <c r="D57" s="4"/>
      <c r="E57" s="140"/>
      <c r="F57" s="140"/>
      <c r="G57" s="140"/>
      <c r="H57" s="4"/>
      <c r="I57" s="140"/>
      <c r="J57" s="140"/>
      <c r="K57" s="13"/>
      <c r="L57" s="13"/>
      <c r="M57" s="19"/>
      <c r="N57" s="19"/>
      <c r="O57" s="19"/>
      <c r="P57" s="19"/>
      <c r="Q57" s="4"/>
      <c r="R57" s="4"/>
    </row>
    <row r="58" spans="3:24" hidden="1">
      <c r="C58" s="140"/>
      <c r="D58" s="4"/>
      <c r="E58" s="140"/>
      <c r="F58" s="140"/>
      <c r="G58" s="19"/>
      <c r="H58" s="4"/>
      <c r="I58" s="140"/>
      <c r="J58" s="140"/>
      <c r="K58" s="13"/>
      <c r="L58" s="13"/>
      <c r="M58" s="13"/>
      <c r="N58" s="13"/>
      <c r="O58" s="13"/>
      <c r="P58" s="13"/>
      <c r="Q58" s="4"/>
      <c r="R58" s="4"/>
      <c r="S58"/>
    </row>
    <row r="59" spans="3:24" hidden="1">
      <c r="C59" s="140"/>
      <c r="D59" s="4"/>
      <c r="E59" s="140"/>
      <c r="F59" s="140"/>
      <c r="G59" s="19"/>
      <c r="H59" s="123"/>
      <c r="I59" s="140"/>
      <c r="J59" s="140"/>
      <c r="K59" s="125"/>
      <c r="L59" s="125"/>
      <c r="M59" s="19"/>
      <c r="N59" s="19"/>
      <c r="O59" s="19"/>
      <c r="P59" s="19"/>
      <c r="Q59" s="4"/>
      <c r="R59" s="4"/>
      <c r="S59" s="140"/>
      <c r="X59" s="4"/>
    </row>
    <row r="60" spans="3:24" hidden="1">
      <c r="C60" s="140"/>
      <c r="D60" s="4"/>
      <c r="E60" s="140"/>
      <c r="F60" s="140"/>
      <c r="G60" s="19"/>
      <c r="H60" s="123"/>
      <c r="I60" s="140"/>
      <c r="J60" s="140"/>
      <c r="K60" s="125"/>
      <c r="L60" s="125"/>
      <c r="M60" s="19"/>
      <c r="N60" s="19"/>
      <c r="O60" s="19"/>
      <c r="P60" s="19"/>
      <c r="Q60" s="4"/>
      <c r="R60" s="4"/>
      <c r="S60" s="140"/>
      <c r="X60" s="4"/>
    </row>
    <row r="61" spans="3:24" hidden="1">
      <c r="C61" s="140"/>
      <c r="D61" s="4"/>
      <c r="E61" s="140"/>
      <c r="F61" s="140"/>
      <c r="G61" s="13"/>
      <c r="H61" s="123"/>
      <c r="I61" s="13"/>
      <c r="J61" s="13"/>
      <c r="K61" s="7"/>
      <c r="L61" s="7"/>
      <c r="M61" s="141"/>
      <c r="N61" s="141"/>
      <c r="O61" s="141"/>
      <c r="P61" s="141"/>
      <c r="Q61" s="4"/>
      <c r="R61" s="4"/>
      <c r="S61" s="140"/>
      <c r="X61" s="4"/>
    </row>
    <row r="62" spans="3:24" hidden="1">
      <c r="C62" s="140"/>
      <c r="D62" s="4"/>
      <c r="E62" s="140"/>
      <c r="F62" s="140"/>
      <c r="G62" s="13"/>
      <c r="H62" s="18"/>
      <c r="I62" s="13"/>
      <c r="J62" s="13"/>
      <c r="K62" s="7"/>
      <c r="L62" s="7"/>
      <c r="M62" s="141"/>
      <c r="N62" s="141"/>
      <c r="O62" s="141"/>
      <c r="P62" s="141"/>
      <c r="Q62" s="4"/>
      <c r="R62" s="4"/>
      <c r="S62" s="140"/>
      <c r="X62" s="4"/>
    </row>
    <row r="63" spans="3:24" hidden="1">
      <c r="C63" s="140"/>
      <c r="G63" s="13"/>
      <c r="H63" s="18"/>
      <c r="I63" s="13"/>
      <c r="J63" s="13"/>
      <c r="K63" s="46"/>
      <c r="L63" s="46"/>
      <c r="M63" s="141"/>
      <c r="N63" s="141"/>
      <c r="O63" s="141"/>
      <c r="P63" s="141"/>
      <c r="Q63" s="4"/>
      <c r="R63" s="4"/>
      <c r="S63" s="140"/>
    </row>
    <row r="64" spans="3:24" hidden="1">
      <c r="C64" s="140"/>
      <c r="G64" s="13"/>
      <c r="H64" s="18"/>
      <c r="I64" s="13"/>
      <c r="J64" s="13"/>
      <c r="K64" s="47"/>
      <c r="L64" s="47"/>
      <c r="M64" s="45"/>
      <c r="N64" s="45"/>
      <c r="O64" s="45"/>
      <c r="P64" s="45"/>
      <c r="Q64" s="4"/>
      <c r="R64" s="4"/>
      <c r="S64" s="140"/>
    </row>
    <row r="65" spans="4:19" hidden="1">
      <c r="G65" s="13"/>
      <c r="H65" s="6"/>
      <c r="I65" s="13"/>
      <c r="J65" s="13"/>
      <c r="K65" s="47"/>
      <c r="L65" s="47"/>
      <c r="M65" s="45"/>
      <c r="N65" s="45"/>
      <c r="O65" s="45"/>
      <c r="P65" s="45"/>
      <c r="Q65" s="4"/>
      <c r="R65" s="4"/>
      <c r="S65" s="140"/>
    </row>
    <row r="66" spans="4:19" hidden="1">
      <c r="G66" s="13"/>
      <c r="H66" s="6"/>
      <c r="I66" s="13"/>
      <c r="J66" s="13"/>
      <c r="K66" s="47"/>
      <c r="L66" s="47"/>
      <c r="M66" s="45"/>
      <c r="N66" s="45"/>
      <c r="O66" s="45"/>
      <c r="P66" s="45"/>
      <c r="Q66" s="4"/>
      <c r="R66" s="4"/>
      <c r="S66" s="140"/>
    </row>
    <row r="67" spans="4:19" hidden="1">
      <c r="G67" s="140"/>
      <c r="H67" s="6"/>
      <c r="I67" s="141"/>
      <c r="J67" s="141"/>
      <c r="K67" s="47"/>
      <c r="L67" s="47"/>
      <c r="M67" s="45"/>
      <c r="N67" s="45"/>
      <c r="O67" s="45"/>
      <c r="P67" s="45"/>
      <c r="Q67" s="4"/>
      <c r="R67" s="4"/>
      <c r="S67" s="140"/>
    </row>
    <row r="68" spans="4:19" ht="15.75" hidden="1">
      <c r="D68" s="4" t="s">
        <v>26</v>
      </c>
      <c r="E68" s="136">
        <f>E8+7</f>
        <v>12</v>
      </c>
      <c r="G68" s="140"/>
      <c r="I68" s="141"/>
      <c r="J68" s="141"/>
      <c r="K68" s="47"/>
      <c r="L68" s="47"/>
      <c r="M68" s="45"/>
      <c r="N68" s="45"/>
      <c r="O68" s="45"/>
      <c r="P68" s="45"/>
      <c r="Q68" s="4"/>
      <c r="R68" s="4"/>
      <c r="S68" s="140"/>
    </row>
    <row r="69" spans="4:19" hidden="1">
      <c r="D69" s="4" t="s">
        <v>27</v>
      </c>
      <c r="G69" s="140"/>
      <c r="I69" s="141"/>
      <c r="J69" s="141"/>
      <c r="K69" s="47"/>
      <c r="L69" s="47"/>
      <c r="M69" s="45"/>
      <c r="N69" s="45"/>
      <c r="O69" s="45"/>
      <c r="P69" s="45"/>
      <c r="Q69" s="4"/>
      <c r="R69" s="4"/>
      <c r="S69" s="140"/>
    </row>
    <row r="70" spans="4:19" hidden="1">
      <c r="G70" s="140"/>
      <c r="I70" s="141"/>
      <c r="J70" s="141"/>
      <c r="K70" s="6" t="s">
        <v>98</v>
      </c>
      <c r="L70" s="47"/>
      <c r="M70" s="45"/>
      <c r="N70" s="45"/>
      <c r="O70" s="45"/>
      <c r="P70" s="45"/>
      <c r="Q70" s="4"/>
      <c r="R70" s="4"/>
      <c r="S70" s="140"/>
    </row>
    <row r="71" spans="4:19" hidden="1">
      <c r="G71" s="140"/>
      <c r="I71" s="141"/>
      <c r="J71" s="141"/>
      <c r="K71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L71" s="47"/>
      <c r="M71" s="45"/>
      <c r="N71" s="45"/>
      <c r="O71" s="45"/>
      <c r="P71" s="45"/>
      <c r="Q71" s="4"/>
      <c r="R71" s="4"/>
      <c r="S71" s="140"/>
    </row>
    <row r="72" spans="4:19" hidden="1">
      <c r="D72" s="4"/>
      <c r="E72" s="141" t="s">
        <v>99</v>
      </c>
      <c r="F72" s="141" t="s">
        <v>100</v>
      </c>
      <c r="G72" s="140"/>
      <c r="I72" s="141"/>
      <c r="J72" s="141"/>
      <c r="K72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L72" s="47"/>
      <c r="M72" s="45"/>
      <c r="N72" s="45"/>
      <c r="O72" s="45"/>
      <c r="P72" s="45"/>
      <c r="Q72" s="4"/>
      <c r="R72" s="4"/>
      <c r="S72" s="140"/>
    </row>
    <row r="73" spans="4:19" hidden="1">
      <c r="D73" s="6" t="s">
        <v>118</v>
      </c>
      <c r="E73" s="45">
        <v>0</v>
      </c>
      <c r="F73" s="45">
        <v>5</v>
      </c>
      <c r="G73" s="140"/>
      <c r="I73" s="141"/>
      <c r="J73" s="141"/>
      <c r="K73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L73" s="47"/>
      <c r="M73" s="45"/>
      <c r="N73" s="45"/>
      <c r="O73" s="45"/>
      <c r="P73" s="45"/>
      <c r="Q73" s="4"/>
      <c r="R73" s="4"/>
      <c r="S73" s="140"/>
    </row>
    <row r="74" spans="4:19" hidden="1">
      <c r="D74" s="6" t="s">
        <v>119</v>
      </c>
      <c r="E74" s="45">
        <f>'ATTACK &amp; ARMOR'!E$32-5</f>
        <v>15</v>
      </c>
      <c r="F74" s="45">
        <f>'ATTACK &amp; ARMOR'!E$32+5</f>
        <v>25</v>
      </c>
      <c r="G74" s="140"/>
      <c r="I74" s="141"/>
      <c r="J74" s="141"/>
      <c r="K74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L74" s="47"/>
      <c r="M74" s="45"/>
      <c r="N74" s="45"/>
      <c r="O74" s="45"/>
      <c r="P74" s="45"/>
      <c r="Q74" s="4"/>
      <c r="R74" s="4"/>
      <c r="S74" s="140"/>
    </row>
    <row r="75" spans="4:19" hidden="1">
      <c r="D75" s="6" t="s">
        <v>120</v>
      </c>
      <c r="E75" s="45">
        <f>'ATTACK &amp; ARMOR'!G$32-5</f>
        <v>35</v>
      </c>
      <c r="F75" s="45">
        <f>'ATTACK &amp; ARMOR'!G$32+5</f>
        <v>45</v>
      </c>
      <c r="G75" s="140"/>
      <c r="I75" s="141"/>
      <c r="J75" s="141"/>
      <c r="K75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L75" s="140"/>
      <c r="M75" s="140"/>
      <c r="N75" s="140"/>
      <c r="O75" s="140"/>
      <c r="P75" s="140"/>
      <c r="Q75" s="4"/>
      <c r="R75" s="4"/>
      <c r="S75" s="140"/>
    </row>
    <row r="76" spans="4:19" hidden="1">
      <c r="D76" s="6" t="s">
        <v>121</v>
      </c>
      <c r="E76" s="45">
        <f>'ATTACK &amp; ARMOR'!I$32-5</f>
        <v>55</v>
      </c>
      <c r="F76" s="45">
        <f>'ATTACK &amp; ARMOR'!I$32+5</f>
        <v>65</v>
      </c>
      <c r="G76" s="140"/>
      <c r="I76" s="141"/>
      <c r="J76" s="141"/>
      <c r="K76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L76" s="140"/>
      <c r="M76" s="140"/>
      <c r="N76" s="140"/>
      <c r="O76" s="140"/>
      <c r="P76" s="140"/>
      <c r="Q76" s="4"/>
      <c r="R76" s="4"/>
      <c r="S76" s="140"/>
    </row>
    <row r="77" spans="4:19" hidden="1">
      <c r="D77" s="6" t="s">
        <v>122</v>
      </c>
      <c r="E77" s="45">
        <f>'ATTACK &amp; ARMOR'!K$32-5</f>
        <v>75</v>
      </c>
      <c r="F77" s="45">
        <f>'ATTACK &amp; ARMOR'!K$32+5</f>
        <v>85</v>
      </c>
      <c r="G77" s="140"/>
      <c r="I77" s="141"/>
      <c r="J77" s="141"/>
      <c r="K77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L77" s="140"/>
      <c r="M77" s="140"/>
      <c r="N77" s="140"/>
      <c r="O77" s="140"/>
      <c r="P77" s="140"/>
      <c r="Q77" s="4"/>
      <c r="R77" s="4"/>
      <c r="S77" s="140"/>
    </row>
    <row r="78" spans="4:19" hidden="1">
      <c r="D78" s="6" t="s">
        <v>123</v>
      </c>
      <c r="E78" s="45">
        <f>'ATTACK &amp; ARMOR'!M$32-5</f>
        <v>95</v>
      </c>
      <c r="F78" s="45">
        <v>100</v>
      </c>
      <c r="G78" s="140"/>
      <c r="I78" s="141"/>
      <c r="J78" s="141"/>
      <c r="K78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L78" s="140"/>
      <c r="M78" s="140"/>
      <c r="N78" s="140"/>
      <c r="O78" s="140"/>
      <c r="P78" s="140"/>
      <c r="Q78" s="4"/>
      <c r="R78" s="4"/>
      <c r="S78" s="140"/>
    </row>
    <row r="79" spans="4:19" hidden="1">
      <c r="G79" s="140"/>
      <c r="H79" s="4"/>
      <c r="I79" s="141"/>
      <c r="J79" s="141"/>
      <c r="K79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L79" s="140"/>
      <c r="M79" s="140"/>
      <c r="N79" s="140"/>
      <c r="O79" s="140"/>
      <c r="P79" s="140"/>
      <c r="Q79" s="4"/>
      <c r="R79" s="4"/>
      <c r="S79" s="140"/>
    </row>
    <row r="80" spans="4:19" hidden="1">
      <c r="G80" s="140"/>
      <c r="H80" s="4"/>
      <c r="I80" s="141"/>
      <c r="J80" s="141"/>
      <c r="K80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L80" s="140"/>
      <c r="M80" s="140"/>
      <c r="N80" s="140"/>
      <c r="O80" s="140"/>
      <c r="P80" s="140"/>
      <c r="Q80" s="4"/>
      <c r="R80" s="4"/>
      <c r="S80" s="140"/>
    </row>
    <row r="81" spans="7:19" hidden="1">
      <c r="G81" s="140"/>
      <c r="H81" s="4"/>
      <c r="I81" s="140"/>
      <c r="J81" s="140"/>
      <c r="K81" s="140"/>
      <c r="L81" s="140"/>
      <c r="M81" s="140"/>
      <c r="N81" s="140"/>
      <c r="O81" s="140"/>
      <c r="P81" s="140"/>
      <c r="Q81" s="4"/>
      <c r="R81" s="4"/>
      <c r="S81" s="140"/>
    </row>
    <row r="82" spans="7:19" hidden="1">
      <c r="G82" s="140"/>
      <c r="H82" s="4"/>
      <c r="I82" s="140"/>
      <c r="J82" s="140"/>
      <c r="K82" s="140"/>
      <c r="L82" s="140"/>
      <c r="M82" s="140"/>
      <c r="N82" s="140"/>
      <c r="O82" s="140"/>
      <c r="P82" s="140"/>
      <c r="Q82" s="4"/>
      <c r="R82" s="4"/>
      <c r="S82" s="140"/>
    </row>
    <row r="83" spans="7:19" hidden="1">
      <c r="G83" s="140"/>
      <c r="H83" s="4"/>
      <c r="I83" s="140"/>
      <c r="J83" s="140"/>
      <c r="K83" s="140"/>
      <c r="L83" s="140"/>
      <c r="M83" s="140"/>
      <c r="N83" s="140"/>
      <c r="O83" s="140"/>
      <c r="P83" s="140"/>
      <c r="Q83" s="4"/>
      <c r="R83" s="4"/>
      <c r="S83" s="140"/>
    </row>
    <row r="84" spans="7:19" hidden="1">
      <c r="G84" s="140"/>
      <c r="H84" s="4"/>
      <c r="I84" s="140"/>
      <c r="J84" s="140"/>
      <c r="K84" s="140"/>
      <c r="L84" s="140"/>
      <c r="M84" s="140"/>
      <c r="N84" s="140"/>
      <c r="O84" s="140"/>
      <c r="P84" s="140"/>
      <c r="Q84" s="4"/>
      <c r="R84" s="4"/>
      <c r="S84" s="140"/>
    </row>
    <row r="85" spans="7:19" hidden="1">
      <c r="G85" s="140"/>
      <c r="H85" s="4"/>
      <c r="I85" s="140"/>
      <c r="J85" s="140"/>
      <c r="K85" s="140"/>
      <c r="L85" s="140"/>
      <c r="M85" s="140"/>
      <c r="N85" s="140"/>
      <c r="O85" s="140"/>
      <c r="P85" s="140"/>
      <c r="Q85" s="4"/>
      <c r="R85" s="4"/>
      <c r="S85" s="140"/>
    </row>
    <row r="86" spans="7:19" hidden="1">
      <c r="G86" s="140"/>
      <c r="H86" s="4"/>
      <c r="I86" s="140"/>
      <c r="J86" s="140"/>
      <c r="K86" s="140"/>
      <c r="L86" s="140"/>
      <c r="M86" s="140"/>
      <c r="N86" s="140"/>
      <c r="O86" s="140"/>
      <c r="P86" s="140"/>
      <c r="Q86" s="4"/>
      <c r="R86" s="4"/>
      <c r="S86" s="140"/>
    </row>
    <row r="87" spans="7:19" hidden="1">
      <c r="G87" s="140"/>
      <c r="H87" s="4"/>
      <c r="I87" s="140"/>
      <c r="J87" s="140"/>
      <c r="K87" s="140"/>
      <c r="L87" s="140"/>
      <c r="M87" s="140"/>
      <c r="N87" s="140"/>
      <c r="O87" s="140"/>
      <c r="P87" s="140"/>
      <c r="Q87" s="4"/>
      <c r="R87" s="4"/>
      <c r="S87" s="140"/>
    </row>
    <row r="88" spans="7:19" hidden="1">
      <c r="G88" s="140"/>
      <c r="H88" s="4"/>
      <c r="I88" s="140"/>
      <c r="J88" s="140"/>
      <c r="K88" s="140"/>
      <c r="L88" s="140"/>
      <c r="M88" s="140"/>
      <c r="N88" s="140"/>
      <c r="O88" s="140"/>
      <c r="P88" s="140"/>
      <c r="Q88" s="4"/>
      <c r="R88" s="4"/>
      <c r="S88" s="140"/>
    </row>
    <row r="89" spans="7:19" hidden="1">
      <c r="G89" s="140"/>
      <c r="H89" s="4"/>
      <c r="I89" s="140"/>
      <c r="J89" s="140"/>
      <c r="K89" s="140"/>
      <c r="L89" s="140"/>
      <c r="M89" s="140"/>
      <c r="N89" s="140"/>
      <c r="O89" s="140"/>
      <c r="P89" s="140"/>
      <c r="Q89" s="4"/>
      <c r="R89" s="4"/>
      <c r="S89" s="140"/>
    </row>
    <row r="90" spans="7:19" hidden="1">
      <c r="G90" s="140"/>
      <c r="H90" s="4"/>
      <c r="I90" s="140"/>
      <c r="J90" s="140"/>
      <c r="K90" s="140"/>
      <c r="L90" s="140"/>
      <c r="M90" s="140"/>
      <c r="N90" s="140"/>
      <c r="O90" s="140"/>
      <c r="P90" s="140"/>
      <c r="Q90" s="4"/>
      <c r="R90" s="4"/>
      <c r="S90" s="140"/>
    </row>
    <row r="91" spans="7:19" hidden="1">
      <c r="G91" s="140"/>
      <c r="H91" s="4"/>
      <c r="I91" s="140"/>
      <c r="J91" s="140"/>
      <c r="K91" s="140"/>
      <c r="L91" s="140"/>
      <c r="M91" s="140"/>
      <c r="N91" s="140"/>
      <c r="O91" s="140"/>
      <c r="P91" s="140"/>
      <c r="Q91" s="4"/>
      <c r="R91" s="4"/>
      <c r="S91" s="140"/>
    </row>
    <row r="92" spans="7:19" hidden="1">
      <c r="G92" s="140"/>
      <c r="H92" s="4"/>
      <c r="I92" s="140"/>
      <c r="J92" s="140"/>
      <c r="K92" s="140"/>
      <c r="L92" s="140"/>
      <c r="M92" s="140"/>
      <c r="N92" s="140"/>
      <c r="O92" s="140"/>
      <c r="P92" s="140"/>
      <c r="Q92" s="4"/>
      <c r="R92" s="4"/>
      <c r="S92" s="140"/>
    </row>
    <row r="93" spans="7:19" hidden="1">
      <c r="G93" s="140"/>
      <c r="H93" s="4"/>
      <c r="I93" s="140"/>
      <c r="J93" s="140"/>
      <c r="K93" s="140"/>
      <c r="L93" s="140"/>
      <c r="M93" s="140"/>
      <c r="N93" s="140"/>
      <c r="O93" s="140"/>
      <c r="P93" s="140"/>
      <c r="Q93" s="4"/>
      <c r="R93" s="4"/>
      <c r="S93" s="140"/>
    </row>
    <row r="94" spans="7:19" hidden="1">
      <c r="G94" s="140"/>
      <c r="H94" s="4"/>
      <c r="I94" s="140"/>
      <c r="J94" s="140"/>
      <c r="Q94" s="4"/>
      <c r="R94" s="4"/>
      <c r="S94" s="140"/>
    </row>
    <row r="95" spans="7:19" hidden="1">
      <c r="G95" s="140"/>
      <c r="H95" s="4"/>
      <c r="I95" s="140"/>
      <c r="J95" s="140"/>
      <c r="Q95" s="4"/>
      <c r="R95" s="4"/>
      <c r="S95" s="140"/>
    </row>
    <row r="96" spans="7:19" hidden="1">
      <c r="G96" s="140"/>
      <c r="H96" s="4"/>
      <c r="I96" s="140"/>
      <c r="J96" s="140"/>
      <c r="R96" s="4"/>
      <c r="S96" s="140"/>
    </row>
    <row r="97" spans="7:19" hidden="1">
      <c r="G97" s="140"/>
      <c r="H97" s="4"/>
      <c r="I97" s="140"/>
      <c r="J97" s="140"/>
      <c r="R97" s="4"/>
      <c r="S97" s="140"/>
    </row>
    <row r="98" spans="7:19" hidden="1">
      <c r="I98" s="140"/>
      <c r="J98" s="140"/>
      <c r="R98" s="4"/>
      <c r="S98" s="140"/>
    </row>
    <row r="99" spans="7:19" hidden="1">
      <c r="I99" s="140"/>
      <c r="J99" s="140"/>
      <c r="R99" s="4"/>
      <c r="S99" s="140"/>
    </row>
    <row r="100" spans="7:19" hidden="1">
      <c r="R100" s="4"/>
      <c r="S100" s="140"/>
    </row>
    <row r="101" spans="7:19" hidden="1">
      <c r="R101" s="4"/>
      <c r="S101" s="140"/>
    </row>
  </sheetData>
  <mergeCells count="112">
    <mergeCell ref="K49:L49"/>
    <mergeCell ref="K50:L50"/>
    <mergeCell ref="K51:L51"/>
    <mergeCell ref="K43:L43"/>
    <mergeCell ref="K44:L44"/>
    <mergeCell ref="K45:L45"/>
    <mergeCell ref="K46:L46"/>
    <mergeCell ref="K47:L47"/>
    <mergeCell ref="K48:L48"/>
    <mergeCell ref="L37:N37"/>
    <mergeCell ref="O37:P37"/>
    <mergeCell ref="K40:L40"/>
    <mergeCell ref="K41:L41"/>
    <mergeCell ref="E42:H42"/>
    <mergeCell ref="K42:L42"/>
    <mergeCell ref="L34:N34"/>
    <mergeCell ref="O34:P34"/>
    <mergeCell ref="L35:N35"/>
    <mergeCell ref="O35:P35"/>
    <mergeCell ref="E36:H36"/>
    <mergeCell ref="L36:N36"/>
    <mergeCell ref="O36:P36"/>
    <mergeCell ref="L31:N31"/>
    <mergeCell ref="O31:P31"/>
    <mergeCell ref="L32:N32"/>
    <mergeCell ref="O32:P32"/>
    <mergeCell ref="L33:N33"/>
    <mergeCell ref="O33:P33"/>
    <mergeCell ref="E28:H28"/>
    <mergeCell ref="L28:N28"/>
    <mergeCell ref="O28:P28"/>
    <mergeCell ref="L29:N29"/>
    <mergeCell ref="O29:P29"/>
    <mergeCell ref="L30:N30"/>
    <mergeCell ref="O30:P30"/>
    <mergeCell ref="E26:F26"/>
    <mergeCell ref="G26:H26"/>
    <mergeCell ref="L26:N26"/>
    <mergeCell ref="O26:P26"/>
    <mergeCell ref="L27:N27"/>
    <mergeCell ref="O27:P27"/>
    <mergeCell ref="E24:F24"/>
    <mergeCell ref="G24:H24"/>
    <mergeCell ref="L24:N24"/>
    <mergeCell ref="O24:P24"/>
    <mergeCell ref="E25:F25"/>
    <mergeCell ref="G25:H25"/>
    <mergeCell ref="L25:N25"/>
    <mergeCell ref="O25:P25"/>
    <mergeCell ref="E22:F22"/>
    <mergeCell ref="G22:H22"/>
    <mergeCell ref="L22:N22"/>
    <mergeCell ref="O22:P22"/>
    <mergeCell ref="E23:F23"/>
    <mergeCell ref="G23:H23"/>
    <mergeCell ref="L23:N23"/>
    <mergeCell ref="O23:P23"/>
    <mergeCell ref="E20:F20"/>
    <mergeCell ref="G20:H20"/>
    <mergeCell ref="L20:N20"/>
    <mergeCell ref="O20:P20"/>
    <mergeCell ref="E21:F21"/>
    <mergeCell ref="G21:H21"/>
    <mergeCell ref="L21:N21"/>
    <mergeCell ref="O21:P21"/>
    <mergeCell ref="E18:F18"/>
    <mergeCell ref="G18:H18"/>
    <mergeCell ref="L18:N18"/>
    <mergeCell ref="O18:P18"/>
    <mergeCell ref="E19:F19"/>
    <mergeCell ref="G19:H19"/>
    <mergeCell ref="L19:N19"/>
    <mergeCell ref="O19:P19"/>
    <mergeCell ref="O15:P15"/>
    <mergeCell ref="E16:F16"/>
    <mergeCell ref="G16:H16"/>
    <mergeCell ref="L16:N16"/>
    <mergeCell ref="O16:P16"/>
    <mergeCell ref="G17:H17"/>
    <mergeCell ref="L17:N17"/>
    <mergeCell ref="O17:P17"/>
    <mergeCell ref="L13:N13"/>
    <mergeCell ref="E14:F14"/>
    <mergeCell ref="G14:H14"/>
    <mergeCell ref="L14:N14"/>
    <mergeCell ref="E15:F15"/>
    <mergeCell ref="G15:H15"/>
    <mergeCell ref="L15:N15"/>
    <mergeCell ref="O9:P9"/>
    <mergeCell ref="L10:N10"/>
    <mergeCell ref="O10:P10"/>
    <mergeCell ref="L11:N11"/>
    <mergeCell ref="O11:P11"/>
    <mergeCell ref="L12:N12"/>
    <mergeCell ref="O12:P12"/>
    <mergeCell ref="L6:N6"/>
    <mergeCell ref="O6:P6"/>
    <mergeCell ref="L7:N7"/>
    <mergeCell ref="O7:P7"/>
    <mergeCell ref="D8:D9"/>
    <mergeCell ref="E8:E9"/>
    <mergeCell ref="F8:G9"/>
    <mergeCell ref="L8:N8"/>
    <mergeCell ref="O8:P8"/>
    <mergeCell ref="L9:N9"/>
    <mergeCell ref="E2:H2"/>
    <mergeCell ref="E4:F4"/>
    <mergeCell ref="L4:N4"/>
    <mergeCell ref="O4:P4"/>
    <mergeCell ref="E5:F5"/>
    <mergeCell ref="L5:N5"/>
    <mergeCell ref="O5:P5"/>
  </mergeCells>
  <conditionalFormatting sqref="D43:H46 D23:H24 D19">
    <cfRule type="expression" dxfId="4" priority="5">
      <formula>$E$5="NO"</formula>
    </cfRule>
  </conditionalFormatting>
  <conditionalFormatting sqref="D19:H20">
    <cfRule type="expression" dxfId="3" priority="4">
      <formula>$E$4="NO"</formula>
    </cfRule>
  </conditionalFormatting>
  <conditionalFormatting sqref="D21">
    <cfRule type="expression" dxfId="2" priority="3">
      <formula>$E$4="YES"</formula>
    </cfRule>
  </conditionalFormatting>
  <conditionalFormatting sqref="O41:O51">
    <cfRule type="cellIs" dxfId="1" priority="2" operator="equal">
      <formula>0</formula>
    </cfRule>
  </conditionalFormatting>
  <conditionalFormatting sqref="Q41:Q51">
    <cfRule type="cellIs" dxfId="0" priority="1" operator="notBetween">
      <formula>$M41</formula>
      <formula>$N41</formula>
    </cfRule>
  </conditionalFormatting>
  <dataValidations count="6">
    <dataValidation type="list" allowBlank="1" showInputMessage="1" showErrorMessage="1" sqref="E4:E5">
      <formula1>$D$68:$D$69</formula1>
    </dataValidation>
    <dataValidation type="whole" allowBlank="1" showInputMessage="1" showErrorMessage="1" sqref="K5:K37">
      <formula1>0</formula1>
      <formula2>100</formula2>
    </dataValidation>
    <dataValidation type="list" allowBlank="1" showInputMessage="1" showErrorMessage="1" sqref="Q5:Q37">
      <formula1>$K$41:$K$51</formula1>
    </dataValidation>
    <dataValidation type="list" allowBlank="1" showInputMessage="1" showErrorMessage="1" sqref="E36">
      <formula1>$K$71:$K$80</formula1>
    </dataValidation>
    <dataValidation type="list" allowBlank="1" showInputMessage="1" showErrorMessage="1" sqref="E42">
      <formula1>$K$70:$K$80</formula1>
    </dataValidation>
    <dataValidation type="list" allowBlank="1" showInputMessage="1" showErrorMessage="1" sqref="E28">
      <formula1>$D$73:$D$78</formula1>
    </dataValidation>
  </dataValidations>
  <pageMargins left="0.56000000000000005" right="0.22" top="0.75" bottom="0.75" header="0.3" footer="0.3"/>
  <pageSetup scale="74" orientation="portrait" r:id="rId1"/>
  <rowBreaks count="1" manualBreakCount="1">
    <brk id="62" min="2" max="20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75"/>
  <sheetViews>
    <sheetView zoomScale="115" zoomScaleNormal="115" workbookViewId="0">
      <selection activeCell="E14" sqref="E14"/>
    </sheetView>
  </sheetViews>
  <sheetFormatPr defaultColWidth="0" defaultRowHeight="15" customHeight="1" zeroHeight="1"/>
  <cols>
    <col min="1" max="1" width="9.140625" style="2" customWidth="1"/>
    <col min="2" max="2" width="24.5703125" customWidth="1"/>
    <col min="3" max="3" width="10.42578125" style="2" customWidth="1"/>
    <col min="4" max="4" width="9.7109375" style="2" customWidth="1"/>
    <col min="5" max="5" width="9.140625" customWidth="1"/>
    <col min="6" max="6" width="9.140625" style="2" customWidth="1"/>
    <col min="7" max="7" width="13.7109375" customWidth="1"/>
    <col min="8" max="9" width="6" style="2" customWidth="1"/>
    <col min="10" max="10" width="10.42578125" style="2" customWidth="1"/>
    <col min="11" max="11" width="9.7109375" style="2" customWidth="1"/>
    <col min="12" max="13" width="9.140625" hidden="1" customWidth="1"/>
    <col min="14" max="14" width="9.140625" style="2" customWidth="1"/>
    <col min="15" max="16384" width="9.140625" hidden="1"/>
  </cols>
  <sheetData>
    <row r="1" spans="1:14">
      <c r="A1" s="3"/>
      <c r="B1" s="4"/>
      <c r="C1" s="3"/>
      <c r="D1" s="3"/>
      <c r="E1" s="4"/>
      <c r="F1" s="3"/>
      <c r="G1" s="4"/>
      <c r="H1" s="3"/>
      <c r="I1" s="3"/>
      <c r="J1" s="3"/>
      <c r="K1" s="3"/>
      <c r="N1" s="3"/>
    </row>
    <row r="2" spans="1:14" ht="18.75">
      <c r="A2" s="3"/>
      <c r="B2" s="23" t="s">
        <v>37</v>
      </c>
      <c r="C2" s="150" t="s">
        <v>164</v>
      </c>
      <c r="D2" s="150"/>
      <c r="E2" s="150"/>
      <c r="F2" s="150"/>
      <c r="G2" s="150"/>
      <c r="H2" s="97"/>
      <c r="I2" s="97"/>
      <c r="J2" s="3"/>
      <c r="K2" s="3"/>
      <c r="N2" s="3"/>
    </row>
    <row r="3" spans="1:14">
      <c r="A3" s="3"/>
      <c r="B3" s="4"/>
      <c r="C3" s="3"/>
      <c r="D3" s="3"/>
      <c r="E3" s="4"/>
      <c r="F3" s="13"/>
      <c r="G3" s="4"/>
      <c r="H3" s="3"/>
      <c r="I3" s="3"/>
      <c r="J3" s="3"/>
      <c r="K3" s="13"/>
      <c r="N3" s="3"/>
    </row>
    <row r="4" spans="1:14" ht="18.75">
      <c r="A4" s="3"/>
      <c r="B4" s="22" t="s">
        <v>24</v>
      </c>
      <c r="C4" s="21" t="s">
        <v>27</v>
      </c>
      <c r="D4" s="98"/>
      <c r="E4" s="14"/>
      <c r="F4" s="16"/>
      <c r="G4" s="22" t="s">
        <v>32</v>
      </c>
      <c r="H4" s="44"/>
      <c r="I4" s="176">
        <f>INT( (C6+K28-N20-N26)*I5*I6/100 )</f>
        <v>1036</v>
      </c>
      <c r="J4" s="176"/>
      <c r="K4" s="13" t="s">
        <v>36</v>
      </c>
      <c r="M4" t="s">
        <v>26</v>
      </c>
      <c r="N4" s="3"/>
    </row>
    <row r="5" spans="1:14" ht="18.75">
      <c r="A5" s="3"/>
      <c r="B5" s="22" t="s">
        <v>25</v>
      </c>
      <c r="C5" s="21" t="s">
        <v>26</v>
      </c>
      <c r="D5" s="98"/>
      <c r="E5" s="14"/>
      <c r="F5" s="16"/>
      <c r="G5" s="22" t="s">
        <v>33</v>
      </c>
      <c r="H5" s="44"/>
      <c r="I5" s="176">
        <f>INT( C6/175 )</f>
        <v>6</v>
      </c>
      <c r="J5" s="176"/>
      <c r="K5" s="13"/>
      <c r="M5" t="s">
        <v>27</v>
      </c>
      <c r="N5" s="3"/>
    </row>
    <row r="6" spans="1:14" ht="18.75">
      <c r="A6" s="3"/>
      <c r="B6" s="22" t="s">
        <v>31</v>
      </c>
      <c r="C6" s="97">
        <f>INT(SUM(D9:D10)+SUM(D13:D20)+K14+K20+K26+N20+N26)</f>
        <v>1221</v>
      </c>
      <c r="D6" s="98"/>
      <c r="E6" s="14"/>
      <c r="F6" s="16"/>
      <c r="G6" s="14" t="s">
        <v>35</v>
      </c>
      <c r="H6" s="98"/>
      <c r="I6" s="177">
        <f>I5+7</f>
        <v>13</v>
      </c>
      <c r="J6" s="177"/>
      <c r="K6" s="3"/>
      <c r="N6" s="3"/>
    </row>
    <row r="7" spans="1:14">
      <c r="A7" s="3"/>
      <c r="B7" s="4"/>
      <c r="C7" s="3"/>
      <c r="D7" s="3"/>
      <c r="E7" s="4"/>
      <c r="F7" s="13"/>
      <c r="G7" s="18"/>
      <c r="H7" s="13"/>
      <c r="I7" s="13"/>
      <c r="J7" s="13"/>
      <c r="K7" s="13"/>
      <c r="N7" s="3"/>
    </row>
    <row r="8" spans="1:14" s="1" customFormat="1">
      <c r="A8" s="28" t="s">
        <v>22</v>
      </c>
      <c r="B8" s="29" t="s">
        <v>21</v>
      </c>
      <c r="C8" s="28" t="s">
        <v>28</v>
      </c>
      <c r="D8" s="28" t="s">
        <v>23</v>
      </c>
      <c r="E8" s="6"/>
      <c r="F8" s="28" t="s">
        <v>22</v>
      </c>
      <c r="G8" s="29" t="s">
        <v>92</v>
      </c>
      <c r="H8" s="163" t="s">
        <v>122</v>
      </c>
      <c r="I8" s="163"/>
      <c r="J8" s="163"/>
      <c r="K8" s="163"/>
      <c r="N8" s="5"/>
    </row>
    <row r="9" spans="1:14">
      <c r="A9" s="20">
        <v>24</v>
      </c>
      <c r="B9" s="4" t="s">
        <v>0</v>
      </c>
      <c r="C9" s="3">
        <v>6</v>
      </c>
      <c r="D9" s="5">
        <f>(A9-10)*C9</f>
        <v>84</v>
      </c>
      <c r="E9" s="4"/>
      <c r="F9" s="20">
        <v>75</v>
      </c>
      <c r="G9" s="4" t="s">
        <v>15</v>
      </c>
      <c r="H9" s="3" t="str">
        <f>VLOOKUP($H$8,$B$32:$D$37,2,FALSE) &amp; "%"</f>
        <v>75%</v>
      </c>
      <c r="I9" s="3" t="str">
        <f>VLOOKUP($H$8,$B$32:$D$37,3,FALSE) &amp; "%"</f>
        <v>85%</v>
      </c>
      <c r="J9" s="3">
        <f>'ATTACK &amp; ARMOR'!B33</f>
        <v>0.6</v>
      </c>
      <c r="K9" s="3">
        <f>INT(J9*F9*'ATTACK &amp; ARMOR'!$B$37)</f>
        <v>112</v>
      </c>
      <c r="N9" s="3"/>
    </row>
    <row r="10" spans="1:14">
      <c r="A10" s="20">
        <v>16</v>
      </c>
      <c r="B10" s="4" t="s">
        <v>1</v>
      </c>
      <c r="C10" s="3">
        <v>6</v>
      </c>
      <c r="D10" s="5">
        <f>(A10-10)*C10</f>
        <v>36</v>
      </c>
      <c r="E10" s="4"/>
      <c r="F10" s="20">
        <v>75</v>
      </c>
      <c r="G10" s="4" t="s">
        <v>16</v>
      </c>
      <c r="H10" s="3" t="str">
        <f t="shared" ref="H10:H13" si="0">VLOOKUP($H$8,$B$32:$D$37,2,FALSE) &amp; "%"</f>
        <v>75%</v>
      </c>
      <c r="I10" s="3" t="str">
        <f t="shared" ref="I10:I13" si="1">VLOOKUP($H$8,$B$32:$D$37,3,FALSE) &amp; "%"</f>
        <v>85%</v>
      </c>
      <c r="J10" s="3">
        <f>'ATTACK &amp; ARMOR'!B34</f>
        <v>1</v>
      </c>
      <c r="K10" s="3">
        <f>INT(J10*F10*'ATTACK &amp; ARMOR'!$B$37)</f>
        <v>187</v>
      </c>
      <c r="N10" s="3"/>
    </row>
    <row r="11" spans="1:14">
      <c r="A11" s="3"/>
      <c r="B11" s="4"/>
      <c r="C11" s="3"/>
      <c r="D11" s="3"/>
      <c r="E11" s="4"/>
      <c r="F11" s="20">
        <v>75</v>
      </c>
      <c r="G11" s="4" t="s">
        <v>17</v>
      </c>
      <c r="H11" s="3" t="str">
        <f t="shared" si="0"/>
        <v>75%</v>
      </c>
      <c r="I11" s="3" t="str">
        <f t="shared" si="1"/>
        <v>85%</v>
      </c>
      <c r="J11" s="3">
        <f>'ATTACK &amp; ARMOR'!B35</f>
        <v>0.35</v>
      </c>
      <c r="K11" s="3">
        <f>INT(J11*F11*'ATTACK &amp; ARMOR'!$B$37)</f>
        <v>65</v>
      </c>
      <c r="N11" s="3"/>
    </row>
    <row r="12" spans="1:14" s="1" customFormat="1">
      <c r="A12" s="28" t="s">
        <v>22</v>
      </c>
      <c r="B12" s="29" t="s">
        <v>20</v>
      </c>
      <c r="C12" s="28" t="s">
        <v>28</v>
      </c>
      <c r="D12" s="28" t="s">
        <v>23</v>
      </c>
      <c r="E12" s="6"/>
      <c r="F12" s="20">
        <v>75</v>
      </c>
      <c r="G12" s="4" t="s">
        <v>18</v>
      </c>
      <c r="H12" s="3" t="str">
        <f t="shared" si="0"/>
        <v>75%</v>
      </c>
      <c r="I12" s="3" t="str">
        <f t="shared" si="1"/>
        <v>85%</v>
      </c>
      <c r="J12" s="3">
        <f>'ATTACK &amp; ARMOR'!B36</f>
        <v>0.15</v>
      </c>
      <c r="K12" s="3">
        <f>INT(J12*F12*'ATTACK &amp; ARMOR'!$B$37)</f>
        <v>28</v>
      </c>
      <c r="N12" s="5"/>
    </row>
    <row r="13" spans="1:14">
      <c r="A13" s="20">
        <v>0</v>
      </c>
      <c r="B13" s="4" t="s">
        <v>2</v>
      </c>
      <c r="C13" s="3">
        <v>6</v>
      </c>
      <c r="D13" s="5">
        <f>IF(AND($C$4="YES", $C$5="YES"), $A13*$C13, 0)</f>
        <v>0</v>
      </c>
      <c r="E13" s="4"/>
      <c r="F13" s="20">
        <v>60</v>
      </c>
      <c r="G13" s="4" t="s">
        <v>38</v>
      </c>
      <c r="H13" s="3" t="str">
        <f t="shared" si="0"/>
        <v>75%</v>
      </c>
      <c r="I13" s="3" t="str">
        <f t="shared" si="1"/>
        <v>85%</v>
      </c>
      <c r="J13" s="3">
        <f>IF($F13&gt;=0,1,0)</f>
        <v>1</v>
      </c>
      <c r="K13" s="3">
        <f>IF($J13=1, INT(((F13*3)+(A16*C16))/3), 0)</f>
        <v>70</v>
      </c>
      <c r="N13" s="3"/>
    </row>
    <row r="14" spans="1:14">
      <c r="A14" s="20">
        <v>0</v>
      </c>
      <c r="B14" s="4" t="s">
        <v>3</v>
      </c>
      <c r="C14" s="3">
        <v>8</v>
      </c>
      <c r="D14" s="5">
        <f>IF($C$4="YES", $A14*$C14, 0)</f>
        <v>0</v>
      </c>
      <c r="E14" s="4"/>
      <c r="F14" s="3"/>
      <c r="G14" s="4" t="s">
        <v>34</v>
      </c>
      <c r="H14" s="3"/>
      <c r="I14" s="3"/>
      <c r="J14" s="3"/>
      <c r="K14" s="5">
        <f>SUM(K9:K13)</f>
        <v>462</v>
      </c>
      <c r="N14" s="3"/>
    </row>
    <row r="15" spans="1:14">
      <c r="A15" s="20">
        <v>3</v>
      </c>
      <c r="B15" s="4" t="s">
        <v>4</v>
      </c>
      <c r="C15" s="3">
        <v>5</v>
      </c>
      <c r="D15" s="5">
        <f>IF($C$4&lt;&gt;"YES", $A15*$C15, 0)</f>
        <v>15</v>
      </c>
      <c r="E15" s="4"/>
      <c r="F15" s="3"/>
      <c r="G15" s="4"/>
      <c r="H15" s="3"/>
      <c r="I15" s="3"/>
      <c r="J15" s="3"/>
      <c r="K15" s="3"/>
      <c r="N15" s="3"/>
    </row>
    <row r="16" spans="1:14">
      <c r="A16" s="20">
        <v>4</v>
      </c>
      <c r="B16" s="4" t="s">
        <v>5</v>
      </c>
      <c r="C16" s="3">
        <v>8</v>
      </c>
      <c r="D16" s="5" t="s">
        <v>30</v>
      </c>
      <c r="E16" s="4"/>
      <c r="F16" s="28" t="s">
        <v>22</v>
      </c>
      <c r="G16" s="29" t="s">
        <v>90</v>
      </c>
      <c r="H16" s="163" t="s">
        <v>165</v>
      </c>
      <c r="I16" s="163"/>
      <c r="J16" s="163"/>
      <c r="K16" s="163"/>
      <c r="N16" s="3"/>
    </row>
    <row r="17" spans="1:14">
      <c r="A17" s="20">
        <v>0</v>
      </c>
      <c r="B17" s="4" t="s">
        <v>6</v>
      </c>
      <c r="C17" s="3">
        <v>0</v>
      </c>
      <c r="D17" s="5" t="s">
        <v>30</v>
      </c>
      <c r="E17" s="4"/>
      <c r="F17" s="20">
        <v>100</v>
      </c>
      <c r="G17" s="4" t="s">
        <v>9</v>
      </c>
      <c r="H17" s="3"/>
      <c r="I17" s="3"/>
      <c r="J17" s="3">
        <f>IF($F17&gt;=0,1,0)</f>
        <v>1</v>
      </c>
      <c r="K17" s="3">
        <f>IF($J17=1, INT($F17*'ATTACK &amp; ARMOR'!$B$10 + $A23*'ATTACK &amp; ARMOR'!$B$9 + $A$19*'ATTACK &amp; ARMOR'!$B$8), 0)</f>
        <v>1075</v>
      </c>
      <c r="N17" s="3"/>
    </row>
    <row r="18" spans="1:14">
      <c r="A18" s="20">
        <v>3</v>
      </c>
      <c r="B18" s="4" t="s">
        <v>7</v>
      </c>
      <c r="C18" s="3">
        <v>0</v>
      </c>
      <c r="D18" s="5" t="s">
        <v>30</v>
      </c>
      <c r="E18" s="4"/>
      <c r="F18" s="20">
        <v>-1</v>
      </c>
      <c r="G18" s="4" t="s">
        <v>10</v>
      </c>
      <c r="H18" s="3"/>
      <c r="I18" s="3"/>
      <c r="J18" s="3">
        <f t="shared" ref="J18:J19" si="2">IF($F18&gt;=0,1,0)</f>
        <v>0</v>
      </c>
      <c r="K18" s="3">
        <f>IF($J18=1, INT($F18*'ATTACK &amp; ARMOR'!$B$10 + $A24*'ATTACK &amp; ARMOR'!$B$9 + $A$19*'ATTACK &amp; ARMOR'!$B$8), 0)</f>
        <v>0</v>
      </c>
      <c r="N18" s="3"/>
    </row>
    <row r="19" spans="1:14">
      <c r="A19" s="20">
        <v>5</v>
      </c>
      <c r="B19" s="4" t="s">
        <v>8</v>
      </c>
      <c r="C19" s="3">
        <v>0</v>
      </c>
      <c r="D19" s="5" t="s">
        <v>30</v>
      </c>
      <c r="E19" s="4"/>
      <c r="F19" s="20">
        <v>-1</v>
      </c>
      <c r="G19" s="4" t="s">
        <v>11</v>
      </c>
      <c r="H19" s="3"/>
      <c r="I19" s="3"/>
      <c r="J19" s="3">
        <f t="shared" si="2"/>
        <v>0</v>
      </c>
      <c r="K19" s="3">
        <f>IF($J19=1, INT($F19*'ATTACK &amp; ARMOR'!$B$10 + $A25*'ATTACK &amp; ARMOR'!$B$9 + $A$19*'ATTACK &amp; ARMOR'!$B$8), 0)</f>
        <v>0</v>
      </c>
      <c r="N19" s="3"/>
    </row>
    <row r="20" spans="1:14">
      <c r="A20" s="20">
        <v>2</v>
      </c>
      <c r="B20" s="4" t="s">
        <v>29</v>
      </c>
      <c r="C20" s="3">
        <v>10</v>
      </c>
      <c r="D20" s="5">
        <f>$A20*$C20</f>
        <v>20</v>
      </c>
      <c r="E20" s="4"/>
      <c r="F20" s="3"/>
      <c r="G20" s="4" t="s">
        <v>91</v>
      </c>
      <c r="H20" s="3"/>
      <c r="I20" s="3"/>
      <c r="J20" s="3">
        <f>SUM(J17:J19)</f>
        <v>1</v>
      </c>
      <c r="K20" s="5">
        <f>INT( (SUM(K17:K19)/J20)*'ATTACK &amp; ARMOR'!$B$13 )</f>
        <v>430</v>
      </c>
      <c r="N20" s="3">
        <f>IF($C$5="YES", INT(K20*-0.15), 0)</f>
        <v>-65</v>
      </c>
    </row>
    <row r="21" spans="1:14">
      <c r="A21" s="3"/>
      <c r="B21" s="4"/>
      <c r="C21" s="3"/>
      <c r="D21" s="3"/>
      <c r="E21" s="4"/>
      <c r="F21" s="3"/>
      <c r="G21" s="4"/>
      <c r="H21" s="3"/>
      <c r="I21" s="3"/>
      <c r="J21" s="3"/>
      <c r="K21" s="3"/>
      <c r="N21" s="3"/>
    </row>
    <row r="22" spans="1:14" s="1" customFormat="1">
      <c r="A22" s="28" t="s">
        <v>22</v>
      </c>
      <c r="B22" s="29" t="s">
        <v>19</v>
      </c>
      <c r="C22" s="28"/>
      <c r="D22" s="28"/>
      <c r="E22" s="6"/>
      <c r="F22" s="28" t="s">
        <v>22</v>
      </c>
      <c r="G22" s="29" t="s">
        <v>89</v>
      </c>
      <c r="H22" s="163" t="s">
        <v>137</v>
      </c>
      <c r="I22" s="163"/>
      <c r="J22" s="163"/>
      <c r="K22" s="163"/>
      <c r="N22" s="5"/>
    </row>
    <row r="23" spans="1:14">
      <c r="A23" s="20">
        <v>200</v>
      </c>
      <c r="B23" s="4" t="s">
        <v>9</v>
      </c>
      <c r="C23" s="3"/>
      <c r="D23" s="3"/>
      <c r="E23" s="4"/>
      <c r="F23" s="20">
        <v>-1</v>
      </c>
      <c r="G23" s="4" t="s">
        <v>12</v>
      </c>
      <c r="H23" s="3"/>
      <c r="I23" s="3"/>
      <c r="J23" s="3">
        <f>IF($F23&gt;=0,1,0)</f>
        <v>0</v>
      </c>
      <c r="K23" s="3">
        <f>IF($J23=1, INT($F23*'ATTACK &amp; ARMOR'!$B$10 + $A26*'ATTACK &amp; ARMOR'!$B$9 + $A17*'ATTACK &amp; ARMOR'!$B$8), 0)</f>
        <v>0</v>
      </c>
      <c r="N23" s="3"/>
    </row>
    <row r="24" spans="1:14">
      <c r="A24" s="20">
        <v>0</v>
      </c>
      <c r="B24" s="4" t="s">
        <v>10</v>
      </c>
      <c r="C24" s="3"/>
      <c r="D24" s="3"/>
      <c r="E24" s="4"/>
      <c r="F24" s="20">
        <v>-1</v>
      </c>
      <c r="G24" s="4" t="s">
        <v>13</v>
      </c>
      <c r="H24" s="3"/>
      <c r="I24" s="3"/>
      <c r="J24" s="3">
        <f t="shared" ref="J24:J25" si="3">IF($F24&gt;=0,1,0)</f>
        <v>0</v>
      </c>
      <c r="K24" s="3">
        <f>IF($J24=1, INT($F24*('ATTACK &amp; ARMOR'!$B$10+1) + $A27*('ATTACK &amp; ARMOR'!$B$9*1.5)), 0)</f>
        <v>0</v>
      </c>
      <c r="N24" s="3"/>
    </row>
    <row r="25" spans="1:14">
      <c r="A25" s="20">
        <v>0</v>
      </c>
      <c r="B25" s="4" t="s">
        <v>11</v>
      </c>
      <c r="C25" s="3"/>
      <c r="D25" s="3"/>
      <c r="E25" s="4"/>
      <c r="F25" s="20">
        <v>60</v>
      </c>
      <c r="G25" s="4" t="s">
        <v>14</v>
      </c>
      <c r="H25" s="3"/>
      <c r="I25" s="3"/>
      <c r="J25" s="3">
        <f t="shared" si="3"/>
        <v>1</v>
      </c>
      <c r="K25" s="3">
        <f>IF($J25=1, INT($F25*'ATTACK &amp; ARMOR'!$B$10 + $A28*'ATTACK &amp; ARMOR'!$B$9 + $A18*'ATTACK &amp; ARMOR'!$B$8), 0)</f>
        <v>705</v>
      </c>
      <c r="N25" s="3"/>
    </row>
    <row r="26" spans="1:14">
      <c r="A26" s="20">
        <v>0</v>
      </c>
      <c r="B26" s="4" t="s">
        <v>12</v>
      </c>
      <c r="C26" s="3"/>
      <c r="D26" s="3"/>
      <c r="E26" s="4"/>
      <c r="F26" s="3"/>
      <c r="G26" s="4" t="s">
        <v>91</v>
      </c>
      <c r="H26" s="3"/>
      <c r="I26" s="3"/>
      <c r="J26" s="3">
        <f>SUM(J23:J25)</f>
        <v>1</v>
      </c>
      <c r="K26" s="5">
        <f>IF(J26&gt;0, INT( (SUM(K23:K25)/J26)*'ATTACK &amp; ARMOR'!$B$13 ), 0)</f>
        <v>282</v>
      </c>
      <c r="N26" s="3">
        <f>IF($C$5="YES", INT(K26*-0.15), 0)</f>
        <v>-43</v>
      </c>
    </row>
    <row r="27" spans="1:14">
      <c r="A27" s="20">
        <v>0</v>
      </c>
      <c r="B27" s="4" t="s">
        <v>13</v>
      </c>
      <c r="C27" s="3"/>
      <c r="D27" s="3"/>
      <c r="E27" s="4"/>
      <c r="F27" s="3"/>
      <c r="G27" s="4"/>
      <c r="H27" s="3"/>
      <c r="I27" s="3"/>
      <c r="J27" s="3"/>
      <c r="K27" s="3"/>
      <c r="N27" s="3"/>
    </row>
    <row r="28" spans="1:14">
      <c r="A28" s="20">
        <v>150</v>
      </c>
      <c r="B28" s="4" t="s">
        <v>14</v>
      </c>
      <c r="C28" s="3"/>
      <c r="D28" s="3"/>
      <c r="E28" s="4"/>
      <c r="F28" s="3"/>
      <c r="G28" s="6" t="s">
        <v>77</v>
      </c>
      <c r="H28" s="5"/>
      <c r="I28" s="5"/>
      <c r="J28" s="7">
        <f>IF(C4="YES", 0.45, 0)</f>
        <v>0</v>
      </c>
      <c r="K28" s="5">
        <f>INT(IF($C$4="YES", $C$6*J28, 0) )</f>
        <v>0</v>
      </c>
      <c r="N28" s="3"/>
    </row>
    <row r="29" spans="1:14" hidden="1">
      <c r="A29" s="3"/>
      <c r="B29" s="4"/>
      <c r="C29" s="3"/>
      <c r="D29" s="3"/>
      <c r="E29" s="4"/>
      <c r="F29" s="3"/>
      <c r="G29" s="6"/>
      <c r="H29" s="5"/>
      <c r="I29" s="5"/>
      <c r="J29" s="7"/>
      <c r="K29" s="5"/>
      <c r="N29" s="3"/>
    </row>
    <row r="30" spans="1:14" hidden="1">
      <c r="A30" s="3"/>
      <c r="B30" s="4"/>
      <c r="C30" s="3"/>
      <c r="D30" s="3"/>
      <c r="E30" s="4"/>
      <c r="F30" s="3"/>
      <c r="G30" s="6"/>
      <c r="H30" s="5"/>
      <c r="I30" s="5"/>
      <c r="J30" s="7"/>
      <c r="K30" s="5"/>
      <c r="N30" s="3"/>
    </row>
    <row r="31" spans="1:14" hidden="1">
      <c r="A31" s="3"/>
      <c r="B31" s="4"/>
      <c r="C31" s="5" t="s">
        <v>99</v>
      </c>
      <c r="D31" s="5" t="s">
        <v>100</v>
      </c>
      <c r="E31" s="6"/>
      <c r="F31" s="5"/>
      <c r="G31" s="6"/>
      <c r="H31" s="5"/>
      <c r="I31" s="5"/>
      <c r="J31" s="46"/>
      <c r="K31" s="5"/>
      <c r="N31" s="3"/>
    </row>
    <row r="32" spans="1:14" hidden="1">
      <c r="A32" s="3"/>
      <c r="B32" s="6" t="s">
        <v>118</v>
      </c>
      <c r="C32" s="45">
        <v>0</v>
      </c>
      <c r="D32" s="45">
        <v>5</v>
      </c>
      <c r="E32" s="4"/>
      <c r="F32" s="3"/>
      <c r="G32" s="6" t="s">
        <v>98</v>
      </c>
      <c r="H32" s="5"/>
      <c r="I32" s="5"/>
      <c r="J32" s="47"/>
      <c r="K32" s="45"/>
      <c r="N32" s="3"/>
    </row>
    <row r="33" spans="1:14" hidden="1">
      <c r="A33" s="3"/>
      <c r="B33" s="6" t="s">
        <v>119</v>
      </c>
      <c r="C33" s="45">
        <f>'ATTACK &amp; ARMOR'!E$32-5</f>
        <v>15</v>
      </c>
      <c r="D33" s="45">
        <f>'ATTACK &amp; ARMOR'!E$32+5</f>
        <v>25</v>
      </c>
      <c r="E33" s="4"/>
      <c r="F33" s="3"/>
      <c r="G33" s="6" t="str">
        <f>'ATTACK &amp; ARMOR'!C$3 &amp; " - SKILL (" &amp; 'ATTACK &amp; ARMOR'!C$4 &amp; ") - PROF (" &amp; 'ATTACK &amp; ARMOR'!C$5 &amp; ") - WEAPON (" &amp; 'ATTACK &amp; ARMOR'!C$6 &amp; "%)"</f>
        <v>TIER 1 - SKILL (0) - PROF (75) - WEAPON (0%)</v>
      </c>
      <c r="H33" s="5"/>
      <c r="I33" s="5"/>
      <c r="J33" s="47"/>
      <c r="K33" s="45"/>
      <c r="N33" s="3"/>
    </row>
    <row r="34" spans="1:14" hidden="1">
      <c r="A34" s="3"/>
      <c r="B34" s="6" t="s">
        <v>120</v>
      </c>
      <c r="C34" s="45">
        <f>'ATTACK &amp; ARMOR'!G$32-5</f>
        <v>35</v>
      </c>
      <c r="D34" s="45">
        <f>'ATTACK &amp; ARMOR'!G$32+5</f>
        <v>45</v>
      </c>
      <c r="E34" s="4"/>
      <c r="F34" s="3"/>
      <c r="G34" s="6" t="str">
        <f>'ATTACK &amp; ARMOR'!D$3 &amp; " - SKILL (" &amp; 'ATTACK &amp; ARMOR'!D$4 &amp; ") - PROF (" &amp; 'ATTACK &amp; ARMOR'!D$5 &amp; ") - WEAPON (" &amp; 'ATTACK &amp; ARMOR'!D$6 &amp; "%)"</f>
        <v>TIER 2 - SKILL (1) - PROF (100) - WEAPON (20%)</v>
      </c>
      <c r="H34" s="5"/>
      <c r="I34" s="5"/>
      <c r="J34" s="47"/>
      <c r="K34" s="45"/>
      <c r="N34" s="3"/>
    </row>
    <row r="35" spans="1:14" hidden="1">
      <c r="A35" s="3"/>
      <c r="B35" s="6" t="s">
        <v>121</v>
      </c>
      <c r="C35" s="45">
        <f>'ATTACK &amp; ARMOR'!I$32-5</f>
        <v>55</v>
      </c>
      <c r="D35" s="45">
        <f>'ATTACK &amp; ARMOR'!I$32+5</f>
        <v>65</v>
      </c>
      <c r="E35" s="4"/>
      <c r="F35" s="3"/>
      <c r="G35" s="6" t="str">
        <f>'ATTACK &amp; ARMOR'!E$3 &amp; " - SKILL (" &amp; 'ATTACK &amp; ARMOR'!E$4 &amp; ") - PROF (" &amp; 'ATTACK &amp; ARMOR'!E$5 &amp; ") - WEAPON (" &amp; 'ATTACK &amp; ARMOR'!E$6 &amp; "%)"</f>
        <v>TIER 3 - SKILL (2) - PROF (125) - WEAPON (40%)</v>
      </c>
      <c r="H35" s="5"/>
      <c r="I35" s="5"/>
      <c r="J35" s="47"/>
      <c r="K35" s="45"/>
      <c r="N35" s="3"/>
    </row>
    <row r="36" spans="1:14" hidden="1">
      <c r="A36" s="3"/>
      <c r="B36" s="6" t="s">
        <v>122</v>
      </c>
      <c r="C36" s="45">
        <f>'ATTACK &amp; ARMOR'!K$32-5</f>
        <v>75</v>
      </c>
      <c r="D36" s="45">
        <f>'ATTACK &amp; ARMOR'!K$32+5</f>
        <v>85</v>
      </c>
      <c r="E36" s="4"/>
      <c r="F36" s="3"/>
      <c r="G36" s="6" t="str">
        <f>'ATTACK &amp; ARMOR'!F$3 &amp; " - SKILL (" &amp; 'ATTACK &amp; ARMOR'!F$4 &amp; ") - PROF (" &amp; 'ATTACK &amp; ARMOR'!F$5 &amp; ") - WEAPON (" &amp; 'ATTACK &amp; ARMOR'!F$6 &amp; "%)"</f>
        <v>TIER 4 - SKILL (3) - PROF (150) - WEAPON (60%)</v>
      </c>
      <c r="H36" s="5"/>
      <c r="I36" s="5"/>
      <c r="J36" s="47"/>
      <c r="K36" s="45"/>
      <c r="N36" s="3"/>
    </row>
    <row r="37" spans="1:14" hidden="1">
      <c r="A37" s="3"/>
      <c r="B37" s="6" t="s">
        <v>123</v>
      </c>
      <c r="C37" s="45">
        <f>'ATTACK &amp; ARMOR'!M$32-5</f>
        <v>95</v>
      </c>
      <c r="D37" s="45">
        <v>100</v>
      </c>
      <c r="E37" s="4"/>
      <c r="F37" s="3"/>
      <c r="G37" s="6" t="str">
        <f>'ATTACK &amp; ARMOR'!G$3 &amp; " - SKILL (" &amp; 'ATTACK &amp; ARMOR'!G$4 &amp; ") - PROF (" &amp; 'ATTACK &amp; ARMOR'!G$5 &amp; ") - WEAPON (" &amp; 'ATTACK &amp; ARMOR'!G$6 &amp; "%)"</f>
        <v>TIER 5 - SKILL (4) - PROF (175) - WEAPON (80%)</v>
      </c>
      <c r="H37" s="5"/>
      <c r="I37" s="5"/>
      <c r="J37" s="47"/>
      <c r="K37" s="45"/>
      <c r="N37" s="3"/>
    </row>
    <row r="38" spans="1:14" hidden="1">
      <c r="A38" s="3"/>
      <c r="B38" s="6"/>
      <c r="C38" s="45"/>
      <c r="D38" s="45"/>
      <c r="E38" s="4"/>
      <c r="F38" s="3"/>
      <c r="G38" s="6" t="str">
        <f>'ATTACK &amp; ARMOR'!H$3 &amp; " - SKILL (" &amp; 'ATTACK &amp; ARMOR'!H$4 &amp; ") - PROF (" &amp; 'ATTACK &amp; ARMOR'!H$5 &amp; ") - WEAPON (" &amp; 'ATTACK &amp; ARMOR'!H$6 &amp; "%)"</f>
        <v>TIER 6 - SKILL (5) - PROF (200) - WEAPON (100%)</v>
      </c>
      <c r="H38" s="5"/>
      <c r="I38" s="5"/>
      <c r="J38" s="47"/>
      <c r="K38" s="45"/>
      <c r="N38" s="3"/>
    </row>
    <row r="39" spans="1:14" hidden="1">
      <c r="A39" s="3"/>
      <c r="B39" s="6"/>
      <c r="C39" s="45"/>
      <c r="D39" s="45"/>
      <c r="E39" s="4"/>
      <c r="F39" s="3"/>
      <c r="G39" s="6" t="str">
        <f>'ATTACK &amp; ARMOR'!I$3 &amp; " - SKILL (" &amp; 'ATTACK &amp; ARMOR'!I$4 &amp; ") - PROF (" &amp; 'ATTACK &amp; ARMOR'!I$5 &amp; ") - WEAPON (" &amp; 'ATTACK &amp; ARMOR'!I$6 &amp; "%)"</f>
        <v>TIER 7 - SKILL (6) - PROF (225) - WEAPON (100%)</v>
      </c>
      <c r="H39" s="5"/>
      <c r="I39" s="5"/>
      <c r="J39" s="47"/>
      <c r="K39" s="45"/>
      <c r="N39" s="3"/>
    </row>
    <row r="40" spans="1:14" hidden="1">
      <c r="A40" s="3"/>
      <c r="B40" s="6"/>
      <c r="C40" s="45"/>
      <c r="D40" s="45"/>
      <c r="E40" s="4"/>
      <c r="F40" s="3"/>
      <c r="G40" s="6" t="str">
        <f>'ATTACK &amp; ARMOR'!J$3 &amp; " - SKILL (" &amp; 'ATTACK &amp; ARMOR'!J$4 &amp; ") - PROF (" &amp; 'ATTACK &amp; ARMOR'!J$5 &amp; ") - WEAPON (" &amp; 'ATTACK &amp; ARMOR'!J$6 &amp; "%)"</f>
        <v>TIER 8 - SKILL (7) - PROF (250) - WEAPON (100%)</v>
      </c>
      <c r="H40" s="5"/>
      <c r="I40" s="5"/>
      <c r="J40" s="47"/>
      <c r="K40" s="45"/>
      <c r="N40" s="3"/>
    </row>
    <row r="41" spans="1:14" hidden="1">
      <c r="A41" s="3"/>
      <c r="B41" s="6"/>
      <c r="C41" s="45"/>
      <c r="D41" s="45"/>
      <c r="E41" s="4"/>
      <c r="F41" s="3"/>
      <c r="G41" s="6" t="str">
        <f>'ATTACK &amp; ARMOR'!K$3 &amp; " - SKILL (" &amp; 'ATTACK &amp; ARMOR'!K$4 &amp; ") - PROF (" &amp; 'ATTACK &amp; ARMOR'!K$5 &amp; ") - WEAPON (" &amp; 'ATTACK &amp; ARMOR'!K$6 &amp; "%)"</f>
        <v>TIER 9 - SKILL (8) - PROF (275) - WEAPON (100%)</v>
      </c>
      <c r="H41" s="5"/>
      <c r="I41" s="5"/>
      <c r="J41" s="47"/>
      <c r="K41" s="45"/>
      <c r="N41" s="3"/>
    </row>
    <row r="42" spans="1:14" hidden="1">
      <c r="A42" s="3"/>
      <c r="B42" s="6"/>
      <c r="C42" s="45"/>
      <c r="D42" s="45"/>
      <c r="E42" s="4"/>
      <c r="F42" s="3"/>
      <c r="G42" s="6" t="str">
        <f>'ATTACK &amp; ARMOR'!L$3 &amp; " - SKILL (" &amp; 'ATTACK &amp; ARMOR'!L$4 &amp; ") - PROF (" &amp; 'ATTACK &amp; ARMOR'!L$5 &amp; ") - WEAPON (" &amp; 'ATTACK &amp; ARMOR'!L$6 &amp; "%)"</f>
        <v>TIER 10 - SKILL (9) - PROF (300) - WEAPON (100%)</v>
      </c>
      <c r="H42" s="5"/>
      <c r="I42" s="5"/>
      <c r="J42" s="47"/>
      <c r="K42" s="45"/>
      <c r="N42" s="3"/>
    </row>
    <row r="43" spans="1:14">
      <c r="A43" s="3"/>
      <c r="B43" s="4"/>
      <c r="C43" s="3"/>
      <c r="D43" s="3"/>
      <c r="E43" s="4"/>
      <c r="F43" s="3"/>
      <c r="G43" s="6"/>
      <c r="H43" s="5"/>
      <c r="I43" s="5"/>
      <c r="J43" s="7"/>
      <c r="K43" s="5"/>
      <c r="N43" s="3"/>
    </row>
    <row r="44" spans="1:14">
      <c r="A44" s="3"/>
      <c r="B44" s="6" t="s">
        <v>40</v>
      </c>
      <c r="C44" s="26">
        <v>6</v>
      </c>
      <c r="D44" s="24">
        <f>C44*175</f>
        <v>1050</v>
      </c>
      <c r="E44" s="25">
        <f>(C44+1)*175-1</f>
        <v>1224</v>
      </c>
      <c r="F44" s="3"/>
      <c r="G44" s="6"/>
      <c r="H44" s="5"/>
      <c r="I44" s="5"/>
      <c r="J44" s="7"/>
      <c r="K44" s="5"/>
      <c r="N44" s="3"/>
    </row>
    <row r="45" spans="1:14">
      <c r="A45" s="3"/>
      <c r="B45" s="6" t="s">
        <v>39</v>
      </c>
      <c r="C45" s="5" t="str">
        <f>IF(AND(C6&gt;=D44, C6&lt;=E44), "N/A", IF(I5&gt;C44, C6-E44, C6-D44))</f>
        <v>N/A</v>
      </c>
      <c r="D45" s="5" t="str">
        <f>IF(AND(C6&gt;=D44, C6&lt;=E44), " ",  IF(I5&gt;C44, "too high", "too low"))</f>
        <v xml:space="preserve"> </v>
      </c>
      <c r="E45" s="4"/>
      <c r="F45" s="13"/>
      <c r="G45" s="18"/>
      <c r="H45" s="13"/>
      <c r="I45" s="13"/>
      <c r="J45" s="13"/>
      <c r="K45" s="19"/>
      <c r="L45" s="4"/>
      <c r="M45" s="4"/>
      <c r="N45" s="3"/>
    </row>
    <row r="46" spans="1:14" hidden="1">
      <c r="F46" s="13"/>
      <c r="G46" s="18"/>
      <c r="H46" s="13"/>
      <c r="I46" s="13"/>
      <c r="J46" s="13"/>
      <c r="K46" s="13"/>
    </row>
    <row r="47" spans="1:14" hidden="1">
      <c r="F47" s="8"/>
      <c r="G47" s="11"/>
      <c r="H47" s="10"/>
      <c r="I47" s="10"/>
      <c r="J47" s="8"/>
      <c r="K47" s="8"/>
    </row>
    <row r="48" spans="1:14" hidden="1">
      <c r="F48" s="10"/>
      <c r="G48" s="9"/>
      <c r="H48" s="8"/>
      <c r="I48" s="8"/>
      <c r="J48" s="8"/>
      <c r="K48" s="8"/>
    </row>
    <row r="49" spans="6:11" hidden="1">
      <c r="F49" s="10"/>
      <c r="G49" s="9"/>
      <c r="H49" s="8"/>
      <c r="I49" s="8"/>
      <c r="J49" s="8"/>
      <c r="K49" s="8"/>
    </row>
    <row r="50" spans="6:11" hidden="1">
      <c r="F50" s="10"/>
      <c r="G50" s="9"/>
      <c r="H50" s="8"/>
      <c r="I50" s="8"/>
      <c r="J50" s="8"/>
      <c r="K50" s="8"/>
    </row>
    <row r="51" spans="6:11" hidden="1">
      <c r="F51" s="10"/>
      <c r="G51" s="9"/>
      <c r="H51" s="8"/>
      <c r="I51" s="8"/>
      <c r="J51" s="8"/>
      <c r="K51" s="8"/>
    </row>
    <row r="52" spans="6:11" hidden="1">
      <c r="F52" s="8"/>
      <c r="G52" s="9"/>
      <c r="H52" s="8"/>
      <c r="I52" s="8"/>
      <c r="J52" s="8"/>
      <c r="K52" s="10"/>
    </row>
    <row r="53" spans="6:11" hidden="1">
      <c r="F53" s="8"/>
      <c r="G53" s="9"/>
      <c r="H53" s="8"/>
      <c r="I53" s="8"/>
      <c r="J53" s="8"/>
      <c r="K53" s="8"/>
    </row>
    <row r="54" spans="6:11" hidden="1">
      <c r="F54" s="8"/>
      <c r="G54" s="11"/>
      <c r="H54" s="10"/>
      <c r="I54" s="10"/>
      <c r="J54" s="8"/>
      <c r="K54" s="8"/>
    </row>
    <row r="55" spans="6:11" hidden="1">
      <c r="F55" s="10"/>
      <c r="G55" s="9"/>
      <c r="H55" s="8"/>
      <c r="I55" s="8"/>
      <c r="J55" s="8"/>
      <c r="K55" s="8"/>
    </row>
    <row r="56" spans="6:11" hidden="1">
      <c r="F56" s="10"/>
      <c r="G56" s="9"/>
      <c r="H56" s="8"/>
      <c r="I56" s="8"/>
      <c r="J56" s="8"/>
      <c r="K56" s="8"/>
    </row>
    <row r="57" spans="6:11" hidden="1">
      <c r="F57" s="10"/>
      <c r="G57" s="9"/>
      <c r="H57" s="8"/>
      <c r="I57" s="8"/>
      <c r="J57" s="8"/>
      <c r="K57" s="8"/>
    </row>
    <row r="58" spans="6:11" hidden="1">
      <c r="F58" s="8"/>
      <c r="G58" s="9"/>
      <c r="H58" s="8"/>
      <c r="I58" s="8"/>
      <c r="J58" s="8"/>
      <c r="K58" s="10"/>
    </row>
    <row r="59" spans="6:11" hidden="1">
      <c r="F59" s="8"/>
      <c r="G59" s="9"/>
      <c r="H59" s="8"/>
      <c r="I59" s="8"/>
      <c r="J59" s="8"/>
      <c r="K59" s="8"/>
    </row>
    <row r="60" spans="6:11" hidden="1">
      <c r="F60" s="8"/>
      <c r="G60" s="11"/>
      <c r="H60" s="10"/>
      <c r="I60" s="10"/>
      <c r="J60" s="8"/>
      <c r="K60" s="8"/>
    </row>
    <row r="61" spans="6:11" hidden="1">
      <c r="F61" s="10"/>
      <c r="G61" s="9"/>
      <c r="H61" s="8"/>
      <c r="I61" s="8"/>
      <c r="J61" s="8"/>
      <c r="K61" s="8"/>
    </row>
    <row r="62" spans="6:11" hidden="1">
      <c r="F62" s="10"/>
      <c r="G62" s="9"/>
      <c r="H62" s="8"/>
      <c r="I62" s="8"/>
      <c r="J62" s="8"/>
      <c r="K62" s="8"/>
    </row>
    <row r="63" spans="6:11" hidden="1">
      <c r="F63" s="10"/>
      <c r="G63" s="9"/>
      <c r="H63" s="8"/>
      <c r="I63" s="8"/>
      <c r="J63" s="8"/>
      <c r="K63" s="8"/>
    </row>
    <row r="64" spans="6:11" hidden="1">
      <c r="F64" s="8"/>
      <c r="G64" s="9"/>
      <c r="H64" s="8"/>
      <c r="I64" s="8"/>
      <c r="J64" s="8"/>
      <c r="K64" s="10"/>
    </row>
    <row r="65" spans="6:11" hidden="1">
      <c r="F65" s="8"/>
      <c r="G65" s="9"/>
      <c r="H65" s="8"/>
      <c r="I65" s="8"/>
      <c r="J65" s="8"/>
      <c r="K65" s="8"/>
    </row>
    <row r="66" spans="6:11" hidden="1">
      <c r="F66" s="8"/>
      <c r="G66" s="9"/>
      <c r="H66" s="8"/>
      <c r="I66" s="8"/>
      <c r="J66" s="12"/>
      <c r="K66" s="10"/>
    </row>
    <row r="67" spans="6:11" hidden="1">
      <c r="F67" s="8"/>
      <c r="G67" s="9"/>
      <c r="H67" s="8"/>
      <c r="I67" s="8"/>
      <c r="J67" s="12"/>
      <c r="K67" s="10"/>
    </row>
    <row r="68" spans="6:11" hidden="1">
      <c r="F68" s="8"/>
      <c r="G68" s="9"/>
      <c r="H68" s="8"/>
      <c r="I68" s="8"/>
      <c r="J68" s="8"/>
      <c r="K68" s="8"/>
    </row>
    <row r="69" spans="6:11" hidden="1">
      <c r="F69" s="8"/>
      <c r="G69" s="9"/>
      <c r="H69" s="8"/>
      <c r="I69" s="8"/>
      <c r="J69" s="8"/>
      <c r="K69" s="8"/>
    </row>
    <row r="70" spans="6:11" hidden="1"/>
    <row r="71" spans="6:11" hidden="1"/>
    <row r="72" spans="6:11" hidden="1"/>
    <row r="73" spans="6:11" hidden="1"/>
    <row r="74" spans="6:11" hidden="1"/>
    <row r="75" spans="6:11" hidden="1"/>
  </sheetData>
  <mergeCells count="7">
    <mergeCell ref="H22:K22"/>
    <mergeCell ref="C2:G2"/>
    <mergeCell ref="I4:J4"/>
    <mergeCell ref="I5:J5"/>
    <mergeCell ref="I6:J6"/>
    <mergeCell ref="H8:K8"/>
    <mergeCell ref="H16:K16"/>
  </mergeCells>
  <conditionalFormatting sqref="B17:D18 B13:D13 B26:B28 G23:K26 G29:K42">
    <cfRule type="expression" dxfId="124" priority="7">
      <formula>$C$5="NO"</formula>
    </cfRule>
  </conditionalFormatting>
  <conditionalFormatting sqref="B13:D14">
    <cfRule type="expression" dxfId="123" priority="6">
      <formula>$C$4="NO"</formula>
    </cfRule>
  </conditionalFormatting>
  <conditionalFormatting sqref="B15:D15">
    <cfRule type="expression" dxfId="122" priority="5">
      <formula>$C$4="YES"</formula>
    </cfRule>
  </conditionalFormatting>
  <conditionalFormatting sqref="K26">
    <cfRule type="expression" dxfId="121" priority="4">
      <formula>$C$5="NO"</formula>
    </cfRule>
  </conditionalFormatting>
  <conditionalFormatting sqref="K26">
    <cfRule type="expression" dxfId="120" priority="3">
      <formula>$C$5="NO"</formula>
    </cfRule>
  </conditionalFormatting>
  <conditionalFormatting sqref="K26">
    <cfRule type="expression" dxfId="119" priority="2">
      <formula>$C$5="NO"</formula>
    </cfRule>
  </conditionalFormatting>
  <conditionalFormatting sqref="K26">
    <cfRule type="expression" dxfId="118" priority="1">
      <formula>$C$5="NO"</formula>
    </cfRule>
  </conditionalFormatting>
  <dataValidations count="4">
    <dataValidation type="list" allowBlank="1" showInputMessage="1" showErrorMessage="1" sqref="H16:K16">
      <formula1>$G$33:$G$42</formula1>
    </dataValidation>
    <dataValidation type="list" allowBlank="1" showInputMessage="1" showErrorMessage="1" sqref="H22:K22">
      <formula1>$G$32:$G$42</formula1>
    </dataValidation>
    <dataValidation type="list" allowBlank="1" showInputMessage="1" showErrorMessage="1" sqref="H8:K8">
      <formula1>$B$32:$B$37</formula1>
    </dataValidation>
    <dataValidation type="list" allowBlank="1" showInputMessage="1" showErrorMessage="1" sqref="C4:C5">
      <formula1>$M$4:$M$5</formula1>
    </dataValidation>
  </dataValidations>
  <pageMargins left="0.7" right="0.7" top="0.75" bottom="0.75" header="0.3" footer="0.3"/>
  <pageSetup scale="9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Sheet1</vt:lpstr>
      <vt:lpstr>NOTES</vt:lpstr>
      <vt:lpstr>TROOP LIST</vt:lpstr>
      <vt:lpstr>TIER BREAKDOWN</vt:lpstr>
      <vt:lpstr>RATING CALC</vt:lpstr>
      <vt:lpstr>ATTACK &amp; ARMOR</vt:lpstr>
      <vt:lpstr>PRICE SCALING</vt:lpstr>
      <vt:lpstr>VANGUARD CHARGER</vt:lpstr>
      <vt:lpstr>ADVENTURER</vt:lpstr>
      <vt:lpstr>SCOUT</vt:lpstr>
      <vt:lpstr>ARMORED CROSSBOWMAN</vt:lpstr>
      <vt:lpstr>CROSSBOWMAN</vt:lpstr>
      <vt:lpstr>WARRIOR</vt:lpstr>
      <vt:lpstr>SPEARMAN</vt:lpstr>
      <vt:lpstr>ARCHER</vt:lpstr>
      <vt:lpstr>CHAMPION</vt:lpstr>
      <vt:lpstr>GUARD CAPTAIN</vt:lpstr>
      <vt:lpstr>PATHWARDEN</vt:lpstr>
      <vt:lpstr>PATHWARDEN-V</vt:lpstr>
      <vt:lpstr>PATHWARDEN-E</vt:lpstr>
      <vt:lpstr>ADVENTURER!Print_Area</vt:lpstr>
      <vt:lpstr>ARCHER!Print_Area</vt:lpstr>
      <vt:lpstr>'ARMORED CROSSBOWMAN'!Print_Area</vt:lpstr>
      <vt:lpstr>CHAMPION!Print_Area</vt:lpstr>
      <vt:lpstr>CROSSBOWMAN!Print_Area</vt:lpstr>
      <vt:lpstr>'GUARD CAPTAIN'!Print_Area</vt:lpstr>
      <vt:lpstr>PATHWARDEN!Print_Area</vt:lpstr>
      <vt:lpstr>'PATHWARDEN-E'!Print_Area</vt:lpstr>
      <vt:lpstr>'PATHWARDEN-V'!Print_Area</vt:lpstr>
      <vt:lpstr>'RATING CALC'!Print_Area</vt:lpstr>
      <vt:lpstr>SCOUT!Print_Area</vt:lpstr>
      <vt:lpstr>SPEARMAN!Print_Area</vt:lpstr>
      <vt:lpstr>'TROOP LIST'!Print_Area</vt:lpstr>
      <vt:lpstr>'VANGUARD CHARGER'!Print_Area</vt:lpstr>
      <vt:lpstr>WARRIOR!Print_Area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2015-05-21T04:22:18Z</dcterms:modified>
</cp:coreProperties>
</file>