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ФМ\"/>
    </mc:Choice>
  </mc:AlternateContent>
  <xr:revisionPtr revIDLastSave="0" documentId="8_{3CF7718C-CF63-46D3-B525-2059829405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1" i="1" l="1"/>
  <c r="C55" i="1"/>
  <c r="C410" i="1"/>
  <c r="C411" i="1" s="1"/>
  <c r="C399" i="1"/>
  <c r="C400" i="1" s="1"/>
  <c r="C429" i="1"/>
  <c r="C312" i="1"/>
  <c r="C310" i="1"/>
  <c r="C309" i="1"/>
  <c r="C337" i="1"/>
  <c r="C325" i="1"/>
  <c r="C298" i="1"/>
  <c r="C297" i="1"/>
  <c r="C285" i="1"/>
  <c r="C284" i="1"/>
  <c r="C274" i="1"/>
  <c r="C273" i="1"/>
  <c r="C263" i="1"/>
  <c r="C262" i="1"/>
  <c r="C252" i="1"/>
  <c r="C251" i="1"/>
  <c r="C240" i="1"/>
  <c r="C230" i="1"/>
  <c r="C221" i="1"/>
  <c r="C220" i="1"/>
  <c r="C206" i="1"/>
  <c r="C208" i="1" s="1"/>
  <c r="C197" i="1"/>
  <c r="C196" i="1"/>
  <c r="C184" i="1"/>
  <c r="C173" i="1"/>
  <c r="C164" i="1"/>
  <c r="C153" i="1"/>
  <c r="C142" i="1"/>
  <c r="C130" i="1"/>
  <c r="C131" i="1" s="1"/>
  <c r="C386" i="1"/>
  <c r="C378" i="1"/>
  <c r="C370" i="1"/>
  <c r="C361" i="1"/>
  <c r="C362" i="1" s="1"/>
  <c r="C351" i="1"/>
  <c r="C119" i="1"/>
  <c r="C110" i="1"/>
  <c r="C111" i="1" s="1"/>
  <c r="C102" i="1"/>
  <c r="C92" i="1"/>
  <c r="C78" i="1"/>
  <c r="C44" i="1"/>
  <c r="C31" i="1"/>
  <c r="C18" i="1"/>
  <c r="C85" i="1" l="1"/>
  <c r="C71" i="1"/>
  <c r="C63" i="1"/>
  <c r="C56" i="1"/>
  <c r="C9" i="1"/>
  <c r="C10" i="1" s="1"/>
  <c r="C13" i="1" l="1"/>
  <c r="C12" i="1"/>
  <c r="C15" i="1" s="1"/>
  <c r="C16" i="1" s="1"/>
</calcChain>
</file>

<file path=xl/sharedStrings.xml><?xml version="1.0" encoding="utf-8"?>
<sst xmlns="http://schemas.openxmlformats.org/spreadsheetml/2006/main" count="272" uniqueCount="89">
  <si>
    <t>Задание 1</t>
  </si>
  <si>
    <t>t</t>
  </si>
  <si>
    <t>R</t>
  </si>
  <si>
    <t>D</t>
  </si>
  <si>
    <t>D^0.5</t>
  </si>
  <si>
    <t>x1</t>
  </si>
  <si>
    <t>x2</t>
  </si>
  <si>
    <t>1+IRR</t>
  </si>
  <si>
    <t>IRR</t>
  </si>
  <si>
    <t>r</t>
  </si>
  <si>
    <t>Задание 2</t>
  </si>
  <si>
    <t>n</t>
  </si>
  <si>
    <t>i</t>
  </si>
  <si>
    <t>A</t>
  </si>
  <si>
    <t>S</t>
  </si>
  <si>
    <t>Задание 3</t>
  </si>
  <si>
    <t>Задание 4</t>
  </si>
  <si>
    <t>Задание 5</t>
  </si>
  <si>
    <t>Задание 6</t>
  </si>
  <si>
    <t>Задание 8</t>
  </si>
  <si>
    <t>Ответ:</t>
  </si>
  <si>
    <t>Пример 1</t>
  </si>
  <si>
    <t>Пример 2</t>
  </si>
  <si>
    <t>CF</t>
  </si>
  <si>
    <t>Пример 3</t>
  </si>
  <si>
    <t>лет</t>
  </si>
  <si>
    <t>года</t>
  </si>
  <si>
    <t>Задание 9</t>
  </si>
  <si>
    <t>Задание 10</t>
  </si>
  <si>
    <t>Регулярные потоки платежей, ренты.</t>
  </si>
  <si>
    <t>ДЗ</t>
  </si>
  <si>
    <t>NPV</t>
  </si>
  <si>
    <t>наращ</t>
  </si>
  <si>
    <t>совр</t>
  </si>
  <si>
    <t>Задание 12</t>
  </si>
  <si>
    <t>R/p</t>
  </si>
  <si>
    <t>m</t>
  </si>
  <si>
    <t>p</t>
  </si>
  <si>
    <t>Задание 13</t>
  </si>
  <si>
    <t>Задание 14</t>
  </si>
  <si>
    <t>Задание 15</t>
  </si>
  <si>
    <t>Задание 16</t>
  </si>
  <si>
    <t>A*/A</t>
  </si>
  <si>
    <t>Задание 19</t>
  </si>
  <si>
    <t>Задание 20</t>
  </si>
  <si>
    <t>p2</t>
  </si>
  <si>
    <t>S1</t>
  </si>
  <si>
    <t>S2</t>
  </si>
  <si>
    <t>R/p2</t>
  </si>
  <si>
    <t>R/p1</t>
  </si>
  <si>
    <t>Самостоятельно 1</t>
  </si>
  <si>
    <t>iреал</t>
  </si>
  <si>
    <t>Пример 21</t>
  </si>
  <si>
    <t>k</t>
  </si>
  <si>
    <t>PV</t>
  </si>
  <si>
    <t>FV</t>
  </si>
  <si>
    <t>Пример 22</t>
  </si>
  <si>
    <t>Пример 23</t>
  </si>
  <si>
    <t>Пример 24</t>
  </si>
  <si>
    <t>R1</t>
  </si>
  <si>
    <t>i1</t>
  </si>
  <si>
    <t>n1</t>
  </si>
  <si>
    <t>A1</t>
  </si>
  <si>
    <t>A2</t>
  </si>
  <si>
    <t>Пример 25</t>
  </si>
  <si>
    <t>отсроч</t>
  </si>
  <si>
    <t>At</t>
  </si>
  <si>
    <t>Пример 26</t>
  </si>
  <si>
    <t>n2</t>
  </si>
  <si>
    <t>Пример 27</t>
  </si>
  <si>
    <t>Пример 28</t>
  </si>
  <si>
    <t>i2</t>
  </si>
  <si>
    <t>PV1</t>
  </si>
  <si>
    <t>R2</t>
  </si>
  <si>
    <t>p-срочные ренты</t>
  </si>
  <si>
    <t>Непрерывная рента</t>
  </si>
  <si>
    <t>Вечная рента</t>
  </si>
  <si>
    <t>Немедленные и отсроченные ренты</t>
  </si>
  <si>
    <t>Конверсия и консолидация рент</t>
  </si>
  <si>
    <t>Рассрочка платежей</t>
  </si>
  <si>
    <t>Замена одной ренты другой рентой</t>
  </si>
  <si>
    <t>Консолидация (объединение) рент</t>
  </si>
  <si>
    <t>K</t>
  </si>
  <si>
    <t>T</t>
  </si>
  <si>
    <t>дней</t>
  </si>
  <si>
    <t>Пример 29</t>
  </si>
  <si>
    <t>n3</t>
  </si>
  <si>
    <t>R3</t>
  </si>
  <si>
    <t>Задание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</si>
</sst>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\ [$₽-419]_-;\-* #,##0.00\ [$₽-419]_-;_-* &quot;-&quot;??\ [$₽-419]_-;_-@_-"/>
    <numFmt numFmtId="165" formatCode="0.000"/>
    <numFmt numFmtId="171" formatCode="0.0%"/>
  </numFmts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171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44" fontId="0" fillId="0" borderId="0" xfId="2" applyFont="1"/>
  </cellXfs>
  <cellStyles count="3">
    <cellStyle name="Денежный" xfId="2" builtinId="4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8EF5-7AE0-EA42-9952-B894F07B36AF}">
  <dimension ref="A1:D429"/>
  <sheetViews>
    <sheetView tabSelected="1" topLeftCell="A391" zoomScaleNormal="60" zoomScaleSheetLayoutView="100" workbookViewId="0">
      <selection activeCell="F412" sqref="F412"/>
    </sheetView>
  </sheetViews>
  <sheetFormatPr defaultRowHeight="15" x14ac:dyDescent="0.25"/>
  <cols>
    <col min="1" max="1" width="22" bestFit="1" customWidth="1"/>
    <col min="3" max="3" width="20.42578125" bestFit="1" customWidth="1"/>
    <col min="4" max="4" width="16.7109375" bestFit="1" customWidth="1"/>
  </cols>
  <sheetData>
    <row r="1" spans="1:4" ht="18.75" x14ac:dyDescent="0.3">
      <c r="A1" s="7" t="s">
        <v>29</v>
      </c>
      <c r="B1" s="7"/>
      <c r="C1" s="7"/>
      <c r="D1" s="7"/>
    </row>
    <row r="3" spans="1:4" x14ac:dyDescent="0.25">
      <c r="A3" t="s">
        <v>21</v>
      </c>
    </row>
    <row r="4" spans="1:4" x14ac:dyDescent="0.25">
      <c r="B4" t="s">
        <v>1</v>
      </c>
      <c r="C4" t="s">
        <v>2</v>
      </c>
    </row>
    <row r="5" spans="1:4" x14ac:dyDescent="0.25">
      <c r="B5">
        <v>0</v>
      </c>
      <c r="C5">
        <v>-50</v>
      </c>
    </row>
    <row r="6" spans="1:4" x14ac:dyDescent="0.25">
      <c r="B6">
        <v>2</v>
      </c>
      <c r="C6">
        <v>25</v>
      </c>
    </row>
    <row r="7" spans="1:4" x14ac:dyDescent="0.25">
      <c r="B7">
        <v>4</v>
      </c>
      <c r="C7">
        <v>150</v>
      </c>
    </row>
    <row r="9" spans="1:4" x14ac:dyDescent="0.25">
      <c r="B9" t="s">
        <v>3</v>
      </c>
      <c r="C9">
        <f xml:space="preserve"> 5^2 +4*10 *30</f>
        <v>1225</v>
      </c>
    </row>
    <row r="10" spans="1:4" x14ac:dyDescent="0.25">
      <c r="B10" t="s">
        <v>4</v>
      </c>
      <c r="C10">
        <f>SQRT(C9)</f>
        <v>35</v>
      </c>
    </row>
    <row r="12" spans="1:4" x14ac:dyDescent="0.25">
      <c r="B12" t="s">
        <v>5</v>
      </c>
      <c r="C12">
        <f>(-5+C10)/60</f>
        <v>0.5</v>
      </c>
    </row>
    <row r="13" spans="1:4" x14ac:dyDescent="0.25">
      <c r="B13" t="s">
        <v>6</v>
      </c>
      <c r="C13">
        <f>(-5-C10) / 60</f>
        <v>-0.66666666666666663</v>
      </c>
    </row>
    <row r="15" spans="1:4" x14ac:dyDescent="0.25">
      <c r="B15" t="s">
        <v>7</v>
      </c>
      <c r="C15">
        <f>(1/C12) ^0.5</f>
        <v>1.4142135623730951</v>
      </c>
    </row>
    <row r="16" spans="1:4" x14ac:dyDescent="0.25">
      <c r="B16" t="s">
        <v>8</v>
      </c>
      <c r="C16">
        <f>C15 -1</f>
        <v>0.41421356237309515</v>
      </c>
    </row>
    <row r="18" spans="1:3" x14ac:dyDescent="0.25">
      <c r="B18">
        <v>0.41421332443171799</v>
      </c>
      <c r="C18">
        <f>C5+ C6/(1 +  B18)^B6 +C7/(1 + B18)^B7</f>
        <v>2.9443754883118345E-5</v>
      </c>
    </row>
    <row r="20" spans="1:3" x14ac:dyDescent="0.25">
      <c r="B20" t="s">
        <v>20</v>
      </c>
      <c r="C20" s="1">
        <v>0.41421332443171799</v>
      </c>
    </row>
    <row r="22" spans="1:3" x14ac:dyDescent="0.25">
      <c r="A22" t="s">
        <v>22</v>
      </c>
    </row>
    <row r="23" spans="1:3" x14ac:dyDescent="0.25">
      <c r="B23" t="s">
        <v>23</v>
      </c>
    </row>
    <row r="24" spans="1:3" x14ac:dyDescent="0.25">
      <c r="B24">
        <v>0</v>
      </c>
      <c r="C24">
        <v>-110</v>
      </c>
    </row>
    <row r="25" spans="1:3" x14ac:dyDescent="0.25">
      <c r="B25">
        <v>1</v>
      </c>
      <c r="C25">
        <v>75</v>
      </c>
    </row>
    <row r="26" spans="1:3" x14ac:dyDescent="0.25">
      <c r="B26">
        <v>2</v>
      </c>
      <c r="C26">
        <v>125</v>
      </c>
    </row>
    <row r="27" spans="1:3" x14ac:dyDescent="0.25">
      <c r="B27">
        <v>3</v>
      </c>
      <c r="C27">
        <v>140</v>
      </c>
    </row>
    <row r="31" spans="1:3" x14ac:dyDescent="0.25">
      <c r="C31">
        <f>C24+C25/(1 + C32)^B25 + C26/(1+ C32)^ B26 + C27/(1+C32)^B27</f>
        <v>3.1058277762952002E-6</v>
      </c>
    </row>
    <row r="32" spans="1:3" x14ac:dyDescent="0.25">
      <c r="B32" t="s">
        <v>9</v>
      </c>
      <c r="C32" s="3">
        <v>0.74824221685367354</v>
      </c>
    </row>
    <row r="34" spans="1:3" x14ac:dyDescent="0.25">
      <c r="B34" t="s">
        <v>20</v>
      </c>
      <c r="C34" s="2">
        <v>0.74824221685367354</v>
      </c>
    </row>
    <row r="36" spans="1:3" x14ac:dyDescent="0.25">
      <c r="A36" t="s">
        <v>24</v>
      </c>
    </row>
    <row r="37" spans="1:3" x14ac:dyDescent="0.25">
      <c r="B37" t="s">
        <v>23</v>
      </c>
    </row>
    <row r="38" spans="1:3" x14ac:dyDescent="0.25">
      <c r="B38">
        <v>0</v>
      </c>
      <c r="C38">
        <v>-400</v>
      </c>
    </row>
    <row r="39" spans="1:3" x14ac:dyDescent="0.25">
      <c r="B39">
        <v>1</v>
      </c>
      <c r="C39">
        <v>120</v>
      </c>
    </row>
    <row r="40" spans="1:3" x14ac:dyDescent="0.25">
      <c r="B40">
        <v>2</v>
      </c>
      <c r="C40">
        <v>180</v>
      </c>
    </row>
    <row r="41" spans="1:3" x14ac:dyDescent="0.25">
      <c r="B41">
        <v>3</v>
      </c>
      <c r="C41">
        <v>200</v>
      </c>
    </row>
    <row r="42" spans="1:3" x14ac:dyDescent="0.25">
      <c r="B42">
        <v>4</v>
      </c>
      <c r="C42">
        <v>220</v>
      </c>
    </row>
    <row r="44" spans="1:3" x14ac:dyDescent="0.25">
      <c r="C44">
        <f>C38+C39/(1 + C45)^B39 + C40/(1+ C45)^ B40 + C41/(1+C45)^B41 + C42/(1+C45)^B42</f>
        <v>1.6774795909668683E-5</v>
      </c>
    </row>
    <row r="45" spans="1:3" x14ac:dyDescent="0.25">
      <c r="B45" t="s">
        <v>9</v>
      </c>
      <c r="C45" s="3">
        <v>0.25470236474658348</v>
      </c>
    </row>
    <row r="47" spans="1:3" x14ac:dyDescent="0.25">
      <c r="B47" t="s">
        <v>20</v>
      </c>
      <c r="C47" s="2">
        <v>0.25470236474658348</v>
      </c>
    </row>
    <row r="50" spans="1:3" x14ac:dyDescent="0.25">
      <c r="A50" t="s">
        <v>0</v>
      </c>
    </row>
    <row r="51" spans="1:3" x14ac:dyDescent="0.25">
      <c r="B51" t="s">
        <v>2</v>
      </c>
      <c r="C51">
        <v>50000</v>
      </c>
    </row>
    <row r="52" spans="1:3" x14ac:dyDescent="0.25">
      <c r="B52" t="s">
        <v>11</v>
      </c>
      <c r="C52">
        <v>7</v>
      </c>
    </row>
    <row r="53" spans="1:3" x14ac:dyDescent="0.25">
      <c r="B53" t="s">
        <v>12</v>
      </c>
      <c r="C53">
        <v>0.05</v>
      </c>
    </row>
    <row r="55" spans="1:3" x14ac:dyDescent="0.25">
      <c r="B55" t="s">
        <v>13</v>
      </c>
      <c r="C55" s="4">
        <f>C51* (1-(1+C53) ^(-C52)) /C53</f>
        <v>289318.6698698785</v>
      </c>
    </row>
    <row r="56" spans="1:3" x14ac:dyDescent="0.25">
      <c r="B56" t="s">
        <v>14</v>
      </c>
      <c r="C56" s="4">
        <f>C51* ((1+C53) ^(C52)-1) /C53</f>
        <v>407100.42265625019</v>
      </c>
    </row>
    <row r="58" spans="1:3" x14ac:dyDescent="0.25">
      <c r="A58" t="s">
        <v>10</v>
      </c>
    </row>
    <row r="59" spans="1:3" x14ac:dyDescent="0.25">
      <c r="B59" t="s">
        <v>2</v>
      </c>
      <c r="C59">
        <v>10000000</v>
      </c>
    </row>
    <row r="60" spans="1:3" x14ac:dyDescent="0.25">
      <c r="B60" t="s">
        <v>12</v>
      </c>
      <c r="C60">
        <v>0.1</v>
      </c>
    </row>
    <row r="61" spans="1:3" x14ac:dyDescent="0.25">
      <c r="B61" t="s">
        <v>11</v>
      </c>
      <c r="C61">
        <v>3</v>
      </c>
    </row>
    <row r="63" spans="1:3" x14ac:dyDescent="0.25">
      <c r="B63" t="s">
        <v>14</v>
      </c>
      <c r="C63" s="4">
        <f>C59* ((1+C60) ^(C61)-1) /C60</f>
        <v>33100000.000000041</v>
      </c>
    </row>
    <row r="66" spans="1:4" x14ac:dyDescent="0.25">
      <c r="A66" t="s">
        <v>15</v>
      </c>
    </row>
    <row r="67" spans="1:4" x14ac:dyDescent="0.25">
      <c r="B67" t="s">
        <v>14</v>
      </c>
      <c r="C67">
        <v>200000000</v>
      </c>
    </row>
    <row r="68" spans="1:4" x14ac:dyDescent="0.25">
      <c r="B68" t="s">
        <v>2</v>
      </c>
      <c r="C68">
        <v>20000000</v>
      </c>
    </row>
    <row r="69" spans="1:4" x14ac:dyDescent="0.25">
      <c r="B69" t="s">
        <v>12</v>
      </c>
      <c r="C69">
        <v>0.08</v>
      </c>
    </row>
    <row r="71" spans="1:4" x14ac:dyDescent="0.25">
      <c r="B71" t="s">
        <v>11</v>
      </c>
      <c r="C71" s="5">
        <f>LN(C67/C68 *C69 + 1) /LN(1+C69)</f>
        <v>7.6374572930015887</v>
      </c>
      <c r="D71" t="s">
        <v>25</v>
      </c>
    </row>
    <row r="73" spans="1:4" x14ac:dyDescent="0.25">
      <c r="A73" t="s">
        <v>16</v>
      </c>
    </row>
    <row r="74" spans="1:4" x14ac:dyDescent="0.25">
      <c r="B74" t="s">
        <v>13</v>
      </c>
      <c r="C74">
        <v>120000000</v>
      </c>
    </row>
    <row r="75" spans="1:4" x14ac:dyDescent="0.25">
      <c r="B75" t="s">
        <v>2</v>
      </c>
      <c r="C75">
        <v>30000000</v>
      </c>
    </row>
    <row r="76" spans="1:4" x14ac:dyDescent="0.25">
      <c r="B76" t="s">
        <v>12</v>
      </c>
      <c r="C76">
        <v>0.1</v>
      </c>
    </row>
    <row r="78" spans="1:4" x14ac:dyDescent="0.25">
      <c r="B78" t="s">
        <v>11</v>
      </c>
      <c r="C78" s="5">
        <f>-LN(1-(C74*C76) /C75)/LN(1+C76)</f>
        <v>5.3596124235074702</v>
      </c>
      <c r="D78" t="s">
        <v>26</v>
      </c>
    </row>
    <row r="80" spans="1:4" x14ac:dyDescent="0.25">
      <c r="A80" t="s">
        <v>17</v>
      </c>
    </row>
    <row r="81" spans="1:3" x14ac:dyDescent="0.25">
      <c r="B81" t="s">
        <v>13</v>
      </c>
      <c r="C81">
        <v>150000000</v>
      </c>
    </row>
    <row r="82" spans="1:3" x14ac:dyDescent="0.25">
      <c r="B82" t="s">
        <v>12</v>
      </c>
      <c r="C82">
        <v>0.12</v>
      </c>
    </row>
    <row r="83" spans="1:3" x14ac:dyDescent="0.25">
      <c r="B83" t="s">
        <v>11</v>
      </c>
      <c r="C83">
        <v>6</v>
      </c>
    </row>
    <row r="85" spans="1:3" x14ac:dyDescent="0.25">
      <c r="B85" t="s">
        <v>2</v>
      </c>
      <c r="C85" s="4">
        <f>(C81*C82) /(1-(1+C82) ^(-C83))</f>
        <v>36483857.763694376</v>
      </c>
    </row>
    <row r="87" spans="1:3" x14ac:dyDescent="0.25">
      <c r="A87" t="s">
        <v>18</v>
      </c>
    </row>
    <row r="88" spans="1:3" x14ac:dyDescent="0.25">
      <c r="B88" t="s">
        <v>11</v>
      </c>
      <c r="C88">
        <v>5</v>
      </c>
    </row>
    <row r="89" spans="1:3" x14ac:dyDescent="0.25">
      <c r="B89" t="s">
        <v>2</v>
      </c>
      <c r="C89">
        <v>300000</v>
      </c>
    </row>
    <row r="92" spans="1:3" x14ac:dyDescent="0.25">
      <c r="B92" t="s">
        <v>14</v>
      </c>
      <c r="C92">
        <f>C89*((1 + C94)^5 - 1)/ C94</f>
        <v>1700000.0000007444</v>
      </c>
    </row>
    <row r="94" spans="1:3" x14ac:dyDescent="0.25">
      <c r="B94" t="s">
        <v>12</v>
      </c>
      <c r="C94" s="2">
        <v>6.2620963425302462E-2</v>
      </c>
    </row>
    <row r="96" spans="1:3" x14ac:dyDescent="0.25">
      <c r="A96" t="s">
        <v>19</v>
      </c>
    </row>
    <row r="97" spans="1:3" x14ac:dyDescent="0.25">
      <c r="B97" t="s">
        <v>2</v>
      </c>
      <c r="C97">
        <v>800</v>
      </c>
    </row>
    <row r="98" spans="1:3" x14ac:dyDescent="0.25">
      <c r="B98" t="s">
        <v>12</v>
      </c>
      <c r="C98">
        <v>0.05</v>
      </c>
    </row>
    <row r="99" spans="1:3" x14ac:dyDescent="0.25">
      <c r="B99" t="s">
        <v>11</v>
      </c>
      <c r="C99">
        <v>20</v>
      </c>
    </row>
    <row r="102" spans="1:3" x14ac:dyDescent="0.25">
      <c r="B102" t="s">
        <v>14</v>
      </c>
      <c r="C102" s="4">
        <f>C97*((1+C98) ^C99-1) / C98* (1+C98)</f>
        <v>27775.401446426273</v>
      </c>
    </row>
    <row r="105" spans="1:3" x14ac:dyDescent="0.25">
      <c r="A105" t="s">
        <v>27</v>
      </c>
    </row>
    <row r="106" spans="1:3" x14ac:dyDescent="0.25">
      <c r="B106" t="s">
        <v>2</v>
      </c>
      <c r="C106">
        <v>24000000</v>
      </c>
    </row>
    <row r="107" spans="1:3" x14ac:dyDescent="0.25">
      <c r="B107" t="s">
        <v>11</v>
      </c>
      <c r="C107">
        <v>5</v>
      </c>
    </row>
    <row r="108" spans="1:3" x14ac:dyDescent="0.25">
      <c r="B108" t="s">
        <v>12</v>
      </c>
      <c r="C108">
        <v>8.5000000000000006E-2</v>
      </c>
    </row>
    <row r="110" spans="1:3" x14ac:dyDescent="0.25">
      <c r="B110" t="s">
        <v>13</v>
      </c>
      <c r="C110" s="4">
        <f>C106*(1-(1+C108) ^(-C107)) /C108*(1+C108)</f>
        <v>102614319.7361073</v>
      </c>
    </row>
    <row r="111" spans="1:3" x14ac:dyDescent="0.25">
      <c r="B111" t="s">
        <v>14</v>
      </c>
      <c r="C111" s="4">
        <f>C110*(1 + C108)^C107</f>
        <v>154296708.37927493</v>
      </c>
    </row>
    <row r="114" spans="1:3" x14ac:dyDescent="0.25">
      <c r="A114" t="s">
        <v>28</v>
      </c>
    </row>
    <row r="115" spans="1:3" x14ac:dyDescent="0.25">
      <c r="B115" t="s">
        <v>13</v>
      </c>
      <c r="C115">
        <v>120000000</v>
      </c>
    </row>
    <row r="116" spans="1:3" x14ac:dyDescent="0.25">
      <c r="B116" t="s">
        <v>11</v>
      </c>
      <c r="C116">
        <v>8</v>
      </c>
    </row>
    <row r="117" spans="1:3" x14ac:dyDescent="0.25">
      <c r="B117" t="s">
        <v>12</v>
      </c>
      <c r="C117">
        <v>0.09</v>
      </c>
    </row>
    <row r="119" spans="1:3" x14ac:dyDescent="0.25">
      <c r="B119" t="s">
        <v>2</v>
      </c>
      <c r="C119" s="4">
        <f>C115*C117/((1-(1+C117)^(-C116))*(1+C117))</f>
        <v>19890757.193118855</v>
      </c>
    </row>
    <row r="121" spans="1:3" ht="18.75" x14ac:dyDescent="0.3">
      <c r="A121" s="7" t="s">
        <v>74</v>
      </c>
      <c r="B121" s="7"/>
      <c r="C121" s="7"/>
    </row>
    <row r="122" spans="1:3" x14ac:dyDescent="0.25">
      <c r="A122" t="s">
        <v>34</v>
      </c>
    </row>
    <row r="123" spans="1:3" x14ac:dyDescent="0.25">
      <c r="B123" t="s">
        <v>11</v>
      </c>
      <c r="C123">
        <v>10</v>
      </c>
    </row>
    <row r="124" spans="1:3" x14ac:dyDescent="0.25">
      <c r="B124" t="s">
        <v>35</v>
      </c>
      <c r="C124">
        <v>25000</v>
      </c>
    </row>
    <row r="125" spans="1:3" x14ac:dyDescent="0.25">
      <c r="B125" t="s">
        <v>36</v>
      </c>
      <c r="C125">
        <v>2</v>
      </c>
    </row>
    <row r="126" spans="1:3" x14ac:dyDescent="0.25">
      <c r="B126" t="s">
        <v>37</v>
      </c>
      <c r="C126">
        <v>4</v>
      </c>
    </row>
    <row r="127" spans="1:3" x14ac:dyDescent="0.25">
      <c r="B127" t="s">
        <v>12</v>
      </c>
      <c r="C127" s="8">
        <v>0.1</v>
      </c>
    </row>
    <row r="130" spans="1:4" x14ac:dyDescent="0.25">
      <c r="B130" t="s">
        <v>14</v>
      </c>
      <c r="C130" s="4">
        <f>C124 * ((1 + C127/C125)^(C123*C125)-1)/((1+C127/C125)^(C125/C126) - 1)</f>
        <v>1673711.8618766477</v>
      </c>
    </row>
    <row r="131" spans="1:4" x14ac:dyDescent="0.25">
      <c r="B131" t="s">
        <v>13</v>
      </c>
      <c r="C131" s="4">
        <f>C130/(1+C127/C125)^(C125*C123)</f>
        <v>630804.39810109674</v>
      </c>
    </row>
    <row r="134" spans="1:4" x14ac:dyDescent="0.25">
      <c r="A134" t="s">
        <v>38</v>
      </c>
    </row>
    <row r="135" spans="1:4" x14ac:dyDescent="0.25">
      <c r="B135" t="s">
        <v>11</v>
      </c>
      <c r="C135">
        <v>2</v>
      </c>
    </row>
    <row r="136" spans="1:4" x14ac:dyDescent="0.25">
      <c r="B136" t="s">
        <v>35</v>
      </c>
      <c r="C136">
        <v>100000</v>
      </c>
    </row>
    <row r="137" spans="1:4" x14ac:dyDescent="0.25">
      <c r="B137" t="s">
        <v>36</v>
      </c>
      <c r="C137">
        <v>12</v>
      </c>
    </row>
    <row r="138" spans="1:4" x14ac:dyDescent="0.25">
      <c r="B138" t="s">
        <v>37</v>
      </c>
      <c r="C138">
        <v>4</v>
      </c>
    </row>
    <row r="139" spans="1:4" x14ac:dyDescent="0.25">
      <c r="B139" t="s">
        <v>12</v>
      </c>
      <c r="C139" s="8">
        <v>0.12</v>
      </c>
    </row>
    <row r="141" spans="1:4" x14ac:dyDescent="0.25">
      <c r="D141" s="4"/>
    </row>
    <row r="142" spans="1:4" x14ac:dyDescent="0.25">
      <c r="B142" t="s">
        <v>13</v>
      </c>
      <c r="C142" s="4">
        <f>C136 * (1-(1 + C139/C137)^(-C135*C137))/((1+C139/C137)^(C137/C138) - 1)</f>
        <v>701078.75177809119</v>
      </c>
    </row>
    <row r="143" spans="1:4" x14ac:dyDescent="0.25">
      <c r="C143" s="4"/>
    </row>
    <row r="145" spans="1:4" x14ac:dyDescent="0.25">
      <c r="A145" t="s">
        <v>39</v>
      </c>
    </row>
    <row r="146" spans="1:4" x14ac:dyDescent="0.25">
      <c r="B146" t="s">
        <v>14</v>
      </c>
      <c r="C146">
        <v>100000000</v>
      </c>
    </row>
    <row r="147" spans="1:4" x14ac:dyDescent="0.25">
      <c r="B147" t="s">
        <v>2</v>
      </c>
      <c r="C147">
        <v>5000000</v>
      </c>
    </row>
    <row r="148" spans="1:4" x14ac:dyDescent="0.25">
      <c r="B148" t="s">
        <v>12</v>
      </c>
      <c r="C148" s="8">
        <v>0.1</v>
      </c>
    </row>
    <row r="149" spans="1:4" x14ac:dyDescent="0.25">
      <c r="B149" t="s">
        <v>37</v>
      </c>
      <c r="C149">
        <v>12</v>
      </c>
    </row>
    <row r="150" spans="1:4" x14ac:dyDescent="0.25">
      <c r="B150" t="s">
        <v>36</v>
      </c>
      <c r="C150">
        <v>1</v>
      </c>
    </row>
    <row r="153" spans="1:4" x14ac:dyDescent="0.25">
      <c r="B153" t="s">
        <v>11</v>
      </c>
      <c r="C153" s="5">
        <f>LN((C146/C147)*((1+C148)^(C150/C149)-1)+1)/LN(1+C148)</f>
        <v>1.5525524275082441</v>
      </c>
      <c r="D153" t="s">
        <v>25</v>
      </c>
    </row>
    <row r="156" spans="1:4" x14ac:dyDescent="0.25">
      <c r="A156" t="s">
        <v>40</v>
      </c>
    </row>
    <row r="157" spans="1:4" x14ac:dyDescent="0.25">
      <c r="B157" t="s">
        <v>11</v>
      </c>
      <c r="C157">
        <v>2</v>
      </c>
    </row>
    <row r="158" spans="1:4" x14ac:dyDescent="0.25">
      <c r="B158" t="s">
        <v>35</v>
      </c>
      <c r="C158">
        <v>100000</v>
      </c>
    </row>
    <row r="159" spans="1:4" x14ac:dyDescent="0.25">
      <c r="B159" t="s">
        <v>36</v>
      </c>
      <c r="C159">
        <v>12</v>
      </c>
    </row>
    <row r="160" spans="1:4" x14ac:dyDescent="0.25">
      <c r="B160" t="s">
        <v>37</v>
      </c>
      <c r="C160">
        <v>4</v>
      </c>
    </row>
    <row r="161" spans="1:3" x14ac:dyDescent="0.25">
      <c r="B161" t="s">
        <v>12</v>
      </c>
      <c r="C161" s="8">
        <v>0.12</v>
      </c>
    </row>
    <row r="164" spans="1:3" x14ac:dyDescent="0.25">
      <c r="B164" t="s">
        <v>14</v>
      </c>
      <c r="C164" s="4">
        <f>C158 * ((1 + C161/C159)^(C157*C159)-1)/((1+C161/C159)^(C159/C160) - 1) * (1+C161/C159)^(C159/C160)</f>
        <v>917157.44733533985</v>
      </c>
    </row>
    <row r="165" spans="1:3" x14ac:dyDescent="0.25">
      <c r="C165" s="4"/>
    </row>
    <row r="167" spans="1:3" x14ac:dyDescent="0.25">
      <c r="A167" t="s">
        <v>41</v>
      </c>
    </row>
    <row r="168" spans="1:3" x14ac:dyDescent="0.25">
      <c r="B168" t="s">
        <v>37</v>
      </c>
      <c r="C168">
        <v>12</v>
      </c>
    </row>
    <row r="169" spans="1:3" x14ac:dyDescent="0.25">
      <c r="B169" t="s">
        <v>12</v>
      </c>
      <c r="C169" s="8">
        <v>0.1</v>
      </c>
    </row>
    <row r="170" spans="1:3" x14ac:dyDescent="0.25">
      <c r="B170" t="s">
        <v>36</v>
      </c>
      <c r="C170">
        <v>1</v>
      </c>
    </row>
    <row r="173" spans="1:3" x14ac:dyDescent="0.25">
      <c r="B173" t="s">
        <v>42</v>
      </c>
      <c r="C173" s="6">
        <f>(1+C169/C170)^(C170/C168)</f>
        <v>1.0079741404289038</v>
      </c>
    </row>
    <row r="176" spans="1:3" x14ac:dyDescent="0.25">
      <c r="A176" t="s">
        <v>43</v>
      </c>
    </row>
    <row r="177" spans="1:3" x14ac:dyDescent="0.25">
      <c r="B177" t="s">
        <v>11</v>
      </c>
      <c r="C177">
        <v>3</v>
      </c>
    </row>
    <row r="178" spans="1:3" x14ac:dyDescent="0.25">
      <c r="B178" t="s">
        <v>35</v>
      </c>
      <c r="C178">
        <v>100000</v>
      </c>
    </row>
    <row r="179" spans="1:3" x14ac:dyDescent="0.25">
      <c r="B179" t="s">
        <v>36</v>
      </c>
      <c r="C179">
        <v>12</v>
      </c>
    </row>
    <row r="180" spans="1:3" x14ac:dyDescent="0.25">
      <c r="B180" t="s">
        <v>37</v>
      </c>
      <c r="C180">
        <v>4</v>
      </c>
    </row>
    <row r="181" spans="1:3" x14ac:dyDescent="0.25">
      <c r="B181" t="s">
        <v>12</v>
      </c>
      <c r="C181" s="8">
        <v>0.12</v>
      </c>
    </row>
    <row r="184" spans="1:3" x14ac:dyDescent="0.25">
      <c r="B184" t="s">
        <v>14</v>
      </c>
      <c r="C184" s="4">
        <f>C178 * ((1 + C181/C179)^(C177*C179)-1)/((1+C181/C179)^(C179/C180) - 1) * (1+C181/C179)^(C179/C180)</f>
        <v>1464709.1135711388</v>
      </c>
    </row>
    <row r="187" spans="1:3" x14ac:dyDescent="0.25">
      <c r="A187" t="s">
        <v>44</v>
      </c>
    </row>
    <row r="188" spans="1:3" x14ac:dyDescent="0.25">
      <c r="B188" t="s">
        <v>11</v>
      </c>
      <c r="C188">
        <v>5</v>
      </c>
    </row>
    <row r="189" spans="1:3" x14ac:dyDescent="0.25">
      <c r="B189" t="s">
        <v>49</v>
      </c>
      <c r="C189">
        <v>200000</v>
      </c>
    </row>
    <row r="190" spans="1:3" x14ac:dyDescent="0.25">
      <c r="B190" t="s">
        <v>48</v>
      </c>
      <c r="C190">
        <v>100000</v>
      </c>
    </row>
    <row r="191" spans="1:3" x14ac:dyDescent="0.25">
      <c r="B191" t="s">
        <v>36</v>
      </c>
      <c r="C191">
        <v>12</v>
      </c>
    </row>
    <row r="192" spans="1:3" x14ac:dyDescent="0.25">
      <c r="B192" t="s">
        <v>37</v>
      </c>
      <c r="C192">
        <v>2</v>
      </c>
    </row>
    <row r="193" spans="1:3" x14ac:dyDescent="0.25">
      <c r="B193" t="s">
        <v>45</v>
      </c>
      <c r="C193">
        <v>4</v>
      </c>
    </row>
    <row r="194" spans="1:3" x14ac:dyDescent="0.25">
      <c r="B194" t="s">
        <v>12</v>
      </c>
      <c r="C194" s="8">
        <v>0.08</v>
      </c>
    </row>
    <row r="196" spans="1:3" x14ac:dyDescent="0.25">
      <c r="B196" t="s">
        <v>46</v>
      </c>
      <c r="C196" s="4">
        <f>C189 * ((1 + C194/C191)^(C188*C191)-1)/((1+C194/C191)^(C191/C192) - 1) * (1+C194/C191)^(C191/C192)</f>
        <v>2506693.637821876</v>
      </c>
    </row>
    <row r="197" spans="1:3" x14ac:dyDescent="0.25">
      <c r="B197" t="s">
        <v>47</v>
      </c>
      <c r="C197" s="4">
        <f>C190 * ((1 + C194/C191)^(C188*C191)-1)/((1+C194/C191)^(C191/C193) - 1) * (1+C194/C191)^(C191/C193)</f>
        <v>2481957.2504344806</v>
      </c>
    </row>
    <row r="200" spans="1:3" x14ac:dyDescent="0.25">
      <c r="A200" t="s">
        <v>50</v>
      </c>
    </row>
    <row r="201" spans="1:3" x14ac:dyDescent="0.25">
      <c r="B201" t="s">
        <v>11</v>
      </c>
      <c r="C201">
        <v>30</v>
      </c>
    </row>
    <row r="202" spans="1:3" x14ac:dyDescent="0.25">
      <c r="B202" t="s">
        <v>35</v>
      </c>
      <c r="C202">
        <v>37561</v>
      </c>
    </row>
    <row r="203" spans="1:3" x14ac:dyDescent="0.25">
      <c r="B203" t="s">
        <v>36</v>
      </c>
      <c r="C203">
        <v>12</v>
      </c>
    </row>
    <row r="204" spans="1:3" x14ac:dyDescent="0.25">
      <c r="B204" t="s">
        <v>37</v>
      </c>
      <c r="C204">
        <v>12</v>
      </c>
    </row>
    <row r="205" spans="1:3" x14ac:dyDescent="0.25">
      <c r="B205" t="s">
        <v>12</v>
      </c>
      <c r="C205" s="2">
        <v>0.10399988696903141</v>
      </c>
    </row>
    <row r="206" spans="1:3" x14ac:dyDescent="0.25">
      <c r="B206" t="s">
        <v>14</v>
      </c>
      <c r="C206" s="4">
        <f>5640000 - 1500000</f>
        <v>4140000</v>
      </c>
    </row>
    <row r="208" spans="1:3" x14ac:dyDescent="0.25">
      <c r="B208" t="s">
        <v>35</v>
      </c>
      <c r="C208" s="4">
        <f>C206*(C210/C203)/(1-(1+C210/C203)^(-C201*C204))</f>
        <v>37561.000044468725</v>
      </c>
    </row>
    <row r="210" spans="1:3" x14ac:dyDescent="0.25">
      <c r="B210" t="s">
        <v>51</v>
      </c>
      <c r="C210" s="2">
        <v>0.10399988724704103</v>
      </c>
    </row>
    <row r="212" spans="1:3" ht="18.75" x14ac:dyDescent="0.3">
      <c r="A212" s="7" t="s">
        <v>75</v>
      </c>
      <c r="B212" s="7"/>
      <c r="C212" s="7"/>
    </row>
    <row r="213" spans="1:3" x14ac:dyDescent="0.25">
      <c r="A213" t="s">
        <v>52</v>
      </c>
    </row>
    <row r="214" spans="1:3" x14ac:dyDescent="0.25">
      <c r="B214" t="s">
        <v>11</v>
      </c>
      <c r="C214">
        <v>6</v>
      </c>
    </row>
    <row r="215" spans="1:3" x14ac:dyDescent="0.25">
      <c r="B215" t="s">
        <v>2</v>
      </c>
      <c r="C215">
        <v>800000</v>
      </c>
    </row>
    <row r="216" spans="1:3" x14ac:dyDescent="0.25">
      <c r="B216" t="s">
        <v>53</v>
      </c>
      <c r="C216">
        <v>12</v>
      </c>
    </row>
    <row r="217" spans="1:3" x14ac:dyDescent="0.25">
      <c r="B217" t="s">
        <v>12</v>
      </c>
      <c r="C217" s="8">
        <v>0.09</v>
      </c>
    </row>
    <row r="220" spans="1:3" x14ac:dyDescent="0.25">
      <c r="B220" t="s">
        <v>54</v>
      </c>
      <c r="C220" s="4">
        <f>C215*(1-(1+C217/C216)^(-C214*C216))/(C216*LN(1+C217/C216))</f>
        <v>3712308.5269708084</v>
      </c>
    </row>
    <row r="221" spans="1:3" x14ac:dyDescent="0.25">
      <c r="B221" t="s">
        <v>55</v>
      </c>
      <c r="C221" s="4">
        <f>C220*(1+C217/C216)^(C214*C216)</f>
        <v>6357524.0164195849</v>
      </c>
    </row>
    <row r="224" spans="1:3" ht="18.75" x14ac:dyDescent="0.3">
      <c r="A224" s="7" t="s">
        <v>76</v>
      </c>
      <c r="B224" s="7"/>
      <c r="C224" s="7"/>
    </row>
    <row r="225" spans="1:3" x14ac:dyDescent="0.25">
      <c r="A225" t="s">
        <v>56</v>
      </c>
    </row>
    <row r="226" spans="1:3" x14ac:dyDescent="0.25">
      <c r="B226" t="s">
        <v>2</v>
      </c>
      <c r="C226">
        <v>100000</v>
      </c>
    </row>
    <row r="227" spans="1:3" x14ac:dyDescent="0.25">
      <c r="B227" t="s">
        <v>12</v>
      </c>
      <c r="C227">
        <v>0.1</v>
      </c>
    </row>
    <row r="230" spans="1:3" x14ac:dyDescent="0.25">
      <c r="B230" t="s">
        <v>13</v>
      </c>
      <c r="C230" s="4">
        <f>C226/C227</f>
        <v>1000000</v>
      </c>
    </row>
    <row r="233" spans="1:3" x14ac:dyDescent="0.25">
      <c r="A233" t="s">
        <v>57</v>
      </c>
    </row>
    <row r="234" spans="1:3" x14ac:dyDescent="0.25">
      <c r="B234" t="s">
        <v>35</v>
      </c>
      <c r="C234">
        <v>2000</v>
      </c>
    </row>
    <row r="235" spans="1:3" x14ac:dyDescent="0.25">
      <c r="B235" t="s">
        <v>12</v>
      </c>
      <c r="C235">
        <v>0.12</v>
      </c>
    </row>
    <row r="236" spans="1:3" x14ac:dyDescent="0.25">
      <c r="B236" t="s">
        <v>37</v>
      </c>
      <c r="C236">
        <v>12</v>
      </c>
    </row>
    <row r="237" spans="1:3" x14ac:dyDescent="0.25">
      <c r="B237" t="s">
        <v>36</v>
      </c>
      <c r="C237">
        <v>4</v>
      </c>
    </row>
    <row r="240" spans="1:3" x14ac:dyDescent="0.25">
      <c r="B240" t="s">
        <v>13</v>
      </c>
      <c r="C240" s="4">
        <f>C234/((1+C235/C237)^(C237/C236) -1)</f>
        <v>201986.86296711746</v>
      </c>
    </row>
    <row r="243" spans="1:3" x14ac:dyDescent="0.25">
      <c r="A243" t="s">
        <v>58</v>
      </c>
    </row>
    <row r="244" spans="1:3" x14ac:dyDescent="0.25">
      <c r="B244" t="s">
        <v>2</v>
      </c>
      <c r="C244">
        <v>10000</v>
      </c>
    </row>
    <row r="245" spans="1:3" x14ac:dyDescent="0.25">
      <c r="B245" t="s">
        <v>12</v>
      </c>
      <c r="C245">
        <v>0.1</v>
      </c>
    </row>
    <row r="246" spans="1:3" x14ac:dyDescent="0.25">
      <c r="B246" t="s">
        <v>37</v>
      </c>
      <c r="C246">
        <v>1</v>
      </c>
    </row>
    <row r="247" spans="1:3" x14ac:dyDescent="0.25">
      <c r="B247" t="s">
        <v>36</v>
      </c>
      <c r="C247">
        <v>1</v>
      </c>
    </row>
    <row r="248" spans="1:3" x14ac:dyDescent="0.25">
      <c r="B248" t="s">
        <v>11</v>
      </c>
      <c r="C248">
        <v>15</v>
      </c>
    </row>
    <row r="251" spans="1:3" x14ac:dyDescent="0.25">
      <c r="B251" t="s">
        <v>62</v>
      </c>
      <c r="C251" s="4">
        <f>C244*(1-(1+C245)^(-C248))/C245</f>
        <v>76060.795063083657</v>
      </c>
    </row>
    <row r="252" spans="1:3" x14ac:dyDescent="0.25">
      <c r="B252" t="s">
        <v>63</v>
      </c>
      <c r="C252" s="4">
        <f>C244/C245</f>
        <v>100000</v>
      </c>
    </row>
    <row r="254" spans="1:3" ht="18.75" x14ac:dyDescent="0.3">
      <c r="A254" s="7" t="s">
        <v>77</v>
      </c>
      <c r="B254" s="11"/>
      <c r="C254" s="11"/>
    </row>
    <row r="255" spans="1:3" x14ac:dyDescent="0.25">
      <c r="A255" t="s">
        <v>64</v>
      </c>
    </row>
    <row r="256" spans="1:3" x14ac:dyDescent="0.25">
      <c r="B256" t="s">
        <v>2</v>
      </c>
      <c r="C256">
        <v>2000</v>
      </c>
    </row>
    <row r="257" spans="1:3" x14ac:dyDescent="0.25">
      <c r="B257" t="s">
        <v>12</v>
      </c>
      <c r="C257">
        <v>0.1</v>
      </c>
    </row>
    <row r="258" spans="1:3" x14ac:dyDescent="0.25">
      <c r="B258" t="s">
        <v>11</v>
      </c>
      <c r="C258">
        <v>5</v>
      </c>
    </row>
    <row r="259" spans="1:3" x14ac:dyDescent="0.25">
      <c r="B259" t="s">
        <v>1</v>
      </c>
      <c r="C259">
        <v>3</v>
      </c>
    </row>
    <row r="262" spans="1:3" x14ac:dyDescent="0.25">
      <c r="A262" t="s">
        <v>33</v>
      </c>
      <c r="B262" t="s">
        <v>13</v>
      </c>
      <c r="C262" s="4">
        <f>C256*(1-(1+C257)^(-C258))/C257</f>
        <v>7581.5735388169014</v>
      </c>
    </row>
    <row r="263" spans="1:3" x14ac:dyDescent="0.25">
      <c r="A263" t="s">
        <v>65</v>
      </c>
      <c r="B263" t="s">
        <v>66</v>
      </c>
      <c r="C263" s="4">
        <f>C262*(1+C257)^(-C259)</f>
        <v>5696.1484138368887</v>
      </c>
    </row>
    <row r="265" spans="1:3" ht="18.75" x14ac:dyDescent="0.3">
      <c r="A265" s="7" t="s">
        <v>78</v>
      </c>
      <c r="B265" s="11"/>
      <c r="C265" s="11"/>
    </row>
    <row r="266" spans="1:3" x14ac:dyDescent="0.25">
      <c r="A266" t="s">
        <v>67</v>
      </c>
    </row>
    <row r="267" spans="1:3" x14ac:dyDescent="0.25">
      <c r="B267" t="s">
        <v>2</v>
      </c>
      <c r="C267">
        <v>2000</v>
      </c>
    </row>
    <row r="268" spans="1:3" x14ac:dyDescent="0.25">
      <c r="B268" t="s">
        <v>12</v>
      </c>
      <c r="C268">
        <v>0.1</v>
      </c>
    </row>
    <row r="269" spans="1:3" x14ac:dyDescent="0.25">
      <c r="B269" t="s">
        <v>11</v>
      </c>
      <c r="C269">
        <v>5</v>
      </c>
    </row>
    <row r="270" spans="1:3" x14ac:dyDescent="0.25">
      <c r="B270" t="s">
        <v>1</v>
      </c>
      <c r="C270">
        <v>7</v>
      </c>
    </row>
    <row r="273" spans="1:3" x14ac:dyDescent="0.25">
      <c r="B273" t="s">
        <v>54</v>
      </c>
      <c r="C273" s="4">
        <f>C267*(1-(1+C268)^(-C269))/C268</f>
        <v>7581.5735388169014</v>
      </c>
    </row>
    <row r="274" spans="1:3" x14ac:dyDescent="0.25">
      <c r="B274" t="s">
        <v>55</v>
      </c>
      <c r="C274" s="4">
        <f>C273*(1+C268)^C270</f>
        <v>14774.342000000019</v>
      </c>
    </row>
    <row r="276" spans="1:3" ht="18.75" x14ac:dyDescent="0.3">
      <c r="A276" s="7" t="s">
        <v>79</v>
      </c>
      <c r="B276" s="7"/>
      <c r="C276" s="7"/>
    </row>
    <row r="277" spans="1:3" x14ac:dyDescent="0.25">
      <c r="A277" t="s">
        <v>69</v>
      </c>
    </row>
    <row r="278" spans="1:3" x14ac:dyDescent="0.25">
      <c r="B278" t="s">
        <v>55</v>
      </c>
      <c r="C278">
        <v>5000</v>
      </c>
    </row>
    <row r="279" spans="1:3" x14ac:dyDescent="0.25">
      <c r="B279" t="s">
        <v>1</v>
      </c>
      <c r="C279">
        <v>3</v>
      </c>
    </row>
    <row r="280" spans="1:3" x14ac:dyDescent="0.25">
      <c r="B280" t="s">
        <v>11</v>
      </c>
      <c r="C280">
        <v>3</v>
      </c>
    </row>
    <row r="281" spans="1:3" x14ac:dyDescent="0.25">
      <c r="B281" t="s">
        <v>12</v>
      </c>
      <c r="C281">
        <v>0.1</v>
      </c>
    </row>
    <row r="284" spans="1:3" x14ac:dyDescent="0.25">
      <c r="B284" t="s">
        <v>54</v>
      </c>
      <c r="C284" s="4">
        <f>C278/(1+C281)^C279</f>
        <v>3756.5740045078878</v>
      </c>
    </row>
    <row r="285" spans="1:3" x14ac:dyDescent="0.25">
      <c r="B285" t="s">
        <v>2</v>
      </c>
      <c r="C285" s="4">
        <f>C284/((1-(1+C281)^(-C280))/C281)</f>
        <v>1510.5740181268866</v>
      </c>
    </row>
    <row r="287" spans="1:3" ht="18.75" x14ac:dyDescent="0.3">
      <c r="A287" s="7" t="s">
        <v>80</v>
      </c>
      <c r="B287" s="11"/>
      <c r="C287" s="11"/>
    </row>
    <row r="288" spans="1:3" x14ac:dyDescent="0.25">
      <c r="A288" t="s">
        <v>70</v>
      </c>
    </row>
    <row r="289" spans="1:3" x14ac:dyDescent="0.25">
      <c r="B289" t="s">
        <v>59</v>
      </c>
      <c r="C289">
        <v>120000</v>
      </c>
    </row>
    <row r="290" spans="1:3" x14ac:dyDescent="0.25">
      <c r="B290" t="s">
        <v>61</v>
      </c>
      <c r="C290">
        <v>5</v>
      </c>
    </row>
    <row r="291" spans="1:3" x14ac:dyDescent="0.25">
      <c r="B291" t="s">
        <v>60</v>
      </c>
      <c r="C291">
        <v>0.15</v>
      </c>
    </row>
    <row r="292" spans="1:3" x14ac:dyDescent="0.25">
      <c r="B292" t="s">
        <v>68</v>
      </c>
      <c r="C292">
        <v>6</v>
      </c>
    </row>
    <row r="293" spans="1:3" x14ac:dyDescent="0.25">
      <c r="B293" t="s">
        <v>71</v>
      </c>
      <c r="C293">
        <v>0.12</v>
      </c>
    </row>
    <row r="294" spans="1:3" x14ac:dyDescent="0.25">
      <c r="B294" t="s">
        <v>45</v>
      </c>
      <c r="C294">
        <v>12</v>
      </c>
    </row>
    <row r="297" spans="1:3" x14ac:dyDescent="0.25">
      <c r="B297" t="s">
        <v>72</v>
      </c>
      <c r="C297" s="4">
        <f>C289*(1-(1+C291)^(-C290))/C291</f>
        <v>402258.61176136811</v>
      </c>
    </row>
    <row r="298" spans="1:3" x14ac:dyDescent="0.25">
      <c r="B298" t="s">
        <v>73</v>
      </c>
      <c r="C298" s="4">
        <f>C297/((1-(1+C293)^(-C292))/((1+C293)^(1/C294) - 1)/C294)</f>
        <v>92838.008321841378</v>
      </c>
    </row>
    <row r="301" spans="1:3" x14ac:dyDescent="0.25">
      <c r="A301" t="s">
        <v>85</v>
      </c>
    </row>
    <row r="302" spans="1:3" x14ac:dyDescent="0.25">
      <c r="B302" t="s">
        <v>59</v>
      </c>
      <c r="C302">
        <v>1000</v>
      </c>
    </row>
    <row r="303" spans="1:3" x14ac:dyDescent="0.25">
      <c r="B303" t="s">
        <v>61</v>
      </c>
      <c r="C303">
        <v>5</v>
      </c>
    </row>
    <row r="304" spans="1:3" x14ac:dyDescent="0.25">
      <c r="B304" t="s">
        <v>73</v>
      </c>
      <c r="C304">
        <v>800</v>
      </c>
    </row>
    <row r="305" spans="1:3" x14ac:dyDescent="0.25">
      <c r="B305" t="s">
        <v>68</v>
      </c>
      <c r="C305">
        <v>8</v>
      </c>
    </row>
    <row r="306" spans="1:3" x14ac:dyDescent="0.25">
      <c r="B306" t="s">
        <v>86</v>
      </c>
      <c r="C306">
        <v>6</v>
      </c>
    </row>
    <row r="307" spans="1:3" x14ac:dyDescent="0.25">
      <c r="B307" t="s">
        <v>12</v>
      </c>
      <c r="C307">
        <v>0.08</v>
      </c>
    </row>
    <row r="309" spans="1:3" x14ac:dyDescent="0.25">
      <c r="B309" t="s">
        <v>62</v>
      </c>
      <c r="C309" s="4">
        <f>C302*(1-(1+C307)^(-C303))/C307</f>
        <v>3992.7100370780868</v>
      </c>
    </row>
    <row r="310" spans="1:3" x14ac:dyDescent="0.25">
      <c r="B310" t="s">
        <v>63</v>
      </c>
      <c r="C310" s="4">
        <f>C304*(1-(1+C307)^(-C305))/C307</f>
        <v>4597.3111549802425</v>
      </c>
    </row>
    <row r="312" spans="1:3" x14ac:dyDescent="0.25">
      <c r="B312" t="s">
        <v>87</v>
      </c>
      <c r="C312" s="4">
        <f>(C309+C310)/((1-(1+C307)^(-C306))/C307)</f>
        <v>1858.1537518754756</v>
      </c>
    </row>
    <row r="314" spans="1:3" ht="18.75" x14ac:dyDescent="0.3">
      <c r="A314" s="7" t="s">
        <v>81</v>
      </c>
      <c r="B314" s="11"/>
      <c r="C314" s="11"/>
    </row>
    <row r="315" spans="1:3" x14ac:dyDescent="0.25">
      <c r="A315" t="s">
        <v>21</v>
      </c>
    </row>
    <row r="316" spans="1:3" x14ac:dyDescent="0.25">
      <c r="B316" t="s">
        <v>23</v>
      </c>
    </row>
    <row r="317" spans="1:3" x14ac:dyDescent="0.25">
      <c r="B317">
        <v>1.5</v>
      </c>
      <c r="C317">
        <v>1150000</v>
      </c>
    </row>
    <row r="318" spans="1:3" x14ac:dyDescent="0.25">
      <c r="B318">
        <v>2</v>
      </c>
      <c r="C318">
        <v>1350000</v>
      </c>
    </row>
    <row r="319" spans="1:3" x14ac:dyDescent="0.25">
      <c r="B319">
        <v>2.5</v>
      </c>
      <c r="C319">
        <v>1600000</v>
      </c>
    </row>
    <row r="321" spans="1:4" x14ac:dyDescent="0.25">
      <c r="B321" t="s">
        <v>1</v>
      </c>
      <c r="C321">
        <v>3.5</v>
      </c>
    </row>
    <row r="322" spans="1:4" x14ac:dyDescent="0.25">
      <c r="B322" t="s">
        <v>12</v>
      </c>
      <c r="C322">
        <v>0.11</v>
      </c>
    </row>
    <row r="325" spans="1:4" x14ac:dyDescent="0.25">
      <c r="B325" t="s">
        <v>55</v>
      </c>
      <c r="C325" s="4">
        <f>C317*(1+C322)^(C321-B317)+C318*(1+C322)^(C321-B318) + C319*(1+C322)^(C321-B319)</f>
        <v>4771682.7148649832</v>
      </c>
      <c r="D325" t="s">
        <v>84</v>
      </c>
    </row>
    <row r="328" spans="1:4" x14ac:dyDescent="0.25">
      <c r="A328" t="s">
        <v>22</v>
      </c>
    </row>
    <row r="329" spans="1:4" x14ac:dyDescent="0.25">
      <c r="B329" t="s">
        <v>23</v>
      </c>
    </row>
    <row r="330" spans="1:4" x14ac:dyDescent="0.25">
      <c r="B330">
        <v>35</v>
      </c>
      <c r="C330">
        <v>11500000</v>
      </c>
    </row>
    <row r="331" spans="1:4" x14ac:dyDescent="0.25">
      <c r="B331">
        <v>75</v>
      </c>
      <c r="C331">
        <v>12500000</v>
      </c>
    </row>
    <row r="332" spans="1:4" x14ac:dyDescent="0.25">
      <c r="B332">
        <v>80</v>
      </c>
      <c r="C332">
        <v>11000000</v>
      </c>
    </row>
    <row r="334" spans="1:4" x14ac:dyDescent="0.25">
      <c r="B334" t="s">
        <v>55</v>
      </c>
      <c r="C334">
        <v>36000000</v>
      </c>
    </row>
    <row r="335" spans="1:4" x14ac:dyDescent="0.25">
      <c r="B335" t="s">
        <v>12</v>
      </c>
      <c r="C335">
        <v>0.1</v>
      </c>
    </row>
    <row r="336" spans="1:4" x14ac:dyDescent="0.25">
      <c r="B336" t="s">
        <v>82</v>
      </c>
      <c r="C336">
        <v>365</v>
      </c>
    </row>
    <row r="337" spans="1:3" x14ac:dyDescent="0.25">
      <c r="C337">
        <f>C330*(1+(C339-B330)/C336 * C335)+C331*(1+(C339-B331)/C336 * C335) + C332*(1+(C339-B332)/C336 * C335)</f>
        <v>35999999.999999993</v>
      </c>
    </row>
    <row r="339" spans="1:3" x14ac:dyDescent="0.25">
      <c r="B339" t="s">
        <v>83</v>
      </c>
      <c r="C339" s="5">
        <v>167.71428571428532</v>
      </c>
    </row>
    <row r="342" spans="1:3" ht="18.75" x14ac:dyDescent="0.3">
      <c r="A342" s="10" t="s">
        <v>30</v>
      </c>
    </row>
    <row r="344" spans="1:3" x14ac:dyDescent="0.25">
      <c r="A344" t="s">
        <v>0</v>
      </c>
    </row>
    <row r="345" spans="1:3" x14ac:dyDescent="0.25">
      <c r="B345" t="s">
        <v>23</v>
      </c>
    </row>
    <row r="346" spans="1:3" x14ac:dyDescent="0.25">
      <c r="B346">
        <v>0</v>
      </c>
      <c r="C346">
        <v>-95</v>
      </c>
    </row>
    <row r="347" spans="1:3" x14ac:dyDescent="0.25">
      <c r="B347">
        <v>1</v>
      </c>
      <c r="C347">
        <v>-80</v>
      </c>
    </row>
    <row r="348" spans="1:3" x14ac:dyDescent="0.25">
      <c r="B348">
        <v>2</v>
      </c>
      <c r="C348">
        <v>130</v>
      </c>
    </row>
    <row r="349" spans="1:3" x14ac:dyDescent="0.25">
      <c r="B349">
        <v>3</v>
      </c>
      <c r="C349">
        <v>155</v>
      </c>
    </row>
    <row r="351" spans="1:3" x14ac:dyDescent="0.25">
      <c r="B351" t="s">
        <v>31</v>
      </c>
      <c r="C351">
        <f>C346 + C347/(1+C353)^B347 + C348/(1+C353)^B348 + C349/(1+C353)^B349</f>
        <v>6.9229045891461283E-6</v>
      </c>
    </row>
    <row r="353" spans="1:3" x14ac:dyDescent="0.25">
      <c r="B353" t="s">
        <v>9</v>
      </c>
      <c r="C353" s="2">
        <v>0.26334186647347707</v>
      </c>
    </row>
    <row r="356" spans="1:3" x14ac:dyDescent="0.25">
      <c r="A356" t="s">
        <v>10</v>
      </c>
    </row>
    <row r="357" spans="1:3" x14ac:dyDescent="0.25">
      <c r="B357" t="s">
        <v>11</v>
      </c>
      <c r="C357">
        <v>7</v>
      </c>
    </row>
    <row r="358" spans="1:3" x14ac:dyDescent="0.25">
      <c r="B358" t="s">
        <v>12</v>
      </c>
      <c r="C358">
        <v>8.5000000000000006E-2</v>
      </c>
    </row>
    <row r="359" spans="1:3" x14ac:dyDescent="0.25">
      <c r="B359" t="s">
        <v>2</v>
      </c>
      <c r="C359">
        <v>18000000</v>
      </c>
    </row>
    <row r="361" spans="1:3" x14ac:dyDescent="0.25">
      <c r="A361" t="s">
        <v>32</v>
      </c>
      <c r="B361" t="s">
        <v>14</v>
      </c>
      <c r="C361" s="4">
        <f>C359* ((1+C358)^C357-1)/C358 * (1+C358)</f>
        <v>176951506.89134395</v>
      </c>
    </row>
    <row r="362" spans="1:3" x14ac:dyDescent="0.25">
      <c r="A362" t="s">
        <v>33</v>
      </c>
      <c r="B362" t="s">
        <v>13</v>
      </c>
      <c r="C362" s="4">
        <f>C361*(1+C358)^(-C357)</f>
        <v>99964569.051863894</v>
      </c>
    </row>
    <row r="365" spans="1:3" x14ac:dyDescent="0.25">
      <c r="A365" t="s">
        <v>15</v>
      </c>
    </row>
    <row r="366" spans="1:3" x14ac:dyDescent="0.25">
      <c r="B366" t="s">
        <v>11</v>
      </c>
      <c r="C366">
        <v>6</v>
      </c>
    </row>
    <row r="367" spans="1:3" x14ac:dyDescent="0.25">
      <c r="B367" t="s">
        <v>12</v>
      </c>
      <c r="C367">
        <v>7.4999999999999997E-2</v>
      </c>
    </row>
    <row r="368" spans="1:3" x14ac:dyDescent="0.25">
      <c r="B368" t="s">
        <v>13</v>
      </c>
      <c r="C368">
        <v>150000000</v>
      </c>
    </row>
    <row r="370" spans="1:3" x14ac:dyDescent="0.25">
      <c r="B370" t="s">
        <v>2</v>
      </c>
      <c r="C370" s="4">
        <f>C368*C367/((1-(1+C367)^(-C366))*(1+C367))</f>
        <v>29727194.122202765</v>
      </c>
    </row>
    <row r="373" spans="1:3" x14ac:dyDescent="0.25">
      <c r="A373" t="s">
        <v>16</v>
      </c>
    </row>
    <row r="374" spans="1:3" x14ac:dyDescent="0.25">
      <c r="B374" t="s">
        <v>14</v>
      </c>
      <c r="C374">
        <v>150000000</v>
      </c>
    </row>
    <row r="375" spans="1:3" x14ac:dyDescent="0.25">
      <c r="B375" t="s">
        <v>2</v>
      </c>
      <c r="C375">
        <v>20000000</v>
      </c>
    </row>
    <row r="376" spans="1:3" x14ac:dyDescent="0.25">
      <c r="B376" t="s">
        <v>12</v>
      </c>
      <c r="C376">
        <v>0.09</v>
      </c>
    </row>
    <row r="378" spans="1:3" x14ac:dyDescent="0.25">
      <c r="B378" t="s">
        <v>11</v>
      </c>
      <c r="C378" s="6">
        <f>LN(C374/C375 *C376 + 1) /LN(1+C376)</f>
        <v>5.9854601338404327</v>
      </c>
    </row>
    <row r="381" spans="1:3" x14ac:dyDescent="0.25">
      <c r="A381" t="s">
        <v>17</v>
      </c>
    </row>
    <row r="382" spans="1:3" x14ac:dyDescent="0.25">
      <c r="B382" t="s">
        <v>11</v>
      </c>
      <c r="C382">
        <v>6</v>
      </c>
    </row>
    <row r="383" spans="1:3" x14ac:dyDescent="0.25">
      <c r="B383" t="s">
        <v>2</v>
      </c>
      <c r="C383">
        <v>25000000</v>
      </c>
    </row>
    <row r="386" spans="1:3" x14ac:dyDescent="0.25">
      <c r="B386" t="s">
        <v>14</v>
      </c>
      <c r="C386">
        <f>C383*((1 + C388)^C382- 1)/ C388</f>
        <v>200000000.00000158</v>
      </c>
    </row>
    <row r="388" spans="1:3" x14ac:dyDescent="0.25">
      <c r="B388" t="s">
        <v>12</v>
      </c>
      <c r="C388" s="2">
        <v>0.11433800148996058</v>
      </c>
    </row>
    <row r="391" spans="1:3" x14ac:dyDescent="0.25">
      <c r="A391" t="s">
        <v>18</v>
      </c>
    </row>
    <row r="392" spans="1:3" x14ac:dyDescent="0.25">
      <c r="B392" t="s">
        <v>11</v>
      </c>
      <c r="C392">
        <v>9</v>
      </c>
    </row>
    <row r="393" spans="1:3" x14ac:dyDescent="0.25">
      <c r="B393" t="s">
        <v>35</v>
      </c>
      <c r="C393">
        <v>1200000</v>
      </c>
    </row>
    <row r="394" spans="1:3" x14ac:dyDescent="0.25">
      <c r="B394" t="s">
        <v>36</v>
      </c>
      <c r="C394">
        <v>1</v>
      </c>
    </row>
    <row r="395" spans="1:3" x14ac:dyDescent="0.25">
      <c r="B395" t="s">
        <v>37</v>
      </c>
      <c r="C395">
        <v>12</v>
      </c>
    </row>
    <row r="396" spans="1:3" x14ac:dyDescent="0.25">
      <c r="B396" t="s">
        <v>12</v>
      </c>
      <c r="C396" s="9">
        <v>9.5000000000000001E-2</v>
      </c>
    </row>
    <row r="399" spans="1:3" x14ac:dyDescent="0.25">
      <c r="A399" t="s">
        <v>32</v>
      </c>
      <c r="B399" t="s">
        <v>14</v>
      </c>
      <c r="C399" s="4">
        <f>C393 * ((1 + C396/C394)^(C392*C394)-1)/((1+C396/C394)^(C394/C395) - 1)</f>
        <v>199678460.20841372</v>
      </c>
    </row>
    <row r="400" spans="1:3" x14ac:dyDescent="0.25">
      <c r="A400" t="s">
        <v>33</v>
      </c>
      <c r="B400" t="s">
        <v>13</v>
      </c>
      <c r="C400" s="4">
        <f>C399/(1+C396/C394)^(C394*C392)</f>
        <v>88227535.171018943</v>
      </c>
    </row>
    <row r="403" spans="1:3" x14ac:dyDescent="0.25">
      <c r="A403" t="s">
        <v>88</v>
      </c>
    </row>
    <row r="404" spans="1:3" x14ac:dyDescent="0.25">
      <c r="B404" t="s">
        <v>11</v>
      </c>
      <c r="C404">
        <v>8</v>
      </c>
    </row>
    <row r="405" spans="1:3" x14ac:dyDescent="0.25">
      <c r="B405" t="s">
        <v>2</v>
      </c>
      <c r="C405">
        <v>1200000</v>
      </c>
    </row>
    <row r="406" spans="1:3" x14ac:dyDescent="0.25">
      <c r="B406" t="s">
        <v>53</v>
      </c>
      <c r="C406">
        <v>4</v>
      </c>
    </row>
    <row r="407" spans="1:3" x14ac:dyDescent="0.25">
      <c r="B407" t="s">
        <v>12</v>
      </c>
      <c r="C407" s="9">
        <v>8.5000000000000006E-2</v>
      </c>
    </row>
    <row r="410" spans="1:3" x14ac:dyDescent="0.25">
      <c r="B410" t="s">
        <v>54</v>
      </c>
      <c r="C410" s="4">
        <f>C405*(1-(1+C407/C406)^(-C404*C406))/(C406*LN(1+C407/C406))</f>
        <v>6987477.5555780483</v>
      </c>
    </row>
    <row r="411" spans="1:3" x14ac:dyDescent="0.25">
      <c r="B411" t="s">
        <v>55</v>
      </c>
      <c r="C411" s="4">
        <f>C410*(1+C407/C406)^(C404*C406)</f>
        <v>13694514.847134938</v>
      </c>
    </row>
    <row r="413" spans="1:3" x14ac:dyDescent="0.25">
      <c r="A413" t="s">
        <v>19</v>
      </c>
    </row>
    <row r="414" spans="1:3" x14ac:dyDescent="0.25">
      <c r="B414" t="s">
        <v>11</v>
      </c>
      <c r="C414">
        <v>5</v>
      </c>
    </row>
    <row r="415" spans="1:3" x14ac:dyDescent="0.25">
      <c r="B415" t="s">
        <v>14</v>
      </c>
      <c r="C415">
        <v>4000000</v>
      </c>
    </row>
    <row r="416" spans="1:3" x14ac:dyDescent="0.25">
      <c r="B416" t="s">
        <v>36</v>
      </c>
      <c r="C416">
        <v>12</v>
      </c>
    </row>
    <row r="417" spans="1:3" x14ac:dyDescent="0.25">
      <c r="B417" t="s">
        <v>37</v>
      </c>
      <c r="C417">
        <v>4</v>
      </c>
    </row>
    <row r="418" spans="1:3" x14ac:dyDescent="0.25">
      <c r="B418" t="s">
        <v>12</v>
      </c>
      <c r="C418" s="8">
        <v>0.1</v>
      </c>
    </row>
    <row r="421" spans="1:3" x14ac:dyDescent="0.25">
      <c r="B421" t="s">
        <v>2</v>
      </c>
      <c r="C421" s="4">
        <f>C415/ (((1 + C418/C416)^(C414*C416)-1)/((1+C418/C416)^(C416/C417) - 1))</f>
        <v>156259.49481506224</v>
      </c>
    </row>
    <row r="422" spans="1:3" x14ac:dyDescent="0.25">
      <c r="C422" s="4"/>
    </row>
    <row r="424" spans="1:3" x14ac:dyDescent="0.25">
      <c r="A424" t="s">
        <v>27</v>
      </c>
    </row>
    <row r="425" spans="1:3" x14ac:dyDescent="0.25">
      <c r="B425" t="s">
        <v>2</v>
      </c>
      <c r="C425" s="12">
        <v>50000</v>
      </c>
    </row>
    <row r="426" spans="1:3" x14ac:dyDescent="0.25">
      <c r="B426" t="s">
        <v>12</v>
      </c>
      <c r="C426" s="8">
        <v>0.05</v>
      </c>
    </row>
    <row r="429" spans="1:3" x14ac:dyDescent="0.25">
      <c r="B429" t="s">
        <v>13</v>
      </c>
      <c r="C429" s="12">
        <f>C425/C426</f>
        <v>1000000</v>
      </c>
    </row>
  </sheetData>
  <mergeCells count="9">
    <mergeCell ref="A265:C265"/>
    <mergeCell ref="A276:C276"/>
    <mergeCell ref="A287:C287"/>
    <mergeCell ref="A314:C314"/>
    <mergeCell ref="A1:D1"/>
    <mergeCell ref="A121:C121"/>
    <mergeCell ref="A212:C212"/>
    <mergeCell ref="A224:C224"/>
    <mergeCell ref="A254:C2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2024-09-26T19:05:51Z</dcterms:created>
  <dcterms:modified xsi:type="dcterms:W3CDTF">2024-10-05T13:13:42Z</dcterms:modified>
</cp:coreProperties>
</file>