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ОДиМТР\"/>
    </mc:Choice>
  </mc:AlternateContent>
  <xr:revisionPtr revIDLastSave="0" documentId="13_ncr:1_{9973FECF-8DC9-4CD1-A243-7491680EB702}" xr6:coauthVersionLast="47" xr6:coauthVersionMax="47" xr10:uidLastSave="{00000000-0000-0000-0000-000000000000}"/>
  <bookViews>
    <workbookView xWindow="-108" yWindow="-108" windowWidth="23256" windowHeight="13896" xr2:uid="{1007650B-A1F2-40ED-A716-40F9DAF19961}"/>
  </bookViews>
  <sheets>
    <sheet name="Лист1" sheetId="1" r:id="rId1"/>
  </sheets>
  <definedNames>
    <definedName name="solver_adj" localSheetId="0" hidden="1">Лист1!$U$28:$U$44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Лист1!$AH$28</definedName>
    <definedName name="solver_lhs2" localSheetId="0" hidden="1">Лист1!$Y$28:$Y$47</definedName>
    <definedName name="solver_lhs3" localSheetId="0" hidden="1">Лист1!$Y$28:$Y$47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Лист1!$X$32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Лист1!$AH$29</definedName>
    <definedName name="solver_rhs2" localSheetId="0" hidden="1">1E-31</definedName>
    <definedName name="solver_rhs3" localSheetId="0" hidden="1">1E-31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8" i="1"/>
  <c r="B33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8" i="1"/>
  <c r="D67" i="1" l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8" i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38" i="1" a="1"/>
  <c r="F38" i="1" s="1"/>
  <c r="X38" i="1" s="1"/>
  <c r="Y38" i="1" s="1"/>
  <c r="AA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28" i="1" a="1"/>
  <c r="F28" i="1" s="1"/>
  <c r="C47" i="1" a="1"/>
  <c r="C47" i="1"/>
  <c r="X47" i="1" s="1"/>
  <c r="Y47" i="1" s="1"/>
  <c r="Z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28" i="1"/>
  <c r="X29" i="1" l="1"/>
  <c r="Y29" i="1" s="1"/>
  <c r="Z29" i="1" s="1"/>
  <c r="X30" i="1"/>
  <c r="Y30" i="1" s="1"/>
  <c r="X45" i="1"/>
  <c r="Y45" i="1" s="1"/>
  <c r="AA45" i="1" s="1"/>
  <c r="X37" i="1"/>
  <c r="Y37" i="1" s="1"/>
  <c r="AA37" i="1" s="1"/>
  <c r="X41" i="1"/>
  <c r="Y41" i="1" s="1"/>
  <c r="Z41" i="1" s="1"/>
  <c r="X33" i="1"/>
  <c r="Y33" i="1" s="1"/>
  <c r="AA33" i="1" s="1"/>
  <c r="X34" i="1"/>
  <c r="Y34" i="1" s="1"/>
  <c r="Z34" i="1" s="1"/>
  <c r="X36" i="1"/>
  <c r="Y36" i="1" s="1"/>
  <c r="AA36" i="1" s="1"/>
  <c r="X46" i="1"/>
  <c r="Y46" i="1" s="1"/>
  <c r="Z46" i="1" s="1"/>
  <c r="X31" i="1"/>
  <c r="Y31" i="1" s="1"/>
  <c r="Z31" i="1" s="1"/>
  <c r="X44" i="1"/>
  <c r="Y44" i="1" s="1"/>
  <c r="Z44" i="1" s="1"/>
  <c r="X40" i="1"/>
  <c r="Y40" i="1" s="1"/>
  <c r="Z40" i="1" s="1"/>
  <c r="X42" i="1"/>
  <c r="Y42" i="1" s="1"/>
  <c r="Z42" i="1" s="1"/>
  <c r="X43" i="1"/>
  <c r="Y43" i="1" s="1"/>
  <c r="Z43" i="1" s="1"/>
  <c r="X32" i="1"/>
  <c r="Y32" i="1" s="1"/>
  <c r="Z32" i="1" s="1"/>
  <c r="X28" i="1"/>
  <c r="Y28" i="1" s="1"/>
  <c r="Z28" i="1" s="1"/>
  <c r="X39" i="1"/>
  <c r="Y39" i="1" s="1"/>
  <c r="AA39" i="1" s="1"/>
  <c r="X35" i="1"/>
  <c r="Y35" i="1" s="1"/>
  <c r="U46" i="1"/>
  <c r="AD41" i="1" s="1"/>
  <c r="Z45" i="1"/>
  <c r="AA47" i="1"/>
  <c r="Z38" i="1"/>
  <c r="Z30" i="1"/>
  <c r="AA30" i="1"/>
  <c r="AA41" i="1"/>
  <c r="AA42" i="1" l="1"/>
  <c r="AA34" i="1"/>
  <c r="AA29" i="1"/>
  <c r="AA31" i="1"/>
  <c r="AA46" i="1"/>
  <c r="Z36" i="1"/>
  <c r="AC29" i="1"/>
  <c r="Z33" i="1"/>
  <c r="Z37" i="1"/>
  <c r="AA32" i="1"/>
  <c r="AA40" i="1"/>
  <c r="AA28" i="1"/>
  <c r="AA44" i="1"/>
  <c r="AA43" i="1"/>
  <c r="AA35" i="1"/>
  <c r="Z35" i="1"/>
  <c r="Z39" i="1"/>
  <c r="AC43" i="1"/>
  <c r="AC32" i="1"/>
  <c r="AC44" i="1"/>
  <c r="AC45" i="1"/>
  <c r="AC34" i="1"/>
  <c r="AC31" i="1"/>
  <c r="AC33" i="1"/>
  <c r="AC46" i="1"/>
  <c r="AD30" i="1"/>
  <c r="AC41" i="1"/>
  <c r="AC36" i="1"/>
  <c r="AD42" i="1"/>
  <c r="AC30" i="1"/>
  <c r="AC28" i="1"/>
  <c r="AD33" i="1"/>
  <c r="AC42" i="1"/>
  <c r="AD45" i="1"/>
  <c r="AD31" i="1"/>
  <c r="AC37" i="1"/>
  <c r="AD34" i="1"/>
  <c r="AD43" i="1"/>
  <c r="AD35" i="1"/>
  <c r="AC35" i="1"/>
  <c r="AD44" i="1"/>
  <c r="AD47" i="1"/>
  <c r="AC47" i="1"/>
  <c r="AD46" i="1"/>
  <c r="AC40" i="1"/>
  <c r="AD28" i="1"/>
  <c r="AD36" i="1"/>
  <c r="AD38" i="1"/>
  <c r="AD37" i="1"/>
  <c r="AC39" i="1"/>
  <c r="AD39" i="1"/>
  <c r="AC38" i="1"/>
  <c r="AD40" i="1"/>
  <c r="AD29" i="1"/>
  <c r="AD32" i="1"/>
  <c r="AH28" i="1" l="1"/>
  <c r="AH29" i="1"/>
  <c r="AH31" i="1" l="1"/>
  <c r="AH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<sst xmlns="http://schemas.openxmlformats.org/spreadsheetml/2006/main" count="185" uniqueCount="93">
  <si>
    <t>№</t>
  </si>
  <si>
    <t>x1
Размер кредита, руб.</t>
  </si>
  <si>
    <t>x2
Срок кредита</t>
  </si>
  <si>
    <t>x3
Кредитный рейтинг</t>
  </si>
  <si>
    <t>x4
Годовой доход, руб.</t>
  </si>
  <si>
    <t>x5
Стаж на текущем месте, лет</t>
  </si>
  <si>
    <t>x6
Недвижимость</t>
  </si>
  <si>
    <t>x7
Цель</t>
  </si>
  <si>
    <t>x8
Ежемесячный платеж, руб</t>
  </si>
  <si>
    <t>x9
Срок кредитной истории, лет</t>
  </si>
  <si>
    <t>x10
Срок последнего нарушения, мес
(Кол-во мес. без нарушений)</t>
  </si>
  <si>
    <t>x11
Число кредитных карт</t>
  </si>
  <si>
    <t>x12
Число нарушений кредитных договоров</t>
  </si>
  <si>
    <t>Y
Статус кредита</t>
  </si>
  <si>
    <t>краткосрочный</t>
  </si>
  <si>
    <t>ипотека</t>
  </si>
  <si>
    <t>ремонт жилья</t>
  </si>
  <si>
    <t>погашен</t>
  </si>
  <si>
    <t>10+</t>
  </si>
  <si>
    <t>консолидация кредитов</t>
  </si>
  <si>
    <t>8</t>
  </si>
  <si>
    <t>собственность</t>
  </si>
  <si>
    <t>долгосрочный</t>
  </si>
  <si>
    <t>3</t>
  </si>
  <si>
    <t>5</t>
  </si>
  <si>
    <t>аренда</t>
  </si>
  <si>
    <t>не погашен</t>
  </si>
  <si>
    <t>&lt;1</t>
  </si>
  <si>
    <t>приобретение жилья</t>
  </si>
  <si>
    <t>2</t>
  </si>
  <si>
    <t>4</t>
  </si>
  <si>
    <t>9</t>
  </si>
  <si>
    <t>7</t>
  </si>
  <si>
    <t>a0</t>
  </si>
  <si>
    <t>p = 1/ (1 + exp(-U))</t>
  </si>
  <si>
    <t>Y * ln(p)</t>
  </si>
  <si>
    <t>(1 - Y) * ln(1 - p)</t>
  </si>
  <si>
    <t>Y*ln(p^)</t>
  </si>
  <si>
    <t>(1 - Y) * ln(1 - p^)</t>
  </si>
  <si>
    <t>ln L(a0, a1)=</t>
  </si>
  <si>
    <t>-&gt; max</t>
  </si>
  <si>
    <t>a1</t>
  </si>
  <si>
    <t xml:space="preserve">ln L(p=const) = </t>
  </si>
  <si>
    <t>a2</t>
  </si>
  <si>
    <t>a3</t>
  </si>
  <si>
    <t>Отношение правдоподобия=</t>
  </si>
  <si>
    <t xml:space="preserve">Число степеней сбободы = </t>
  </si>
  <si>
    <t xml:space="preserve">p^ = </t>
  </si>
  <si>
    <t xml:space="preserve">P-значение = </t>
  </si>
  <si>
    <t>Пример распознавания:</t>
  </si>
  <si>
    <t xml:space="preserve">x1 = </t>
  </si>
  <si>
    <t>x2 =</t>
  </si>
  <si>
    <t>x3 =</t>
  </si>
  <si>
    <t xml:space="preserve">P{Y^ = 1 : x} = </t>
  </si>
  <si>
    <t>Y^</t>
  </si>
  <si>
    <t>Преобразуем таблицу</t>
  </si>
  <si>
    <t>x6
Недвижимость (ипотека)</t>
  </si>
  <si>
    <t>x6
Недвижимость (собственность)</t>
  </si>
  <si>
    <t>x6
Недвижимость (аренда)</t>
  </si>
  <si>
    <t>x7
Цель (ремонт жилья)</t>
  </si>
  <si>
    <t>X7       Цель (консолидация кредитов)</t>
  </si>
  <si>
    <t>X7
Цель (приобретения жилья)</t>
  </si>
  <si>
    <t xml:space="preserve"> </t>
  </si>
  <si>
    <t>U = a0 + a1*x1 + a2*x2 + a3*x3 + a4*x4 + a5*x5 + a6*x6_1 + a7*x6_2 + a8*x6_3 + a9*x7_1 + a10*x7_2 + a11 * x7_3 + a12 * x8 + a13*x9 + a14*x10 +a15*x11 + a16*x12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</si>
  <si>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</si>
  <si>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</si>
  <si>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</si>
  <si>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</si>
  <si>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</si>
  <si>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</si>
  <si>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</si>
  <si>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</si>
  <si>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</si>
  <si>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</si>
  <si>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</si>
  <si>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</si>
  <si>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</si>
  <si>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x4=</t>
  </si>
  <si>
    <t>x5=</t>
  </si>
  <si>
    <t>x8=</t>
  </si>
  <si>
    <t>x9=</t>
  </si>
  <si>
    <t>x10=</t>
  </si>
  <si>
    <t>x11=</t>
  </si>
  <si>
    <t>x6_1=</t>
  </si>
  <si>
    <t>x6_2=</t>
  </si>
  <si>
    <t>x6_3=</t>
  </si>
  <si>
    <t>x7_1=</t>
  </si>
  <si>
    <t>x7_2=</t>
  </si>
  <si>
    <t>x7_3=</t>
  </si>
  <si>
    <t>x12=</t>
  </si>
  <si>
    <t xml:space="preserve">ИД23-1 </t>
  </si>
  <si>
    <t>Маслов АН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</si>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</sst>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_-* #,##0\ _₽_-;\-* #,##0\ _₽_-;_-* &quot;-&quot;\ _₽_-;_-@_-"/>
    <numFmt numFmtId="169" formatCode="0.0"/>
    <numFmt numFmtId="170" formatCode="_-* #,##0.0\ _₽_-;\-* #,##0.0\ _₽_-;_-* &quot;-&quot;?\ _₽_-;_-@_-"/>
    <numFmt numFmtId="173" formatCode="0.0000"/>
    <numFmt numFmtId="174" formatCode="0.00000"/>
  </numFmts>
  <fonts count="6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charset val="204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top" wrapText="1"/>
    </xf>
    <xf numFmtId="168" fontId="1" fillId="0" borderId="0" xfId="1" applyNumberFormat="1"/>
    <xf numFmtId="0" fontId="1" fillId="0" borderId="0" xfId="1" applyAlignment="1">
      <alignment horizontal="right"/>
    </xf>
    <xf numFmtId="169" fontId="1" fillId="0" borderId="0" xfId="1" applyNumberFormat="1"/>
    <xf numFmtId="49" fontId="1" fillId="0" borderId="0" xfId="1" applyNumberFormat="1" applyAlignment="1">
      <alignment horizontal="center"/>
    </xf>
    <xf numFmtId="1" fontId="1" fillId="0" borderId="0" xfId="1" applyNumberFormat="1"/>
    <xf numFmtId="168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0" fontId="1" fillId="0" borderId="0" xfId="1" applyFill="1" applyAlignment="1">
      <alignment horizontal="center" vertical="top" wrapText="1"/>
    </xf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/>
    <xf numFmtId="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right"/>
    </xf>
    <xf numFmtId="173" fontId="1" fillId="0" borderId="0" xfId="1" applyNumberFormat="1"/>
    <xf numFmtId="174" fontId="1" fillId="0" borderId="0" xfId="1" applyNumberFormat="1"/>
    <xf numFmtId="170" fontId="0" fillId="0" borderId="0" xfId="0" applyNumberFormat="1"/>
    <xf numFmtId="0" fontId="5" fillId="0" borderId="0" xfId="0" applyFont="1"/>
  </cellXfs>
  <cellStyles count="2">
    <cellStyle name="Обычный" xfId="0" builtinId="0"/>
    <cellStyle name="Обычный 2" xfId="1" xr:uid="{41719B64-43A8-4465-8CA8-5FF796EEC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4213-7D2B-43E7-8E29-9151077D84FA}">
  <dimension ref="A1:AI85"/>
  <sheetViews>
    <sheetView tabSelected="1" topLeftCell="D24" zoomScale="70" zoomScaleNormal="70" workbookViewId="0">
      <selection activeCell="D3" sqref="D3"/>
    </sheetView>
  </sheetViews>
  <sheetFormatPr defaultRowHeight="14.4" x14ac:dyDescent="0.3"/>
  <cols>
    <col min="1" max="1" width="11.109375" bestFit="1" customWidth="1"/>
    <col min="2" max="2" width="14.88671875" bestFit="1" customWidth="1"/>
    <col min="3" max="3" width="21.5546875" bestFit="1" customWidth="1"/>
    <col min="4" max="5" width="11.33203125" bestFit="1" customWidth="1"/>
    <col min="6" max="6" width="8.21875" bestFit="1" customWidth="1"/>
    <col min="7" max="7" width="13.44140625" bestFit="1" customWidth="1"/>
    <col min="8" max="8" width="21.44140625" bestFit="1" customWidth="1"/>
    <col min="9" max="9" width="9" bestFit="1" customWidth="1"/>
    <col min="10" max="10" width="8.109375" bestFit="1" customWidth="1"/>
    <col min="11" max="11" width="8.33203125" bestFit="1" customWidth="1"/>
    <col min="12" max="12" width="7.77734375" bestFit="1" customWidth="1"/>
    <col min="13" max="13" width="9" bestFit="1" customWidth="1"/>
    <col min="14" max="14" width="10.5546875" bestFit="1" customWidth="1"/>
    <col min="21" max="21" width="11" bestFit="1" customWidth="1"/>
    <col min="24" max="24" width="12.88671875" bestFit="1" customWidth="1"/>
  </cols>
  <sheetData>
    <row r="1" spans="1:15" ht="21" x14ac:dyDescent="0.4">
      <c r="A1" s="28" t="s">
        <v>90</v>
      </c>
      <c r="B1" s="28" t="s">
        <v>91</v>
      </c>
      <c r="C1" s="28" t="s">
        <v>92</v>
      </c>
    </row>
    <row r="3" spans="1:15" ht="144" x14ac:dyDescent="0.3">
      <c r="A3" s="3" t="s">
        <v>0</v>
      </c>
      <c r="B3" s="9" t="s">
        <v>1</v>
      </c>
      <c r="C3" s="3" t="s">
        <v>2</v>
      </c>
      <c r="D3" s="3" t="s">
        <v>3</v>
      </c>
      <c r="E3" s="9" t="s">
        <v>4</v>
      </c>
      <c r="F3" s="10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11"/>
    </row>
    <row r="4" spans="1:15" x14ac:dyDescent="0.3">
      <c r="A4" s="2">
        <v>1</v>
      </c>
      <c r="B4" s="4">
        <v>445412</v>
      </c>
      <c r="C4" s="1" t="s">
        <v>14</v>
      </c>
      <c r="D4" s="8">
        <v>709</v>
      </c>
      <c r="E4" s="4">
        <v>1167493</v>
      </c>
      <c r="F4" s="7">
        <v>8</v>
      </c>
      <c r="G4" s="1" t="s">
        <v>15</v>
      </c>
      <c r="H4" s="1" t="s">
        <v>16</v>
      </c>
      <c r="I4" s="4">
        <v>5214</v>
      </c>
      <c r="J4" s="6">
        <v>17.2</v>
      </c>
      <c r="K4" s="1"/>
      <c r="L4" s="1">
        <v>1</v>
      </c>
      <c r="M4" s="1">
        <v>1</v>
      </c>
      <c r="N4" s="5" t="s">
        <v>17</v>
      </c>
    </row>
    <row r="5" spans="1:15" x14ac:dyDescent="0.3">
      <c r="A5" s="2">
        <v>2</v>
      </c>
      <c r="B5" s="4">
        <v>262328</v>
      </c>
      <c r="C5" s="1" t="s">
        <v>14</v>
      </c>
      <c r="D5" s="8">
        <v>727.30769230769226</v>
      </c>
      <c r="E5" s="4">
        <v>1358453.2307692308</v>
      </c>
      <c r="F5" s="7" t="s">
        <v>18</v>
      </c>
      <c r="G5" s="1" t="s">
        <v>15</v>
      </c>
      <c r="H5" s="1" t="s">
        <v>19</v>
      </c>
      <c r="I5" s="4">
        <v>33295</v>
      </c>
      <c r="J5" s="6">
        <v>21.1</v>
      </c>
      <c r="K5" s="1">
        <v>8</v>
      </c>
      <c r="L5" s="1">
        <v>3</v>
      </c>
      <c r="M5" s="1">
        <v>1</v>
      </c>
      <c r="N5" s="5" t="s">
        <v>17</v>
      </c>
    </row>
    <row r="6" spans="1:15" x14ac:dyDescent="0.3">
      <c r="A6" s="2">
        <v>3</v>
      </c>
      <c r="B6" s="4">
        <v>336745.8125</v>
      </c>
      <c r="C6" s="1" t="s">
        <v>14</v>
      </c>
      <c r="D6" s="8">
        <v>741</v>
      </c>
      <c r="E6" s="4">
        <v>2231892</v>
      </c>
      <c r="F6" s="7" t="s">
        <v>20</v>
      </c>
      <c r="G6" s="1" t="s">
        <v>21</v>
      </c>
      <c r="H6" s="1" t="s">
        <v>19</v>
      </c>
      <c r="I6" s="4">
        <v>29200</v>
      </c>
      <c r="J6" s="6">
        <v>14.9</v>
      </c>
      <c r="K6" s="1">
        <v>29</v>
      </c>
      <c r="L6" s="1">
        <v>2</v>
      </c>
      <c r="M6" s="1">
        <v>1</v>
      </c>
      <c r="N6" s="5" t="s">
        <v>17</v>
      </c>
    </row>
    <row r="7" spans="1:15" x14ac:dyDescent="0.3">
      <c r="A7" s="2">
        <v>4</v>
      </c>
      <c r="B7" s="4">
        <v>347666</v>
      </c>
      <c r="C7" s="1" t="s">
        <v>22</v>
      </c>
      <c r="D7" s="8">
        <v>721</v>
      </c>
      <c r="E7" s="4">
        <v>806949</v>
      </c>
      <c r="F7" s="7" t="s">
        <v>23</v>
      </c>
      <c r="G7" s="1" t="s">
        <v>21</v>
      </c>
      <c r="H7" s="1" t="s">
        <v>19</v>
      </c>
      <c r="I7" s="4">
        <v>8741</v>
      </c>
      <c r="J7" s="6">
        <v>12</v>
      </c>
      <c r="K7" s="1"/>
      <c r="L7" s="1">
        <v>9</v>
      </c>
      <c r="M7" s="1">
        <v>0</v>
      </c>
      <c r="N7" s="5" t="s">
        <v>17</v>
      </c>
    </row>
    <row r="8" spans="1:15" x14ac:dyDescent="0.3">
      <c r="A8" s="2">
        <v>5</v>
      </c>
      <c r="B8" s="4">
        <v>176220</v>
      </c>
      <c r="C8" s="1" t="s">
        <v>14</v>
      </c>
      <c r="D8" s="8">
        <v>727.30769230769226</v>
      </c>
      <c r="E8" s="4">
        <v>1358453.2307692308</v>
      </c>
      <c r="F8" s="7" t="s">
        <v>24</v>
      </c>
      <c r="G8" s="1" t="s">
        <v>25</v>
      </c>
      <c r="H8" s="1" t="s">
        <v>19</v>
      </c>
      <c r="I8" s="4">
        <v>20693</v>
      </c>
      <c r="J8" s="6">
        <v>6.1</v>
      </c>
      <c r="K8" s="1"/>
      <c r="L8" s="1">
        <v>1</v>
      </c>
      <c r="M8" s="1">
        <v>0</v>
      </c>
      <c r="N8" s="5" t="s">
        <v>17</v>
      </c>
    </row>
    <row r="9" spans="1:15" x14ac:dyDescent="0.3">
      <c r="A9" s="2">
        <v>6</v>
      </c>
      <c r="B9" s="4">
        <v>206602</v>
      </c>
      <c r="C9" s="1" t="s">
        <v>14</v>
      </c>
      <c r="D9" s="8">
        <v>729</v>
      </c>
      <c r="E9" s="4">
        <v>896857</v>
      </c>
      <c r="F9" s="7" t="s">
        <v>18</v>
      </c>
      <c r="G9" s="1" t="s">
        <v>15</v>
      </c>
      <c r="H9" s="1" t="s">
        <v>19</v>
      </c>
      <c r="I9" s="4">
        <v>16367</v>
      </c>
      <c r="J9" s="6">
        <v>17.3</v>
      </c>
      <c r="K9" s="1"/>
      <c r="L9" s="1">
        <v>6</v>
      </c>
      <c r="M9" s="1">
        <v>0</v>
      </c>
      <c r="N9" s="5" t="s">
        <v>26</v>
      </c>
    </row>
    <row r="10" spans="1:15" x14ac:dyDescent="0.3">
      <c r="A10" s="2">
        <v>7</v>
      </c>
      <c r="B10" s="4">
        <v>217646</v>
      </c>
      <c r="C10" s="1" t="s">
        <v>14</v>
      </c>
      <c r="D10" s="8">
        <v>730</v>
      </c>
      <c r="E10" s="4">
        <v>1184194</v>
      </c>
      <c r="F10" s="7" t="s">
        <v>27</v>
      </c>
      <c r="G10" s="1" t="s">
        <v>15</v>
      </c>
      <c r="H10" s="1" t="s">
        <v>19</v>
      </c>
      <c r="I10" s="4">
        <v>10855</v>
      </c>
      <c r="J10" s="6">
        <v>19.600000000000001</v>
      </c>
      <c r="K10" s="1">
        <v>10</v>
      </c>
      <c r="L10" s="1">
        <v>1</v>
      </c>
      <c r="M10" s="1">
        <v>1</v>
      </c>
      <c r="N10" s="5" t="s">
        <v>17</v>
      </c>
    </row>
    <row r="11" spans="1:15" x14ac:dyDescent="0.3">
      <c r="A11" s="2">
        <v>8</v>
      </c>
      <c r="B11" s="4">
        <v>648714</v>
      </c>
      <c r="C11" s="1" t="s">
        <v>22</v>
      </c>
      <c r="D11" s="8">
        <v>727.30769230769226</v>
      </c>
      <c r="E11" s="4">
        <v>1358453.2307692308</v>
      </c>
      <c r="F11" s="7" t="s">
        <v>27</v>
      </c>
      <c r="G11" s="1" t="s">
        <v>15</v>
      </c>
      <c r="H11" s="1" t="s">
        <v>28</v>
      </c>
      <c r="I11" s="4">
        <v>14806</v>
      </c>
      <c r="J11" s="6">
        <v>8.1999999999999993</v>
      </c>
      <c r="K11" s="1">
        <v>8</v>
      </c>
      <c r="L11" s="1">
        <v>1</v>
      </c>
      <c r="M11" s="1">
        <v>1</v>
      </c>
      <c r="N11" s="5" t="s">
        <v>26</v>
      </c>
    </row>
    <row r="12" spans="1:15" x14ac:dyDescent="0.3">
      <c r="A12" s="2">
        <v>9</v>
      </c>
      <c r="B12" s="4">
        <v>548746</v>
      </c>
      <c r="C12" s="1" t="s">
        <v>14</v>
      </c>
      <c r="D12" s="8">
        <v>678</v>
      </c>
      <c r="E12" s="4">
        <v>2559110</v>
      </c>
      <c r="F12" s="7" t="s">
        <v>29</v>
      </c>
      <c r="G12" s="1" t="s">
        <v>25</v>
      </c>
      <c r="H12" s="1" t="s">
        <v>19</v>
      </c>
      <c r="I12" s="4">
        <v>18660</v>
      </c>
      <c r="J12" s="6">
        <v>22.6</v>
      </c>
      <c r="K12" s="1">
        <v>33</v>
      </c>
      <c r="L12" s="1">
        <v>4</v>
      </c>
      <c r="M12" s="1">
        <v>3</v>
      </c>
      <c r="N12" s="5" t="s">
        <v>17</v>
      </c>
    </row>
    <row r="13" spans="1:15" x14ac:dyDescent="0.3">
      <c r="A13" s="2">
        <v>10</v>
      </c>
      <c r="B13" s="4">
        <v>215952</v>
      </c>
      <c r="C13" s="1" t="s">
        <v>14</v>
      </c>
      <c r="D13" s="8">
        <v>739</v>
      </c>
      <c r="E13" s="4">
        <v>1454735</v>
      </c>
      <c r="F13" s="7" t="s">
        <v>27</v>
      </c>
      <c r="G13" s="1" t="s">
        <v>25</v>
      </c>
      <c r="H13" s="1" t="s">
        <v>19</v>
      </c>
      <c r="I13" s="4">
        <v>39277</v>
      </c>
      <c r="J13" s="6">
        <v>13.9</v>
      </c>
      <c r="K13" s="1"/>
      <c r="L13" s="1">
        <v>2</v>
      </c>
      <c r="M13" s="1">
        <v>0</v>
      </c>
      <c r="N13" s="5" t="s">
        <v>17</v>
      </c>
    </row>
    <row r="14" spans="1:15" x14ac:dyDescent="0.3">
      <c r="A14" s="2">
        <v>11</v>
      </c>
      <c r="B14" s="4">
        <v>336745.8125</v>
      </c>
      <c r="C14" s="1" t="s">
        <v>14</v>
      </c>
      <c r="D14" s="8">
        <v>728</v>
      </c>
      <c r="E14" s="4">
        <v>714628</v>
      </c>
      <c r="F14" s="7" t="s">
        <v>23</v>
      </c>
      <c r="G14" s="1" t="s">
        <v>25</v>
      </c>
      <c r="H14" s="1" t="s">
        <v>19</v>
      </c>
      <c r="I14" s="4">
        <v>11851</v>
      </c>
      <c r="J14" s="6">
        <v>16</v>
      </c>
      <c r="K14" s="1">
        <v>76</v>
      </c>
      <c r="L14" s="1">
        <v>46</v>
      </c>
      <c r="M14" s="1">
        <v>0</v>
      </c>
      <c r="N14" s="5" t="s">
        <v>17</v>
      </c>
    </row>
    <row r="15" spans="1:15" x14ac:dyDescent="0.3">
      <c r="A15" s="2">
        <v>12</v>
      </c>
      <c r="B15" s="4">
        <v>541970</v>
      </c>
      <c r="C15" s="1" t="s">
        <v>14</v>
      </c>
      <c r="D15" s="8">
        <v>727.30769230769226</v>
      </c>
      <c r="E15" s="4">
        <v>1358453.2307692308</v>
      </c>
      <c r="F15" s="7" t="s">
        <v>18</v>
      </c>
      <c r="G15" s="1" t="s">
        <v>15</v>
      </c>
      <c r="H15" s="1" t="s">
        <v>16</v>
      </c>
      <c r="I15" s="4">
        <v>23563</v>
      </c>
      <c r="J15" s="6">
        <v>23.2</v>
      </c>
      <c r="K15" s="1"/>
      <c r="L15" s="1">
        <v>2</v>
      </c>
      <c r="M15" s="1">
        <v>0</v>
      </c>
      <c r="N15" s="5" t="s">
        <v>17</v>
      </c>
    </row>
    <row r="16" spans="1:15" x14ac:dyDescent="0.3">
      <c r="A16" s="2">
        <v>13</v>
      </c>
      <c r="B16" s="4">
        <v>336745.8125</v>
      </c>
      <c r="C16" s="1" t="s">
        <v>14</v>
      </c>
      <c r="D16" s="8">
        <v>740</v>
      </c>
      <c r="E16" s="4">
        <v>776188</v>
      </c>
      <c r="F16" s="7" t="s">
        <v>27</v>
      </c>
      <c r="G16" s="1" t="s">
        <v>21</v>
      </c>
      <c r="H16" s="1" t="s">
        <v>19</v>
      </c>
      <c r="I16" s="4">
        <v>11578</v>
      </c>
      <c r="J16" s="6">
        <v>8.5</v>
      </c>
      <c r="K16" s="1">
        <v>25</v>
      </c>
      <c r="L16" s="1">
        <v>6</v>
      </c>
      <c r="M16" s="1">
        <v>2</v>
      </c>
      <c r="N16" s="5" t="s">
        <v>17</v>
      </c>
    </row>
    <row r="17" spans="1:35" x14ac:dyDescent="0.3">
      <c r="A17" s="2">
        <v>14</v>
      </c>
      <c r="B17" s="4">
        <v>336745.8125</v>
      </c>
      <c r="C17" s="1" t="s">
        <v>14</v>
      </c>
      <c r="D17" s="8">
        <v>743</v>
      </c>
      <c r="E17" s="4">
        <v>1560907</v>
      </c>
      <c r="F17" s="7" t="s">
        <v>30</v>
      </c>
      <c r="G17" s="1" t="s">
        <v>25</v>
      </c>
      <c r="H17" s="1" t="s">
        <v>19</v>
      </c>
      <c r="I17" s="4">
        <v>17560</v>
      </c>
      <c r="J17" s="6">
        <v>13.3</v>
      </c>
      <c r="K17" s="1"/>
      <c r="L17" s="1">
        <v>1</v>
      </c>
      <c r="M17" s="1">
        <v>1</v>
      </c>
      <c r="N17" s="5" t="s">
        <v>17</v>
      </c>
    </row>
    <row r="18" spans="1:35" x14ac:dyDescent="0.3">
      <c r="A18" s="2">
        <v>15</v>
      </c>
      <c r="B18" s="4">
        <v>234</v>
      </c>
      <c r="C18" s="1" t="s">
        <v>14</v>
      </c>
      <c r="D18" s="8">
        <v>727</v>
      </c>
      <c r="E18" s="4">
        <v>693234</v>
      </c>
      <c r="F18" s="7" t="s">
        <v>18</v>
      </c>
      <c r="G18" s="1" t="s">
        <v>25</v>
      </c>
      <c r="H18" s="1" t="s">
        <v>19</v>
      </c>
      <c r="I18" s="4">
        <v>14211</v>
      </c>
      <c r="J18" s="6">
        <v>24.7</v>
      </c>
      <c r="K18" s="1">
        <v>46</v>
      </c>
      <c r="L18" s="1">
        <v>1</v>
      </c>
      <c r="M18" s="1">
        <v>1</v>
      </c>
      <c r="N18" s="5" t="s">
        <v>17</v>
      </c>
    </row>
    <row r="19" spans="1:35" x14ac:dyDescent="0.3">
      <c r="A19" s="2">
        <v>16</v>
      </c>
      <c r="B19" s="4">
        <v>449</v>
      </c>
      <c r="C19" s="1" t="s">
        <v>22</v>
      </c>
      <c r="D19" s="8">
        <v>727.30769230769226</v>
      </c>
      <c r="E19" s="4">
        <v>1358453.2307692308</v>
      </c>
      <c r="F19" s="7" t="s">
        <v>31</v>
      </c>
      <c r="G19" s="1" t="s">
        <v>21</v>
      </c>
      <c r="H19" s="1" t="s">
        <v>19</v>
      </c>
      <c r="I19" s="4">
        <v>18904</v>
      </c>
      <c r="J19" s="6">
        <v>19.399999999999999</v>
      </c>
      <c r="K19" s="1"/>
      <c r="L19" s="1">
        <v>8</v>
      </c>
      <c r="M19" s="1">
        <v>0</v>
      </c>
      <c r="N19" s="5" t="s">
        <v>17</v>
      </c>
    </row>
    <row r="20" spans="1:35" x14ac:dyDescent="0.3">
      <c r="A20" s="2">
        <v>17</v>
      </c>
      <c r="B20" s="4">
        <v>653004</v>
      </c>
      <c r="C20" s="1" t="s">
        <v>22</v>
      </c>
      <c r="D20" s="8">
        <v>727.30769230769226</v>
      </c>
      <c r="E20" s="4">
        <v>1358453.2307692308</v>
      </c>
      <c r="F20" s="7" t="s">
        <v>32</v>
      </c>
      <c r="G20" s="1" t="s">
        <v>15</v>
      </c>
      <c r="H20" s="1" t="s">
        <v>19</v>
      </c>
      <c r="I20" s="4">
        <v>14537</v>
      </c>
      <c r="J20" s="6">
        <v>20.5</v>
      </c>
      <c r="K20" s="1"/>
      <c r="L20" s="1">
        <v>9</v>
      </c>
      <c r="M20" s="1">
        <v>0</v>
      </c>
      <c r="N20" s="5" t="s">
        <v>26</v>
      </c>
    </row>
    <row r="21" spans="1:35" x14ac:dyDescent="0.3">
      <c r="A21" s="2">
        <v>18</v>
      </c>
      <c r="B21" s="4">
        <v>666204</v>
      </c>
      <c r="C21" s="1" t="s">
        <v>22</v>
      </c>
      <c r="D21" s="8">
        <v>723</v>
      </c>
      <c r="E21" s="4">
        <v>1821967</v>
      </c>
      <c r="F21" s="7" t="s">
        <v>18</v>
      </c>
      <c r="G21" s="1" t="s">
        <v>15</v>
      </c>
      <c r="H21" s="1" t="s">
        <v>19</v>
      </c>
      <c r="I21" s="4">
        <v>17612</v>
      </c>
      <c r="J21" s="6">
        <v>22</v>
      </c>
      <c r="K21" s="1">
        <v>34</v>
      </c>
      <c r="L21" s="1">
        <v>1</v>
      </c>
      <c r="M21" s="1">
        <v>1</v>
      </c>
      <c r="N21" s="5" t="s">
        <v>17</v>
      </c>
    </row>
    <row r="22" spans="1:35" x14ac:dyDescent="0.3">
      <c r="A22" s="2">
        <v>19</v>
      </c>
      <c r="B22" s="4">
        <v>66396</v>
      </c>
      <c r="C22" s="1" t="s">
        <v>14</v>
      </c>
      <c r="D22" s="8">
        <v>727.30769230769226</v>
      </c>
      <c r="E22" s="4">
        <v>1358453.2307692308</v>
      </c>
      <c r="F22" s="7" t="s">
        <v>18</v>
      </c>
      <c r="G22" s="1" t="s">
        <v>25</v>
      </c>
      <c r="H22" s="1" t="s">
        <v>19</v>
      </c>
      <c r="I22" s="4">
        <v>9898</v>
      </c>
      <c r="J22" s="6">
        <v>27.1</v>
      </c>
      <c r="K22" s="1"/>
      <c r="L22" s="1">
        <v>2</v>
      </c>
      <c r="M22" s="1">
        <v>1</v>
      </c>
      <c r="N22" s="5" t="s">
        <v>17</v>
      </c>
    </row>
    <row r="23" spans="1:35" x14ac:dyDescent="0.3">
      <c r="A23" s="2">
        <v>20</v>
      </c>
      <c r="B23" s="4">
        <v>390390</v>
      </c>
      <c r="C23" s="1" t="s">
        <v>14</v>
      </c>
      <c r="D23" s="8">
        <v>747</v>
      </c>
      <c r="E23" s="4">
        <v>1791738</v>
      </c>
      <c r="F23" s="7" t="s">
        <v>20</v>
      </c>
      <c r="G23" s="1" t="s">
        <v>15</v>
      </c>
      <c r="H23" s="1" t="s">
        <v>16</v>
      </c>
      <c r="I23" s="4">
        <v>2473</v>
      </c>
      <c r="J23" s="6">
        <v>22.7</v>
      </c>
      <c r="K23" s="1"/>
      <c r="L23" s="1">
        <v>6</v>
      </c>
      <c r="M23" s="1">
        <v>0</v>
      </c>
      <c r="N23" s="5" t="s">
        <v>17</v>
      </c>
    </row>
    <row r="25" spans="1:35" ht="21" x14ac:dyDescent="0.4">
      <c r="A25" s="21" t="s">
        <v>55</v>
      </c>
      <c r="B25" s="21"/>
      <c r="C25" s="21"/>
    </row>
    <row r="27" spans="1:35" ht="144" x14ac:dyDescent="0.3">
      <c r="A27" s="3" t="s">
        <v>0</v>
      </c>
      <c r="B27" s="9" t="s">
        <v>1</v>
      </c>
      <c r="C27" s="3" t="s">
        <v>2</v>
      </c>
      <c r="D27" s="3" t="s">
        <v>3</v>
      </c>
      <c r="E27" s="9" t="s">
        <v>4</v>
      </c>
      <c r="F27" s="10" t="s">
        <v>5</v>
      </c>
      <c r="G27" s="3" t="s">
        <v>56</v>
      </c>
      <c r="H27" s="3" t="s">
        <v>57</v>
      </c>
      <c r="I27" s="3" t="s">
        <v>58</v>
      </c>
      <c r="J27" s="3" t="s">
        <v>59</v>
      </c>
      <c r="K27" s="11" t="s">
        <v>60</v>
      </c>
      <c r="L27" s="3" t="s">
        <v>61</v>
      </c>
      <c r="M27" s="3" t="s">
        <v>8</v>
      </c>
      <c r="N27" s="3" t="s">
        <v>9</v>
      </c>
      <c r="O27" s="3" t="s">
        <v>10</v>
      </c>
      <c r="P27" s="3" t="s">
        <v>11</v>
      </c>
      <c r="Q27" s="3" t="s">
        <v>12</v>
      </c>
      <c r="R27" s="3" t="s">
        <v>13</v>
      </c>
      <c r="V27" s="11" t="s">
        <v>62</v>
      </c>
      <c r="X27" s="13" t="s">
        <v>63</v>
      </c>
      <c r="Y27" s="13" t="s">
        <v>34</v>
      </c>
      <c r="Z27" s="13" t="s">
        <v>35</v>
      </c>
      <c r="AA27" s="13" t="s">
        <v>36</v>
      </c>
      <c r="AC27" s="13" t="s">
        <v>37</v>
      </c>
      <c r="AD27" s="13" t="s">
        <v>38</v>
      </c>
    </row>
    <row r="28" spans="1:35" x14ac:dyDescent="0.3">
      <c r="A28" s="2">
        <v>1</v>
      </c>
      <c r="B28" s="26">
        <f>(B4-AVERAGE($B$4:$B$23))/_xlfn.STDEV.S($B$4:$B$23)</f>
        <v>0.53488279108059922</v>
      </c>
      <c r="C28" s="8" cm="1">
        <f t="array" ref="C28">_xlfn.IFS(C4="краткосрочный",0,C4="долгосрочный",1)</f>
        <v>0</v>
      </c>
      <c r="D28" s="25">
        <f>(D4-AVERAGE($D$4:$D$23))/_xlfn.STDEV.S($D$4:$D$23)</f>
        <v>-1.2689655498798018</v>
      </c>
      <c r="E28" s="25">
        <f>(E4-AVERAGE($E$4:$E$23))/_xlfn.STDEV.S($E$4:$E$23)</f>
        <v>-0.39514267355408822</v>
      </c>
      <c r="F28" s="20" cm="1">
        <f t="array" ref="F28">_xlfn.IFS(F4="10+",10,F4="&lt;1",1,TRUE,F4)</f>
        <v>8</v>
      </c>
      <c r="G28" s="23">
        <f>IF(G4="ипотека",1,0)</f>
        <v>1</v>
      </c>
      <c r="H28" s="23">
        <f>IF(G4="собственность",1,0)</f>
        <v>0</v>
      </c>
      <c r="I28" s="23">
        <f>IF(G4="аренда",1,0)</f>
        <v>0</v>
      </c>
      <c r="J28" s="23">
        <f>IF(H4="ремонт жилья",1,0)</f>
        <v>1</v>
      </c>
      <c r="K28" s="23">
        <f>IF(H4="консолидация кредитов",1,0)</f>
        <v>0</v>
      </c>
      <c r="L28" s="23">
        <f>IF(H4="приобретение жилья",1,0)</f>
        <v>0</v>
      </c>
      <c r="M28" s="25">
        <f>(I4-AVERAGE($I$4:$I$23))/_xlfn.STDEV.S($I$4:$I$23)</f>
        <v>-1.2986077174831345</v>
      </c>
      <c r="N28" s="25">
        <f>(J4-AVERAGE($J$4:$J$23))/_xlfn.STDEV.S($J$4:$J$23)</f>
        <v>-5.3971719503565614E-2</v>
      </c>
      <c r="O28" s="25">
        <f>(K4-AVERAGE($K$4:$K$23))/_xlfn.STDEV.S($K$4:$K$23)</f>
        <v>-1.3730433097267523</v>
      </c>
      <c r="P28" s="25">
        <f>(L4-AVERAGE($L$4:$L$23))/_xlfn.STDEV.S($L$4:$L$23)</f>
        <v>-0.46357600824014272</v>
      </c>
      <c r="Q28" s="8">
        <v>1</v>
      </c>
      <c r="R28" s="24">
        <f>IF(N4="погашен",0,1)</f>
        <v>0</v>
      </c>
      <c r="T28" t="s">
        <v>33</v>
      </c>
      <c r="U28" s="12">
        <v>-14.868110305061336</v>
      </c>
      <c r="X28" s="22">
        <f>$U$28 + $U$29 * B28 +$U$30 * C28 + $U$31 *D28 + $U$32*E28 + $U$33*F28 + $U$34*G28 + $U$35*H28 + $U$36*I28 + $U$37*J28 + $U$38*K28 + $U$39*L28 + $U$40*M28 + $U$41*N28 + $U$42*O28 + $U$43*P28 + $U$44*Q28</f>
        <v>-45.066961607432106</v>
      </c>
      <c r="Y28" s="13">
        <f>1 / (1 + EXP(-X28))</f>
        <v>2.6771164196680625E-20</v>
      </c>
      <c r="Z28">
        <f>R28 * LN(Y28)</f>
        <v>0</v>
      </c>
      <c r="AA28">
        <f>(1-R28) * LN(1-Y28)</f>
        <v>0</v>
      </c>
      <c r="AC28">
        <f>R28 * LN($U$46)</f>
        <v>0</v>
      </c>
      <c r="AD28">
        <f>(1-R28) * LN(1-$U$46)</f>
        <v>-0.16251892949777494</v>
      </c>
      <c r="AG28" s="14" t="s">
        <v>39</v>
      </c>
      <c r="AH28" s="15">
        <f>SUM(Z28:AA47)</f>
        <v>-4.4857916027052118</v>
      </c>
      <c r="AI28" s="16" t="s">
        <v>40</v>
      </c>
    </row>
    <row r="29" spans="1:35" x14ac:dyDescent="0.3">
      <c r="A29" s="2">
        <v>2</v>
      </c>
      <c r="B29" s="26">
        <f t="shared" ref="B29:B47" si="0">(B5-AVERAGE($B$4:$B$23))/_xlfn.STDEV.S($B$4:$B$23)</f>
        <v>-0.36630352248359416</v>
      </c>
      <c r="C29" s="8" cm="1">
        <f t="array" ref="C29">_xlfn.IFS(C5="краткосрочный",0,C5="долгосрочный",1)</f>
        <v>0</v>
      </c>
      <c r="D29" s="25">
        <f t="shared" ref="D29:D47" si="1">(D5-AVERAGE($D$4:$D$23))/_xlfn.STDEV.S($D$4:$D$23)</f>
        <v>7.8800035590991504E-15</v>
      </c>
      <c r="E29" s="25">
        <f t="shared" ref="E29:E47" si="2">(E5-AVERAGE($E$4:$E$23))/_xlfn.STDEV.S($E$4:$E$23)</f>
        <v>0</v>
      </c>
      <c r="F29" s="20" cm="1">
        <f t="array" ref="F29">_xlfn.IFS(F5="10+",10,F5="&lt;1",1,TRUE,F5)</f>
        <v>10</v>
      </c>
      <c r="G29" s="23">
        <f t="shared" ref="G29:G47" si="3">IF(G5="ипотека",1,0)</f>
        <v>1</v>
      </c>
      <c r="H29" s="23">
        <f t="shared" ref="H29:H47" si="4">IF(G5="собственность",1,0)</f>
        <v>0</v>
      </c>
      <c r="I29" s="23">
        <f t="shared" ref="I29:I47" si="5">IF(G5="аренда",1,0)</f>
        <v>0</v>
      </c>
      <c r="J29" s="23">
        <f t="shared" ref="J29:J47" si="6">IF(H5="ремонт жилья",1,0)</f>
        <v>0</v>
      </c>
      <c r="K29" s="23">
        <f t="shared" ref="K29:K47" si="7">IF(H5="консолидация кредитов",1,0)</f>
        <v>1</v>
      </c>
      <c r="L29" s="23">
        <f t="shared" ref="L29:L47" si="8">IF(H5="приобретение жилья",1,0)</f>
        <v>0</v>
      </c>
      <c r="M29" s="25">
        <f t="shared" ref="M29:M47" si="9">(I5-AVERAGE($I$4:$I$23))/_xlfn.STDEV.S($I$4:$I$23)</f>
        <v>1.8047008640664604</v>
      </c>
      <c r="N29" s="25">
        <f t="shared" ref="N29:N47" si="10">(J5-AVERAGE($J$4:$J$23))/_xlfn.STDEV.S($J$4:$J$23)</f>
        <v>0.61424956958819676</v>
      </c>
      <c r="O29" s="25">
        <f t="shared" ref="O29:O47" si="11">(K5-AVERAGE($K$4:$K$23))/_xlfn.STDEV.S($K$4:$K$23)</f>
        <v>-1.0055372937404097</v>
      </c>
      <c r="P29" s="25">
        <f t="shared" ref="P29:P47" si="12">(L5-AVERAGE($L$4:$L$23))/_xlfn.STDEV.S($L$4:$L$23)</f>
        <v>-0.26202122204877631</v>
      </c>
      <c r="Q29" s="8">
        <v>1</v>
      </c>
      <c r="R29" s="24">
        <f>IF(N5="погашен",0,1)</f>
        <v>0</v>
      </c>
      <c r="T29" t="s">
        <v>41</v>
      </c>
      <c r="U29" s="12">
        <v>3.3925854336863512</v>
      </c>
      <c r="X29" s="22">
        <f>$U$28 + $U$29 * B29 +$U$30 * C29 + $U$31 *D29 + $U$32*E29 + $U$33*F29 + $U$34*G29 + $U$35*H29 + $U$36*I29 + $U$37*J29 + $U$38*K29 + $U$39*L29 + $U$40*M29 + $U$41*N29 + $U$42*O29 + $U$43*P29 + $U$44*Q29</f>
        <v>-33.852045777925234</v>
      </c>
      <c r="Y29" s="13">
        <f t="shared" ref="Y29:Y47" si="13">1 / (1 + EXP(-X29))</f>
        <v>1.9872079572186608E-15</v>
      </c>
      <c r="Z29">
        <f t="shared" ref="Z29:Z47" si="14">R29 * LN(Y29)</f>
        <v>0</v>
      </c>
      <c r="AA29">
        <f t="shared" ref="AA29:AA47" si="15">(1-R29) * LN(1-Y29)</f>
        <v>-1.9984014443252837E-15</v>
      </c>
      <c r="AC29">
        <f t="shared" ref="AC29:AC47" si="16">R29 * LN($U$46)</f>
        <v>0</v>
      </c>
      <c r="AD29">
        <f t="shared" ref="AD29:AD47" si="17">(1-R29) * LN(1-$U$46)</f>
        <v>-0.16251892949777494</v>
      </c>
      <c r="AG29" s="14" t="s">
        <v>42</v>
      </c>
      <c r="AH29" s="17">
        <f>SUM(AC28:AD47)</f>
        <v>-8.4541817561198194</v>
      </c>
    </row>
    <row r="30" spans="1:35" x14ac:dyDescent="0.3">
      <c r="A30" s="2">
        <v>3</v>
      </c>
      <c r="B30" s="26">
        <f t="shared" si="0"/>
        <v>0</v>
      </c>
      <c r="C30" s="8" cm="1">
        <f t="array" ref="C30">_xlfn.IFS(C6="краткосрочный",0,C6="долгосрочный",1)</f>
        <v>0</v>
      </c>
      <c r="D30" s="25">
        <f t="shared" si="1"/>
        <v>0.94905826839751795</v>
      </c>
      <c r="E30" s="25">
        <f t="shared" si="2"/>
        <v>1.8073550134987029</v>
      </c>
      <c r="F30" s="20" t="str" cm="1">
        <f t="array" ref="F30">_xlfn.IFS(F6="10+",10,F6="&lt;1",1,TRUE,F6)</f>
        <v>8</v>
      </c>
      <c r="G30" s="23">
        <f t="shared" si="3"/>
        <v>0</v>
      </c>
      <c r="H30" s="23">
        <f t="shared" si="4"/>
        <v>1</v>
      </c>
      <c r="I30" s="23">
        <f t="shared" si="5"/>
        <v>0</v>
      </c>
      <c r="J30" s="23">
        <f t="shared" si="6"/>
        <v>0</v>
      </c>
      <c r="K30" s="23">
        <f t="shared" si="7"/>
        <v>1</v>
      </c>
      <c r="L30" s="23">
        <f t="shared" si="8"/>
        <v>0</v>
      </c>
      <c r="M30" s="25">
        <f t="shared" si="9"/>
        <v>1.3521511457001061</v>
      </c>
      <c r="N30" s="25">
        <f t="shared" si="10"/>
        <v>-0.44805094127563022</v>
      </c>
      <c r="O30" s="25">
        <f t="shared" si="11"/>
        <v>-4.0834001776260308E-2</v>
      </c>
      <c r="P30" s="25">
        <f t="shared" si="12"/>
        <v>-0.36279861514445949</v>
      </c>
      <c r="Q30" s="8">
        <v>1</v>
      </c>
      <c r="R30" s="24">
        <f>IF(N6="погашен",0,1)</f>
        <v>0</v>
      </c>
      <c r="T30" t="s">
        <v>43</v>
      </c>
      <c r="U30" s="12">
        <v>4.8450764200329299</v>
      </c>
      <c r="X30" s="22">
        <f>$U$28 + $U$29 * B30 +$U$30 * C30 + $U$31 *D30 + $U$32*E30 + $U$33*F30 + $U$34*G30 + $U$35*H30 + $U$36*I30 + $U$37*J30 + $U$38*K30 + $U$39*L30 + $U$40*M30 + $U$41*N30 + $U$42*O30 + $U$43*P30 + $U$44*Q30</f>
        <v>-51.9159852286448</v>
      </c>
      <c r="Y30" s="13">
        <f t="shared" si="13"/>
        <v>2.8390568734827991E-23</v>
      </c>
      <c r="Z30">
        <f t="shared" si="14"/>
        <v>0</v>
      </c>
      <c r="AA30">
        <f t="shared" si="15"/>
        <v>0</v>
      </c>
      <c r="AC30">
        <f t="shared" si="16"/>
        <v>0</v>
      </c>
      <c r="AD30">
        <f t="shared" si="17"/>
        <v>-0.16251892949777494</v>
      </c>
    </row>
    <row r="31" spans="1:35" x14ac:dyDescent="0.3">
      <c r="A31" s="2">
        <v>4</v>
      </c>
      <c r="B31" s="26">
        <f t="shared" si="0"/>
        <v>5.375195820800717E-2</v>
      </c>
      <c r="C31" s="8" cm="1">
        <f t="array" ref="C31">_xlfn.IFS(C7="краткосрочный",0,C7="долгосрочный",1)</f>
        <v>1</v>
      </c>
      <c r="D31" s="25">
        <f t="shared" si="1"/>
        <v>-0.43720661802580696</v>
      </c>
      <c r="E31" s="25">
        <f t="shared" si="2"/>
        <v>-1.1411949773243488</v>
      </c>
      <c r="F31" s="20" t="str" cm="1">
        <f t="array" ref="F31">_xlfn.IFS(F7="10+",10,F7="&lt;1",1,TRUE,F7)</f>
        <v>3</v>
      </c>
      <c r="G31" s="23">
        <f t="shared" si="3"/>
        <v>0</v>
      </c>
      <c r="H31" s="23">
        <f t="shared" si="4"/>
        <v>1</v>
      </c>
      <c r="I31" s="23">
        <f t="shared" si="5"/>
        <v>0</v>
      </c>
      <c r="J31" s="23">
        <f t="shared" si="6"/>
        <v>0</v>
      </c>
      <c r="K31" s="23">
        <f t="shared" si="7"/>
        <v>1</v>
      </c>
      <c r="L31" s="23">
        <f t="shared" si="8"/>
        <v>0</v>
      </c>
      <c r="M31" s="25">
        <f t="shared" si="9"/>
        <v>-0.90882924210385962</v>
      </c>
      <c r="N31" s="25">
        <f t="shared" si="10"/>
        <v>-0.94493343829258158</v>
      </c>
      <c r="O31" s="25">
        <f t="shared" si="11"/>
        <v>-1.3730433097267523</v>
      </c>
      <c r="P31" s="25">
        <f t="shared" si="12"/>
        <v>0.34264313652532291</v>
      </c>
      <c r="Q31" s="8">
        <v>0</v>
      </c>
      <c r="R31" s="24">
        <f>IF(N7="погашен",0,1)</f>
        <v>0</v>
      </c>
      <c r="T31" t="s">
        <v>44</v>
      </c>
      <c r="U31" s="12">
        <v>-3.733489719397478E-2</v>
      </c>
      <c r="X31" s="22">
        <f>$U$28 + $U$29 * B31 +$U$30 * C31 + $U$31 *D31 + $U$32*E31 + $U$33*F31 + $U$34*G31 + $U$35*H31 + $U$36*I31 + $U$37*J31 + $U$38*K31 + $U$39*L31 + $U$40*M31 + $U$41*N31 + $U$42*O31 + $U$43*P31 + $U$44*Q31</f>
        <v>-18.755024565298267</v>
      </c>
      <c r="Y31" s="13">
        <f t="shared" si="13"/>
        <v>7.1580762484688422E-9</v>
      </c>
      <c r="Z31">
        <f t="shared" si="14"/>
        <v>0</v>
      </c>
      <c r="AA31">
        <f t="shared" si="15"/>
        <v>-7.1580762684715012E-9</v>
      </c>
      <c r="AC31">
        <f t="shared" si="16"/>
        <v>0</v>
      </c>
      <c r="AD31">
        <f t="shared" si="17"/>
        <v>-0.16251892949777494</v>
      </c>
      <c r="AG31" s="18" t="s">
        <v>45</v>
      </c>
      <c r="AH31">
        <f>2*(AH28-AH29)</f>
        <v>7.9367803068292151</v>
      </c>
    </row>
    <row r="32" spans="1:35" x14ac:dyDescent="0.3">
      <c r="A32" s="2">
        <v>5</v>
      </c>
      <c r="B32" s="26">
        <f t="shared" si="0"/>
        <v>-0.79014914027862571</v>
      </c>
      <c r="C32" s="8" cm="1">
        <f t="array" ref="C32">_xlfn.IFS(C8="краткосрочный",0,C8="долгосрочный",1)</f>
        <v>0</v>
      </c>
      <c r="D32" s="25">
        <f t="shared" si="1"/>
        <v>7.8800035590991504E-15</v>
      </c>
      <c r="E32" s="25">
        <f t="shared" si="2"/>
        <v>0</v>
      </c>
      <c r="F32" s="20" t="str" cm="1">
        <f t="array" ref="F32">_xlfn.IFS(F8="10+",10,F8="&lt;1",1,TRUE,F8)</f>
        <v>5</v>
      </c>
      <c r="G32" s="23">
        <f t="shared" si="3"/>
        <v>0</v>
      </c>
      <c r="H32" s="23">
        <f t="shared" si="4"/>
        <v>0</v>
      </c>
      <c r="I32" s="23">
        <f t="shared" si="5"/>
        <v>1</v>
      </c>
      <c r="J32" s="23">
        <f t="shared" si="6"/>
        <v>0</v>
      </c>
      <c r="K32" s="23">
        <f t="shared" si="7"/>
        <v>1</v>
      </c>
      <c r="L32" s="23">
        <f t="shared" si="8"/>
        <v>0</v>
      </c>
      <c r="M32" s="25">
        <f t="shared" si="9"/>
        <v>0.41201916666651034</v>
      </c>
      <c r="N32" s="25">
        <f t="shared" si="10"/>
        <v>-1.9558323115339651</v>
      </c>
      <c r="O32" s="25">
        <f t="shared" si="11"/>
        <v>-1.3730433097267523</v>
      </c>
      <c r="P32" s="25">
        <f t="shared" si="12"/>
        <v>-0.46357600824014272</v>
      </c>
      <c r="Q32" s="8">
        <v>0</v>
      </c>
      <c r="R32" s="24">
        <f>IF(N8="погашен",0,1)</f>
        <v>0</v>
      </c>
      <c r="T32" t="s">
        <v>64</v>
      </c>
      <c r="U32" s="12">
        <v>1.2614196594400826</v>
      </c>
      <c r="X32" s="22">
        <f>$U$28 + $U$29 * B32 +$U$30 * C32 + $U$31 *D32 + $U$32*E32 + $U$33*F32 + $U$34*G32 + $U$35*H32 + $U$36*I32 + $U$37*J32 + $U$38*K32 + $U$39*L32 + $U$40*M32 + $U$41*N32 + $U$42*O32 + $U$43*P32 + $U$44*Q32</f>
        <v>-3.1086244689504383E-15</v>
      </c>
      <c r="Y32" s="13">
        <f t="shared" si="13"/>
        <v>0.49999999999999922</v>
      </c>
      <c r="Z32">
        <f t="shared" si="14"/>
        <v>0</v>
      </c>
      <c r="AA32">
        <f t="shared" si="15"/>
        <v>-0.69314718055994373</v>
      </c>
      <c r="AC32">
        <f t="shared" si="16"/>
        <v>0</v>
      </c>
      <c r="AD32">
        <f t="shared" si="17"/>
        <v>-0.16251892949777494</v>
      </c>
      <c r="AG32" s="18" t="s">
        <v>46</v>
      </c>
      <c r="AH32">
        <v>12</v>
      </c>
    </row>
    <row r="33" spans="1:34" x14ac:dyDescent="0.3">
      <c r="A33" s="2">
        <v>6</v>
      </c>
      <c r="B33" s="26">
        <f>(B9-AVERAGE($B$4:$B$23))/_xlfn.STDEV.S($B$4:$B$23)</f>
        <v>-0.6406011591404196</v>
      </c>
      <c r="C33" s="8" cm="1">
        <f t="array" ref="C33">_xlfn.IFS(C9="краткосрочный",0,C9="долгосрочный",1)</f>
        <v>0</v>
      </c>
      <c r="D33" s="25">
        <f t="shared" si="1"/>
        <v>0.11729933654352302</v>
      </c>
      <c r="E33" s="25">
        <f t="shared" si="2"/>
        <v>-0.95515368825179003</v>
      </c>
      <c r="F33" s="20" cm="1">
        <f t="array" ref="F33">_xlfn.IFS(F9="10+",10,F9="&lt;1",1,TRUE,F9)</f>
        <v>10</v>
      </c>
      <c r="G33" s="23">
        <f t="shared" si="3"/>
        <v>1</v>
      </c>
      <c r="H33" s="23">
        <f t="shared" si="4"/>
        <v>0</v>
      </c>
      <c r="I33" s="23">
        <f t="shared" si="5"/>
        <v>0</v>
      </c>
      <c r="J33" s="23">
        <f t="shared" si="6"/>
        <v>0</v>
      </c>
      <c r="K33" s="23">
        <f t="shared" si="7"/>
        <v>1</v>
      </c>
      <c r="L33" s="23">
        <f t="shared" si="8"/>
        <v>0</v>
      </c>
      <c r="M33" s="25">
        <f t="shared" si="9"/>
        <v>-6.6058997351279167E-2</v>
      </c>
      <c r="N33" s="25">
        <f t="shared" si="10"/>
        <v>-3.6837840296084293E-2</v>
      </c>
      <c r="O33" s="25">
        <f t="shared" si="11"/>
        <v>-1.3730433097267523</v>
      </c>
      <c r="P33" s="25">
        <f t="shared" si="12"/>
        <v>4.0310957238273319E-2</v>
      </c>
      <c r="Q33" s="8">
        <v>0</v>
      </c>
      <c r="R33" s="24">
        <f>IF(N9="погашен",0,1)</f>
        <v>1</v>
      </c>
      <c r="T33" t="s">
        <v>65</v>
      </c>
      <c r="U33" s="12">
        <v>0.39791744119938821</v>
      </c>
      <c r="X33" s="22">
        <f>$U$28 + $U$29 * B33 +$U$30 * C33 + $U$31 *D33 + $U$32*E33 + $U$33*F33 + $U$34*G33 + $U$35*H33 + $U$36*I33 + $U$37*J33 + $U$38*K33 + $U$39*L33 + $U$40*M33 + $U$41*N33 + $U$42*O33 + $U$43*P33 + $U$44*Q33</f>
        <v>-3.7059806044136914</v>
      </c>
      <c r="Y33" s="22">
        <f>1 / (1 + EXP(-X33))</f>
        <v>2.3986608669766218E-2</v>
      </c>
      <c r="Z33">
        <f t="shared" si="14"/>
        <v>-3.7302595764516231</v>
      </c>
      <c r="AA33" s="27">
        <f>(1-R33) * LN(1-Y33)</f>
        <v>0</v>
      </c>
      <c r="AC33">
        <f t="shared" si="16"/>
        <v>-1.8971199848858813</v>
      </c>
      <c r="AD33">
        <f t="shared" si="17"/>
        <v>0</v>
      </c>
      <c r="AG33" s="18"/>
    </row>
    <row r="34" spans="1:34" x14ac:dyDescent="0.3">
      <c r="A34" s="2">
        <v>7</v>
      </c>
      <c r="B34" s="26">
        <f t="shared" si="0"/>
        <v>-0.58623976411407686</v>
      </c>
      <c r="C34" s="8" cm="1">
        <f t="array" ref="C34">_xlfn.IFS(C10="краткосрочный",0,C10="долгосрочный",1)</f>
        <v>0</v>
      </c>
      <c r="D34" s="25">
        <f t="shared" si="1"/>
        <v>0.18661258086468926</v>
      </c>
      <c r="E34" s="25">
        <f t="shared" si="2"/>
        <v>-0.36058428532611292</v>
      </c>
      <c r="F34" s="20" cm="1">
        <f t="array" ref="F34">_xlfn.IFS(F10="10+",10,F10="&lt;1",1,TRUE,F10)</f>
        <v>1</v>
      </c>
      <c r="G34" s="23">
        <f t="shared" si="3"/>
        <v>1</v>
      </c>
      <c r="H34" s="23">
        <f t="shared" si="4"/>
        <v>0</v>
      </c>
      <c r="I34" s="23">
        <f t="shared" si="5"/>
        <v>0</v>
      </c>
      <c r="J34" s="23">
        <f t="shared" si="6"/>
        <v>0</v>
      </c>
      <c r="K34" s="23">
        <f t="shared" si="7"/>
        <v>1</v>
      </c>
      <c r="L34" s="23">
        <f t="shared" si="8"/>
        <v>0</v>
      </c>
      <c r="M34" s="25">
        <f t="shared" si="9"/>
        <v>-0.67520528493011778</v>
      </c>
      <c r="N34" s="25">
        <f t="shared" si="10"/>
        <v>0.35724138147598061</v>
      </c>
      <c r="O34" s="25">
        <f t="shared" si="11"/>
        <v>-0.91366078974382403</v>
      </c>
      <c r="P34" s="25">
        <f t="shared" si="12"/>
        <v>-0.46357600824014272</v>
      </c>
      <c r="Q34" s="8">
        <v>1</v>
      </c>
      <c r="R34" s="24">
        <f>IF(N10="погашен",0,1)</f>
        <v>0</v>
      </c>
      <c r="T34" t="s">
        <v>66</v>
      </c>
      <c r="U34" s="12">
        <v>-5.8841325760181196E-2</v>
      </c>
      <c r="X34" s="22">
        <f>$U$28 + $U$29 * B34 +$U$30 * C34 + $U$31 *D34 + $U$32*E34 + $U$33*F34 + $U$34*G34 + $U$35*H34 + $U$36*I34 + $U$37*J34 + $U$38*K34 + $U$39*L34 + $U$40*M34 + $U$41*N34 + $U$42*O34 + $U$43*P34 + $U$44*Q34</f>
        <v>-40.11501192433029</v>
      </c>
      <c r="Y34" s="13">
        <f t="shared" si="13"/>
        <v>3.7867939952378813E-18</v>
      </c>
      <c r="Z34">
        <f t="shared" si="14"/>
        <v>0</v>
      </c>
      <c r="AA34">
        <f t="shared" si="15"/>
        <v>0</v>
      </c>
      <c r="AC34">
        <f t="shared" si="16"/>
        <v>0</v>
      </c>
      <c r="AD34">
        <f t="shared" si="17"/>
        <v>-0.16251892949777494</v>
      </c>
      <c r="AG34" s="18" t="s">
        <v>48</v>
      </c>
      <c r="AH34" s="19">
        <f>1-_xlfn.CHISQ.DIST(AH31,AH32,TRUE)</f>
        <v>0.79005107309055256</v>
      </c>
    </row>
    <row r="35" spans="1:34" x14ac:dyDescent="0.3">
      <c r="A35" s="2">
        <v>8</v>
      </c>
      <c r="B35" s="26">
        <f t="shared" si="0"/>
        <v>1.5355872760177189</v>
      </c>
      <c r="C35" s="8" cm="1">
        <f t="array" ref="C35">_xlfn.IFS(C11="краткосрочный",0,C11="долгосрочный",1)</f>
        <v>1</v>
      </c>
      <c r="D35" s="25">
        <f t="shared" si="1"/>
        <v>7.8800035590991504E-15</v>
      </c>
      <c r="E35" s="25">
        <f t="shared" si="2"/>
        <v>0</v>
      </c>
      <c r="F35" s="20" cm="1">
        <f t="array" ref="F35">_xlfn.IFS(F11="10+",10,F11="&lt;1",1,TRUE,F11)</f>
        <v>1</v>
      </c>
      <c r="G35" s="23">
        <f t="shared" si="3"/>
        <v>1</v>
      </c>
      <c r="H35" s="23">
        <f t="shared" si="4"/>
        <v>0</v>
      </c>
      <c r="I35" s="23">
        <f t="shared" si="5"/>
        <v>0</v>
      </c>
      <c r="J35" s="23">
        <f t="shared" si="6"/>
        <v>0</v>
      </c>
      <c r="K35" s="23">
        <f t="shared" si="7"/>
        <v>0</v>
      </c>
      <c r="L35" s="23">
        <f t="shared" si="8"/>
        <v>1</v>
      </c>
      <c r="M35" s="25">
        <f t="shared" si="9"/>
        <v>-0.23856940281400904</v>
      </c>
      <c r="N35" s="25">
        <f t="shared" si="10"/>
        <v>-1.5960208481768625</v>
      </c>
      <c r="O35" s="25">
        <f t="shared" si="11"/>
        <v>-1.0055372937404097</v>
      </c>
      <c r="P35" s="25">
        <f t="shared" si="12"/>
        <v>-0.46357600824014272</v>
      </c>
      <c r="Q35" s="8">
        <v>1</v>
      </c>
      <c r="R35" s="24">
        <f>IF(N11="погашен",0,1)</f>
        <v>1</v>
      </c>
      <c r="T35" t="s">
        <v>67</v>
      </c>
      <c r="U35" s="12">
        <v>-29.931501368394635</v>
      </c>
      <c r="X35" s="22">
        <f>$U$28 + $U$29 * B35 +$U$30 * C35 + $U$31 *D35 + $U$32*E35 + $U$33*F35 + $U$34*G35 + $U$35*H35 + $U$36*I35 + $U$37*J35 + $U$38*K35 + $U$39*L35 + $U$40*M35 + $U$41*N35 + $U$42*O35 + $U$43*P35 + $U$44*Q35</f>
        <v>8.5124890806156159</v>
      </c>
      <c r="Y35" s="22">
        <f>1 / (1 + EXP(-X35))</f>
        <v>0.99979909733149275</v>
      </c>
      <c r="Z35" s="27">
        <f>R35 * LN(Y35)</f>
        <v>-2.0092285215170299E-4</v>
      </c>
      <c r="AA35">
        <f>(1-R35) * LN(1-Y35)</f>
        <v>0</v>
      </c>
      <c r="AC35">
        <f t="shared" si="16"/>
        <v>-1.8971199848858813</v>
      </c>
      <c r="AD35">
        <f t="shared" si="17"/>
        <v>0</v>
      </c>
      <c r="AG35" s="18"/>
    </row>
    <row r="36" spans="1:34" x14ac:dyDescent="0.3">
      <c r="A36" s="2">
        <v>9</v>
      </c>
      <c r="B36" s="26">
        <f t="shared" si="0"/>
        <v>1.0435191903609424</v>
      </c>
      <c r="C36" s="8" cm="1">
        <f t="array" ref="C36">_xlfn.IFS(C12="краткосрочный",0,C12="долгосрочный",1)</f>
        <v>0</v>
      </c>
      <c r="D36" s="25">
        <f t="shared" si="1"/>
        <v>-3.4176761238359554</v>
      </c>
      <c r="E36" s="25">
        <f t="shared" si="2"/>
        <v>2.4844478031030151</v>
      </c>
      <c r="F36" s="20" t="str" cm="1">
        <f t="array" ref="F36">_xlfn.IFS(F12="10+",10,F12="&lt;1",1,TRUE,F12)</f>
        <v>2</v>
      </c>
      <c r="G36" s="23">
        <f t="shared" si="3"/>
        <v>0</v>
      </c>
      <c r="H36" s="23">
        <f t="shared" si="4"/>
        <v>0</v>
      </c>
      <c r="I36" s="23">
        <f t="shared" si="5"/>
        <v>1</v>
      </c>
      <c r="J36" s="23">
        <f t="shared" si="6"/>
        <v>0</v>
      </c>
      <c r="K36" s="23">
        <f t="shared" si="7"/>
        <v>1</v>
      </c>
      <c r="L36" s="23">
        <f t="shared" si="8"/>
        <v>0</v>
      </c>
      <c r="M36" s="25">
        <f t="shared" si="9"/>
        <v>0.18734674238353161</v>
      </c>
      <c r="N36" s="25">
        <f t="shared" si="10"/>
        <v>0.87125775770041292</v>
      </c>
      <c r="O36" s="25">
        <f t="shared" si="11"/>
        <v>0.142919006216911</v>
      </c>
      <c r="P36" s="25">
        <f t="shared" si="12"/>
        <v>-0.16124382895309308</v>
      </c>
      <c r="Q36" s="8">
        <v>3</v>
      </c>
      <c r="R36" s="24">
        <f>IF(N12="погашен",0,1)</f>
        <v>0</v>
      </c>
      <c r="T36" t="s">
        <v>68</v>
      </c>
      <c r="U36" s="12">
        <v>-17.06972555481935</v>
      </c>
      <c r="X36" s="22">
        <f>$U$28 + $U$29 * B36 +$U$30 * C36 + $U$31 *D36 + $U$32*E36 + $U$33*F36 + $U$34*G36 + $U$35*H36 + $U$36*I36 + $U$37*J36 + $U$38*K36 + $U$39*L36 + $U$40*M36 + $U$41*N36 + $U$42*O36 + $U$43*P36 + $U$44*Q36</f>
        <v>-104.72537484537766</v>
      </c>
      <c r="Y36" s="13">
        <f t="shared" si="13"/>
        <v>3.2987362228424327E-46</v>
      </c>
      <c r="Z36">
        <f t="shared" si="14"/>
        <v>0</v>
      </c>
      <c r="AA36">
        <f t="shared" si="15"/>
        <v>0</v>
      </c>
      <c r="AC36">
        <f t="shared" si="16"/>
        <v>0</v>
      </c>
      <c r="AD36">
        <f t="shared" si="17"/>
        <v>-0.16251892949777494</v>
      </c>
      <c r="AG36" s="18"/>
    </row>
    <row r="37" spans="1:34" x14ac:dyDescent="0.3">
      <c r="A37" s="2">
        <v>10</v>
      </c>
      <c r="B37" s="26">
        <f t="shared" si="0"/>
        <v>-0.59457806574162342</v>
      </c>
      <c r="C37" s="8" cm="1">
        <f t="array" ref="C37">_xlfn.IFS(C13="краткосрочный",0,C13="долгосрочный",1)</f>
        <v>0</v>
      </c>
      <c r="D37" s="25">
        <f t="shared" si="1"/>
        <v>0.81043177975518543</v>
      </c>
      <c r="E37" s="25">
        <f t="shared" si="2"/>
        <v>0.19923015150908621</v>
      </c>
      <c r="F37" s="20" cm="1">
        <f t="array" ref="F37">_xlfn.IFS(F13="10+",10,F13="&lt;1",1,TRUE,F13)</f>
        <v>1</v>
      </c>
      <c r="G37" s="23">
        <f t="shared" si="3"/>
        <v>0</v>
      </c>
      <c r="H37" s="23">
        <f t="shared" si="4"/>
        <v>0</v>
      </c>
      <c r="I37" s="23">
        <f t="shared" si="5"/>
        <v>1</v>
      </c>
      <c r="J37" s="23">
        <f t="shared" si="6"/>
        <v>0</v>
      </c>
      <c r="K37" s="23">
        <f t="shared" si="7"/>
        <v>1</v>
      </c>
      <c r="L37" s="23">
        <f t="shared" si="8"/>
        <v>0</v>
      </c>
      <c r="M37" s="25">
        <f t="shared" si="9"/>
        <v>2.4657881449620724</v>
      </c>
      <c r="N37" s="25">
        <f t="shared" si="10"/>
        <v>-0.61938973335044101</v>
      </c>
      <c r="O37" s="25">
        <f t="shared" si="11"/>
        <v>-1.3730433097267523</v>
      </c>
      <c r="P37" s="25">
        <f t="shared" si="12"/>
        <v>-0.36279861514445949</v>
      </c>
      <c r="Q37" s="8">
        <v>0</v>
      </c>
      <c r="R37" s="24">
        <f>IF(N13="погашен",0,1)</f>
        <v>0</v>
      </c>
      <c r="T37" t="s">
        <v>69</v>
      </c>
      <c r="U37" s="12">
        <v>-10.341963757000681</v>
      </c>
      <c r="X37" s="22">
        <f>$U$28 + $U$29 * B37 +$U$30 * C37 + $U$31 *D37 + $U$32*E37 + $U$33*F37 + $U$34*G37 + $U$35*H37 + $U$36*I37 + $U$37*J37 + $U$38*K37 + $U$39*L37 + $U$40*M37 + $U$41*N37 + $U$42*O37 + $U$43*P37 + $U$44*Q37</f>
        <v>-13.352166130297936</v>
      </c>
      <c r="Y37" s="13">
        <f t="shared" si="13"/>
        <v>1.5893781487022953E-6</v>
      </c>
      <c r="Z37">
        <f t="shared" si="14"/>
        <v>0</v>
      </c>
      <c r="AA37">
        <f t="shared" si="15"/>
        <v>-1.5893794117103569E-6</v>
      </c>
      <c r="AC37">
        <f t="shared" si="16"/>
        <v>0</v>
      </c>
      <c r="AD37">
        <f t="shared" si="17"/>
        <v>-0.16251892949777494</v>
      </c>
      <c r="AG37" s="18"/>
    </row>
    <row r="38" spans="1:34" x14ac:dyDescent="0.3">
      <c r="A38" s="2">
        <v>11</v>
      </c>
      <c r="B38" s="26">
        <f t="shared" si="0"/>
        <v>0</v>
      </c>
      <c r="C38" s="8" cm="1">
        <f t="array" ref="C38">_xlfn.IFS(C14="краткосрочный",0,C14="долгосрочный",1)</f>
        <v>0</v>
      </c>
      <c r="D38" s="25">
        <f t="shared" si="1"/>
        <v>4.7986092222356773E-2</v>
      </c>
      <c r="E38" s="25">
        <f t="shared" si="2"/>
        <v>-1.3322293441044759</v>
      </c>
      <c r="F38" s="20" t="str" cm="1">
        <f t="array" ref="F38">_xlfn.IFS(F14="10+",10,F14="&lt;1",1,TRUE,F14)</f>
        <v>3</v>
      </c>
      <c r="G38" s="23">
        <f t="shared" si="3"/>
        <v>0</v>
      </c>
      <c r="H38" s="23">
        <f t="shared" si="4"/>
        <v>0</v>
      </c>
      <c r="I38" s="23">
        <f t="shared" si="5"/>
        <v>1</v>
      </c>
      <c r="J38" s="23">
        <f t="shared" si="6"/>
        <v>0</v>
      </c>
      <c r="K38" s="23">
        <f t="shared" si="7"/>
        <v>1</v>
      </c>
      <c r="L38" s="23">
        <f t="shared" si="8"/>
        <v>0</v>
      </c>
      <c r="M38" s="25">
        <f t="shared" si="9"/>
        <v>-0.56513458419925366</v>
      </c>
      <c r="N38" s="25">
        <f t="shared" si="10"/>
        <v>-0.25957826999333844</v>
      </c>
      <c r="O38" s="25">
        <f t="shared" si="11"/>
        <v>2.1182638421435027</v>
      </c>
      <c r="P38" s="25">
        <f t="shared" si="12"/>
        <v>4.0714066810656009</v>
      </c>
      <c r="Q38" s="8">
        <v>0</v>
      </c>
      <c r="R38" s="24">
        <f>IF(N14="погашен",0,1)</f>
        <v>0</v>
      </c>
      <c r="T38" t="s">
        <v>70</v>
      </c>
      <c r="U38" s="12">
        <v>6.4516056025506581</v>
      </c>
      <c r="X38" s="22">
        <f>$U$28 + $U$29 * B38 +$U$30 * C38 + $U$31 *D38 + $U$32*E38 + $U$33*F38 + $U$34*G38 + $U$35*H38 + $U$36*I38 + $U$37*J38 + $U$38*K38 + $U$39*L38 + $U$40*M38 + $U$41*N38 + $U$42*O38 + $U$43*P38 + $U$44*Q38</f>
        <v>-16.015195185249667</v>
      </c>
      <c r="Y38" s="13">
        <f t="shared" si="13"/>
        <v>1.1083809588090638E-7</v>
      </c>
      <c r="Z38">
        <f t="shared" si="14"/>
        <v>0</v>
      </c>
      <c r="AA38">
        <f t="shared" si="15"/>
        <v>-1.1083810206614659E-7</v>
      </c>
      <c r="AC38">
        <f t="shared" si="16"/>
        <v>0</v>
      </c>
      <c r="AD38">
        <f t="shared" si="17"/>
        <v>-0.16251892949777494</v>
      </c>
    </row>
    <row r="39" spans="1:34" x14ac:dyDescent="0.3">
      <c r="A39" s="2">
        <v>12</v>
      </c>
      <c r="B39" s="26">
        <f t="shared" si="0"/>
        <v>1.010165983850756</v>
      </c>
      <c r="C39" s="8" cm="1">
        <f t="array" ref="C39">_xlfn.IFS(C15="краткосрочный",0,C15="долгосрочный",1)</f>
        <v>0</v>
      </c>
      <c r="D39" s="25">
        <f t="shared" si="1"/>
        <v>7.8800035590991504E-15</v>
      </c>
      <c r="E39" s="25">
        <f t="shared" si="2"/>
        <v>0</v>
      </c>
      <c r="F39" s="20" cm="1">
        <f t="array" ref="F39">_xlfn.IFS(F15="10+",10,F15="&lt;1",1,TRUE,F15)</f>
        <v>10</v>
      </c>
      <c r="G39" s="23">
        <f t="shared" si="3"/>
        <v>1</v>
      </c>
      <c r="H39" s="23">
        <f t="shared" si="4"/>
        <v>0</v>
      </c>
      <c r="I39" s="23">
        <f t="shared" si="5"/>
        <v>0</v>
      </c>
      <c r="J39" s="23">
        <f t="shared" si="6"/>
        <v>1</v>
      </c>
      <c r="K39" s="23">
        <f t="shared" si="7"/>
        <v>0</v>
      </c>
      <c r="L39" s="23">
        <f t="shared" si="8"/>
        <v>0</v>
      </c>
      <c r="M39" s="25">
        <f t="shared" si="9"/>
        <v>0.7291907641540406</v>
      </c>
      <c r="N39" s="25">
        <f t="shared" si="10"/>
        <v>0.974061032945299</v>
      </c>
      <c r="O39" s="25">
        <f t="shared" si="11"/>
        <v>-1.3730433097267523</v>
      </c>
      <c r="P39" s="25">
        <f t="shared" si="12"/>
        <v>-0.36279861514445949</v>
      </c>
      <c r="Q39" s="8">
        <v>0</v>
      </c>
      <c r="R39" s="24">
        <f>IF(N15="погашен",0,1)</f>
        <v>0</v>
      </c>
      <c r="T39" t="s">
        <v>71</v>
      </c>
      <c r="U39" s="12">
        <v>18.315991077705274</v>
      </c>
      <c r="X39" s="22">
        <f>$U$28 + $U$29 * B39 +$U$30 * C39 + $U$31 *D39 + $U$32*E39 + $U$33*F39 + $U$34*G39 + $U$35*H39 + $U$36*I39 + $U$37*J39 + $U$38*K39 + $U$39*L39 + $U$40*M39 + $U$41*N39 + $U$42*O39 + $U$43*P39 + $U$44*Q39</f>
        <v>-25.943275249459155</v>
      </c>
      <c r="Y39" s="13">
        <f t="shared" si="13"/>
        <v>5.4072782300969364E-12</v>
      </c>
      <c r="Z39">
        <f t="shared" si="14"/>
        <v>0</v>
      </c>
      <c r="AA39">
        <f t="shared" si="15"/>
        <v>-5.4072302191489819E-12</v>
      </c>
      <c r="AC39">
        <f t="shared" si="16"/>
        <v>0</v>
      </c>
      <c r="AD39">
        <f t="shared" si="17"/>
        <v>-0.16251892949777494</v>
      </c>
    </row>
    <row r="40" spans="1:34" x14ac:dyDescent="0.3">
      <c r="A40" s="2">
        <v>13</v>
      </c>
      <c r="B40" s="26">
        <f t="shared" si="0"/>
        <v>0</v>
      </c>
      <c r="C40" s="8" cm="1">
        <f t="array" ref="C40">_xlfn.IFS(C16="краткосрочный",0,C16="долгосрочный",1)</f>
        <v>0</v>
      </c>
      <c r="D40" s="25">
        <f t="shared" si="1"/>
        <v>0.87974502407635169</v>
      </c>
      <c r="E40" s="25">
        <f t="shared" si="2"/>
        <v>-1.2048468892027242</v>
      </c>
      <c r="F40" s="20" cm="1">
        <f t="array" ref="F40">_xlfn.IFS(F16="10+",10,F16="&lt;1",1,TRUE,F16)</f>
        <v>1</v>
      </c>
      <c r="G40" s="23">
        <f t="shared" si="3"/>
        <v>0</v>
      </c>
      <c r="H40" s="23">
        <f t="shared" si="4"/>
        <v>1</v>
      </c>
      <c r="I40" s="23">
        <f t="shared" si="5"/>
        <v>0</v>
      </c>
      <c r="J40" s="23">
        <f t="shared" si="6"/>
        <v>0</v>
      </c>
      <c r="K40" s="23">
        <f t="shared" si="7"/>
        <v>1</v>
      </c>
      <c r="L40" s="23">
        <f t="shared" si="8"/>
        <v>0</v>
      </c>
      <c r="M40" s="25">
        <f t="shared" si="9"/>
        <v>-0.59530456542367727</v>
      </c>
      <c r="N40" s="25">
        <f t="shared" si="10"/>
        <v>-1.5446192105544192</v>
      </c>
      <c r="O40" s="25">
        <f t="shared" si="11"/>
        <v>-0.22458700976943163</v>
      </c>
      <c r="P40" s="25">
        <f t="shared" si="12"/>
        <v>4.0310957238273319E-2</v>
      </c>
      <c r="Q40" s="8">
        <v>2</v>
      </c>
      <c r="R40" s="24">
        <f>IF(N16="погашен",0,1)</f>
        <v>0</v>
      </c>
      <c r="T40" t="s">
        <v>72</v>
      </c>
      <c r="U40" s="12">
        <v>1.4672777467454345</v>
      </c>
      <c r="X40" s="22">
        <f>$U$28 + $U$29 * B40 +$U$30 * C40 + $U$31 *D40 + $U$32*E40 + $U$33*F40 + $U$34*G40 + $U$35*H40 + $U$36*I40 + $U$37*J40 + $U$38*K40 + $U$39*L40 + $U$40*M40 + $U$41*N40 + $U$42*O40 + $U$43*P40 + $U$44*Q40</f>
        <v>-71.673623521511288</v>
      </c>
      <c r="Y40" s="13">
        <f t="shared" si="13"/>
        <v>7.4565993143625677E-32</v>
      </c>
      <c r="Z40">
        <f t="shared" si="14"/>
        <v>0</v>
      </c>
      <c r="AA40">
        <f t="shared" si="15"/>
        <v>0</v>
      </c>
      <c r="AC40">
        <f t="shared" si="16"/>
        <v>0</v>
      </c>
      <c r="AD40">
        <f t="shared" si="17"/>
        <v>-0.16251892949777494</v>
      </c>
    </row>
    <row r="41" spans="1:34" x14ac:dyDescent="0.3">
      <c r="A41" s="2">
        <v>14</v>
      </c>
      <c r="B41" s="26">
        <f t="shared" si="0"/>
        <v>0</v>
      </c>
      <c r="C41" s="8" cm="1">
        <f t="array" ref="C41">_xlfn.IFS(C17="краткосрочный",0,C17="долгосрочный",1)</f>
        <v>0</v>
      </c>
      <c r="D41" s="25">
        <f t="shared" si="1"/>
        <v>1.0876847570398505</v>
      </c>
      <c r="E41" s="25">
        <f t="shared" si="2"/>
        <v>0.41892557064210767</v>
      </c>
      <c r="F41" s="20" t="str" cm="1">
        <f t="array" ref="F41">_xlfn.IFS(F17="10+",10,F17="&lt;1",1,TRUE,F17)</f>
        <v>4</v>
      </c>
      <c r="G41" s="23">
        <f t="shared" si="3"/>
        <v>0</v>
      </c>
      <c r="H41" s="23">
        <f t="shared" si="4"/>
        <v>0</v>
      </c>
      <c r="I41" s="23">
        <f t="shared" si="5"/>
        <v>1</v>
      </c>
      <c r="J41" s="23">
        <f t="shared" si="6"/>
        <v>0</v>
      </c>
      <c r="K41" s="23">
        <f t="shared" si="7"/>
        <v>1</v>
      </c>
      <c r="L41" s="23">
        <f t="shared" si="8"/>
        <v>0</v>
      </c>
      <c r="M41" s="25">
        <f t="shared" si="9"/>
        <v>6.5782715471934636E-2</v>
      </c>
      <c r="N41" s="25">
        <f t="shared" si="10"/>
        <v>-0.72219300859532742</v>
      </c>
      <c r="O41" s="25">
        <f t="shared" si="11"/>
        <v>-1.3730433097267523</v>
      </c>
      <c r="P41" s="25">
        <f t="shared" si="12"/>
        <v>-0.46357600824014272</v>
      </c>
      <c r="Q41" s="8">
        <v>1</v>
      </c>
      <c r="R41" s="24">
        <f>IF(N17="погашен",0,1)</f>
        <v>0</v>
      </c>
      <c r="T41" t="s">
        <v>73</v>
      </c>
      <c r="U41" s="12">
        <v>-11.964465119071148</v>
      </c>
      <c r="X41" s="22">
        <f>$U$28 + $U$29 * B41 +$U$30 * C41 + $U$31 *D41 + $U$32*E41 + $U$33*F41 + $U$34*G41 + $U$35*H41 + $U$36*I41 + $U$37*J41 + $U$38*K41 + $U$39*L41 + $U$40*M41 + $U$41*N41 + $U$42*O41 + $U$43*P41 + $U$44*Q41</f>
        <v>-37.754835391756586</v>
      </c>
      <c r="Y41" s="13">
        <f t="shared" si="13"/>
        <v>4.0112831960400314E-17</v>
      </c>
      <c r="Z41">
        <f t="shared" si="14"/>
        <v>0</v>
      </c>
      <c r="AA41">
        <f t="shared" si="15"/>
        <v>0</v>
      </c>
      <c r="AC41">
        <f t="shared" si="16"/>
        <v>0</v>
      </c>
      <c r="AD41">
        <f t="shared" si="17"/>
        <v>-0.16251892949777494</v>
      </c>
    </row>
    <row r="42" spans="1:34" x14ac:dyDescent="0.3">
      <c r="A42" s="2">
        <v>15</v>
      </c>
      <c r="B42" s="26">
        <f t="shared" si="0"/>
        <v>-1.6563972809075618</v>
      </c>
      <c r="C42" s="8" cm="1">
        <f t="array" ref="C42">_xlfn.IFS(C18="краткосрочный",0,C18="долгосрочный",1)</f>
        <v>0</v>
      </c>
      <c r="D42" s="25">
        <f t="shared" si="1"/>
        <v>-2.1327152098809473E-2</v>
      </c>
      <c r="E42" s="25">
        <f t="shared" si="2"/>
        <v>-1.3764986787400848</v>
      </c>
      <c r="F42" s="20" cm="1">
        <f t="array" ref="F42">_xlfn.IFS(F18="10+",10,F18="&lt;1",1,TRUE,F18)</f>
        <v>10</v>
      </c>
      <c r="G42" s="23">
        <f t="shared" si="3"/>
        <v>0</v>
      </c>
      <c r="H42" s="23">
        <f t="shared" si="4"/>
        <v>0</v>
      </c>
      <c r="I42" s="23">
        <f t="shared" si="5"/>
        <v>1</v>
      </c>
      <c r="J42" s="23">
        <f t="shared" si="6"/>
        <v>0</v>
      </c>
      <c r="K42" s="23">
        <f t="shared" si="7"/>
        <v>1</v>
      </c>
      <c r="L42" s="23">
        <f t="shared" si="8"/>
        <v>0</v>
      </c>
      <c r="M42" s="25">
        <f t="shared" si="9"/>
        <v>-0.30432449009800921</v>
      </c>
      <c r="N42" s="25">
        <f t="shared" si="10"/>
        <v>1.2310692210575152</v>
      </c>
      <c r="O42" s="25">
        <f t="shared" si="11"/>
        <v>0.74011628219471781</v>
      </c>
      <c r="P42" s="25">
        <f t="shared" si="12"/>
        <v>-0.46357600824014272</v>
      </c>
      <c r="Q42" s="8">
        <v>1</v>
      </c>
      <c r="R42" s="24">
        <f>IF(N18="погашен",0,1)</f>
        <v>0</v>
      </c>
      <c r="T42" t="s">
        <v>74</v>
      </c>
      <c r="U42" s="12">
        <v>-2.6920963857885241</v>
      </c>
      <c r="X42" s="22">
        <f>$U$28 + $U$29 * B42 +$U$30 * C42 + $U$31 *D42 + $U$32*E42 + $U$33*F42 + $U$34*G42 + $U$35*H42 + $U$36*I42 + $U$37*J42 + $U$38*K42 + $U$39*L42 + $U$40*M42 + $U$41*N42 + $U$42*O42 + $U$43*P42 + $U$44*Q42</f>
        <v>-72.811795813486128</v>
      </c>
      <c r="Y42" s="13">
        <f t="shared" si="13"/>
        <v>2.3891249335840192E-32</v>
      </c>
      <c r="Z42">
        <f t="shared" si="14"/>
        <v>0</v>
      </c>
      <c r="AA42">
        <f t="shared" si="15"/>
        <v>0</v>
      </c>
      <c r="AC42">
        <f t="shared" si="16"/>
        <v>0</v>
      </c>
      <c r="AD42">
        <f t="shared" si="17"/>
        <v>-0.16251892949777494</v>
      </c>
    </row>
    <row r="43" spans="1:34" x14ac:dyDescent="0.3">
      <c r="A43" s="2">
        <v>16</v>
      </c>
      <c r="B43" s="26">
        <f t="shared" si="0"/>
        <v>-1.6553389958721885</v>
      </c>
      <c r="C43" s="8" cm="1">
        <f t="array" ref="C43">_xlfn.IFS(C19="краткосрочный",0,C19="долгосрочный",1)</f>
        <v>1</v>
      </c>
      <c r="D43" s="25">
        <f t="shared" si="1"/>
        <v>7.8800035590991504E-15</v>
      </c>
      <c r="E43" s="25">
        <f t="shared" si="2"/>
        <v>0</v>
      </c>
      <c r="F43" s="20" t="str" cm="1">
        <f t="array" ref="F43">_xlfn.IFS(F19="10+",10,F19="&lt;1",1,TRUE,F19)</f>
        <v>9</v>
      </c>
      <c r="G43" s="23">
        <f t="shared" si="3"/>
        <v>0</v>
      </c>
      <c r="H43" s="23">
        <f t="shared" si="4"/>
        <v>1</v>
      </c>
      <c r="I43" s="23">
        <f t="shared" si="5"/>
        <v>0</v>
      </c>
      <c r="J43" s="23">
        <f t="shared" si="6"/>
        <v>0</v>
      </c>
      <c r="K43" s="23">
        <f t="shared" si="7"/>
        <v>1</v>
      </c>
      <c r="L43" s="23">
        <f t="shared" si="8"/>
        <v>0</v>
      </c>
      <c r="M43" s="25">
        <f t="shared" si="9"/>
        <v>0.21431185380755857</v>
      </c>
      <c r="N43" s="25">
        <f t="shared" si="10"/>
        <v>0.32297362306101796</v>
      </c>
      <c r="O43" s="25">
        <f t="shared" si="11"/>
        <v>-1.3730433097267523</v>
      </c>
      <c r="P43" s="25">
        <f t="shared" si="12"/>
        <v>0.24186574342963973</v>
      </c>
      <c r="Q43" s="8">
        <v>0</v>
      </c>
      <c r="R43" s="24">
        <f>IF(N19="погашен",0,1)</f>
        <v>0</v>
      </c>
      <c r="T43" t="s">
        <v>75</v>
      </c>
      <c r="U43" s="12">
        <v>3.2877185489668945</v>
      </c>
      <c r="X43" s="22">
        <f>$U$28 + $U$29 * B43 +$U$30 * C43 + $U$31 *D43 + $U$32*E43 + $U$33*F43 + $U$34*G43 + $U$35*H43 + $U$36*I43 + $U$37*J43 + $U$38*K43 + $U$39*L43 + $U$40*M43 + $U$41*N43 + $U$42*O43 + $U$43*P43 + $U$44*Q43</f>
        <v>-34.595751856145064</v>
      </c>
      <c r="Y43" s="13">
        <f t="shared" si="13"/>
        <v>9.4461724882339429E-16</v>
      </c>
      <c r="Z43">
        <f t="shared" si="14"/>
        <v>0</v>
      </c>
      <c r="AA43">
        <f t="shared" si="15"/>
        <v>-9.9920072216264148E-16</v>
      </c>
      <c r="AC43">
        <f t="shared" si="16"/>
        <v>0</v>
      </c>
      <c r="AD43">
        <f t="shared" si="17"/>
        <v>-0.16251892949777494</v>
      </c>
    </row>
    <row r="44" spans="1:34" x14ac:dyDescent="0.3">
      <c r="A44" s="2">
        <v>17</v>
      </c>
      <c r="B44" s="26">
        <f t="shared" si="0"/>
        <v>1.5567037541654021</v>
      </c>
      <c r="C44" s="8" cm="1">
        <f t="array" ref="C44">_xlfn.IFS(C20="краткосрочный",0,C20="долгосрочный",1)</f>
        <v>1</v>
      </c>
      <c r="D44" s="25">
        <f t="shared" si="1"/>
        <v>7.8800035590991504E-15</v>
      </c>
      <c r="E44" s="25">
        <f t="shared" si="2"/>
        <v>0</v>
      </c>
      <c r="F44" s="20" t="str" cm="1">
        <f t="array" ref="F44">_xlfn.IFS(F20="10+",10,F20="&lt;1",1,TRUE,F20)</f>
        <v>7</v>
      </c>
      <c r="G44" s="23">
        <f t="shared" si="3"/>
        <v>1</v>
      </c>
      <c r="H44" s="23">
        <f t="shared" si="4"/>
        <v>0</v>
      </c>
      <c r="I44" s="23">
        <f t="shared" si="5"/>
        <v>0</v>
      </c>
      <c r="J44" s="23">
        <f t="shared" si="6"/>
        <v>0</v>
      </c>
      <c r="K44" s="23">
        <f t="shared" si="7"/>
        <v>1</v>
      </c>
      <c r="L44" s="23">
        <f t="shared" si="8"/>
        <v>0</v>
      </c>
      <c r="M44" s="25">
        <f t="shared" si="9"/>
        <v>-0.2682973330314814</v>
      </c>
      <c r="N44" s="25">
        <f t="shared" si="10"/>
        <v>0.51144629434331002</v>
      </c>
      <c r="O44" s="25">
        <f t="shared" si="11"/>
        <v>-1.3730433097267523</v>
      </c>
      <c r="P44" s="25">
        <f t="shared" si="12"/>
        <v>0.34264313652532291</v>
      </c>
      <c r="Q44" s="8">
        <v>0</v>
      </c>
      <c r="R44" s="24">
        <f>IF(N20="погашен",0,1)</f>
        <v>1</v>
      </c>
      <c r="T44" t="s">
        <v>76</v>
      </c>
      <c r="U44" s="12">
        <v>-25.257539316898338</v>
      </c>
      <c r="X44" s="22">
        <f>$U$28 + $U$29 * B44 +$U$30 * C44 + $U$31 *D44 + $U$32*E44 + $U$33*F44 + $U$34*G44 + $U$35*H44 + $U$36*I44 + $U$37*J44 + $U$38*K44 + $U$39*L44 + $U$40*M44 + $U$41*N44 + $U$42*O44 + $U$43*P44 + $U$44*Q44</f>
        <v>2.7464340331642223</v>
      </c>
      <c r="Y44" s="13">
        <f t="shared" si="13"/>
        <v>0.9397116412006935</v>
      </c>
      <c r="Z44">
        <f t="shared" si="14"/>
        <v>-6.2182215460110116E-2</v>
      </c>
      <c r="AA44">
        <f t="shared" si="15"/>
        <v>0</v>
      </c>
      <c r="AC44">
        <f t="shared" si="16"/>
        <v>-1.8971199848858813</v>
      </c>
      <c r="AD44">
        <f t="shared" si="17"/>
        <v>0</v>
      </c>
    </row>
    <row r="45" spans="1:34" x14ac:dyDescent="0.3">
      <c r="A45" s="2">
        <v>18</v>
      </c>
      <c r="B45" s="26">
        <f t="shared" si="0"/>
        <v>1.6216775330813495</v>
      </c>
      <c r="C45" s="8" cm="1">
        <f t="array" ref="C45">_xlfn.IFS(C21="краткосрочный",0,C21="долгосрочный",1)</f>
        <v>1</v>
      </c>
      <c r="D45" s="25">
        <f t="shared" si="1"/>
        <v>-0.29858012938347445</v>
      </c>
      <c r="E45" s="25">
        <f t="shared" si="2"/>
        <v>0.95912153679953704</v>
      </c>
      <c r="F45" s="20" cm="1">
        <f t="array" ref="F45">_xlfn.IFS(F21="10+",10,F21="&lt;1",1,TRUE,F21)</f>
        <v>10</v>
      </c>
      <c r="G45" s="23">
        <f t="shared" si="3"/>
        <v>1</v>
      </c>
      <c r="H45" s="23">
        <f t="shared" si="4"/>
        <v>0</v>
      </c>
      <c r="I45" s="23">
        <f t="shared" si="5"/>
        <v>0</v>
      </c>
      <c r="J45" s="23">
        <f t="shared" si="6"/>
        <v>0</v>
      </c>
      <c r="K45" s="23">
        <f t="shared" si="7"/>
        <v>1</v>
      </c>
      <c r="L45" s="23">
        <f t="shared" si="8"/>
        <v>0</v>
      </c>
      <c r="M45" s="25">
        <f t="shared" si="9"/>
        <v>7.152937856230103E-2</v>
      </c>
      <c r="N45" s="25">
        <f t="shared" si="10"/>
        <v>0.76845448245552628</v>
      </c>
      <c r="O45" s="25">
        <f t="shared" si="11"/>
        <v>0.18885725821520383</v>
      </c>
      <c r="P45" s="25">
        <f t="shared" si="12"/>
        <v>-0.46357600824014272</v>
      </c>
      <c r="Q45" s="8">
        <v>1</v>
      </c>
      <c r="R45" s="24">
        <f>IF(N21="погашен",0,1)</f>
        <v>0</v>
      </c>
      <c r="X45" s="22">
        <f>$U$28 + $U$29 * B45 +$U$30 * C45 + $U$31 *D45 + $U$32*E45 + $U$33*F45 + $U$34*G45 + $U$35*H45 + $U$36*I45 + $U$37*J45 + $U$38*K45 + $U$39*L45 + $U$40*M45 + $U$41*N45 + $U$42*O45 + $U$43*P45 + $U$44*Q45</f>
        <v>-29.307675484476416</v>
      </c>
      <c r="Y45" s="13">
        <f t="shared" si="13"/>
        <v>1.8699855890491853E-13</v>
      </c>
      <c r="Z45">
        <f t="shared" si="14"/>
        <v>0</v>
      </c>
      <c r="AA45">
        <f t="shared" si="15"/>
        <v>-1.8696155734689383E-13</v>
      </c>
      <c r="AC45">
        <f t="shared" si="16"/>
        <v>0</v>
      </c>
      <c r="AD45">
        <f t="shared" si="17"/>
        <v>-0.16251892949777494</v>
      </c>
    </row>
    <row r="46" spans="1:34" x14ac:dyDescent="0.3">
      <c r="A46" s="2">
        <v>19</v>
      </c>
      <c r="B46" s="26">
        <f t="shared" si="0"/>
        <v>-1.33073098085931</v>
      </c>
      <c r="C46" s="8" cm="1">
        <f t="array" ref="C46">_xlfn.IFS(C22="краткосрочный",0,C22="долгосрочный",1)</f>
        <v>0</v>
      </c>
      <c r="D46" s="25">
        <f t="shared" si="1"/>
        <v>7.8800035590991504E-15</v>
      </c>
      <c r="E46" s="25">
        <f t="shared" si="2"/>
        <v>0</v>
      </c>
      <c r="F46" s="20" cm="1">
        <f t="array" ref="F46">_xlfn.IFS(F22="10+",10,F22="&lt;1",1,TRUE,F22)</f>
        <v>10</v>
      </c>
      <c r="G46" s="23">
        <f t="shared" si="3"/>
        <v>0</v>
      </c>
      <c r="H46" s="23">
        <f t="shared" si="4"/>
        <v>0</v>
      </c>
      <c r="I46" s="23">
        <f t="shared" si="5"/>
        <v>1</v>
      </c>
      <c r="J46" s="23">
        <f t="shared" si="6"/>
        <v>0</v>
      </c>
      <c r="K46" s="23">
        <f t="shared" si="7"/>
        <v>1</v>
      </c>
      <c r="L46" s="23">
        <f t="shared" si="8"/>
        <v>0</v>
      </c>
      <c r="M46" s="25">
        <f t="shared" si="9"/>
        <v>-0.78096598834320718</v>
      </c>
      <c r="N46" s="25">
        <f t="shared" si="10"/>
        <v>1.6422823220370615</v>
      </c>
      <c r="O46" s="25">
        <f t="shared" si="11"/>
        <v>-1.3730433097267523</v>
      </c>
      <c r="P46" s="25">
        <f t="shared" si="12"/>
        <v>-0.36279861514445949</v>
      </c>
      <c r="Q46" s="8">
        <v>1</v>
      </c>
      <c r="R46" s="24">
        <f>IF(N22="погашен",0,1)</f>
        <v>0</v>
      </c>
      <c r="T46" s="18" t="s">
        <v>47</v>
      </c>
      <c r="U46" s="17">
        <f>AVERAGE(R28:R47)</f>
        <v>0.15</v>
      </c>
      <c r="X46" s="22">
        <f>$U$28 + $U$29 * B46 +$U$30 * C46 + $U$31 *D46 + $U$32*E46 + $U$33*F46 + $U$34*G46 + $U$35*H46 + $U$36*I46 + $U$37*J46 + $U$38*K46 + $U$39*L46 + $U$40*M46 + $U$41*N46 + $U$42*O46 + $U$43*P46 + $U$44*Q46</f>
        <v>-69.570552082297013</v>
      </c>
      <c r="Y46" s="13">
        <f t="shared" si="13"/>
        <v>6.1079170121573741E-31</v>
      </c>
      <c r="Z46">
        <f t="shared" si="14"/>
        <v>0</v>
      </c>
      <c r="AA46">
        <f t="shared" si="15"/>
        <v>0</v>
      </c>
      <c r="AC46">
        <f t="shared" si="16"/>
        <v>0</v>
      </c>
      <c r="AD46">
        <f t="shared" si="17"/>
        <v>-0.16251892949777494</v>
      </c>
    </row>
    <row r="47" spans="1:34" x14ac:dyDescent="0.3">
      <c r="A47" s="2">
        <v>20</v>
      </c>
      <c r="B47" s="26">
        <f t="shared" si="0"/>
        <v>0.26405042263262429</v>
      </c>
      <c r="C47" s="8" cm="1">
        <f t="array" ref="C47">_xlfn.IFS(C23="краткосрочный",0,C23="долгосрочный",1)</f>
        <v>0</v>
      </c>
      <c r="D47" s="25">
        <f t="shared" si="1"/>
        <v>1.3649377343245155</v>
      </c>
      <c r="E47" s="25">
        <f t="shared" si="2"/>
        <v>0.89657046095117676</v>
      </c>
      <c r="F47" s="20" t="str" cm="1">
        <f t="array" ref="F47">_xlfn.IFS(F23="10+",10,F23="&lt;1",1,TRUE,F23)</f>
        <v>8</v>
      </c>
      <c r="G47" s="23">
        <f t="shared" si="3"/>
        <v>1</v>
      </c>
      <c r="H47" s="23">
        <f t="shared" si="4"/>
        <v>0</v>
      </c>
      <c r="I47" s="23">
        <f t="shared" si="5"/>
        <v>0</v>
      </c>
      <c r="J47" s="23">
        <f t="shared" si="6"/>
        <v>1</v>
      </c>
      <c r="K47" s="23">
        <f t="shared" si="7"/>
        <v>0</v>
      </c>
      <c r="L47" s="23">
        <f t="shared" si="8"/>
        <v>0</v>
      </c>
      <c r="M47" s="25">
        <f t="shared" si="9"/>
        <v>-1.6015231699964867</v>
      </c>
      <c r="N47" s="25">
        <f t="shared" si="10"/>
        <v>0.88839163690789369</v>
      </c>
      <c r="O47" s="25">
        <f t="shared" si="11"/>
        <v>-1.3730433097267523</v>
      </c>
      <c r="P47" s="25">
        <f t="shared" si="12"/>
        <v>4.0310957238273319E-2</v>
      </c>
      <c r="Q47" s="8">
        <v>0</v>
      </c>
      <c r="R47" s="24">
        <f>IF(N23="погашен",0,1)</f>
        <v>0</v>
      </c>
      <c r="X47" s="22">
        <f>$U$28 + $U$29 * B47 +$U$30 * C47 + $U$31 *D47 + $U$32*E47 + $U$33*F47 + $U$34*G47 + $U$35*H47 + $U$36*I47 + $U$37*J47 + $U$38*K47 + $U$39*L47 + $U$40*M47 + $U$41*N47 + $U$42*O47 + $U$43*P47 + $U$44*Q47</f>
        <v>-29.259884491721721</v>
      </c>
      <c r="Y47" s="13">
        <f t="shared" si="13"/>
        <v>1.9615239903375924E-13</v>
      </c>
      <c r="Z47">
        <f t="shared" si="14"/>
        <v>0</v>
      </c>
      <c r="AA47">
        <f t="shared" si="15"/>
        <v>-1.961764084512844E-13</v>
      </c>
      <c r="AC47">
        <f t="shared" si="16"/>
        <v>0</v>
      </c>
      <c r="AD47">
        <f t="shared" si="17"/>
        <v>-0.16251892949777494</v>
      </c>
    </row>
    <row r="48" spans="1:34" x14ac:dyDescent="0.3">
      <c r="X48" s="13"/>
      <c r="Y48" s="13"/>
    </row>
    <row r="49" spans="3:25" x14ac:dyDescent="0.3">
      <c r="C49" s="18" t="s">
        <v>49</v>
      </c>
      <c r="X49" s="13"/>
      <c r="Y49" s="13"/>
    </row>
    <row r="50" spans="3:25" x14ac:dyDescent="0.3">
      <c r="C50" s="18" t="s">
        <v>50</v>
      </c>
      <c r="D50" s="26">
        <v>1.010165983850756</v>
      </c>
      <c r="F50" s="18" t="s">
        <v>53</v>
      </c>
      <c r="G50" s="19">
        <f>1/(1 + EXP(-$U$28 - $U$29 * D50 -$U$30 * D51 - $U$31 *D52 - $U$32*D53 - $U$33*D54 - $U$34*D55 - $U$35*D56 - $U$36*D57 - $U$37*D58 - $U$38*D59 - $U$39*D60 - $U$40*D61 - $U$41*D62 - $U$42*D63 - $U$43*D64 - $U$44*D65))</f>
        <v>0.99999999996941269</v>
      </c>
      <c r="X50" s="13"/>
      <c r="Y50" s="13"/>
    </row>
    <row r="51" spans="3:25" x14ac:dyDescent="0.3">
      <c r="C51" s="18" t="s">
        <v>51</v>
      </c>
      <c r="D51">
        <v>1</v>
      </c>
      <c r="X51" s="13"/>
      <c r="Y51" s="13"/>
    </row>
    <row r="52" spans="3:25" x14ac:dyDescent="0.3">
      <c r="C52" s="18" t="s">
        <v>52</v>
      </c>
      <c r="D52" s="25">
        <v>0.87974502407635169</v>
      </c>
      <c r="X52" s="13"/>
      <c r="Y52" s="13"/>
    </row>
    <row r="53" spans="3:25" x14ac:dyDescent="0.3">
      <c r="C53" s="18" t="s">
        <v>77</v>
      </c>
      <c r="D53" s="25">
        <v>-1.3764986787400848</v>
      </c>
      <c r="X53" s="13"/>
      <c r="Y53" s="13"/>
    </row>
    <row r="54" spans="3:25" x14ac:dyDescent="0.3">
      <c r="C54" s="18" t="s">
        <v>78</v>
      </c>
      <c r="D54">
        <v>4</v>
      </c>
      <c r="X54" s="13"/>
      <c r="Y54" s="13"/>
    </row>
    <row r="55" spans="3:25" x14ac:dyDescent="0.3">
      <c r="C55" s="18" t="s">
        <v>83</v>
      </c>
      <c r="D55">
        <v>1</v>
      </c>
      <c r="X55" s="13"/>
      <c r="Y55" s="13"/>
    </row>
    <row r="56" spans="3:25" x14ac:dyDescent="0.3">
      <c r="C56" s="18" t="s">
        <v>84</v>
      </c>
      <c r="D56">
        <v>0</v>
      </c>
      <c r="X56" s="13"/>
      <c r="Y56" s="13"/>
    </row>
    <row r="57" spans="3:25" x14ac:dyDescent="0.3">
      <c r="C57" s="18" t="s">
        <v>85</v>
      </c>
      <c r="D57">
        <v>0</v>
      </c>
      <c r="X57" s="13"/>
      <c r="Y57" s="13"/>
    </row>
    <row r="58" spans="3:25" x14ac:dyDescent="0.3">
      <c r="C58" s="18" t="s">
        <v>86</v>
      </c>
      <c r="D58">
        <v>0</v>
      </c>
      <c r="X58" s="13"/>
      <c r="Y58" s="13"/>
    </row>
    <row r="59" spans="3:25" x14ac:dyDescent="0.3">
      <c r="C59" s="18" t="s">
        <v>87</v>
      </c>
      <c r="D59">
        <v>1</v>
      </c>
      <c r="X59" s="13"/>
      <c r="Y59" s="13"/>
    </row>
    <row r="60" spans="3:25" x14ac:dyDescent="0.3">
      <c r="C60" s="18" t="s">
        <v>88</v>
      </c>
      <c r="D60">
        <v>0</v>
      </c>
      <c r="X60" s="13"/>
      <c r="Y60" s="13"/>
    </row>
    <row r="61" spans="3:25" x14ac:dyDescent="0.3">
      <c r="C61" s="18" t="s">
        <v>79</v>
      </c>
      <c r="D61" s="25">
        <v>-0.59530456542367727</v>
      </c>
      <c r="X61" s="13"/>
      <c r="Y61" s="13"/>
    </row>
    <row r="62" spans="3:25" x14ac:dyDescent="0.3">
      <c r="C62" s="18" t="s">
        <v>80</v>
      </c>
      <c r="D62" s="6">
        <v>-1.5446192105544192</v>
      </c>
      <c r="X62" s="13"/>
      <c r="Y62" s="13"/>
    </row>
    <row r="63" spans="3:25" x14ac:dyDescent="0.3">
      <c r="C63" s="18" t="s">
        <v>81</v>
      </c>
      <c r="D63" s="1">
        <v>-1.3730433097267523</v>
      </c>
      <c r="X63" s="13"/>
      <c r="Y63" s="13"/>
    </row>
    <row r="64" spans="3:25" x14ac:dyDescent="0.3">
      <c r="C64" s="18" t="s">
        <v>82</v>
      </c>
      <c r="D64" s="1">
        <v>1</v>
      </c>
      <c r="X64" s="13"/>
      <c r="Y64" s="13"/>
    </row>
    <row r="65" spans="3:25" x14ac:dyDescent="0.3">
      <c r="C65" s="18" t="s">
        <v>89</v>
      </c>
      <c r="D65">
        <v>0</v>
      </c>
      <c r="X65" s="13"/>
      <c r="Y65" s="13"/>
    </row>
    <row r="66" spans="3:25" x14ac:dyDescent="0.3">
      <c r="X66" s="13"/>
      <c r="Y66" s="13"/>
    </row>
    <row r="67" spans="3:25" x14ac:dyDescent="0.3">
      <c r="C67" s="18" t="s">
        <v>54</v>
      </c>
      <c r="D67">
        <f>IF(G50&gt;0.5,1,0)</f>
        <v>1</v>
      </c>
      <c r="X67" s="13"/>
      <c r="Y67" s="13"/>
    </row>
    <row r="68" spans="3:25" x14ac:dyDescent="0.3">
      <c r="X68" s="13"/>
      <c r="Y68" s="13"/>
    </row>
    <row r="69" spans="3:25" x14ac:dyDescent="0.3">
      <c r="X69" s="13"/>
      <c r="Y69" s="13"/>
    </row>
    <row r="70" spans="3:25" x14ac:dyDescent="0.3">
      <c r="X70" s="13"/>
      <c r="Y70" s="13"/>
    </row>
    <row r="71" spans="3:25" x14ac:dyDescent="0.3">
      <c r="X71" s="13"/>
      <c r="Y71" s="13"/>
    </row>
    <row r="72" spans="3:25" x14ac:dyDescent="0.3">
      <c r="X72" s="13"/>
      <c r="Y72" s="13"/>
    </row>
    <row r="73" spans="3:25" x14ac:dyDescent="0.3">
      <c r="X73" s="13"/>
      <c r="Y73" s="13"/>
    </row>
    <row r="74" spans="3:25" x14ac:dyDescent="0.3">
      <c r="X74" s="13"/>
      <c r="Y74" s="13"/>
    </row>
    <row r="75" spans="3:25" x14ac:dyDescent="0.3">
      <c r="X75" s="13"/>
      <c r="Y75" s="13"/>
    </row>
    <row r="76" spans="3:25" x14ac:dyDescent="0.3">
      <c r="X76" s="13"/>
      <c r="Y76" s="13"/>
    </row>
    <row r="77" spans="3:25" x14ac:dyDescent="0.3">
      <c r="X77" s="13"/>
      <c r="Y77" s="13"/>
    </row>
    <row r="78" spans="3:25" x14ac:dyDescent="0.3">
      <c r="X78" s="13"/>
      <c r="Y78" s="13"/>
    </row>
    <row r="79" spans="3:25" x14ac:dyDescent="0.3">
      <c r="X79" s="13"/>
      <c r="Y79" s="13"/>
    </row>
    <row r="80" spans="3:25" x14ac:dyDescent="0.3">
      <c r="X80" s="13"/>
      <c r="Y80" s="13"/>
    </row>
    <row r="81" spans="24:25" x14ac:dyDescent="0.3">
      <c r="X81" s="13"/>
      <c r="Y81" s="13"/>
    </row>
    <row r="82" spans="24:25" x14ac:dyDescent="0.3">
      <c r="X82" s="13"/>
      <c r="Y82" s="13"/>
    </row>
    <row r="83" spans="24:25" x14ac:dyDescent="0.3">
      <c r="X83" s="13"/>
      <c r="Y83" s="13"/>
    </row>
    <row r="84" spans="24:25" x14ac:dyDescent="0.3">
      <c r="X84" s="13"/>
      <c r="Y84" s="13"/>
    </row>
    <row r="85" spans="24:25" x14ac:dyDescent="0.3">
      <c r="X85" s="13"/>
      <c r="Y85" s="13"/>
    </row>
  </sheetData>
  <mergeCells count="1">
    <mergeCell ref="A25:C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2025-05-29T07:13:29Z</dcterms:created>
  <dcterms:modified xsi:type="dcterms:W3CDTF">2025-05-29T08:34:28Z</dcterms:modified>
</cp:coreProperties>
</file>