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PGKononenko\ОДиМвТР\Практика 14 Деревья решений\"/>
    </mc:Choice>
  </mc:AlternateContent>
  <xr:revisionPtr revIDLastSave="0" documentId="13_ncr:1_{B0603516-DA3D-4B09-8980-58F4933F8A68}" xr6:coauthVersionLast="36" xr6:coauthVersionMax="36" xr10:uidLastSave="{00000000-0000-0000-0000-000000000000}"/>
  <bookViews>
    <workbookView xWindow="0" yWindow="0" windowWidth="24975" windowHeight="10155" activeTab="1" xr2:uid="{00000000-000D-0000-FFFF-FFFF00000000}"/>
  </bookViews>
  <sheets>
    <sheet name="Задание" sheetId="2" r:id="rId1"/>
    <sheet name="Данные" sheetId="1" r:id="rId2"/>
    <sheet name="Ветвление 1" sheetId="3" r:id="rId3"/>
    <sheet name="Ветвление 2" sheetId="4" r:id="rId4"/>
    <sheet name="Ветвление 3" sheetId="5" r:id="rId5"/>
    <sheet name="Ветвление 4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6" l="1"/>
  <c r="C35" i="6"/>
  <c r="B35" i="6"/>
  <c r="D35" i="6" s="1"/>
  <c r="C34" i="6"/>
  <c r="B34" i="6"/>
  <c r="C33" i="6"/>
  <c r="B33" i="6"/>
  <c r="D33" i="6" s="1"/>
  <c r="G32" i="6"/>
  <c r="C32" i="6"/>
  <c r="B32" i="6"/>
  <c r="D32" i="6" s="1"/>
  <c r="C29" i="6"/>
  <c r="B29" i="6"/>
  <c r="D29" i="6" s="1"/>
  <c r="C28" i="6"/>
  <c r="B28" i="6"/>
  <c r="D28" i="6" s="1"/>
  <c r="F28" i="6" s="1"/>
  <c r="G28" i="6" s="1"/>
  <c r="C27" i="6"/>
  <c r="B27" i="6"/>
  <c r="G26" i="6"/>
  <c r="C26" i="6"/>
  <c r="B26" i="6"/>
  <c r="D26" i="6" s="1"/>
  <c r="C23" i="6"/>
  <c r="B23" i="6"/>
  <c r="G22" i="6"/>
  <c r="C22" i="6"/>
  <c r="B22" i="6"/>
  <c r="C19" i="6"/>
  <c r="B19" i="6"/>
  <c r="D19" i="6" s="1"/>
  <c r="G18" i="6"/>
  <c r="C18" i="6"/>
  <c r="B18" i="6"/>
  <c r="C17" i="6"/>
  <c r="B17" i="6"/>
  <c r="D17" i="6" s="1"/>
  <c r="G14" i="6"/>
  <c r="C14" i="6"/>
  <c r="B14" i="6"/>
  <c r="C13" i="6"/>
  <c r="B13" i="6"/>
  <c r="G10" i="6"/>
  <c r="C10" i="6"/>
  <c r="B10" i="6"/>
  <c r="C9" i="6"/>
  <c r="B9" i="6"/>
  <c r="B6" i="6"/>
  <c r="C40" i="5"/>
  <c r="B40" i="5"/>
  <c r="D40" i="5" s="1"/>
  <c r="C39" i="5"/>
  <c r="B39" i="5"/>
  <c r="C38" i="5"/>
  <c r="B38" i="5"/>
  <c r="G37" i="5"/>
  <c r="C37" i="5"/>
  <c r="B37" i="5"/>
  <c r="D37" i="5" s="1"/>
  <c r="C34" i="5"/>
  <c r="B34" i="5"/>
  <c r="D34" i="5" s="1"/>
  <c r="C33" i="5"/>
  <c r="B33" i="5"/>
  <c r="C32" i="5"/>
  <c r="B32" i="5"/>
  <c r="D32" i="5" s="1"/>
  <c r="C31" i="5"/>
  <c r="B31" i="5"/>
  <c r="C28" i="5"/>
  <c r="D28" i="5" s="1"/>
  <c r="B28" i="5"/>
  <c r="C27" i="5"/>
  <c r="B27" i="5"/>
  <c r="D27" i="5" s="1"/>
  <c r="C24" i="5"/>
  <c r="B24" i="5"/>
  <c r="D24" i="5" s="1"/>
  <c r="F24" i="5" s="1"/>
  <c r="G24" i="5" s="1"/>
  <c r="G23" i="5"/>
  <c r="C23" i="5"/>
  <c r="B23" i="5"/>
  <c r="C22" i="5"/>
  <c r="B22" i="5"/>
  <c r="G19" i="5"/>
  <c r="C19" i="5"/>
  <c r="B19" i="5"/>
  <c r="C18" i="5"/>
  <c r="B18" i="5"/>
  <c r="C15" i="5"/>
  <c r="B15" i="5"/>
  <c r="C14" i="5"/>
  <c r="B14" i="5"/>
  <c r="D14" i="5" s="1"/>
  <c r="E14" i="5" s="1"/>
  <c r="C11" i="5"/>
  <c r="B11" i="5"/>
  <c r="C10" i="5"/>
  <c r="B10" i="5"/>
  <c r="B7" i="5"/>
  <c r="F46" i="4"/>
  <c r="G46" i="4" s="1"/>
  <c r="E46" i="4"/>
  <c r="D46" i="4"/>
  <c r="F45" i="4"/>
  <c r="G45" i="4" s="1"/>
  <c r="E45" i="4"/>
  <c r="D45" i="4"/>
  <c r="D44" i="4"/>
  <c r="F44" i="4" s="1"/>
  <c r="G44" i="4" s="1"/>
  <c r="G43" i="4"/>
  <c r="D43" i="4"/>
  <c r="E43" i="4" s="1"/>
  <c r="F38" i="4"/>
  <c r="G38" i="4" s="1"/>
  <c r="H37" i="4" s="1"/>
  <c r="D40" i="4"/>
  <c r="E40" i="4"/>
  <c r="F40" i="4"/>
  <c r="G40" i="4" s="1"/>
  <c r="H28" i="4"/>
  <c r="D39" i="4"/>
  <c r="F39" i="4" s="1"/>
  <c r="G39" i="4" s="1"/>
  <c r="E38" i="4"/>
  <c r="D38" i="4"/>
  <c r="D37" i="4"/>
  <c r="E37" i="4" s="1"/>
  <c r="F34" i="4"/>
  <c r="G34" i="4" s="1"/>
  <c r="E34" i="4"/>
  <c r="D34" i="4"/>
  <c r="D33" i="4"/>
  <c r="F33" i="4" s="1"/>
  <c r="G33" i="4" s="1"/>
  <c r="D24" i="4"/>
  <c r="F24" i="4" s="1"/>
  <c r="F16" i="4"/>
  <c r="F12" i="4"/>
  <c r="F28" i="4"/>
  <c r="F30" i="4"/>
  <c r="G30" i="4"/>
  <c r="E30" i="4"/>
  <c r="D30" i="4"/>
  <c r="D29" i="4"/>
  <c r="E29" i="4"/>
  <c r="D28" i="4"/>
  <c r="G29" i="4"/>
  <c r="E28" i="4"/>
  <c r="F25" i="4"/>
  <c r="G25" i="4" s="1"/>
  <c r="D25" i="4"/>
  <c r="E25" i="4"/>
  <c r="G21" i="4"/>
  <c r="B9" i="4"/>
  <c r="B29" i="4"/>
  <c r="B17" i="4"/>
  <c r="B16" i="4"/>
  <c r="C46" i="4"/>
  <c r="B46" i="4"/>
  <c r="C45" i="4"/>
  <c r="B45" i="4"/>
  <c r="C44" i="4"/>
  <c r="B44" i="4"/>
  <c r="C43" i="4"/>
  <c r="B43" i="4"/>
  <c r="C40" i="4"/>
  <c r="B40" i="4"/>
  <c r="C39" i="4"/>
  <c r="B39" i="4"/>
  <c r="C38" i="4"/>
  <c r="B38" i="4"/>
  <c r="C37" i="4"/>
  <c r="B37" i="4"/>
  <c r="C34" i="4"/>
  <c r="B34" i="4"/>
  <c r="C33" i="4"/>
  <c r="B33" i="4"/>
  <c r="C30" i="4"/>
  <c r="B30" i="4"/>
  <c r="C29" i="4"/>
  <c r="C28" i="4"/>
  <c r="B28" i="4"/>
  <c r="C25" i="4"/>
  <c r="B25" i="4"/>
  <c r="C24" i="4"/>
  <c r="B24" i="4"/>
  <c r="C21" i="4"/>
  <c r="B21" i="4"/>
  <c r="C20" i="4"/>
  <c r="B20" i="4"/>
  <c r="C17" i="4"/>
  <c r="C16" i="4"/>
  <c r="C13" i="4"/>
  <c r="B13" i="4"/>
  <c r="C12" i="4"/>
  <c r="B12" i="4"/>
  <c r="G22" i="3"/>
  <c r="I56" i="3"/>
  <c r="G56" i="3"/>
  <c r="H56" i="3" s="1"/>
  <c r="I55" i="3"/>
  <c r="G55" i="3"/>
  <c r="H55" i="3" s="1"/>
  <c r="I54" i="3"/>
  <c r="G54" i="3"/>
  <c r="H54" i="3" s="1"/>
  <c r="J54" i="3" s="1"/>
  <c r="I51" i="3"/>
  <c r="G51" i="3"/>
  <c r="H51" i="3" s="1"/>
  <c r="I50" i="3"/>
  <c r="G50" i="3"/>
  <c r="H50" i="3" s="1"/>
  <c r="I49" i="3"/>
  <c r="G49" i="3"/>
  <c r="H49" i="3" s="1"/>
  <c r="I48" i="3"/>
  <c r="H48" i="3"/>
  <c r="J48" i="3" s="1"/>
  <c r="G48" i="3"/>
  <c r="I45" i="3"/>
  <c r="I44" i="3"/>
  <c r="I43" i="3"/>
  <c r="I42" i="3"/>
  <c r="G45" i="3"/>
  <c r="H45" i="3" s="1"/>
  <c r="G44" i="3"/>
  <c r="H44" i="3" s="1"/>
  <c r="G43" i="3"/>
  <c r="H43" i="3" s="1"/>
  <c r="G42" i="3"/>
  <c r="H42" i="3" s="1"/>
  <c r="I39" i="3"/>
  <c r="H39" i="3"/>
  <c r="G39" i="3"/>
  <c r="I38" i="3"/>
  <c r="G38" i="3"/>
  <c r="H38" i="3" s="1"/>
  <c r="J38" i="3" s="1"/>
  <c r="I35" i="3"/>
  <c r="I34" i="3"/>
  <c r="I33" i="3"/>
  <c r="G35" i="3"/>
  <c r="G34" i="3"/>
  <c r="G33" i="3"/>
  <c r="H33" i="3" s="1"/>
  <c r="I30" i="3"/>
  <c r="I29" i="3"/>
  <c r="G30" i="3"/>
  <c r="H30" i="3" s="1"/>
  <c r="G29" i="3"/>
  <c r="H29" i="3"/>
  <c r="C56" i="3"/>
  <c r="B56" i="3"/>
  <c r="C55" i="3"/>
  <c r="B55" i="3"/>
  <c r="C54" i="3"/>
  <c r="B54" i="3"/>
  <c r="C51" i="3"/>
  <c r="B51" i="3"/>
  <c r="C50" i="3"/>
  <c r="B50" i="3"/>
  <c r="C49" i="3"/>
  <c r="B49" i="3"/>
  <c r="C48" i="3"/>
  <c r="B48" i="3"/>
  <c r="C45" i="3"/>
  <c r="B45" i="3"/>
  <c r="C44" i="3"/>
  <c r="B44" i="3"/>
  <c r="C43" i="3"/>
  <c r="B43" i="3"/>
  <c r="C42" i="3"/>
  <c r="B42" i="3"/>
  <c r="C39" i="3"/>
  <c r="B39" i="3"/>
  <c r="C38" i="3"/>
  <c r="B38" i="3"/>
  <c r="H34" i="3" s="1"/>
  <c r="C35" i="3"/>
  <c r="B35" i="3"/>
  <c r="C34" i="3"/>
  <c r="B34" i="3"/>
  <c r="C33" i="3"/>
  <c r="B33" i="3"/>
  <c r="B30" i="3"/>
  <c r="C30" i="3"/>
  <c r="C29" i="3"/>
  <c r="B29" i="3"/>
  <c r="B26" i="3"/>
  <c r="I26" i="3" s="1"/>
  <c r="B25" i="3"/>
  <c r="I25" i="3" s="1"/>
  <c r="C26" i="3"/>
  <c r="C25" i="3"/>
  <c r="C22" i="3"/>
  <c r="B22" i="3"/>
  <c r="I22" i="3" s="1"/>
  <c r="C21" i="3"/>
  <c r="B21" i="3"/>
  <c r="C18" i="3"/>
  <c r="C17" i="3"/>
  <c r="B18" i="3"/>
  <c r="I18" i="3" s="1"/>
  <c r="B17" i="3"/>
  <c r="I17" i="3" s="1"/>
  <c r="G19" i="3"/>
  <c r="E32" i="6" l="1"/>
  <c r="D23" i="6"/>
  <c r="F23" i="6" s="1"/>
  <c r="G23" i="6" s="1"/>
  <c r="D27" i="6"/>
  <c r="F27" i="6" s="1"/>
  <c r="G27" i="6" s="1"/>
  <c r="D34" i="6"/>
  <c r="F34" i="6" s="1"/>
  <c r="G34" i="6" s="1"/>
  <c r="D10" i="6"/>
  <c r="E10" i="6" s="1"/>
  <c r="D9" i="6"/>
  <c r="E26" i="6"/>
  <c r="D18" i="6"/>
  <c r="E18" i="6" s="1"/>
  <c r="D13" i="6"/>
  <c r="F13" i="6" s="1"/>
  <c r="G13" i="6" s="1"/>
  <c r="D22" i="6"/>
  <c r="E22" i="6" s="1"/>
  <c r="E35" i="6"/>
  <c r="D14" i="6"/>
  <c r="E14" i="6" s="1"/>
  <c r="F9" i="6"/>
  <c r="G9" i="6" s="1"/>
  <c r="E9" i="6"/>
  <c r="F17" i="6"/>
  <c r="G17" i="6" s="1"/>
  <c r="E17" i="6"/>
  <c r="F29" i="6"/>
  <c r="G29" i="6" s="1"/>
  <c r="E29" i="6"/>
  <c r="F19" i="6"/>
  <c r="G19" i="6" s="1"/>
  <c r="E19" i="6"/>
  <c r="F33" i="6"/>
  <c r="G33" i="6" s="1"/>
  <c r="E33" i="6"/>
  <c r="E28" i="6"/>
  <c r="E34" i="6"/>
  <c r="E27" i="5"/>
  <c r="D19" i="5"/>
  <c r="E19" i="5" s="1"/>
  <c r="D22" i="5"/>
  <c r="F22" i="5" s="1"/>
  <c r="G22" i="5" s="1"/>
  <c r="D31" i="5"/>
  <c r="E31" i="5" s="1"/>
  <c r="F14" i="5"/>
  <c r="G14" i="5" s="1"/>
  <c r="D23" i="5"/>
  <c r="E23" i="5" s="1"/>
  <c r="E37" i="5"/>
  <c r="D10" i="5"/>
  <c r="F10" i="5" s="1"/>
  <c r="G10" i="5" s="1"/>
  <c r="D15" i="5"/>
  <c r="F15" i="5" s="1"/>
  <c r="G15" i="5" s="1"/>
  <c r="D38" i="5"/>
  <c r="F38" i="5" s="1"/>
  <c r="G38" i="5" s="1"/>
  <c r="D18" i="5"/>
  <c r="D11" i="5"/>
  <c r="G11" i="5" s="1"/>
  <c r="D39" i="5"/>
  <c r="F39" i="5" s="1"/>
  <c r="G39" i="5" s="1"/>
  <c r="D33" i="5"/>
  <c r="F33" i="5" s="1"/>
  <c r="G33" i="5" s="1"/>
  <c r="F34" i="5"/>
  <c r="G34" i="5" s="1"/>
  <c r="E34" i="5"/>
  <c r="F18" i="5"/>
  <c r="G18" i="5" s="1"/>
  <c r="E18" i="5"/>
  <c r="H18" i="5" s="1"/>
  <c r="G31" i="5"/>
  <c r="F32" i="5"/>
  <c r="G32" i="5" s="1"/>
  <c r="E32" i="5"/>
  <c r="E33" i="5"/>
  <c r="F28" i="5"/>
  <c r="G28" i="5" s="1"/>
  <c r="E28" i="5"/>
  <c r="G40" i="5"/>
  <c r="E40" i="5"/>
  <c r="G27" i="5"/>
  <c r="E22" i="5"/>
  <c r="E24" i="5"/>
  <c r="H43" i="4"/>
  <c r="E44" i="4"/>
  <c r="F37" i="4"/>
  <c r="G37" i="4" s="1"/>
  <c r="E39" i="4"/>
  <c r="E33" i="4"/>
  <c r="H33" i="4" s="1"/>
  <c r="E24" i="4"/>
  <c r="G28" i="4"/>
  <c r="D13" i="4"/>
  <c r="D17" i="4"/>
  <c r="D21" i="4"/>
  <c r="E21" i="4" s="1"/>
  <c r="F17" i="4"/>
  <c r="G17" i="4" s="1"/>
  <c r="E17" i="4"/>
  <c r="F13" i="4"/>
  <c r="G13" i="4" s="1"/>
  <c r="E13" i="4"/>
  <c r="D16" i="4"/>
  <c r="E16" i="4" s="1"/>
  <c r="D20" i="4"/>
  <c r="E20" i="4" s="1"/>
  <c r="D12" i="4"/>
  <c r="E12" i="4" s="1"/>
  <c r="J42" i="3"/>
  <c r="J29" i="3"/>
  <c r="I21" i="3"/>
  <c r="G25" i="3"/>
  <c r="G26" i="3"/>
  <c r="H26" i="3" s="1"/>
  <c r="H35" i="3"/>
  <c r="G17" i="3"/>
  <c r="H17" i="3" s="1"/>
  <c r="H25" i="3"/>
  <c r="J25" i="3" s="1"/>
  <c r="G18" i="3"/>
  <c r="H18" i="3" s="1"/>
  <c r="J17" i="3" s="1"/>
  <c r="G21" i="3"/>
  <c r="H21" i="3" s="1"/>
  <c r="J21" i="3" s="1"/>
  <c r="H22" i="3"/>
  <c r="J33" i="3"/>
  <c r="E23" i="6" l="1"/>
  <c r="E27" i="6"/>
  <c r="H32" i="6"/>
  <c r="H22" i="6"/>
  <c r="H26" i="6"/>
  <c r="H9" i="6"/>
  <c r="E13" i="6"/>
  <c r="H13" i="6" s="1"/>
  <c r="H17" i="6"/>
  <c r="E10" i="5"/>
  <c r="E38" i="5"/>
  <c r="H37" i="5" s="1"/>
  <c r="E39" i="5"/>
  <c r="E11" i="5"/>
  <c r="E15" i="5"/>
  <c r="H14" i="5" s="1"/>
  <c r="H27" i="5"/>
  <c r="H10" i="5"/>
  <c r="H22" i="5"/>
  <c r="H31" i="5"/>
  <c r="G12" i="4"/>
  <c r="F20" i="4"/>
  <c r="G20" i="4" s="1"/>
  <c r="H20" i="4" s="1"/>
  <c r="G24" i="4"/>
  <c r="H24" i="4" s="1"/>
  <c r="G16" i="4"/>
  <c r="H16" i="4" s="1"/>
  <c r="H12" i="4"/>
</calcChain>
</file>

<file path=xl/sharedStrings.xml><?xml version="1.0" encoding="utf-8"?>
<sst xmlns="http://schemas.openxmlformats.org/spreadsheetml/2006/main" count="788" uniqueCount="99">
  <si>
    <t>№ договора</t>
  </si>
  <si>
    <t>погашен</t>
  </si>
  <si>
    <t>не погашен</t>
  </si>
  <si>
    <t>в браке</t>
  </si>
  <si>
    <t>не в браке</t>
  </si>
  <si>
    <t>нет</t>
  </si>
  <si>
    <t>есть</t>
  </si>
  <si>
    <t>&lt;= 2</t>
  </si>
  <si>
    <t>&gt; 2</t>
  </si>
  <si>
    <t>высшее</t>
  </si>
  <si>
    <t>среднее</t>
  </si>
  <si>
    <t>в собственности</t>
  </si>
  <si>
    <t>отсутствует</t>
  </si>
  <si>
    <t>в ипотеке</t>
  </si>
  <si>
    <t>менеджер</t>
  </si>
  <si>
    <t>продавец</t>
  </si>
  <si>
    <t>инженер</t>
  </si>
  <si>
    <t>предприниматель</t>
  </si>
  <si>
    <t>41-70</t>
  </si>
  <si>
    <t>100-130</t>
  </si>
  <si>
    <t>71-100</t>
  </si>
  <si>
    <t>&gt; 130</t>
  </si>
  <si>
    <t>40-60</t>
  </si>
  <si>
    <t>25-39</t>
  </si>
  <si>
    <t>18-24</t>
  </si>
  <si>
    <t>В качестве критерия неоднородности (для выбора порядка факторов) используйте:</t>
  </si>
  <si>
    <t>а) долю ошибок, б) индекс загрязненности Джинни, в) кросс-энтропию.</t>
  </si>
  <si>
    <t>Задача 1. Постройте дерево решений для классификации заемщиков по статусу погашения кредита.</t>
  </si>
  <si>
    <t>не_погашен</t>
  </si>
  <si>
    <r>
      <t xml:space="preserve">X1 Семейное положение </t>
    </r>
    <r>
      <rPr>
        <b/>
        <sz val="11"/>
        <color theme="1"/>
        <rFont val="Calibri"/>
        <family val="2"/>
        <charset val="204"/>
        <scheme val="minor"/>
      </rPr>
      <t>(2)</t>
    </r>
  </si>
  <si>
    <r>
      <t xml:space="preserve">X2 Наличие детей </t>
    </r>
    <r>
      <rPr>
        <b/>
        <sz val="11"/>
        <color theme="1"/>
        <rFont val="Calibri"/>
        <family val="2"/>
        <charset val="204"/>
        <scheme val="minor"/>
      </rPr>
      <t>(2)</t>
    </r>
  </si>
  <si>
    <r>
      <t xml:space="preserve">X3    Стаж работы </t>
    </r>
    <r>
      <rPr>
        <b/>
        <sz val="11"/>
        <color theme="1"/>
        <rFont val="Calibri"/>
        <family val="2"/>
        <charset val="204"/>
        <scheme val="minor"/>
      </rPr>
      <t>(2)</t>
    </r>
  </si>
  <si>
    <r>
      <t xml:space="preserve">X4 Образование </t>
    </r>
    <r>
      <rPr>
        <b/>
        <sz val="11"/>
        <color theme="1"/>
        <rFont val="Calibri"/>
        <family val="2"/>
        <charset val="204"/>
        <scheme val="minor"/>
      </rPr>
      <t>(2)</t>
    </r>
  </si>
  <si>
    <r>
      <t xml:space="preserve">X5 Недвижимость </t>
    </r>
    <r>
      <rPr>
        <b/>
        <sz val="11"/>
        <color theme="1"/>
        <rFont val="Calibri"/>
        <family val="2"/>
        <charset val="204"/>
        <scheme val="minor"/>
      </rPr>
      <t>(3)</t>
    </r>
  </si>
  <si>
    <r>
      <t xml:space="preserve">X6 Подтверждение уровня доходов </t>
    </r>
    <r>
      <rPr>
        <b/>
        <sz val="11"/>
        <color theme="1"/>
        <rFont val="Calibri"/>
        <family val="2"/>
        <charset val="204"/>
        <scheme val="minor"/>
      </rPr>
      <t>(2)</t>
    </r>
  </si>
  <si>
    <r>
      <t xml:space="preserve">X7              Профессия </t>
    </r>
    <r>
      <rPr>
        <b/>
        <sz val="11"/>
        <color theme="1"/>
        <rFont val="Calibri"/>
        <family val="2"/>
        <charset val="204"/>
        <scheme val="minor"/>
      </rPr>
      <t>(4)</t>
    </r>
  </si>
  <si>
    <r>
      <t xml:space="preserve">X8 Средний месячный доход </t>
    </r>
    <r>
      <rPr>
        <b/>
        <sz val="11"/>
        <color theme="1"/>
        <rFont val="Calibri"/>
        <family val="2"/>
        <charset val="204"/>
        <scheme val="minor"/>
      </rPr>
      <t>(4)</t>
    </r>
  </si>
  <si>
    <r>
      <t xml:space="preserve">X9 Возраст </t>
    </r>
    <r>
      <rPr>
        <b/>
        <sz val="11"/>
        <color theme="1"/>
        <rFont val="Calibri"/>
        <family val="2"/>
        <charset val="204"/>
        <scheme val="minor"/>
      </rPr>
      <t>(3)</t>
    </r>
  </si>
  <si>
    <r>
      <t xml:space="preserve">Y          Кредит погашен </t>
    </r>
    <r>
      <rPr>
        <b/>
        <sz val="11"/>
        <color theme="1"/>
        <rFont val="Calibri"/>
        <family val="2"/>
        <charset val="204"/>
        <scheme val="minor"/>
      </rPr>
      <t>(2)</t>
    </r>
  </si>
  <si>
    <t>Вся таблица</t>
  </si>
  <si>
    <t xml:space="preserve"> -: 2, 5, 7, 9, 10, 11</t>
  </si>
  <si>
    <t xml:space="preserve"> +: 1, 3, 4, 6, 8, 12</t>
  </si>
  <si>
    <t xml:space="preserve"> -: </t>
  </si>
  <si>
    <t xml:space="preserve"> +: </t>
  </si>
  <si>
    <t>1. в браке</t>
  </si>
  <si>
    <t>2. не в браке</t>
  </si>
  <si>
    <t>1. есть</t>
  </si>
  <si>
    <t>2. нет</t>
  </si>
  <si>
    <t>1. &lt;= 2</t>
  </si>
  <si>
    <t>2. &gt; 2</t>
  </si>
  <si>
    <t>1. среднее</t>
  </si>
  <si>
    <t>2. высшее</t>
  </si>
  <si>
    <t>1. 41-70</t>
  </si>
  <si>
    <t>2. 71-100</t>
  </si>
  <si>
    <t>3. 100-130</t>
  </si>
  <si>
    <t>4. &gt; 130</t>
  </si>
  <si>
    <t>1. отсутствует</t>
  </si>
  <si>
    <t>2. в ипотеке</t>
  </si>
  <si>
    <t>2. в собственности</t>
  </si>
  <si>
    <t>1. менеджер</t>
  </si>
  <si>
    <t>2. продавец</t>
  </si>
  <si>
    <t>3. инженер</t>
  </si>
  <si>
    <t>2. предприниматель</t>
  </si>
  <si>
    <t>1. 18-24</t>
  </si>
  <si>
    <t>2. 25-39</t>
  </si>
  <si>
    <t>3. 40-60</t>
  </si>
  <si>
    <t>~p</t>
  </si>
  <si>
    <t xml:space="preserve"> ~(1-p)</t>
  </si>
  <si>
    <t>~Вес (не норм.)</t>
  </si>
  <si>
    <t>Крит.неодн.: 
доля ошибок</t>
  </si>
  <si>
    <t>min</t>
  </si>
  <si>
    <t>X9: Возраст</t>
  </si>
  <si>
    <t xml:space="preserve"> -: 7, 11</t>
  </si>
  <si>
    <t xml:space="preserve"> -: 2, 5, 9, 10</t>
  </si>
  <si>
    <t xml:space="preserve"> +: 4, 12</t>
  </si>
  <si>
    <t xml:space="preserve"> +: 1, 3, 6, 8</t>
  </si>
  <si>
    <t>Абс.част.призн.</t>
  </si>
  <si>
    <t>Отн.част.призн.</t>
  </si>
  <si>
    <t>~p
(доля верн.отв.)</t>
  </si>
  <si>
    <t>~(1-p)
(доля ошибок)</t>
  </si>
  <si>
    <t>Крит.неодн.:
взвеш. доля ошибок</t>
  </si>
  <si>
    <t>Сумма:</t>
  </si>
  <si>
    <t>X4: Образование</t>
  </si>
  <si>
    <t>Среднее</t>
  </si>
  <si>
    <t>Высшее</t>
  </si>
  <si>
    <t xml:space="preserve"> -: 5, 9</t>
  </si>
  <si>
    <t xml:space="preserve"> -: 2, 10</t>
  </si>
  <si>
    <t xml:space="preserve"> +:</t>
  </si>
  <si>
    <t>X2: Наличие детей:</t>
  </si>
  <si>
    <t>Нет</t>
  </si>
  <si>
    <t>Есть</t>
  </si>
  <si>
    <t xml:space="preserve"> -: 10</t>
  </si>
  <si>
    <t xml:space="preserve"> -: 2</t>
  </si>
  <si>
    <t>Х5: Недвижимость</t>
  </si>
  <si>
    <t>Отсутствует</t>
  </si>
  <si>
    <t>В ипотеке</t>
  </si>
  <si>
    <t>В собственности</t>
  </si>
  <si>
    <t xml:space="preserve"> -:  10</t>
  </si>
  <si>
    <t>недост.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</si>
</sst>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2" borderId="10" xfId="0" applyFill="1" applyBorder="1"/>
    <xf numFmtId="0" fontId="0" fillId="3" borderId="11" xfId="0" applyFill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0" fillId="0" borderId="16" xfId="0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0" xfId="0" applyFont="1"/>
    <xf numFmtId="0" fontId="0" fillId="0" borderId="17" xfId="0" applyBorder="1"/>
    <xf numFmtId="0" fontId="6" fillId="0" borderId="17" xfId="0" applyFont="1" applyBorder="1"/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23" xfId="0" applyFont="1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23" xfId="0" applyFont="1" applyBorder="1"/>
    <xf numFmtId="0" fontId="7" fillId="4" borderId="9" xfId="0" applyFont="1" applyFill="1" applyBorder="1" applyAlignment="1">
      <alignment horizontal="center"/>
    </xf>
  </cellXfs>
  <cellStyles count="1">
    <cellStyle name="Обычный" xfId="0" builtinId="0"/>
  </cellStyles>
  <dxfs count="3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196453</xdr:rowOff>
    </xdr:from>
    <xdr:to>
      <xdr:col>5</xdr:col>
      <xdr:colOff>0</xdr:colOff>
      <xdr:row>20</xdr:row>
      <xdr:rowOff>5953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25D7D8B1-C3E0-4BC3-8F43-BB948C221D02}"/>
            </a:ext>
          </a:extLst>
        </xdr:cNvPr>
        <xdr:cNvCxnSpPr/>
      </xdr:nvCxnSpPr>
      <xdr:spPr>
        <a:xfrm flipH="1">
          <a:off x="2178844" y="4423172"/>
          <a:ext cx="1482328" cy="404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583406</xdr:colOff>
      <xdr:row>18</xdr:row>
      <xdr:rowOff>23812</xdr:rowOff>
    </xdr:from>
    <xdr:to>
      <xdr:col>5</xdr:col>
      <xdr:colOff>595312</xdr:colOff>
      <xdr:row>20</xdr:row>
      <xdr:rowOff>17860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D5CB8EE0-4283-4E5A-ADAE-63ACC4BDDCFD}"/>
            </a:ext>
          </a:extLst>
        </xdr:cNvPr>
        <xdr:cNvCxnSpPr/>
      </xdr:nvCxnSpPr>
      <xdr:spPr>
        <a:xfrm>
          <a:off x="4244578" y="4452937"/>
          <a:ext cx="11906" cy="386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1071562</xdr:colOff>
      <xdr:row>18</xdr:row>
      <xdr:rowOff>11906</xdr:rowOff>
    </xdr:from>
    <xdr:to>
      <xdr:col>8</xdr:col>
      <xdr:colOff>23812</xdr:colOff>
      <xdr:row>20</xdr:row>
      <xdr:rowOff>11906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36BFE704-FBEF-4981-8FBF-C1B463B92BD1}"/>
            </a:ext>
          </a:extLst>
        </xdr:cNvPr>
        <xdr:cNvCxnSpPr/>
      </xdr:nvCxnSpPr>
      <xdr:spPr>
        <a:xfrm>
          <a:off x="4732734" y="4441031"/>
          <a:ext cx="1863328" cy="392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24</xdr:row>
      <xdr:rowOff>15240</xdr:rowOff>
    </xdr:from>
    <xdr:to>
      <xdr:col>5</xdr:col>
      <xdr:colOff>1196340</xdr:colOff>
      <xdr:row>25</xdr:row>
      <xdr:rowOff>7620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30EEBAC0-AB6C-464D-A626-E5D53B3549F1}"/>
            </a:ext>
          </a:extLst>
        </xdr:cNvPr>
        <xdr:cNvCxnSpPr/>
      </xdr:nvCxnSpPr>
      <xdr:spPr>
        <a:xfrm>
          <a:off x="3912870" y="5444490"/>
          <a:ext cx="63627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791765</xdr:colOff>
      <xdr:row>24</xdr:row>
      <xdr:rowOff>17859</xdr:rowOff>
    </xdr:from>
    <xdr:to>
      <xdr:col>5</xdr:col>
      <xdr:colOff>470297</xdr:colOff>
      <xdr:row>25</xdr:row>
      <xdr:rowOff>23813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259A9195-9A7C-4C16-96E8-55D5A4A9B53C}"/>
            </a:ext>
          </a:extLst>
        </xdr:cNvPr>
        <xdr:cNvCxnSpPr/>
      </xdr:nvCxnSpPr>
      <xdr:spPr>
        <a:xfrm flipH="1">
          <a:off x="3577828" y="5637609"/>
          <a:ext cx="553641" cy="208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600552</xdr:colOff>
      <xdr:row>29</xdr:row>
      <xdr:rowOff>9287</xdr:rowOff>
    </xdr:from>
    <xdr:to>
      <xdr:col>7</xdr:col>
      <xdr:colOff>23813</xdr:colOff>
      <xdr:row>31</xdr:row>
      <xdr:rowOff>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47CBBB4-8122-4861-AC8D-BCB2E63CE2D2}"/>
            </a:ext>
          </a:extLst>
        </xdr:cNvPr>
        <xdr:cNvCxnSpPr/>
      </xdr:nvCxnSpPr>
      <xdr:spPr>
        <a:xfrm>
          <a:off x="5357099" y="6629162"/>
          <a:ext cx="679370" cy="3836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791766</xdr:colOff>
      <xdr:row>28</xdr:row>
      <xdr:rowOff>196453</xdr:rowOff>
    </xdr:from>
    <xdr:to>
      <xdr:col>6</xdr:col>
      <xdr:colOff>464344</xdr:colOff>
      <xdr:row>31</xdr:row>
      <xdr:rowOff>23813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3A4D7680-2016-424D-95B8-E53885570CAD}"/>
            </a:ext>
          </a:extLst>
        </xdr:cNvPr>
        <xdr:cNvCxnSpPr/>
      </xdr:nvCxnSpPr>
      <xdr:spPr>
        <a:xfrm flipH="1">
          <a:off x="4452938" y="6613922"/>
          <a:ext cx="767953" cy="4226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1190625</xdr:colOff>
      <xdr:row>35</xdr:row>
      <xdr:rowOff>11907</xdr:rowOff>
    </xdr:from>
    <xdr:to>
      <xdr:col>10</xdr:col>
      <xdr:colOff>17859</xdr:colOff>
      <xdr:row>37</xdr:row>
      <xdr:rowOff>23813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0CFE88DC-B531-421E-8998-C608806BC9CA}"/>
            </a:ext>
          </a:extLst>
        </xdr:cNvPr>
        <xdr:cNvCxnSpPr/>
      </xdr:nvCxnSpPr>
      <xdr:spPr>
        <a:xfrm>
          <a:off x="7203281" y="7822407"/>
          <a:ext cx="1345406" cy="404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601266</xdr:colOff>
      <xdr:row>35</xdr:row>
      <xdr:rowOff>5953</xdr:rowOff>
    </xdr:from>
    <xdr:to>
      <xdr:col>7</xdr:col>
      <xdr:colOff>613173</xdr:colOff>
      <xdr:row>36</xdr:row>
      <xdr:rowOff>178594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70275C16-9DB5-4607-B4D0-875B1FA473E4}"/>
            </a:ext>
          </a:extLst>
        </xdr:cNvPr>
        <xdr:cNvCxnSpPr/>
      </xdr:nvCxnSpPr>
      <xdr:spPr>
        <a:xfrm>
          <a:off x="6613922" y="7816453"/>
          <a:ext cx="11907" cy="363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</xdr:colOff>
      <xdr:row>35</xdr:row>
      <xdr:rowOff>11906</xdr:rowOff>
    </xdr:from>
    <xdr:to>
      <xdr:col>6</xdr:col>
      <xdr:colOff>1244203</xdr:colOff>
      <xdr:row>36</xdr:row>
      <xdr:rowOff>190500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ADD655D6-4681-45DE-B011-DEDBDC133740}"/>
            </a:ext>
          </a:extLst>
        </xdr:cNvPr>
        <xdr:cNvCxnSpPr/>
      </xdr:nvCxnSpPr>
      <xdr:spPr>
        <a:xfrm flipH="1">
          <a:off x="3684984" y="7822406"/>
          <a:ext cx="2315766" cy="369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zoomScale="175" zoomScaleNormal="175" workbookViewId="0">
      <selection activeCell="J6" sqref="J6"/>
    </sheetView>
  </sheetViews>
  <sheetFormatPr defaultRowHeight="15" x14ac:dyDescent="0.25"/>
  <sheetData>
    <row r="1" spans="1:1" s="3" customFormat="1" ht="15.75" customHeight="1" x14ac:dyDescent="0.25">
      <c r="A1" s="7" t="s">
        <v>27</v>
      </c>
    </row>
    <row r="2" spans="1:1" x14ac:dyDescent="0.25">
      <c r="A2" s="7" t="s">
        <v>25</v>
      </c>
    </row>
    <row r="3" spans="1:1" x14ac:dyDescent="0.25">
      <c r="A3" s="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abSelected="1" topLeftCell="A10" zoomScaleNormal="100" workbookViewId="0">
      <selection activeCell="M24" sqref="M24"/>
    </sheetView>
  </sheetViews>
  <sheetFormatPr defaultRowHeight="15" x14ac:dyDescent="0.25"/>
  <cols>
    <col min="1" max="1" width="9.140625" style="5"/>
    <col min="2" max="2" width="11.42578125" style="5" customWidth="1"/>
    <col min="3" max="3" width="12.140625" style="5" bestFit="1" customWidth="1"/>
    <col min="4" max="4" width="9.140625" style="5"/>
    <col min="5" max="5" width="13.140625" style="5" customWidth="1"/>
    <col min="6" max="6" width="16.42578125" style="5" customWidth="1"/>
    <col min="7" max="7" width="18.85546875" style="5" bestFit="1" customWidth="1"/>
    <col min="8" max="8" width="18.140625" style="5" customWidth="1"/>
    <col min="9" max="9" width="10.42578125" style="5" bestFit="1" customWidth="1"/>
    <col min="10" max="10" width="9.140625" style="5"/>
    <col min="11" max="11" width="16" style="5" bestFit="1" customWidth="1"/>
  </cols>
  <sheetData>
    <row r="1" spans="1:11" s="1" customFormat="1" ht="90" x14ac:dyDescent="0.2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spans="1:11" x14ac:dyDescent="0.25">
      <c r="A2" s="4">
        <v>1</v>
      </c>
      <c r="B2" s="4" t="s">
        <v>3</v>
      </c>
      <c r="C2" s="4" t="s">
        <v>5</v>
      </c>
      <c r="D2" s="4" t="s">
        <v>7</v>
      </c>
      <c r="E2" s="4" t="s">
        <v>9</v>
      </c>
      <c r="F2" s="4" t="s">
        <v>11</v>
      </c>
      <c r="G2" s="4" t="s">
        <v>6</v>
      </c>
      <c r="H2" s="4" t="s">
        <v>14</v>
      </c>
      <c r="I2" s="4" t="s">
        <v>18</v>
      </c>
      <c r="J2" s="4" t="s">
        <v>22</v>
      </c>
      <c r="K2" s="4" t="s">
        <v>1</v>
      </c>
    </row>
    <row r="3" spans="1:11" x14ac:dyDescent="0.25">
      <c r="A3" s="4">
        <v>2</v>
      </c>
      <c r="B3" s="4" t="s">
        <v>3</v>
      </c>
      <c r="C3" s="4" t="s">
        <v>5</v>
      </c>
      <c r="D3" s="4" t="s">
        <v>7</v>
      </c>
      <c r="E3" s="4" t="s">
        <v>9</v>
      </c>
      <c r="F3" s="4" t="s">
        <v>12</v>
      </c>
      <c r="G3" s="4" t="s">
        <v>5</v>
      </c>
      <c r="H3" s="4" t="s">
        <v>15</v>
      </c>
      <c r="I3" s="4" t="s">
        <v>19</v>
      </c>
      <c r="J3" s="4" t="s">
        <v>23</v>
      </c>
      <c r="K3" s="4" t="s">
        <v>2</v>
      </c>
    </row>
    <row r="4" spans="1:11" x14ac:dyDescent="0.25">
      <c r="A4" s="4">
        <v>3</v>
      </c>
      <c r="B4" s="4" t="s">
        <v>4</v>
      </c>
      <c r="C4" s="4" t="s">
        <v>5</v>
      </c>
      <c r="D4" s="4" t="s">
        <v>8</v>
      </c>
      <c r="E4" s="4" t="s">
        <v>10</v>
      </c>
      <c r="F4" s="4" t="s">
        <v>12</v>
      </c>
      <c r="G4" s="4" t="s">
        <v>5</v>
      </c>
      <c r="H4" s="4" t="s">
        <v>16</v>
      </c>
      <c r="I4" s="4" t="s">
        <v>18</v>
      </c>
      <c r="J4" s="4" t="s">
        <v>22</v>
      </c>
      <c r="K4" s="4" t="s">
        <v>1</v>
      </c>
    </row>
    <row r="5" spans="1:11" x14ac:dyDescent="0.25">
      <c r="A5" s="4">
        <v>4</v>
      </c>
      <c r="B5" s="4" t="s">
        <v>3</v>
      </c>
      <c r="C5" s="4" t="s">
        <v>6</v>
      </c>
      <c r="D5" s="4" t="s">
        <v>7</v>
      </c>
      <c r="E5" s="4" t="s">
        <v>9</v>
      </c>
      <c r="F5" s="4" t="s">
        <v>12</v>
      </c>
      <c r="G5" s="4" t="s">
        <v>5</v>
      </c>
      <c r="H5" s="4" t="s">
        <v>15</v>
      </c>
      <c r="I5" s="4" t="s">
        <v>20</v>
      </c>
      <c r="J5" s="4" t="s">
        <v>23</v>
      </c>
      <c r="K5" s="4" t="s">
        <v>1</v>
      </c>
    </row>
    <row r="6" spans="1:11" x14ac:dyDescent="0.25">
      <c r="A6" s="4">
        <v>5</v>
      </c>
      <c r="B6" s="4" t="s">
        <v>3</v>
      </c>
      <c r="C6" s="4" t="s">
        <v>6</v>
      </c>
      <c r="D6" s="4" t="s">
        <v>7</v>
      </c>
      <c r="E6" s="4" t="s">
        <v>10</v>
      </c>
      <c r="F6" s="4" t="s">
        <v>11</v>
      </c>
      <c r="G6" s="4" t="s">
        <v>5</v>
      </c>
      <c r="H6" s="4" t="s">
        <v>14</v>
      </c>
      <c r="I6" s="4" t="s">
        <v>21</v>
      </c>
      <c r="J6" s="4" t="s">
        <v>23</v>
      </c>
      <c r="K6" s="4" t="s">
        <v>2</v>
      </c>
    </row>
    <row r="7" spans="1:11" x14ac:dyDescent="0.25">
      <c r="A7" s="4">
        <v>6</v>
      </c>
      <c r="B7" s="4" t="s">
        <v>4</v>
      </c>
      <c r="C7" s="4" t="s">
        <v>5</v>
      </c>
      <c r="D7" s="4" t="s">
        <v>8</v>
      </c>
      <c r="E7" s="4" t="s">
        <v>9</v>
      </c>
      <c r="F7" s="4" t="s">
        <v>13</v>
      </c>
      <c r="G7" s="4" t="s">
        <v>6</v>
      </c>
      <c r="H7" s="4" t="s">
        <v>17</v>
      </c>
      <c r="I7" s="4" t="s">
        <v>18</v>
      </c>
      <c r="J7" s="4" t="s">
        <v>22</v>
      </c>
      <c r="K7" s="4" t="s">
        <v>1</v>
      </c>
    </row>
    <row r="8" spans="1:11" x14ac:dyDescent="0.25">
      <c r="A8" s="4">
        <v>7</v>
      </c>
      <c r="B8" s="4" t="s">
        <v>4</v>
      </c>
      <c r="C8" s="4" t="s">
        <v>5</v>
      </c>
      <c r="D8" s="4" t="s">
        <v>8</v>
      </c>
      <c r="E8" s="4" t="s">
        <v>10</v>
      </c>
      <c r="F8" s="4" t="s">
        <v>12</v>
      </c>
      <c r="G8" s="4" t="s">
        <v>6</v>
      </c>
      <c r="H8" s="4" t="s">
        <v>16</v>
      </c>
      <c r="I8" s="4" t="s">
        <v>18</v>
      </c>
      <c r="J8" s="4" t="s">
        <v>24</v>
      </c>
      <c r="K8" s="4" t="s">
        <v>2</v>
      </c>
    </row>
    <row r="9" spans="1:11" x14ac:dyDescent="0.25">
      <c r="A9" s="4">
        <v>8</v>
      </c>
      <c r="B9" s="4" t="s">
        <v>4</v>
      </c>
      <c r="C9" s="4" t="s">
        <v>5</v>
      </c>
      <c r="D9" s="4" t="s">
        <v>7</v>
      </c>
      <c r="E9" s="4" t="s">
        <v>9</v>
      </c>
      <c r="F9" s="4" t="s">
        <v>13</v>
      </c>
      <c r="G9" s="4" t="s">
        <v>6</v>
      </c>
      <c r="H9" s="4" t="s">
        <v>15</v>
      </c>
      <c r="I9" s="4" t="s">
        <v>18</v>
      </c>
      <c r="J9" s="4" t="s">
        <v>22</v>
      </c>
      <c r="K9" s="4" t="s">
        <v>1</v>
      </c>
    </row>
    <row r="10" spans="1:11" x14ac:dyDescent="0.25">
      <c r="A10" s="4">
        <v>9</v>
      </c>
      <c r="B10" s="4" t="s">
        <v>4</v>
      </c>
      <c r="C10" s="4" t="s">
        <v>6</v>
      </c>
      <c r="D10" s="4" t="s">
        <v>8</v>
      </c>
      <c r="E10" s="4" t="s">
        <v>10</v>
      </c>
      <c r="F10" s="4" t="s">
        <v>12</v>
      </c>
      <c r="G10" s="4" t="s">
        <v>6</v>
      </c>
      <c r="H10" s="4" t="s">
        <v>16</v>
      </c>
      <c r="I10" s="4" t="s">
        <v>21</v>
      </c>
      <c r="J10" s="4" t="s">
        <v>23</v>
      </c>
      <c r="K10" s="4" t="s">
        <v>2</v>
      </c>
    </row>
    <row r="11" spans="1:11" x14ac:dyDescent="0.25">
      <c r="A11" s="4">
        <v>10</v>
      </c>
      <c r="B11" s="4" t="s">
        <v>3</v>
      </c>
      <c r="C11" s="4" t="s">
        <v>6</v>
      </c>
      <c r="D11" s="4" t="s">
        <v>8</v>
      </c>
      <c r="E11" s="4" t="s">
        <v>9</v>
      </c>
      <c r="F11" s="4" t="s">
        <v>11</v>
      </c>
      <c r="G11" s="4" t="s">
        <v>5</v>
      </c>
      <c r="H11" s="4" t="s">
        <v>17</v>
      </c>
      <c r="I11" s="4" t="s">
        <v>20</v>
      </c>
      <c r="J11" s="4" t="s">
        <v>23</v>
      </c>
      <c r="K11" s="4" t="s">
        <v>2</v>
      </c>
    </row>
    <row r="12" spans="1:11" x14ac:dyDescent="0.25">
      <c r="A12" s="4">
        <v>11</v>
      </c>
      <c r="B12" s="4" t="s">
        <v>4</v>
      </c>
      <c r="C12" s="4" t="s">
        <v>5</v>
      </c>
      <c r="D12" s="4" t="s">
        <v>7</v>
      </c>
      <c r="E12" s="4" t="s">
        <v>10</v>
      </c>
      <c r="F12" s="4" t="s">
        <v>12</v>
      </c>
      <c r="G12" s="4" t="s">
        <v>5</v>
      </c>
      <c r="H12" s="4" t="s">
        <v>15</v>
      </c>
      <c r="I12" s="4" t="s">
        <v>18</v>
      </c>
      <c r="J12" s="4" t="s">
        <v>24</v>
      </c>
      <c r="K12" s="4" t="s">
        <v>2</v>
      </c>
    </row>
    <row r="13" spans="1:11" x14ac:dyDescent="0.25">
      <c r="A13" s="4">
        <v>12</v>
      </c>
      <c r="B13" s="4" t="s">
        <v>3</v>
      </c>
      <c r="C13" s="4" t="s">
        <v>6</v>
      </c>
      <c r="D13" s="4" t="s">
        <v>8</v>
      </c>
      <c r="E13" s="4" t="s">
        <v>9</v>
      </c>
      <c r="F13" s="4" t="s">
        <v>12</v>
      </c>
      <c r="G13" s="4" t="s">
        <v>5</v>
      </c>
      <c r="H13" s="4" t="s">
        <v>16</v>
      </c>
      <c r="I13" s="4" t="s">
        <v>19</v>
      </c>
      <c r="J13" s="4" t="s">
        <v>23</v>
      </c>
      <c r="K13" s="4" t="s">
        <v>1</v>
      </c>
    </row>
    <row r="14" spans="1:11" ht="15.75" thickBot="1" x14ac:dyDescent="0.3"/>
    <row r="15" spans="1:11" s="3" customFormat="1" ht="15.75" thickBot="1" x14ac:dyDescent="0.3">
      <c r="A15" s="6"/>
      <c r="B15" s="5"/>
      <c r="C15" s="5"/>
      <c r="D15" s="5"/>
      <c r="E15" s="5"/>
      <c r="F15" s="15" t="s">
        <v>39</v>
      </c>
      <c r="G15" s="5"/>
      <c r="H15" s="5"/>
      <c r="I15" s="5"/>
      <c r="J15" s="5"/>
      <c r="K15" s="5"/>
    </row>
    <row r="16" spans="1:11" x14ac:dyDescent="0.25">
      <c r="F16" s="16" t="s">
        <v>40</v>
      </c>
    </row>
    <row r="17" spans="3:9" ht="15.75" thickBot="1" x14ac:dyDescent="0.3">
      <c r="F17" s="17" t="s">
        <v>41</v>
      </c>
    </row>
    <row r="18" spans="3:9" ht="15.75" thickBot="1" x14ac:dyDescent="0.3">
      <c r="F18" s="15" t="s">
        <v>71</v>
      </c>
    </row>
    <row r="20" spans="3:9" ht="15.75" thickBot="1" x14ac:dyDescent="0.3"/>
    <row r="21" spans="3:9" ht="15.75" thickBot="1" x14ac:dyDescent="0.3">
      <c r="C21" s="15" t="s">
        <v>24</v>
      </c>
      <c r="D21"/>
      <c r="E21"/>
      <c r="F21" s="15" t="s">
        <v>23</v>
      </c>
      <c r="G21"/>
      <c r="H21"/>
      <c r="I21" s="15" t="s">
        <v>22</v>
      </c>
    </row>
    <row r="22" spans="3:9" x14ac:dyDescent="0.25">
      <c r="C22" s="16" t="s">
        <v>72</v>
      </c>
      <c r="D22"/>
      <c r="E22"/>
      <c r="F22" s="16" t="s">
        <v>73</v>
      </c>
      <c r="G22"/>
      <c r="H22"/>
      <c r="I22" s="16" t="s">
        <v>42</v>
      </c>
    </row>
    <row r="23" spans="3:9" ht="15.75" thickBot="1" x14ac:dyDescent="0.3">
      <c r="C23" s="17" t="s">
        <v>43</v>
      </c>
      <c r="D23"/>
      <c r="E23"/>
      <c r="F23" s="17" t="s">
        <v>74</v>
      </c>
      <c r="G23"/>
      <c r="H23"/>
      <c r="I23" s="17" t="s">
        <v>75</v>
      </c>
    </row>
    <row r="24" spans="3:9" ht="15.75" thickBot="1" x14ac:dyDescent="0.3">
      <c r="C24" s="31" t="s">
        <v>28</v>
      </c>
      <c r="D24"/>
      <c r="E24"/>
      <c r="F24" s="15" t="s">
        <v>82</v>
      </c>
      <c r="G24"/>
      <c r="H24"/>
      <c r="I24" s="30" t="s">
        <v>1</v>
      </c>
    </row>
    <row r="25" spans="3:9" ht="15.75" thickBot="1" x14ac:dyDescent="0.3"/>
    <row r="26" spans="3:9" ht="15.75" thickBot="1" x14ac:dyDescent="0.3">
      <c r="E26" s="15" t="s">
        <v>83</v>
      </c>
      <c r="F26"/>
      <c r="G26" s="15" t="s">
        <v>84</v>
      </c>
    </row>
    <row r="27" spans="3:9" x14ac:dyDescent="0.25">
      <c r="E27" s="16" t="s">
        <v>85</v>
      </c>
      <c r="F27"/>
      <c r="G27" s="16" t="s">
        <v>86</v>
      </c>
    </row>
    <row r="28" spans="3:9" ht="15.75" thickBot="1" x14ac:dyDescent="0.3">
      <c r="E28" s="17" t="s">
        <v>87</v>
      </c>
      <c r="F28"/>
      <c r="G28" s="17" t="s">
        <v>74</v>
      </c>
    </row>
    <row r="29" spans="3:9" ht="15.75" thickBot="1" x14ac:dyDescent="0.3">
      <c r="E29" s="30" t="s">
        <v>28</v>
      </c>
      <c r="F29"/>
      <c r="G29" s="15" t="s">
        <v>88</v>
      </c>
    </row>
    <row r="31" spans="3:9" ht="15.75" thickBot="1" x14ac:dyDescent="0.3"/>
    <row r="32" spans="3:9" ht="15.75" thickBot="1" x14ac:dyDescent="0.3">
      <c r="F32" s="15" t="s">
        <v>89</v>
      </c>
      <c r="G32"/>
      <c r="H32" s="15" t="s">
        <v>90</v>
      </c>
    </row>
    <row r="33" spans="5:11" x14ac:dyDescent="0.25">
      <c r="F33" s="16" t="s">
        <v>92</v>
      </c>
      <c r="G33"/>
      <c r="H33" s="16" t="s">
        <v>91</v>
      </c>
    </row>
    <row r="34" spans="5:11" ht="15.75" thickBot="1" x14ac:dyDescent="0.3">
      <c r="F34" s="17" t="s">
        <v>87</v>
      </c>
      <c r="G34"/>
      <c r="H34" s="17" t="s">
        <v>74</v>
      </c>
    </row>
    <row r="35" spans="5:11" ht="15.75" thickBot="1" x14ac:dyDescent="0.3">
      <c r="F35" s="30" t="s">
        <v>28</v>
      </c>
      <c r="G35"/>
      <c r="H35" s="15" t="s">
        <v>93</v>
      </c>
    </row>
    <row r="37" spans="5:11" ht="15.75" thickBot="1" x14ac:dyDescent="0.3"/>
    <row r="38" spans="5:11" ht="15.75" thickBot="1" x14ac:dyDescent="0.3">
      <c r="E38" s="15" t="s">
        <v>94</v>
      </c>
      <c r="F38"/>
      <c r="G38"/>
      <c r="H38" s="15" t="s">
        <v>95</v>
      </c>
      <c r="I38"/>
      <c r="J38"/>
      <c r="K38" s="15" t="s">
        <v>96</v>
      </c>
    </row>
    <row r="39" spans="5:11" x14ac:dyDescent="0.25">
      <c r="E39" s="16" t="s">
        <v>42</v>
      </c>
      <c r="F39"/>
      <c r="G39"/>
      <c r="H39" s="16" t="s">
        <v>42</v>
      </c>
      <c r="I39"/>
      <c r="J39"/>
      <c r="K39" s="16" t="s">
        <v>97</v>
      </c>
    </row>
    <row r="40" spans="5:11" ht="15.75" thickBot="1" x14ac:dyDescent="0.3">
      <c r="E40" s="17" t="s">
        <v>74</v>
      </c>
      <c r="F40"/>
      <c r="G40"/>
      <c r="H40" s="17" t="s">
        <v>43</v>
      </c>
      <c r="I40"/>
      <c r="J40"/>
      <c r="K40" s="17" t="s">
        <v>43</v>
      </c>
    </row>
    <row r="41" spans="5:11" ht="15.75" thickBot="1" x14ac:dyDescent="0.3">
      <c r="E41" s="31" t="s">
        <v>1</v>
      </c>
      <c r="F41"/>
      <c r="G41"/>
      <c r="H41" s="48" t="s">
        <v>98</v>
      </c>
      <c r="I41"/>
      <c r="J41"/>
      <c r="K41" s="30" t="s">
        <v>28</v>
      </c>
    </row>
  </sheetData>
  <conditionalFormatting sqref="K2">
    <cfRule type="containsText" dxfId="30" priority="2" operator="containsText" text="не погашен">
      <formula>NOT(ISERROR(SEARCH("не погашен",K2)))</formula>
    </cfRule>
  </conditionalFormatting>
  <conditionalFormatting sqref="A2:K13">
    <cfRule type="expression" dxfId="29" priority="1">
      <formula>$K2="не погашен"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3533-1811-4B71-977D-434750D5D72E}">
  <dimension ref="A1:K56"/>
  <sheetViews>
    <sheetView topLeftCell="A28" zoomScaleNormal="100" workbookViewId="0">
      <selection activeCell="G24" sqref="G24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8.85546875" bestFit="1" customWidth="1"/>
    <col min="4" max="4" width="7.7109375" bestFit="1" customWidth="1"/>
    <col min="5" max="5" width="8.7109375" bestFit="1" customWidth="1"/>
    <col min="6" max="6" width="15.85546875" bestFit="1" customWidth="1"/>
    <col min="7" max="7" width="8.7109375" bestFit="1" customWidth="1"/>
    <col min="8" max="8" width="18.140625" bestFit="1" customWidth="1"/>
    <col min="9" max="9" width="9" bestFit="1" customWidth="1"/>
    <col min="10" max="10" width="8.140625" bestFit="1" customWidth="1"/>
    <col min="11" max="11" width="11.5703125" bestFit="1" customWidth="1"/>
  </cols>
  <sheetData>
    <row r="1" spans="1:11" ht="90" x14ac:dyDescent="0.2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spans="1:11" x14ac:dyDescent="0.25">
      <c r="A2" s="4">
        <v>1</v>
      </c>
      <c r="B2" s="4" t="s">
        <v>3</v>
      </c>
      <c r="C2" s="4" t="s">
        <v>5</v>
      </c>
      <c r="D2" s="4" t="s">
        <v>7</v>
      </c>
      <c r="E2" s="4" t="s">
        <v>9</v>
      </c>
      <c r="F2" s="4" t="s">
        <v>11</v>
      </c>
      <c r="G2" s="4" t="s">
        <v>6</v>
      </c>
      <c r="H2" s="4" t="s">
        <v>14</v>
      </c>
      <c r="I2" s="4" t="s">
        <v>18</v>
      </c>
      <c r="J2" s="4" t="s">
        <v>22</v>
      </c>
      <c r="K2" s="4" t="s">
        <v>1</v>
      </c>
    </row>
    <row r="3" spans="1:11" x14ac:dyDescent="0.25">
      <c r="A3" s="4">
        <v>2</v>
      </c>
      <c r="B3" s="4" t="s">
        <v>3</v>
      </c>
      <c r="C3" s="4" t="s">
        <v>5</v>
      </c>
      <c r="D3" s="4" t="s">
        <v>7</v>
      </c>
      <c r="E3" s="4" t="s">
        <v>9</v>
      </c>
      <c r="F3" s="4" t="s">
        <v>12</v>
      </c>
      <c r="G3" s="4" t="s">
        <v>5</v>
      </c>
      <c r="H3" s="4" t="s">
        <v>15</v>
      </c>
      <c r="I3" s="4" t="s">
        <v>19</v>
      </c>
      <c r="J3" s="4" t="s">
        <v>23</v>
      </c>
      <c r="K3" s="4" t="s">
        <v>2</v>
      </c>
    </row>
    <row r="4" spans="1:11" x14ac:dyDescent="0.25">
      <c r="A4" s="4">
        <v>3</v>
      </c>
      <c r="B4" s="4" t="s">
        <v>4</v>
      </c>
      <c r="C4" s="4" t="s">
        <v>5</v>
      </c>
      <c r="D4" s="4" t="s">
        <v>8</v>
      </c>
      <c r="E4" s="4" t="s">
        <v>10</v>
      </c>
      <c r="F4" s="4" t="s">
        <v>12</v>
      </c>
      <c r="G4" s="4" t="s">
        <v>5</v>
      </c>
      <c r="H4" s="4" t="s">
        <v>16</v>
      </c>
      <c r="I4" s="4" t="s">
        <v>18</v>
      </c>
      <c r="J4" s="4" t="s">
        <v>22</v>
      </c>
      <c r="K4" s="4" t="s">
        <v>1</v>
      </c>
    </row>
    <row r="5" spans="1:11" x14ac:dyDescent="0.25">
      <c r="A5" s="4">
        <v>4</v>
      </c>
      <c r="B5" s="4" t="s">
        <v>3</v>
      </c>
      <c r="C5" s="4" t="s">
        <v>6</v>
      </c>
      <c r="D5" s="4" t="s">
        <v>7</v>
      </c>
      <c r="E5" s="4" t="s">
        <v>9</v>
      </c>
      <c r="F5" s="4" t="s">
        <v>12</v>
      </c>
      <c r="G5" s="4" t="s">
        <v>5</v>
      </c>
      <c r="H5" s="4" t="s">
        <v>15</v>
      </c>
      <c r="I5" s="4" t="s">
        <v>20</v>
      </c>
      <c r="J5" s="4" t="s">
        <v>23</v>
      </c>
      <c r="K5" s="4" t="s">
        <v>1</v>
      </c>
    </row>
    <row r="6" spans="1:11" x14ac:dyDescent="0.25">
      <c r="A6" s="4">
        <v>5</v>
      </c>
      <c r="B6" s="4" t="s">
        <v>3</v>
      </c>
      <c r="C6" s="4" t="s">
        <v>6</v>
      </c>
      <c r="D6" s="4" t="s">
        <v>7</v>
      </c>
      <c r="E6" s="4" t="s">
        <v>10</v>
      </c>
      <c r="F6" s="4" t="s">
        <v>11</v>
      </c>
      <c r="G6" s="4" t="s">
        <v>5</v>
      </c>
      <c r="H6" s="4" t="s">
        <v>14</v>
      </c>
      <c r="I6" s="4" t="s">
        <v>21</v>
      </c>
      <c r="J6" s="4" t="s">
        <v>23</v>
      </c>
      <c r="K6" s="4" t="s">
        <v>2</v>
      </c>
    </row>
    <row r="7" spans="1:11" x14ac:dyDescent="0.25">
      <c r="A7" s="4">
        <v>6</v>
      </c>
      <c r="B7" s="4" t="s">
        <v>4</v>
      </c>
      <c r="C7" s="4" t="s">
        <v>5</v>
      </c>
      <c r="D7" s="4" t="s">
        <v>8</v>
      </c>
      <c r="E7" s="4" t="s">
        <v>9</v>
      </c>
      <c r="F7" s="4" t="s">
        <v>13</v>
      </c>
      <c r="G7" s="4" t="s">
        <v>6</v>
      </c>
      <c r="H7" s="4" t="s">
        <v>17</v>
      </c>
      <c r="I7" s="4" t="s">
        <v>18</v>
      </c>
      <c r="J7" s="4" t="s">
        <v>22</v>
      </c>
      <c r="K7" s="4" t="s">
        <v>1</v>
      </c>
    </row>
    <row r="8" spans="1:11" x14ac:dyDescent="0.25">
      <c r="A8" s="4">
        <v>7</v>
      </c>
      <c r="B8" s="4" t="s">
        <v>4</v>
      </c>
      <c r="C8" s="4" t="s">
        <v>5</v>
      </c>
      <c r="D8" s="4" t="s">
        <v>8</v>
      </c>
      <c r="E8" s="4" t="s">
        <v>10</v>
      </c>
      <c r="F8" s="4" t="s">
        <v>12</v>
      </c>
      <c r="G8" s="4" t="s">
        <v>6</v>
      </c>
      <c r="H8" s="4" t="s">
        <v>16</v>
      </c>
      <c r="I8" s="4" t="s">
        <v>18</v>
      </c>
      <c r="J8" s="4" t="s">
        <v>24</v>
      </c>
      <c r="K8" s="4" t="s">
        <v>2</v>
      </c>
    </row>
    <row r="9" spans="1:11" x14ac:dyDescent="0.25">
      <c r="A9" s="4">
        <v>8</v>
      </c>
      <c r="B9" s="4" t="s">
        <v>4</v>
      </c>
      <c r="C9" s="4" t="s">
        <v>5</v>
      </c>
      <c r="D9" s="4" t="s">
        <v>7</v>
      </c>
      <c r="E9" s="4" t="s">
        <v>9</v>
      </c>
      <c r="F9" s="4" t="s">
        <v>13</v>
      </c>
      <c r="G9" s="4" t="s">
        <v>6</v>
      </c>
      <c r="H9" s="4" t="s">
        <v>15</v>
      </c>
      <c r="I9" s="4" t="s">
        <v>18</v>
      </c>
      <c r="J9" s="4" t="s">
        <v>22</v>
      </c>
      <c r="K9" s="4" t="s">
        <v>1</v>
      </c>
    </row>
    <row r="10" spans="1:11" x14ac:dyDescent="0.25">
      <c r="A10" s="4">
        <v>9</v>
      </c>
      <c r="B10" s="4" t="s">
        <v>4</v>
      </c>
      <c r="C10" s="4" t="s">
        <v>6</v>
      </c>
      <c r="D10" s="4" t="s">
        <v>8</v>
      </c>
      <c r="E10" s="4" t="s">
        <v>10</v>
      </c>
      <c r="F10" s="4" t="s">
        <v>12</v>
      </c>
      <c r="G10" s="4" t="s">
        <v>6</v>
      </c>
      <c r="H10" s="4" t="s">
        <v>16</v>
      </c>
      <c r="I10" s="4" t="s">
        <v>21</v>
      </c>
      <c r="J10" s="4" t="s">
        <v>23</v>
      </c>
      <c r="K10" s="4" t="s">
        <v>2</v>
      </c>
    </row>
    <row r="11" spans="1:11" x14ac:dyDescent="0.25">
      <c r="A11" s="4">
        <v>10</v>
      </c>
      <c r="B11" s="4" t="s">
        <v>3</v>
      </c>
      <c r="C11" s="4" t="s">
        <v>6</v>
      </c>
      <c r="D11" s="4" t="s">
        <v>8</v>
      </c>
      <c r="E11" s="4" t="s">
        <v>9</v>
      </c>
      <c r="F11" s="4" t="s">
        <v>11</v>
      </c>
      <c r="G11" s="4" t="s">
        <v>5</v>
      </c>
      <c r="H11" s="4" t="s">
        <v>17</v>
      </c>
      <c r="I11" s="4" t="s">
        <v>20</v>
      </c>
      <c r="J11" s="4" t="s">
        <v>23</v>
      </c>
      <c r="K11" s="4" t="s">
        <v>2</v>
      </c>
    </row>
    <row r="12" spans="1:11" x14ac:dyDescent="0.25">
      <c r="A12" s="4">
        <v>11</v>
      </c>
      <c r="B12" s="4" t="s">
        <v>4</v>
      </c>
      <c r="C12" s="4" t="s">
        <v>5</v>
      </c>
      <c r="D12" s="4" t="s">
        <v>7</v>
      </c>
      <c r="E12" s="4" t="s">
        <v>10</v>
      </c>
      <c r="F12" s="4" t="s">
        <v>12</v>
      </c>
      <c r="G12" s="4" t="s">
        <v>5</v>
      </c>
      <c r="H12" s="4" t="s">
        <v>15</v>
      </c>
      <c r="I12" s="4" t="s">
        <v>18</v>
      </c>
      <c r="J12" s="4" t="s">
        <v>24</v>
      </c>
      <c r="K12" s="4" t="s">
        <v>2</v>
      </c>
    </row>
    <row r="13" spans="1:11" x14ac:dyDescent="0.25">
      <c r="A13" s="4">
        <v>12</v>
      </c>
      <c r="B13" s="4" t="s">
        <v>3</v>
      </c>
      <c r="C13" s="4" t="s">
        <v>6</v>
      </c>
      <c r="D13" s="4" t="s">
        <v>8</v>
      </c>
      <c r="E13" s="4" t="s">
        <v>9</v>
      </c>
      <c r="F13" s="4" t="s">
        <v>12</v>
      </c>
      <c r="G13" s="4" t="s">
        <v>5</v>
      </c>
      <c r="H13" s="4" t="s">
        <v>16</v>
      </c>
      <c r="I13" s="4" t="s">
        <v>19</v>
      </c>
      <c r="J13" s="4" t="s">
        <v>23</v>
      </c>
      <c r="K13" s="4" t="s">
        <v>1</v>
      </c>
    </row>
    <row r="15" spans="1:11" ht="15.75" thickBot="1" x14ac:dyDescent="0.3"/>
    <row r="16" spans="1:11" ht="60.75" thickBot="1" x14ac:dyDescent="0.3">
      <c r="A16" s="2" t="s">
        <v>29</v>
      </c>
      <c r="B16" s="8" t="s">
        <v>28</v>
      </c>
      <c r="C16" s="9" t="s">
        <v>1</v>
      </c>
      <c r="G16" s="19" t="s">
        <v>66</v>
      </c>
      <c r="H16" s="20" t="s">
        <v>67</v>
      </c>
      <c r="I16" s="20" t="s">
        <v>68</v>
      </c>
      <c r="J16" s="21" t="s">
        <v>69</v>
      </c>
    </row>
    <row r="17" spans="1:10" x14ac:dyDescent="0.25">
      <c r="A17" s="10" t="s">
        <v>44</v>
      </c>
      <c r="B17" s="5">
        <f>COUNTIFS($B$2:$B$13, "=в браке", $K$2:$K$13, "=не погашен")</f>
        <v>3</v>
      </c>
      <c r="C17" s="11">
        <f>COUNTIFS($B$2:$B$13, "=в браке", $K$2:$K$13, "=погашен")</f>
        <v>3</v>
      </c>
      <c r="G17" s="22">
        <f>MAX(B17:C17)/SUM(B17:C17)</f>
        <v>0.5</v>
      </c>
      <c r="H17">
        <f>1-G17</f>
        <v>0.5</v>
      </c>
      <c r="I17">
        <f>SUM(B17:C17)</f>
        <v>6</v>
      </c>
      <c r="J17" s="23">
        <f>SUMPRODUCT(H17:H18,I17:I18)/SUM(I17:I18)</f>
        <v>0.5</v>
      </c>
    </row>
    <row r="18" spans="1:10" ht="15.75" thickBot="1" x14ac:dyDescent="0.3">
      <c r="A18" s="12" t="s">
        <v>45</v>
      </c>
      <c r="B18" s="13">
        <f>COUNTIFS($B$2:$B$13, "=не в браке", $K$2:$K$13, "=не погашен")</f>
        <v>3</v>
      </c>
      <c r="C18" s="13">
        <f>COUNTIFS($B$2:$B$13, "=не в браке", $K$2:$K$13, "=погашен")</f>
        <v>3</v>
      </c>
      <c r="G18" s="24">
        <f>MAX(B18:C18)/SUM(B18:C18)</f>
        <v>0.5</v>
      </c>
      <c r="H18" s="25">
        <f>1-G18</f>
        <v>0.5</v>
      </c>
      <c r="I18" s="25">
        <f>SUM(B18:C18)</f>
        <v>6</v>
      </c>
      <c r="J18" s="26"/>
    </row>
    <row r="19" spans="1:10" ht="15.75" thickBot="1" x14ac:dyDescent="0.3">
      <c r="G19" s="27" t="str">
        <f ca="1">_xlfn.FORMULATEXT(G18)</f>
        <v>=МАКС(B18:C18)/СУММ(B18:C18)</v>
      </c>
    </row>
    <row r="20" spans="1:10" ht="60.75" thickBot="1" x14ac:dyDescent="0.3">
      <c r="A20" s="2" t="s">
        <v>30</v>
      </c>
      <c r="B20" s="8" t="s">
        <v>28</v>
      </c>
      <c r="C20" s="9" t="s">
        <v>1</v>
      </c>
      <c r="G20" s="19" t="s">
        <v>66</v>
      </c>
      <c r="H20" s="20" t="s">
        <v>67</v>
      </c>
      <c r="I20" s="20" t="s">
        <v>68</v>
      </c>
      <c r="J20" s="21" t="s">
        <v>69</v>
      </c>
    </row>
    <row r="21" spans="1:10" x14ac:dyDescent="0.25">
      <c r="A21" s="10" t="s">
        <v>46</v>
      </c>
      <c r="B21" s="5">
        <f>COUNTIFS($C$2:$C$13, "=есть", $K$2:$K$13, "=не погашен")</f>
        <v>3</v>
      </c>
      <c r="C21" s="11">
        <f>COUNTIFS($C$2:$C$13, "=есть", $K$2:$K$13, "=погашен")</f>
        <v>2</v>
      </c>
      <c r="G21" s="22">
        <f>MAX(B21:C21)/SUM(B21:C21)</f>
        <v>0.6</v>
      </c>
      <c r="H21">
        <f>1-G21</f>
        <v>0.4</v>
      </c>
      <c r="I21">
        <f>SUM(B21:C21)</f>
        <v>5</v>
      </c>
      <c r="J21" s="23">
        <f>SUMPRODUCT(H21:H22,I21:I22)/SUM(I21:I22)</f>
        <v>0.41666666666666669</v>
      </c>
    </row>
    <row r="22" spans="1:10" ht="15.75" thickBot="1" x14ac:dyDescent="0.3">
      <c r="A22" s="12" t="s">
        <v>47</v>
      </c>
      <c r="B22" s="13">
        <f>COUNTIFS($C$2:$C$13, "=нет", $K$2:$K$13, "=не погашен")</f>
        <v>3</v>
      </c>
      <c r="C22" s="13">
        <f>COUNTIFS($C$2:$C$13, "=нет", $K$2:$K$13, "=погашен")</f>
        <v>4</v>
      </c>
      <c r="G22" s="24">
        <f>MAX(B22:C22)/SUM(B22:C22)</f>
        <v>0.5714285714285714</v>
      </c>
      <c r="H22" s="25">
        <f>1-G22</f>
        <v>0.4285714285714286</v>
      </c>
      <c r="I22" s="25">
        <f>SUM(B22:C22)</f>
        <v>7</v>
      </c>
      <c r="J22" s="26"/>
    </row>
    <row r="23" spans="1:10" ht="15.75" thickBot="1" x14ac:dyDescent="0.3"/>
    <row r="24" spans="1:10" ht="60.75" thickBot="1" x14ac:dyDescent="0.3">
      <c r="A24" s="2" t="s">
        <v>31</v>
      </c>
      <c r="B24" s="8" t="s">
        <v>28</v>
      </c>
      <c r="C24" s="9" t="s">
        <v>1</v>
      </c>
      <c r="G24" s="19" t="s">
        <v>66</v>
      </c>
      <c r="H24" s="20" t="s">
        <v>67</v>
      </c>
      <c r="I24" s="20" t="s">
        <v>68</v>
      </c>
      <c r="J24" s="21" t="s">
        <v>69</v>
      </c>
    </row>
    <row r="25" spans="1:10" x14ac:dyDescent="0.25">
      <c r="A25" s="10" t="s">
        <v>48</v>
      </c>
      <c r="B25" s="5">
        <f>COUNTIFS($D$2:$D$13, "=&lt;= 2", $K$2:$K$13, "=не погашен")</f>
        <v>3</v>
      </c>
      <c r="C25" s="11">
        <f>COUNTIFS($D$2:$D$13, "=&lt;= 2", $K$2:$K$13, "=погашен")</f>
        <v>3</v>
      </c>
      <c r="G25" s="22">
        <f>MAX(B25:C25)/SUM(B25:C25)</f>
        <v>0.5</v>
      </c>
      <c r="H25">
        <f>1-G25</f>
        <v>0.5</v>
      </c>
      <c r="I25">
        <f>SUM(B25:C25)</f>
        <v>6</v>
      </c>
      <c r="J25" s="23">
        <f>SUMPRODUCT(H25:H26,I25:I26)/SUM(I25:I26)</f>
        <v>0.5</v>
      </c>
    </row>
    <row r="26" spans="1:10" ht="15.75" thickBot="1" x14ac:dyDescent="0.3">
      <c r="A26" s="12" t="s">
        <v>49</v>
      </c>
      <c r="B26" s="13">
        <f>COUNTIFS($D$2:$D$13, "=&gt; 2", $K$2:$K$13, "=не погашен")</f>
        <v>3</v>
      </c>
      <c r="C26" s="14">
        <f>COUNTIFS($D$2:$D$13, "=&gt; 2", $K$2:$K$13, "=погашен")</f>
        <v>3</v>
      </c>
      <c r="G26" s="22">
        <f>MAX(B26:C26)/SUM(B26:C26)</f>
        <v>0.5</v>
      </c>
      <c r="H26">
        <f>1-G26</f>
        <v>0.5</v>
      </c>
      <c r="I26">
        <f>SUM(B26:C26)</f>
        <v>6</v>
      </c>
      <c r="J26" s="28"/>
    </row>
    <row r="27" spans="1:10" ht="15.75" thickBot="1" x14ac:dyDescent="0.3"/>
    <row r="28" spans="1:10" ht="60.75" thickBot="1" x14ac:dyDescent="0.3">
      <c r="A28" s="2" t="s">
        <v>32</v>
      </c>
      <c r="B28" s="8" t="s">
        <v>28</v>
      </c>
      <c r="C28" s="9" t="s">
        <v>1</v>
      </c>
      <c r="G28" s="19" t="s">
        <v>66</v>
      </c>
      <c r="H28" s="20" t="s">
        <v>67</v>
      </c>
      <c r="I28" s="20" t="s">
        <v>68</v>
      </c>
      <c r="J28" s="21" t="s">
        <v>69</v>
      </c>
    </row>
    <row r="29" spans="1:10" x14ac:dyDescent="0.25">
      <c r="A29" s="10" t="s">
        <v>50</v>
      </c>
      <c r="B29" s="5">
        <f>COUNTIFS($E$2:$E$13, "=среднее", $K$2:$K$13, "=не погашен")</f>
        <v>4</v>
      </c>
      <c r="C29" s="11">
        <f>COUNTIFS($E$2:$E$13, "=среднее", $K$2:$K$13, "=погашен")</f>
        <v>1</v>
      </c>
      <c r="G29" s="22">
        <f>MAX(B29:C29)/SUM(B29:C29)</f>
        <v>0.8</v>
      </c>
      <c r="H29">
        <f>1-G29</f>
        <v>0.19999999999999996</v>
      </c>
      <c r="I29">
        <f>SUM(B29:C29)</f>
        <v>5</v>
      </c>
      <c r="J29" s="23">
        <f>SUMPRODUCT(H29:H30,I29:I30)/SUM(I29:I30)</f>
        <v>0.25</v>
      </c>
    </row>
    <row r="30" spans="1:10" ht="15.75" thickBot="1" x14ac:dyDescent="0.3">
      <c r="A30" s="12" t="s">
        <v>51</v>
      </c>
      <c r="B30" s="13">
        <f>COUNTIFS($E$2:$E$13, "=высшее", $K$2:$K$13, "=не погашен")</f>
        <v>2</v>
      </c>
      <c r="C30" s="14">
        <f>COUNTIFS($E$2:$E$13, "=высшее", $K$2:$K$13, "=погашен")</f>
        <v>5</v>
      </c>
      <c r="G30" s="22">
        <f>MAX(B30:C30)/SUM(B30:C30)</f>
        <v>0.7142857142857143</v>
      </c>
      <c r="H30">
        <f>1-G30</f>
        <v>0.2857142857142857</v>
      </c>
      <c r="I30">
        <f>SUM(B30:C30)</f>
        <v>7</v>
      </c>
      <c r="J30" s="28"/>
    </row>
    <row r="31" spans="1:10" ht="15.75" thickBot="1" x14ac:dyDescent="0.3"/>
    <row r="32" spans="1:10" ht="60.75" thickBot="1" x14ac:dyDescent="0.3">
      <c r="A32" s="2" t="s">
        <v>33</v>
      </c>
      <c r="B32" s="8" t="s">
        <v>28</v>
      </c>
      <c r="C32" s="9" t="s">
        <v>1</v>
      </c>
      <c r="G32" s="19" t="s">
        <v>66</v>
      </c>
      <c r="H32" s="20" t="s">
        <v>67</v>
      </c>
      <c r="I32" s="20" t="s">
        <v>68</v>
      </c>
      <c r="J32" s="21" t="s">
        <v>69</v>
      </c>
    </row>
    <row r="33" spans="1:10" x14ac:dyDescent="0.25">
      <c r="A33" s="10" t="s">
        <v>56</v>
      </c>
      <c r="B33" s="5">
        <f>COUNTIFS($F$2:$F$13, "=отсутствует", $K$2:$K$13, "=не погашен")</f>
        <v>4</v>
      </c>
      <c r="C33" s="5">
        <f>COUNTIFS($F$2:$F$13, "=отсутствует", $K$2:$K$13, "=погашен")</f>
        <v>3</v>
      </c>
      <c r="G33" s="22">
        <f>MAX(B33:C33)/SUM(B33:C33)</f>
        <v>0.5714285714285714</v>
      </c>
      <c r="H33">
        <f>1-G33</f>
        <v>0.4285714285714286</v>
      </c>
      <c r="I33">
        <f>SUM(B33:C33)</f>
        <v>7</v>
      </c>
      <c r="J33" s="23">
        <f>SUMPRODUCT(H33:H35,I33:I35)/SUM(I33:I35)</f>
        <v>0.33333333333333331</v>
      </c>
    </row>
    <row r="34" spans="1:10" x14ac:dyDescent="0.25">
      <c r="A34" s="18" t="s">
        <v>57</v>
      </c>
      <c r="B34" s="5">
        <f>COUNTIFS($F$2:$F$13, "=в ипотеке", $K$2:$K$13, "=не погашен")</f>
        <v>0</v>
      </c>
      <c r="C34" s="5">
        <f>COUNTIFS($F$2:$F$13, "=в ипотеке", $K$2:$K$13, "=погашен")</f>
        <v>2</v>
      </c>
      <c r="G34" s="22">
        <f>MAX(B34:C34)/SUM(B34:C34)</f>
        <v>1</v>
      </c>
      <c r="H34">
        <f>1-G34</f>
        <v>0</v>
      </c>
      <c r="I34">
        <f>SUM(B34:C34)</f>
        <v>2</v>
      </c>
      <c r="J34" s="28"/>
    </row>
    <row r="35" spans="1:10" ht="15.75" thickBot="1" x14ac:dyDescent="0.3">
      <c r="A35" s="12" t="s">
        <v>58</v>
      </c>
      <c r="B35" s="5">
        <f>COUNTIFS($F$2:$F$13, "=в собственности", $K$2:$K$13, "=не погашен")</f>
        <v>2</v>
      </c>
      <c r="C35" s="5">
        <f>COUNTIFS($F$2:$F$13, "=в собственности", $K$2:$K$13, "=погашен")</f>
        <v>1</v>
      </c>
      <c r="G35" s="24">
        <f>MAX(B35:C35)/SUM(B35:C35)</f>
        <v>0.66666666666666663</v>
      </c>
      <c r="H35" s="25">
        <f>1-G35</f>
        <v>0.33333333333333337</v>
      </c>
      <c r="I35" s="25">
        <f>SUM(B35:C35)</f>
        <v>3</v>
      </c>
      <c r="J35" s="26"/>
    </row>
    <row r="36" spans="1:10" ht="15.75" thickBot="1" x14ac:dyDescent="0.3"/>
    <row r="37" spans="1:10" ht="60.75" thickBot="1" x14ac:dyDescent="0.3">
      <c r="A37" s="2" t="s">
        <v>34</v>
      </c>
      <c r="B37" s="8" t="s">
        <v>28</v>
      </c>
      <c r="C37" s="9" t="s">
        <v>1</v>
      </c>
      <c r="G37" s="19" t="s">
        <v>66</v>
      </c>
      <c r="H37" s="20" t="s">
        <v>67</v>
      </c>
      <c r="I37" s="20" t="s">
        <v>68</v>
      </c>
      <c r="J37" s="21" t="s">
        <v>69</v>
      </c>
    </row>
    <row r="38" spans="1:10" x14ac:dyDescent="0.25">
      <c r="A38" s="10" t="s">
        <v>46</v>
      </c>
      <c r="B38" s="5">
        <f>COUNTIFS($G$2:$G$13, "=есть", $K$2:$K$13, "=не погашен")</f>
        <v>2</v>
      </c>
      <c r="C38" s="5">
        <f>COUNTIFS($G$2:$G$13, "=есть", $K$2:$K$13, "=погашен")</f>
        <v>3</v>
      </c>
      <c r="G38" s="22">
        <f>MAX(B38:C38)/SUM(B38:C38)</f>
        <v>0.6</v>
      </c>
      <c r="H38">
        <f>1-G38</f>
        <v>0.4</v>
      </c>
      <c r="I38">
        <f>SUM(B38:C38)</f>
        <v>5</v>
      </c>
      <c r="J38" s="23">
        <f>SUMPRODUCT(H38:H39,I38:I39)/SUM(I38:I39)</f>
        <v>0.41666666666666669</v>
      </c>
    </row>
    <row r="39" spans="1:10" ht="15.75" thickBot="1" x14ac:dyDescent="0.3">
      <c r="A39" s="12" t="s">
        <v>47</v>
      </c>
      <c r="B39" s="5">
        <f>COUNTIFS($G$2:$G$13, "=нет", $K$2:$K$13, "=не погашен")</f>
        <v>4</v>
      </c>
      <c r="C39" s="5">
        <f>COUNTIFS($G$2:$G$13, "=нет", $K$2:$K$13, "=погашен")</f>
        <v>3</v>
      </c>
      <c r="G39" s="22">
        <f>MAX(B39:C39)/SUM(B39:C39)</f>
        <v>0.5714285714285714</v>
      </c>
      <c r="H39">
        <f>1-G39</f>
        <v>0.4285714285714286</v>
      </c>
      <c r="I39">
        <f>SUM(B39:C39)</f>
        <v>7</v>
      </c>
      <c r="J39" s="28"/>
    </row>
    <row r="40" spans="1:10" ht="15.75" thickBot="1" x14ac:dyDescent="0.3"/>
    <row r="41" spans="1:10" ht="60.75" thickBot="1" x14ac:dyDescent="0.3">
      <c r="A41" s="2" t="s">
        <v>35</v>
      </c>
      <c r="B41" s="8" t="s">
        <v>28</v>
      </c>
      <c r="C41" s="9" t="s">
        <v>1</v>
      </c>
      <c r="G41" s="19" t="s">
        <v>66</v>
      </c>
      <c r="H41" s="20" t="s">
        <v>67</v>
      </c>
      <c r="I41" s="20" t="s">
        <v>68</v>
      </c>
      <c r="J41" s="21" t="s">
        <v>69</v>
      </c>
    </row>
    <row r="42" spans="1:10" x14ac:dyDescent="0.25">
      <c r="A42" s="10" t="s">
        <v>59</v>
      </c>
      <c r="B42" s="5">
        <f>COUNTIFS($H$2:$H$13, "=менеджер", $K$2:$K$13, "=не погашен")</f>
        <v>1</v>
      </c>
      <c r="C42" s="5">
        <f>COUNTIFS($H$2:$H$13, "=менеджер", $K$2:$K$13, "=погашен")</f>
        <v>1</v>
      </c>
      <c r="G42" s="22">
        <f>MAX(B42:C42)/SUM(B42:C42)</f>
        <v>0.5</v>
      </c>
      <c r="H42">
        <f>1-G42</f>
        <v>0.5</v>
      </c>
      <c r="I42">
        <f>SUM(B42:C42)</f>
        <v>2</v>
      </c>
      <c r="J42" s="23">
        <f>SUMPRODUCT(H42:H45,I42:I45)/SUM(I42:I45)</f>
        <v>0.5</v>
      </c>
    </row>
    <row r="43" spans="1:10" x14ac:dyDescent="0.25">
      <c r="A43" s="18" t="s">
        <v>60</v>
      </c>
      <c r="B43" s="5">
        <f>COUNTIFS($H$2:$H$13, "=продавец", $K$2:$K$13, "=не погашен")</f>
        <v>2</v>
      </c>
      <c r="C43" s="5">
        <f>COUNTIFS($H$2:$H$13, "=продавец", $K$2:$K$13, "=погашен")</f>
        <v>2</v>
      </c>
      <c r="G43" s="22">
        <f>MAX(B43:C43)/SUM(B43:C43)</f>
        <v>0.5</v>
      </c>
      <c r="H43">
        <f>1-G43</f>
        <v>0.5</v>
      </c>
      <c r="I43">
        <f>SUM(B43:C43)</f>
        <v>4</v>
      </c>
      <c r="J43" s="28"/>
    </row>
    <row r="44" spans="1:10" x14ac:dyDescent="0.25">
      <c r="A44" s="18" t="s">
        <v>61</v>
      </c>
      <c r="B44" s="5">
        <f>COUNTIFS($H$2:$H$13, "=инженер", $K$2:$K$13, "=не погашен")</f>
        <v>2</v>
      </c>
      <c r="C44" s="5">
        <f>COUNTIFS($H$2:$H$13, "=инженер", $K$2:$K$13, "=погашен")</f>
        <v>2</v>
      </c>
      <c r="G44" s="22">
        <f>MAX(B44:C44)/SUM(B44:C44)</f>
        <v>0.5</v>
      </c>
      <c r="H44">
        <f>1-G44</f>
        <v>0.5</v>
      </c>
      <c r="I44">
        <f>SUM(B44:C44)</f>
        <v>4</v>
      </c>
      <c r="J44" s="28"/>
    </row>
    <row r="45" spans="1:10" ht="15.75" thickBot="1" x14ac:dyDescent="0.3">
      <c r="A45" s="12" t="s">
        <v>62</v>
      </c>
      <c r="B45" s="5">
        <f>COUNTIFS($H$2:$H$13, "=предприниматель", $K$2:$K$13, "=не погашен")</f>
        <v>1</v>
      </c>
      <c r="C45" s="5">
        <f>COUNTIFS($H$2:$H$13, "=предприниматель", $K$2:$K$13, "=погашен")</f>
        <v>1</v>
      </c>
      <c r="G45" s="24">
        <f>MAX(B45:C45)/SUM(B45:C45)</f>
        <v>0.5</v>
      </c>
      <c r="H45" s="25">
        <f>1-G45</f>
        <v>0.5</v>
      </c>
      <c r="I45" s="25">
        <f>SUM(B45:C45)</f>
        <v>2</v>
      </c>
      <c r="J45" s="26"/>
    </row>
    <row r="46" spans="1:10" ht="15.75" thickBot="1" x14ac:dyDescent="0.3"/>
    <row r="47" spans="1:10" ht="60.75" thickBot="1" x14ac:dyDescent="0.3">
      <c r="A47" s="2" t="s">
        <v>36</v>
      </c>
      <c r="B47" s="8" t="s">
        <v>28</v>
      </c>
      <c r="C47" s="9" t="s">
        <v>1</v>
      </c>
      <c r="G47" s="19" t="s">
        <v>66</v>
      </c>
      <c r="H47" s="20" t="s">
        <v>67</v>
      </c>
      <c r="I47" s="20" t="s">
        <v>68</v>
      </c>
      <c r="J47" s="21" t="s">
        <v>69</v>
      </c>
    </row>
    <row r="48" spans="1:10" x14ac:dyDescent="0.25">
      <c r="A48" s="10" t="s">
        <v>52</v>
      </c>
      <c r="B48" s="5">
        <f>COUNTIFS($I$2:$I$13, "=41-70", $K$2:$K$13, "=не погашен")</f>
        <v>2</v>
      </c>
      <c r="C48" s="5">
        <f>COUNTIFS($I$2:$I$13, "=41-70", $K$2:$K$13, "=погашен")</f>
        <v>4</v>
      </c>
      <c r="G48" s="22">
        <f>MAX(B48:C48)/SUM(B48:C48)</f>
        <v>0.66666666666666663</v>
      </c>
      <c r="H48">
        <f>1-G48</f>
        <v>0.33333333333333337</v>
      </c>
      <c r="I48">
        <f>SUM(B48:C48)</f>
        <v>6</v>
      </c>
      <c r="J48" s="23">
        <f>SUMPRODUCT(H48:H51,I48:I51)/SUM(I48:I51)</f>
        <v>0.33333333333333331</v>
      </c>
    </row>
    <row r="49" spans="1:11" x14ac:dyDescent="0.25">
      <c r="A49" s="18" t="s">
        <v>53</v>
      </c>
      <c r="B49" s="5">
        <f>COUNTIFS($I$2:$I$13, "=71-100", $K$2:$K$13, "=не погашен")</f>
        <v>1</v>
      </c>
      <c r="C49" s="5">
        <f>COUNTIFS($I$2:$I$13, "=71-100", $K$2:$K$13, "=погашен")</f>
        <v>1</v>
      </c>
      <c r="G49" s="22">
        <f>MAX(B49:C49)/SUM(B49:C49)</f>
        <v>0.5</v>
      </c>
      <c r="H49">
        <f>1-G49</f>
        <v>0.5</v>
      </c>
      <c r="I49">
        <f>SUM(B49:C49)</f>
        <v>2</v>
      </c>
      <c r="J49" s="28"/>
    </row>
    <row r="50" spans="1:11" x14ac:dyDescent="0.25">
      <c r="A50" s="18" t="s">
        <v>54</v>
      </c>
      <c r="B50" s="5">
        <f>COUNTIFS($I$2:$I$13, "=100-130", $K$2:$K$13, "=не погашен")</f>
        <v>1</v>
      </c>
      <c r="C50" s="5">
        <f>COUNTIFS($I$2:$I$13, "=100-130", $K$2:$K$13, "=погашен")</f>
        <v>1</v>
      </c>
      <c r="G50" s="22">
        <f>MAX(B50:C50)/SUM(B50:C50)</f>
        <v>0.5</v>
      </c>
      <c r="H50">
        <f>1-G50</f>
        <v>0.5</v>
      </c>
      <c r="I50">
        <f>SUM(B50:C50)</f>
        <v>2</v>
      </c>
      <c r="J50" s="28"/>
    </row>
    <row r="51" spans="1:11" ht="15.75" thickBot="1" x14ac:dyDescent="0.3">
      <c r="A51" s="12" t="s">
        <v>55</v>
      </c>
      <c r="B51" s="5">
        <f>COUNTIFS($I$2:$I$13, "=&gt; 130", $K$2:$K$13, "=не погашен")</f>
        <v>2</v>
      </c>
      <c r="C51" s="5">
        <f>COUNTIFS($I$2:$I$13, "=&gt; 130", $K$2:$K$13, "=погашен")</f>
        <v>0</v>
      </c>
      <c r="G51" s="24">
        <f>MAX(B51:C51)/SUM(B51:C51)</f>
        <v>1</v>
      </c>
      <c r="H51" s="25">
        <f>1-G51</f>
        <v>0</v>
      </c>
      <c r="I51" s="25">
        <f>SUM(B51:C51)</f>
        <v>2</v>
      </c>
      <c r="J51" s="26"/>
    </row>
    <row r="52" spans="1:11" ht="15.75" thickBot="1" x14ac:dyDescent="0.3"/>
    <row r="53" spans="1:11" ht="60.75" thickBot="1" x14ac:dyDescent="0.3">
      <c r="A53" s="2" t="s">
        <v>37</v>
      </c>
      <c r="B53" s="8" t="s">
        <v>28</v>
      </c>
      <c r="C53" s="9" t="s">
        <v>1</v>
      </c>
      <c r="G53" s="19" t="s">
        <v>66</v>
      </c>
      <c r="H53" s="20" t="s">
        <v>67</v>
      </c>
      <c r="I53" s="20" t="s">
        <v>68</v>
      </c>
      <c r="J53" s="21" t="s">
        <v>69</v>
      </c>
    </row>
    <row r="54" spans="1:11" x14ac:dyDescent="0.25">
      <c r="A54" s="10" t="s">
        <v>63</v>
      </c>
      <c r="B54" s="5">
        <f>COUNTIFS($J$2:$J$13, "=18-24", $K$2:$K$13, "=не погашен")</f>
        <v>2</v>
      </c>
      <c r="C54" s="5">
        <f>COUNTIFS($J$2:$J$13, "=18-24", $K$2:$K$13, "=погашен")</f>
        <v>0</v>
      </c>
      <c r="G54" s="22">
        <f>MAX(B54:C54)/SUM(B54:C54)</f>
        <v>1</v>
      </c>
      <c r="H54">
        <f>1-G54</f>
        <v>0</v>
      </c>
      <c r="I54">
        <f>SUM(B54:C54)</f>
        <v>2</v>
      </c>
      <c r="J54" s="29">
        <f>SUMPRODUCT(H54:H56,I54:I56)/SUM(I54:I56)</f>
        <v>0.16666666666666666</v>
      </c>
      <c r="K54" t="s">
        <v>70</v>
      </c>
    </row>
    <row r="55" spans="1:11" x14ac:dyDescent="0.25">
      <c r="A55" s="18" t="s">
        <v>64</v>
      </c>
      <c r="B55" s="5">
        <f>COUNTIFS($J$2:$J$13, "=25-39", $K$2:$K$13, "=не погашен")</f>
        <v>4</v>
      </c>
      <c r="C55" s="5">
        <f>COUNTIFS($J$2:$J$13, "=25-39", $K$2:$K$13, "=погашен")</f>
        <v>2</v>
      </c>
      <c r="G55" s="22">
        <f>MAX(B55:C55)/SUM(B55:C55)</f>
        <v>0.66666666666666663</v>
      </c>
      <c r="H55">
        <f>1-G55</f>
        <v>0.33333333333333337</v>
      </c>
      <c r="I55">
        <f>SUM(B55:C55)</f>
        <v>6</v>
      </c>
      <c r="J55" s="28"/>
    </row>
    <row r="56" spans="1:11" ht="15.75" thickBot="1" x14ac:dyDescent="0.3">
      <c r="A56" s="12" t="s">
        <v>65</v>
      </c>
      <c r="B56" s="5">
        <f>COUNTIFS($J$2:$J$13, "=40-60", $K$2:$K$13, "=не погашен")</f>
        <v>0</v>
      </c>
      <c r="C56" s="5">
        <f>COUNTIFS($J$2:$J$13, "=40-60", $K$2:$K$13, "=погашен")</f>
        <v>4</v>
      </c>
      <c r="G56" s="24">
        <f>MAX(B56:C56)/SUM(B56:C56)</f>
        <v>1</v>
      </c>
      <c r="H56" s="25">
        <f>1-G56</f>
        <v>0</v>
      </c>
      <c r="I56" s="25">
        <f>SUM(B56:C56)</f>
        <v>4</v>
      </c>
      <c r="J56" s="26"/>
    </row>
  </sheetData>
  <conditionalFormatting sqref="K2">
    <cfRule type="containsText" dxfId="28" priority="20" operator="containsText" text="не погашен">
      <formula>NOT(ISERROR(SEARCH("не погашен",K2)))</formula>
    </cfRule>
  </conditionalFormatting>
  <conditionalFormatting sqref="A2:K13">
    <cfRule type="expression" dxfId="27" priority="19">
      <formula>$K2="не погашен"</formula>
    </cfRule>
  </conditionalFormatting>
  <conditionalFormatting sqref="G16:H16 J16 G20:H20 J20 G24:H24 J24 G28:H28 J28 G32:H32 J32">
    <cfRule type="expression" dxfId="26" priority="17">
      <formula>$G16="не_погашен"</formula>
    </cfRule>
  </conditionalFormatting>
  <conditionalFormatting sqref="I16">
    <cfRule type="expression" dxfId="25" priority="18">
      <formula>$F16="не_погашен"</formula>
    </cfRule>
  </conditionalFormatting>
  <conditionalFormatting sqref="I20">
    <cfRule type="expression" dxfId="24" priority="16">
      <formula>$F21="не_погашен"</formula>
    </cfRule>
  </conditionalFormatting>
  <conditionalFormatting sqref="I24">
    <cfRule type="expression" dxfId="23" priority="14">
      <formula>$F25="не_погашен"</formula>
    </cfRule>
  </conditionalFormatting>
  <conditionalFormatting sqref="I28">
    <cfRule type="expression" dxfId="22" priority="10">
      <formula>$F30="не_погашен"</formula>
    </cfRule>
  </conditionalFormatting>
  <conditionalFormatting sqref="I32">
    <cfRule type="expression" dxfId="21" priority="12">
      <formula>$F36="не_погашен"</formula>
    </cfRule>
  </conditionalFormatting>
  <conditionalFormatting sqref="G37:H37 J37">
    <cfRule type="expression" dxfId="20" priority="8">
      <formula>$G37="не_погашен"</formula>
    </cfRule>
  </conditionalFormatting>
  <conditionalFormatting sqref="I37">
    <cfRule type="expression" dxfId="19" priority="7">
      <formula>$F39="не_погашен"</formula>
    </cfRule>
  </conditionalFormatting>
  <conditionalFormatting sqref="G41:H41 J41">
    <cfRule type="expression" dxfId="18" priority="5">
      <formula>$G41="не_погашен"</formula>
    </cfRule>
  </conditionalFormatting>
  <conditionalFormatting sqref="I41">
    <cfRule type="expression" dxfId="17" priority="6">
      <formula>$F41="не_погашен"</formula>
    </cfRule>
  </conditionalFormatting>
  <conditionalFormatting sqref="G47:H47 J47">
    <cfRule type="expression" dxfId="16" priority="3">
      <formula>$G47="не_погашен"</formula>
    </cfRule>
  </conditionalFormatting>
  <conditionalFormatting sqref="I47">
    <cfRule type="expression" dxfId="15" priority="4">
      <formula>$F47="не_погашен"</formula>
    </cfRule>
  </conditionalFormatting>
  <conditionalFormatting sqref="G53:H53 J53">
    <cfRule type="expression" dxfId="14" priority="2">
      <formula>$G53="не_погашен"</formula>
    </cfRule>
  </conditionalFormatting>
  <conditionalFormatting sqref="I53">
    <cfRule type="expression" dxfId="13" priority="1">
      <formula>$F57="не_погашен"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8166-07D7-4F88-A61B-7D3CE858E803}">
  <dimension ref="A1:K46"/>
  <sheetViews>
    <sheetView workbookViewId="0">
      <selection activeCell="L15" sqref="A1:XFD1048576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8.85546875" bestFit="1" customWidth="1"/>
    <col min="4" max="4" width="15.28515625" bestFit="1" customWidth="1"/>
    <col min="5" max="5" width="15.42578125" bestFit="1" customWidth="1"/>
    <col min="6" max="6" width="15.85546875" bestFit="1" customWidth="1"/>
    <col min="7" max="7" width="8.7109375" bestFit="1" customWidth="1"/>
    <col min="8" max="8" width="18.140625" bestFit="1" customWidth="1"/>
    <col min="9" max="9" width="9" bestFit="1" customWidth="1"/>
    <col min="10" max="10" width="8.140625" bestFit="1" customWidth="1"/>
    <col min="11" max="11" width="11.5703125" bestFit="1" customWidth="1"/>
  </cols>
  <sheetData>
    <row r="1" spans="1:11" ht="90" x14ac:dyDescent="0.2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spans="1:11" x14ac:dyDescent="0.25">
      <c r="A2" s="4">
        <v>2</v>
      </c>
      <c r="B2" s="4" t="s">
        <v>3</v>
      </c>
      <c r="C2" s="4" t="s">
        <v>5</v>
      </c>
      <c r="D2" s="4" t="s">
        <v>7</v>
      </c>
      <c r="E2" s="4" t="s">
        <v>9</v>
      </c>
      <c r="F2" s="4" t="s">
        <v>12</v>
      </c>
      <c r="G2" s="4" t="s">
        <v>5</v>
      </c>
      <c r="H2" s="4" t="s">
        <v>15</v>
      </c>
      <c r="I2" s="4" t="s">
        <v>19</v>
      </c>
      <c r="J2" s="4" t="s">
        <v>23</v>
      </c>
      <c r="K2" s="4" t="s">
        <v>2</v>
      </c>
    </row>
    <row r="3" spans="1:11" x14ac:dyDescent="0.25">
      <c r="A3" s="4">
        <v>4</v>
      </c>
      <c r="B3" s="4" t="s">
        <v>3</v>
      </c>
      <c r="C3" s="4" t="s">
        <v>6</v>
      </c>
      <c r="D3" s="4" t="s">
        <v>7</v>
      </c>
      <c r="E3" s="4" t="s">
        <v>9</v>
      </c>
      <c r="F3" s="4" t="s">
        <v>12</v>
      </c>
      <c r="G3" s="4" t="s">
        <v>5</v>
      </c>
      <c r="H3" s="4" t="s">
        <v>15</v>
      </c>
      <c r="I3" s="4" t="s">
        <v>20</v>
      </c>
      <c r="J3" s="4" t="s">
        <v>23</v>
      </c>
      <c r="K3" s="4" t="s">
        <v>1</v>
      </c>
    </row>
    <row r="4" spans="1:11" x14ac:dyDescent="0.25">
      <c r="A4" s="4">
        <v>5</v>
      </c>
      <c r="B4" s="4" t="s">
        <v>3</v>
      </c>
      <c r="C4" s="4" t="s">
        <v>6</v>
      </c>
      <c r="D4" s="4" t="s">
        <v>7</v>
      </c>
      <c r="E4" s="4" t="s">
        <v>10</v>
      </c>
      <c r="F4" s="4" t="s">
        <v>11</v>
      </c>
      <c r="G4" s="4" t="s">
        <v>5</v>
      </c>
      <c r="H4" s="4" t="s">
        <v>14</v>
      </c>
      <c r="I4" s="4" t="s">
        <v>21</v>
      </c>
      <c r="J4" s="4" t="s">
        <v>23</v>
      </c>
      <c r="K4" s="4" t="s">
        <v>2</v>
      </c>
    </row>
    <row r="5" spans="1:11" x14ac:dyDescent="0.25">
      <c r="A5" s="4">
        <v>9</v>
      </c>
      <c r="B5" s="4" t="s">
        <v>4</v>
      </c>
      <c r="C5" s="4" t="s">
        <v>6</v>
      </c>
      <c r="D5" s="4" t="s">
        <v>8</v>
      </c>
      <c r="E5" s="4" t="s">
        <v>10</v>
      </c>
      <c r="F5" s="4" t="s">
        <v>12</v>
      </c>
      <c r="G5" s="4" t="s">
        <v>6</v>
      </c>
      <c r="H5" s="4" t="s">
        <v>16</v>
      </c>
      <c r="I5" s="4" t="s">
        <v>21</v>
      </c>
      <c r="J5" s="4" t="s">
        <v>23</v>
      </c>
      <c r="K5" s="4" t="s">
        <v>2</v>
      </c>
    </row>
    <row r="6" spans="1:11" x14ac:dyDescent="0.25">
      <c r="A6" s="4">
        <v>10</v>
      </c>
      <c r="B6" s="4" t="s">
        <v>3</v>
      </c>
      <c r="C6" s="4" t="s">
        <v>6</v>
      </c>
      <c r="D6" s="4" t="s">
        <v>8</v>
      </c>
      <c r="E6" s="4" t="s">
        <v>9</v>
      </c>
      <c r="F6" s="4" t="s">
        <v>11</v>
      </c>
      <c r="G6" s="4" t="s">
        <v>5</v>
      </c>
      <c r="H6" s="4" t="s">
        <v>17</v>
      </c>
      <c r="I6" s="4" t="s">
        <v>20</v>
      </c>
      <c r="J6" s="4" t="s">
        <v>23</v>
      </c>
      <c r="K6" s="4" t="s">
        <v>2</v>
      </c>
    </row>
    <row r="7" spans="1:11" x14ac:dyDescent="0.25">
      <c r="A7" s="4">
        <v>12</v>
      </c>
      <c r="B7" s="4" t="s">
        <v>3</v>
      </c>
      <c r="C7" s="4" t="s">
        <v>6</v>
      </c>
      <c r="D7" s="4" t="s">
        <v>8</v>
      </c>
      <c r="E7" s="4" t="s">
        <v>9</v>
      </c>
      <c r="F7" s="4" t="s">
        <v>12</v>
      </c>
      <c r="G7" s="4" t="s">
        <v>5</v>
      </c>
      <c r="H7" s="4" t="s">
        <v>16</v>
      </c>
      <c r="I7" s="4" t="s">
        <v>19</v>
      </c>
      <c r="J7" s="4" t="s">
        <v>23</v>
      </c>
      <c r="K7" s="4" t="s">
        <v>1</v>
      </c>
    </row>
    <row r="9" spans="1:11" x14ac:dyDescent="0.25">
      <c r="A9" t="s">
        <v>81</v>
      </c>
      <c r="B9">
        <f>COUNT(A2:A7)</f>
        <v>6</v>
      </c>
    </row>
    <row r="10" spans="1:11" ht="15.75" thickBot="1" x14ac:dyDescent="0.3"/>
    <row r="11" spans="1:11" ht="60.75" thickBot="1" x14ac:dyDescent="0.3">
      <c r="A11" s="2" t="s">
        <v>29</v>
      </c>
      <c r="B11" s="8" t="s">
        <v>28</v>
      </c>
      <c r="C11" s="9" t="s">
        <v>1</v>
      </c>
      <c r="D11" s="32" t="s">
        <v>76</v>
      </c>
      <c r="E11" s="33" t="s">
        <v>77</v>
      </c>
      <c r="F11" s="34" t="s">
        <v>78</v>
      </c>
      <c r="G11" s="35" t="s">
        <v>79</v>
      </c>
      <c r="H11" s="36" t="s">
        <v>80</v>
      </c>
    </row>
    <row r="12" spans="1:11" x14ac:dyDescent="0.25">
      <c r="A12" s="10" t="s">
        <v>44</v>
      </c>
      <c r="B12" s="5">
        <f>COUNTIFS($B$2:$B$7, "=в браке", $K$2:$K$7, "=не погашен")</f>
        <v>3</v>
      </c>
      <c r="C12" s="11">
        <f>COUNTIFS($B$2:$B$7, "=в браке", $K$2:$K$7, "=погашен")</f>
        <v>2</v>
      </c>
      <c r="D12" s="37">
        <f>SUM(B12:C12)</f>
        <v>5</v>
      </c>
      <c r="E12" s="38">
        <f>D12/$B$9</f>
        <v>0.83333333333333337</v>
      </c>
      <c r="F12" s="39">
        <f>MAX(B12:C12)/D12</f>
        <v>0.6</v>
      </c>
      <c r="G12" s="38">
        <f>1-F12</f>
        <v>0.4</v>
      </c>
      <c r="H12" s="40">
        <f>SUMPRODUCT(E12:E13, G12:G13)</f>
        <v>0.33333333333333337</v>
      </c>
    </row>
    <row r="13" spans="1:11" ht="15.75" thickBot="1" x14ac:dyDescent="0.3">
      <c r="A13" s="12" t="s">
        <v>45</v>
      </c>
      <c r="B13" s="13">
        <f>COUNTIFS($B$2:$B$7, "=не в браке", $K$2:$K$7, "=не погашен")</f>
        <v>1</v>
      </c>
      <c r="C13" s="13">
        <f>COUNTIFS($B$2:$B$7, "=не в браке", $K$2:$K$7, "=погашен")</f>
        <v>0</v>
      </c>
      <c r="D13" s="41">
        <f>SUM(B13:C13)</f>
        <v>1</v>
      </c>
      <c r="E13" s="42">
        <f>D13/$B$9</f>
        <v>0.16666666666666666</v>
      </c>
      <c r="F13" s="43">
        <f>MAX(B13:C13)/D13</f>
        <v>1</v>
      </c>
      <c r="G13" s="42">
        <f>1-F13</f>
        <v>0</v>
      </c>
    </row>
    <row r="14" spans="1:11" ht="15.75" thickBot="1" x14ac:dyDescent="0.3">
      <c r="D14" s="5"/>
      <c r="E14" s="5"/>
      <c r="F14" s="1"/>
      <c r="G14" s="1"/>
      <c r="H14" s="44"/>
    </row>
    <row r="15" spans="1:11" ht="60.75" thickBot="1" x14ac:dyDescent="0.3">
      <c r="A15" s="2" t="s">
        <v>30</v>
      </c>
      <c r="B15" s="8" t="s">
        <v>28</v>
      </c>
      <c r="C15" s="9" t="s">
        <v>1</v>
      </c>
      <c r="D15" s="32" t="s">
        <v>76</v>
      </c>
      <c r="E15" s="33" t="s">
        <v>77</v>
      </c>
      <c r="F15" s="34" t="s">
        <v>78</v>
      </c>
      <c r="G15" s="35" t="s">
        <v>79</v>
      </c>
      <c r="H15" s="36" t="s">
        <v>80</v>
      </c>
    </row>
    <row r="16" spans="1:11" x14ac:dyDescent="0.25">
      <c r="A16" s="10" t="s">
        <v>46</v>
      </c>
      <c r="B16" s="5">
        <f>COUNTIFS($C$2:$C$7, "=есть", $K$2:$K$7, "=не погашен")</f>
        <v>3</v>
      </c>
      <c r="C16" s="11">
        <f>COUNTIFS($C$2:$C$7, "=есть", $K$2:$K$7, "=погашен")</f>
        <v>2</v>
      </c>
      <c r="D16" s="37">
        <f>SUM(B16:C16)</f>
        <v>5</v>
      </c>
      <c r="E16" s="38">
        <f>D16/$B$9</f>
        <v>0.83333333333333337</v>
      </c>
      <c r="F16" s="39">
        <f>MAX(B16:C16)/D16</f>
        <v>0.6</v>
      </c>
      <c r="G16" s="38">
        <f>1-F16</f>
        <v>0.4</v>
      </c>
      <c r="H16" s="47">
        <f>SUMPRODUCT(E16:E17, G16:G17)</f>
        <v>0.33333333333333337</v>
      </c>
    </row>
    <row r="17" spans="1:8" ht="15.75" thickBot="1" x14ac:dyDescent="0.3">
      <c r="A17" s="12" t="s">
        <v>47</v>
      </c>
      <c r="B17" s="13">
        <f>COUNTIFS($C$2:$C$7, "=нет", $K$2:$K$7, "=не погашен")</f>
        <v>1</v>
      </c>
      <c r="C17" s="13">
        <f>COUNTIFS($C$2:$C$7, "=нет", $K$2:$K$7, "=погашен")</f>
        <v>0</v>
      </c>
      <c r="D17" s="41">
        <f>SUM(B17:C17)</f>
        <v>1</v>
      </c>
      <c r="E17" s="42">
        <f>D17/$B$9</f>
        <v>0.16666666666666666</v>
      </c>
      <c r="F17" s="43">
        <f>MAX(B17:C17)/D17</f>
        <v>1</v>
      </c>
      <c r="G17" s="42">
        <f>1-F17</f>
        <v>0</v>
      </c>
    </row>
    <row r="18" spans="1:8" ht="15.75" thickBot="1" x14ac:dyDescent="0.3">
      <c r="D18" s="45"/>
      <c r="E18" s="5"/>
      <c r="F18" s="1"/>
      <c r="G18" s="1"/>
      <c r="H18" s="44"/>
    </row>
    <row r="19" spans="1:8" ht="60.75" thickBot="1" x14ac:dyDescent="0.3">
      <c r="A19" s="2" t="s">
        <v>31</v>
      </c>
      <c r="B19" s="8" t="s">
        <v>28</v>
      </c>
      <c r="C19" s="9" t="s">
        <v>1</v>
      </c>
      <c r="D19" s="32" t="s">
        <v>76</v>
      </c>
      <c r="E19" s="33" t="s">
        <v>77</v>
      </c>
      <c r="F19" s="34" t="s">
        <v>78</v>
      </c>
      <c r="G19" s="35" t="s">
        <v>79</v>
      </c>
      <c r="H19" s="36" t="s">
        <v>80</v>
      </c>
    </row>
    <row r="20" spans="1:8" x14ac:dyDescent="0.25">
      <c r="A20" s="10" t="s">
        <v>48</v>
      </c>
      <c r="B20" s="5">
        <f>COUNTIFS($D$2:$D$7, "=&lt;= 2", $K$2:$K$7, "=не погашен")</f>
        <v>2</v>
      </c>
      <c r="C20" s="11">
        <f>COUNTIFS($D$2:$D$7, "=&lt;= 2", $K$2:$K$7, "=погашен")</f>
        <v>1</v>
      </c>
      <c r="D20" s="37">
        <f>SUM(B20:C20)</f>
        <v>3</v>
      </c>
      <c r="E20" s="38">
        <f>D20/$B$9</f>
        <v>0.5</v>
      </c>
      <c r="F20" s="39">
        <f>MAX(B20:C20)/D20</f>
        <v>0.66666666666666663</v>
      </c>
      <c r="G20" s="38">
        <f>1-F20</f>
        <v>0.33333333333333337</v>
      </c>
      <c r="H20" s="40">
        <f>SUMPRODUCT(E20:E21, G20:G21)</f>
        <v>0.66666666666666674</v>
      </c>
    </row>
    <row r="21" spans="1:8" ht="15.75" thickBot="1" x14ac:dyDescent="0.3">
      <c r="A21" s="12" t="s">
        <v>49</v>
      </c>
      <c r="B21" s="13">
        <f>COUNTIFS($D$2:$D$7, "=&gt; 2", $K$2:$K$7, "=не погашен")</f>
        <v>2</v>
      </c>
      <c r="C21" s="14">
        <f>COUNTIFS($D$2:$D$7, "=&gt; 2", $K$2:$K$7, "=погашен")</f>
        <v>1</v>
      </c>
      <c r="D21" s="37">
        <f t="shared" ref="D21" si="0">SUM(B21:C21)</f>
        <v>3</v>
      </c>
      <c r="E21" s="38">
        <f>D21/$B$9</f>
        <v>0.5</v>
      </c>
      <c r="F21" s="39">
        <v>0</v>
      </c>
      <c r="G21" s="38">
        <f>1-F21</f>
        <v>1</v>
      </c>
    </row>
    <row r="22" spans="1:8" ht="15.75" thickBot="1" x14ac:dyDescent="0.3">
      <c r="D22" s="5"/>
      <c r="E22" s="5"/>
      <c r="F22" s="46"/>
      <c r="G22" s="5"/>
    </row>
    <row r="23" spans="1:8" ht="60.75" thickBot="1" x14ac:dyDescent="0.3">
      <c r="A23" s="2" t="s">
        <v>32</v>
      </c>
      <c r="B23" s="8" t="s">
        <v>28</v>
      </c>
      <c r="C23" s="9" t="s">
        <v>1</v>
      </c>
      <c r="D23" s="32" t="s">
        <v>76</v>
      </c>
      <c r="E23" s="33" t="s">
        <v>77</v>
      </c>
      <c r="F23" s="34" t="s">
        <v>78</v>
      </c>
      <c r="G23" s="35" t="s">
        <v>79</v>
      </c>
      <c r="H23" s="36" t="s">
        <v>80</v>
      </c>
    </row>
    <row r="24" spans="1:8" x14ac:dyDescent="0.25">
      <c r="A24" s="10" t="s">
        <v>50</v>
      </c>
      <c r="B24" s="5">
        <f>COUNTIFS($E$2:$E$7, "=среднее", $K$2:$K$7, "=не погашен")</f>
        <v>2</v>
      </c>
      <c r="C24" s="11">
        <f>COUNTIFS($E$2:$E$7, "=среднее", $K$2:$K$7, "=погашен")</f>
        <v>0</v>
      </c>
      <c r="D24" s="37">
        <f>SUM(B24:C24)</f>
        <v>2</v>
      </c>
      <c r="E24" s="38">
        <f>D24/$B$9</f>
        <v>0.33333333333333331</v>
      </c>
      <c r="F24" s="39">
        <f>MAX(B24:C24)/D24</f>
        <v>1</v>
      </c>
      <c r="G24" s="38">
        <f>1-F24</f>
        <v>0</v>
      </c>
      <c r="H24" s="40">
        <f>SUMPRODUCT(E24:E25, G24:G25)</f>
        <v>0.33333333333333331</v>
      </c>
    </row>
    <row r="25" spans="1:8" ht="15.75" thickBot="1" x14ac:dyDescent="0.3">
      <c r="A25" s="12" t="s">
        <v>51</v>
      </c>
      <c r="B25" s="13">
        <f>COUNTIFS($E$2:$E$7, "=высшее", $K$2:$K$7, "=не погашен")</f>
        <v>2</v>
      </c>
      <c r="C25" s="14">
        <f>COUNTIFS($E$2:$E$7, "=высшее", $K$2:$K$7, "=погашен")</f>
        <v>2</v>
      </c>
      <c r="D25" s="37">
        <f>SUM(B25:C25)</f>
        <v>4</v>
      </c>
      <c r="E25" s="38">
        <f>D25/$B$9</f>
        <v>0.66666666666666663</v>
      </c>
      <c r="F25" s="39">
        <f>MAX(B25:C25)/D25</f>
        <v>0.5</v>
      </c>
      <c r="G25" s="38">
        <f t="shared" ref="G25" si="1">1-F25</f>
        <v>0.5</v>
      </c>
    </row>
    <row r="26" spans="1:8" ht="15.75" thickBot="1" x14ac:dyDescent="0.3"/>
    <row r="27" spans="1:8" ht="60.75" thickBot="1" x14ac:dyDescent="0.3">
      <c r="A27" s="2" t="s">
        <v>33</v>
      </c>
      <c r="B27" s="8" t="s">
        <v>28</v>
      </c>
      <c r="C27" s="9" t="s">
        <v>1</v>
      </c>
      <c r="D27" s="32" t="s">
        <v>76</v>
      </c>
      <c r="E27" s="33" t="s">
        <v>77</v>
      </c>
      <c r="F27" s="34" t="s">
        <v>78</v>
      </c>
      <c r="G27" s="35" t="s">
        <v>79</v>
      </c>
      <c r="H27" s="36" t="s">
        <v>80</v>
      </c>
    </row>
    <row r="28" spans="1:8" x14ac:dyDescent="0.25">
      <c r="A28" s="10" t="s">
        <v>56</v>
      </c>
      <c r="B28" s="5">
        <f>COUNTIFS($F$2:$F$7, "=отсутствует", $K$2:$K$7, "=не погашен")</f>
        <v>2</v>
      </c>
      <c r="C28" s="5">
        <f>COUNTIFS($F$2:$F$7, "=отсутствует", $K$2:$K$7, "=погашен")</f>
        <v>2</v>
      </c>
      <c r="D28" s="37">
        <f>SUM(B28:C28)</f>
        <v>4</v>
      </c>
      <c r="E28" s="38">
        <f>D28/$B$9</f>
        <v>0.66666666666666663</v>
      </c>
      <c r="F28" s="39">
        <f>MAX(B28:C28)/D28</f>
        <v>0.5</v>
      </c>
      <c r="G28" s="38">
        <f>1-F28</f>
        <v>0.5</v>
      </c>
      <c r="H28" s="40">
        <f>SUMPRODUCT(E28:E30, G28:G30)</f>
        <v>0.33333333333333331</v>
      </c>
    </row>
    <row r="29" spans="1:8" x14ac:dyDescent="0.25">
      <c r="A29" s="18" t="s">
        <v>57</v>
      </c>
      <c r="B29" s="5">
        <f>COUNTIFS($F$2:$F$7, "=в ипотеке", $K$2:$K$7, "=не погашен")</f>
        <v>0</v>
      </c>
      <c r="C29" s="5">
        <f>COUNTIFS($F$2:$F$7, "=в ипотеке", $K$2:$K$7, "=погашен")</f>
        <v>0</v>
      </c>
      <c r="D29" s="37">
        <f>SUM(B29:C29)</f>
        <v>0</v>
      </c>
      <c r="E29" s="38">
        <f>D29/$B$9</f>
        <v>0</v>
      </c>
      <c r="F29" s="39">
        <v>0</v>
      </c>
      <c r="G29" s="38">
        <f t="shared" ref="G29" si="2">1-F29</f>
        <v>1</v>
      </c>
    </row>
    <row r="30" spans="1:8" ht="15.75" thickBot="1" x14ac:dyDescent="0.3">
      <c r="A30" s="12" t="s">
        <v>58</v>
      </c>
      <c r="B30" s="5">
        <f>COUNTIFS($F$2:$F$7, "=в собственности", $K$2:$K$7, "=не погашен")</f>
        <v>2</v>
      </c>
      <c r="C30" s="5">
        <f>COUNTIFS($F$2:$F$7, "=в собственности", $K$2:$K$7, "=погашен")</f>
        <v>0</v>
      </c>
      <c r="D30" s="37">
        <f>SUM(B30:C30)</f>
        <v>2</v>
      </c>
      <c r="E30" s="38">
        <f>D30/$B$9</f>
        <v>0.33333333333333331</v>
      </c>
      <c r="F30" s="39">
        <f>MAX(B30:C30)/D30</f>
        <v>1</v>
      </c>
      <c r="G30" s="38">
        <f t="shared" ref="G30" si="3">1-F30</f>
        <v>0</v>
      </c>
    </row>
    <row r="31" spans="1:8" ht="15.75" thickBot="1" x14ac:dyDescent="0.3"/>
    <row r="32" spans="1:8" ht="60.75" thickBot="1" x14ac:dyDescent="0.3">
      <c r="A32" s="2" t="s">
        <v>34</v>
      </c>
      <c r="B32" s="8" t="s">
        <v>28</v>
      </c>
      <c r="C32" s="9" t="s">
        <v>1</v>
      </c>
      <c r="D32" s="32" t="s">
        <v>76</v>
      </c>
      <c r="E32" s="33" t="s">
        <v>77</v>
      </c>
      <c r="F32" s="34" t="s">
        <v>78</v>
      </c>
      <c r="G32" s="35" t="s">
        <v>79</v>
      </c>
      <c r="H32" s="36" t="s">
        <v>80</v>
      </c>
    </row>
    <row r="33" spans="1:8" x14ac:dyDescent="0.25">
      <c r="A33" s="10" t="s">
        <v>46</v>
      </c>
      <c r="B33" s="5">
        <f>COUNTIFS($G$2:$G$7, "=есть", $K$2:$K$7, "=не погашен")</f>
        <v>1</v>
      </c>
      <c r="C33" s="5">
        <f>COUNTIFS($G$2:$G$7, "=есть", $K$2:$K$7, "=погашен")</f>
        <v>0</v>
      </c>
      <c r="D33" s="37">
        <f>SUM(B33:C33)</f>
        <v>1</v>
      </c>
      <c r="E33" s="38">
        <f>D33/$B$9</f>
        <v>0.16666666666666666</v>
      </c>
      <c r="F33" s="39">
        <f>MAX(B33:C33)/D33</f>
        <v>1</v>
      </c>
      <c r="G33" s="38">
        <f>1-F33</f>
        <v>0</v>
      </c>
      <c r="H33" s="40">
        <f>SUMPRODUCT(E33:E34, G33:G34)</f>
        <v>0.33333333333333337</v>
      </c>
    </row>
    <row r="34" spans="1:8" ht="15.75" thickBot="1" x14ac:dyDescent="0.3">
      <c r="A34" s="12" t="s">
        <v>47</v>
      </c>
      <c r="B34" s="5">
        <f>COUNTIFS($G$2:$G$7, "=нет", $K$2:$K$7, "=не погашен")</f>
        <v>3</v>
      </c>
      <c r="C34" s="5">
        <f>COUNTIFS($G$2:$G$7, "=нет", $K$2:$K$7, "=погашен")</f>
        <v>2</v>
      </c>
      <c r="D34" s="37">
        <f>SUM(B34:C34)</f>
        <v>5</v>
      </c>
      <c r="E34" s="38">
        <f>D34/$B$9</f>
        <v>0.83333333333333337</v>
      </c>
      <c r="F34" s="39">
        <f>MAX(B34:C34)/D34</f>
        <v>0.6</v>
      </c>
      <c r="G34" s="38">
        <f t="shared" ref="G34" si="4">1-F34</f>
        <v>0.4</v>
      </c>
    </row>
    <row r="35" spans="1:8" ht="15.75" thickBot="1" x14ac:dyDescent="0.3"/>
    <row r="36" spans="1:8" ht="60.75" thickBot="1" x14ac:dyDescent="0.3">
      <c r="A36" s="2" t="s">
        <v>35</v>
      </c>
      <c r="B36" s="8" t="s">
        <v>28</v>
      </c>
      <c r="C36" s="9" t="s">
        <v>1</v>
      </c>
      <c r="D36" s="32" t="s">
        <v>76</v>
      </c>
      <c r="E36" s="33" t="s">
        <v>77</v>
      </c>
      <c r="F36" s="34" t="s">
        <v>78</v>
      </c>
      <c r="G36" s="35" t="s">
        <v>79</v>
      </c>
      <c r="H36" s="36" t="s">
        <v>80</v>
      </c>
    </row>
    <row r="37" spans="1:8" x14ac:dyDescent="0.25">
      <c r="A37" s="10" t="s">
        <v>59</v>
      </c>
      <c r="B37" s="5">
        <f>COUNTIFS($H$2:$H$7, "=менеджер", $K$2:$K$7, "=не погашен")</f>
        <v>1</v>
      </c>
      <c r="C37" s="5">
        <f>COUNTIFS($H$2:$H$7, "=менеджер", $K$2:$K$7, "=погашен")</f>
        <v>0</v>
      </c>
      <c r="D37" s="37">
        <f>SUM(B37:C37)</f>
        <v>1</v>
      </c>
      <c r="E37" s="38">
        <f>D37/$B$9</f>
        <v>0.16666666666666666</v>
      </c>
      <c r="F37" s="39">
        <f>MAX(B37:C37)/D37</f>
        <v>1</v>
      </c>
      <c r="G37" s="38">
        <f>1-F37</f>
        <v>0</v>
      </c>
      <c r="H37" s="40">
        <f>SUMPRODUCT(E37:E40, G37:G40)</f>
        <v>0.33333333333333331</v>
      </c>
    </row>
    <row r="38" spans="1:8" x14ac:dyDescent="0.25">
      <c r="A38" s="18" t="s">
        <v>60</v>
      </c>
      <c r="B38" s="5">
        <f>COUNTIFS($H$2:$H$7, "=продавец", $K$2:$K$7, "=не погашен")</f>
        <v>1</v>
      </c>
      <c r="C38" s="5">
        <f>COUNTIFS($H$2:$H$7, "=продавец", $K$2:$K$7, "=погашен")</f>
        <v>1</v>
      </c>
      <c r="D38" s="37">
        <f>SUM(B38:C38)</f>
        <v>2</v>
      </c>
      <c r="E38" s="38">
        <f>D38/$B$9</f>
        <v>0.33333333333333331</v>
      </c>
      <c r="F38" s="39">
        <f>MAX(B38:C38)/D38</f>
        <v>0.5</v>
      </c>
      <c r="G38" s="38">
        <f t="shared" ref="G38:G39" si="5">1-F38</f>
        <v>0.5</v>
      </c>
    </row>
    <row r="39" spans="1:8" x14ac:dyDescent="0.25">
      <c r="A39" s="18" t="s">
        <v>61</v>
      </c>
      <c r="B39" s="5">
        <f>COUNTIFS($H$2:$H$7, "=инженер", $K$2:$K$7, "=не погашен")</f>
        <v>1</v>
      </c>
      <c r="C39" s="5">
        <f>COUNTIFS($H$2:$H$7, "=инженер", $K$2:$K$7, "=погашен")</f>
        <v>1</v>
      </c>
      <c r="D39" s="37">
        <f>SUM(B39:C39)</f>
        <v>2</v>
      </c>
      <c r="E39" s="38">
        <f>D39/$B$9</f>
        <v>0.33333333333333331</v>
      </c>
      <c r="F39" s="39">
        <f>MAX(B39:C39)/D39</f>
        <v>0.5</v>
      </c>
      <c r="G39" s="38">
        <f t="shared" si="5"/>
        <v>0.5</v>
      </c>
    </row>
    <row r="40" spans="1:8" ht="15.75" thickBot="1" x14ac:dyDescent="0.3">
      <c r="A40" s="12" t="s">
        <v>62</v>
      </c>
      <c r="B40" s="5">
        <f>COUNTIFS($H$2:$H$7, "=предприниматель", $K$2:$K$7, "=не погашен")</f>
        <v>1</v>
      </c>
      <c r="C40" s="5">
        <f>COUNTIFS($H$2:$H$7, "=предприниматель", $K$2:$K$7, "=погашен")</f>
        <v>0</v>
      </c>
      <c r="D40" s="37">
        <f>SUM(B40:C40)</f>
        <v>1</v>
      </c>
      <c r="E40" s="38">
        <f>D40/$B$9</f>
        <v>0.16666666666666666</v>
      </c>
      <c r="F40" s="39">
        <f>MAX(B40:C40)/D40</f>
        <v>1</v>
      </c>
      <c r="G40" s="38">
        <f t="shared" ref="G40" si="6">1-F40</f>
        <v>0</v>
      </c>
    </row>
    <row r="41" spans="1:8" ht="15.75" thickBot="1" x14ac:dyDescent="0.3"/>
    <row r="42" spans="1:8" ht="60.75" thickBot="1" x14ac:dyDescent="0.3">
      <c r="A42" s="2" t="s">
        <v>36</v>
      </c>
      <c r="B42" s="8" t="s">
        <v>28</v>
      </c>
      <c r="C42" s="9" t="s">
        <v>1</v>
      </c>
      <c r="D42" s="32" t="s">
        <v>76</v>
      </c>
      <c r="E42" s="33" t="s">
        <v>77</v>
      </c>
      <c r="F42" s="34" t="s">
        <v>78</v>
      </c>
      <c r="G42" s="35" t="s">
        <v>79</v>
      </c>
      <c r="H42" s="36" t="s">
        <v>80</v>
      </c>
    </row>
    <row r="43" spans="1:8" x14ac:dyDescent="0.25">
      <c r="A43" s="10" t="s">
        <v>52</v>
      </c>
      <c r="B43" s="5">
        <f>COUNTIFS($I$2:$I$7, "=41-70", $K$2:$K$7, "=не погашен")</f>
        <v>0</v>
      </c>
      <c r="C43" s="5">
        <f>COUNTIFS($I$2:$I$7, "=41-70", $K$2:$K$7, "=погашен")</f>
        <v>0</v>
      </c>
      <c r="D43" s="37">
        <f>SUM(B43:C43)</f>
        <v>0</v>
      </c>
      <c r="E43" s="38">
        <f>D43/$B$9</f>
        <v>0</v>
      </c>
      <c r="F43" s="39">
        <v>0</v>
      </c>
      <c r="G43" s="38">
        <f>1-F43</f>
        <v>1</v>
      </c>
      <c r="H43" s="40">
        <f>SUMPRODUCT(E43:E46, G43:G46)</f>
        <v>0.33333333333333331</v>
      </c>
    </row>
    <row r="44" spans="1:8" x14ac:dyDescent="0.25">
      <c r="A44" s="18" t="s">
        <v>53</v>
      </c>
      <c r="B44" s="5">
        <f>COUNTIFS($I$2:$I$7, "=71-100", $K$2:$K$7, "=не погашен")</f>
        <v>1</v>
      </c>
      <c r="C44" s="5">
        <f>COUNTIFS($I$2:$I$7, "=71-100", $K$2:$K$7, "=погашен")</f>
        <v>1</v>
      </c>
      <c r="D44" s="37">
        <f>SUM(B44:C44)</f>
        <v>2</v>
      </c>
      <c r="E44" s="38">
        <f>D44/$B$9</f>
        <v>0.33333333333333331</v>
      </c>
      <c r="F44" s="39">
        <f>MAX(B44:C44)/D44</f>
        <v>0.5</v>
      </c>
      <c r="G44" s="38">
        <f t="shared" ref="G44:G46" si="7">1-F44</f>
        <v>0.5</v>
      </c>
    </row>
    <row r="45" spans="1:8" x14ac:dyDescent="0.25">
      <c r="A45" s="18" t="s">
        <v>54</v>
      </c>
      <c r="B45" s="5">
        <f>COUNTIFS($I$2:$I$7, "=100-130", $K$2:$K$7, "=не погашен")</f>
        <v>1</v>
      </c>
      <c r="C45" s="5">
        <f>COUNTIFS($I$2:$I$7, "=100-130", $K$2:$K$7, "=погашен")</f>
        <v>1</v>
      </c>
      <c r="D45" s="37">
        <f>SUM(B45:C45)</f>
        <v>2</v>
      </c>
      <c r="E45" s="38">
        <f>D45/$B$9</f>
        <v>0.33333333333333331</v>
      </c>
      <c r="F45" s="39">
        <f>MAX(B45:C45)/D45</f>
        <v>0.5</v>
      </c>
      <c r="G45" s="38">
        <f t="shared" si="7"/>
        <v>0.5</v>
      </c>
    </row>
    <row r="46" spans="1:8" ht="15.75" thickBot="1" x14ac:dyDescent="0.3">
      <c r="A46" s="12" t="s">
        <v>55</v>
      </c>
      <c r="B46" s="5">
        <f>COUNTIFS($I$2:$I$7, "=&gt; 130", $K$2:$K$7, "=не погашен")</f>
        <v>2</v>
      </c>
      <c r="C46" s="5">
        <f>COUNTIFS($I$2:$I$7, "=&gt; 130", $K$2:$K$7, "=погашен")</f>
        <v>0</v>
      </c>
      <c r="D46" s="37">
        <f>SUM(B46:C46)</f>
        <v>2</v>
      </c>
      <c r="E46" s="38">
        <f>D46/$B$9</f>
        <v>0.33333333333333331</v>
      </c>
      <c r="F46" s="39">
        <f>MAX(B46:C46)/D46</f>
        <v>1</v>
      </c>
      <c r="G46" s="38">
        <f t="shared" si="7"/>
        <v>0</v>
      </c>
    </row>
  </sheetData>
  <conditionalFormatting sqref="A2:K7">
    <cfRule type="expression" dxfId="12" priority="19">
      <formula>$K2="не погашен"</formula>
    </cfRule>
  </conditionalFormatting>
  <conditionalFormatting sqref="E14">
    <cfRule type="expression" dxfId="11" priority="3">
      <formula>$G14="не_погашен"</formula>
    </cfRule>
  </conditionalFormatting>
  <conditionalFormatting sqref="E18">
    <cfRule type="expression" dxfId="10" priority="1">
      <formula>$G18="не_погашен"</formula>
    </cfRule>
  </conditionalFormatting>
  <conditionalFormatting sqref="F14:G14">
    <cfRule type="expression" dxfId="9" priority="4">
      <formula>#REF!="не_погашен"</formula>
    </cfRule>
  </conditionalFormatting>
  <conditionalFormatting sqref="F18:G18">
    <cfRule type="expression" dxfId="8" priority="2">
      <formula>#REF!="не_погашен"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D12E-70B8-4CDC-B90F-3924C2EF9903}">
  <dimension ref="A1:K40"/>
  <sheetViews>
    <sheetView topLeftCell="A13" workbookViewId="0">
      <selection activeCell="B15" sqref="B15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8.85546875" bestFit="1" customWidth="1"/>
    <col min="4" max="4" width="15.28515625" bestFit="1" customWidth="1"/>
    <col min="5" max="5" width="15.42578125" bestFit="1" customWidth="1"/>
    <col min="6" max="6" width="15.85546875" bestFit="1" customWidth="1"/>
    <col min="7" max="7" width="8.7109375" bestFit="1" customWidth="1"/>
    <col min="8" max="8" width="18.140625" bestFit="1" customWidth="1"/>
    <col min="9" max="9" width="9" bestFit="1" customWidth="1"/>
    <col min="10" max="10" width="8.140625" bestFit="1" customWidth="1"/>
    <col min="11" max="11" width="11.5703125" bestFit="1" customWidth="1"/>
  </cols>
  <sheetData>
    <row r="1" spans="1:11" ht="90" x14ac:dyDescent="0.2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spans="1:11" x14ac:dyDescent="0.25">
      <c r="A2" s="4">
        <v>2</v>
      </c>
      <c r="B2" s="4" t="s">
        <v>3</v>
      </c>
      <c r="C2" s="4" t="s">
        <v>5</v>
      </c>
      <c r="D2" s="4" t="s">
        <v>7</v>
      </c>
      <c r="E2" s="4" t="s">
        <v>9</v>
      </c>
      <c r="F2" s="4" t="s">
        <v>12</v>
      </c>
      <c r="G2" s="4" t="s">
        <v>5</v>
      </c>
      <c r="H2" s="4" t="s">
        <v>15</v>
      </c>
      <c r="I2" s="4" t="s">
        <v>19</v>
      </c>
      <c r="J2" s="4" t="s">
        <v>23</v>
      </c>
      <c r="K2" s="4" t="s">
        <v>2</v>
      </c>
    </row>
    <row r="3" spans="1:11" x14ac:dyDescent="0.25">
      <c r="A3" s="4">
        <v>4</v>
      </c>
      <c r="B3" s="4" t="s">
        <v>3</v>
      </c>
      <c r="C3" s="4" t="s">
        <v>6</v>
      </c>
      <c r="D3" s="4" t="s">
        <v>7</v>
      </c>
      <c r="E3" s="4" t="s">
        <v>9</v>
      </c>
      <c r="F3" s="4" t="s">
        <v>12</v>
      </c>
      <c r="G3" s="4" t="s">
        <v>5</v>
      </c>
      <c r="H3" s="4" t="s">
        <v>15</v>
      </c>
      <c r="I3" s="4" t="s">
        <v>20</v>
      </c>
      <c r="J3" s="4" t="s">
        <v>23</v>
      </c>
      <c r="K3" s="4" t="s">
        <v>1</v>
      </c>
    </row>
    <row r="4" spans="1:11" x14ac:dyDescent="0.25">
      <c r="A4" s="4">
        <v>10</v>
      </c>
      <c r="B4" s="4" t="s">
        <v>3</v>
      </c>
      <c r="C4" s="4" t="s">
        <v>6</v>
      </c>
      <c r="D4" s="4" t="s">
        <v>8</v>
      </c>
      <c r="E4" s="4" t="s">
        <v>9</v>
      </c>
      <c r="F4" s="4" t="s">
        <v>11</v>
      </c>
      <c r="G4" s="4" t="s">
        <v>5</v>
      </c>
      <c r="H4" s="4" t="s">
        <v>17</v>
      </c>
      <c r="I4" s="4" t="s">
        <v>20</v>
      </c>
      <c r="J4" s="4" t="s">
        <v>23</v>
      </c>
      <c r="K4" s="4" t="s">
        <v>2</v>
      </c>
    </row>
    <row r="5" spans="1:11" x14ac:dyDescent="0.25">
      <c r="A5" s="4">
        <v>12</v>
      </c>
      <c r="B5" s="4" t="s">
        <v>3</v>
      </c>
      <c r="C5" s="4" t="s">
        <v>6</v>
      </c>
      <c r="D5" s="4" t="s">
        <v>8</v>
      </c>
      <c r="E5" s="4" t="s">
        <v>9</v>
      </c>
      <c r="F5" s="4" t="s">
        <v>12</v>
      </c>
      <c r="G5" s="4" t="s">
        <v>5</v>
      </c>
      <c r="H5" s="4" t="s">
        <v>16</v>
      </c>
      <c r="I5" s="4" t="s">
        <v>19</v>
      </c>
      <c r="J5" s="4" t="s">
        <v>23</v>
      </c>
      <c r="K5" s="4" t="s">
        <v>1</v>
      </c>
    </row>
    <row r="7" spans="1:11" x14ac:dyDescent="0.25">
      <c r="A7" t="s">
        <v>81</v>
      </c>
      <c r="B7">
        <f>COUNT(A2:A5)</f>
        <v>4</v>
      </c>
    </row>
    <row r="8" spans="1:11" ht="15.75" thickBot="1" x14ac:dyDescent="0.3"/>
    <row r="9" spans="1:11" ht="60.75" thickBot="1" x14ac:dyDescent="0.3">
      <c r="A9" s="2" t="s">
        <v>29</v>
      </c>
      <c r="B9" s="8" t="s">
        <v>28</v>
      </c>
      <c r="C9" s="9" t="s">
        <v>1</v>
      </c>
      <c r="D9" s="32" t="s">
        <v>76</v>
      </c>
      <c r="E9" s="33" t="s">
        <v>77</v>
      </c>
      <c r="F9" s="34" t="s">
        <v>78</v>
      </c>
      <c r="G9" s="35" t="s">
        <v>79</v>
      </c>
      <c r="H9" s="36" t="s">
        <v>80</v>
      </c>
    </row>
    <row r="10" spans="1:11" x14ac:dyDescent="0.25">
      <c r="A10" s="10" t="s">
        <v>44</v>
      </c>
      <c r="B10" s="5">
        <f>COUNTIFS($B$2:$B$5, "=в браке", $K$2:$K$5, "=не погашен")</f>
        <v>2</v>
      </c>
      <c r="C10" s="11">
        <f>COUNTIFS($B$2:$B$5, "=в браке", $K$2:$K$5, "=погашен")</f>
        <v>2</v>
      </c>
      <c r="D10" s="37">
        <f>SUM(B10:C10)</f>
        <v>4</v>
      </c>
      <c r="E10" s="38">
        <f>D10/$B$7</f>
        <v>1</v>
      </c>
      <c r="F10" s="39">
        <f>MAX(B10:C10)/D10</f>
        <v>0.5</v>
      </c>
      <c r="G10" s="38">
        <f>1-F10</f>
        <v>0.5</v>
      </c>
      <c r="H10" s="40">
        <f>SUMPRODUCT(E10:E11, G10:G11)</f>
        <v>0.5</v>
      </c>
    </row>
    <row r="11" spans="1:11" ht="15.75" thickBot="1" x14ac:dyDescent="0.3">
      <c r="A11" s="12" t="s">
        <v>45</v>
      </c>
      <c r="B11" s="13">
        <f>COUNTIFS($B$2:$B$5, "=не в браке", $K$2:$K$5, "=не погашен")</f>
        <v>0</v>
      </c>
      <c r="C11" s="13">
        <f>COUNTIFS($B$2:$B$5, "=не в браке", $K$2:$K$5, "=погашен")</f>
        <v>0</v>
      </c>
      <c r="D11" s="41">
        <f>SUM(B11:C11)</f>
        <v>0</v>
      </c>
      <c r="E11" s="42">
        <f>D11/$B$7</f>
        <v>0</v>
      </c>
      <c r="F11" s="43">
        <v>0</v>
      </c>
      <c r="G11" s="42">
        <f>1-F11</f>
        <v>1</v>
      </c>
    </row>
    <row r="12" spans="1:11" ht="15.75" thickBot="1" x14ac:dyDescent="0.3">
      <c r="D12" s="5"/>
      <c r="E12" s="5"/>
      <c r="F12" s="1"/>
      <c r="G12" s="1"/>
      <c r="H12" s="44"/>
    </row>
    <row r="13" spans="1:11" ht="60.75" thickBot="1" x14ac:dyDescent="0.3">
      <c r="A13" s="2" t="s">
        <v>30</v>
      </c>
      <c r="B13" s="8" t="s">
        <v>28</v>
      </c>
      <c r="C13" s="9" t="s">
        <v>1</v>
      </c>
      <c r="D13" s="32" t="s">
        <v>76</v>
      </c>
      <c r="E13" s="33" t="s">
        <v>77</v>
      </c>
      <c r="F13" s="34" t="s">
        <v>78</v>
      </c>
      <c r="G13" s="35" t="s">
        <v>79</v>
      </c>
      <c r="H13" s="36" t="s">
        <v>80</v>
      </c>
    </row>
    <row r="14" spans="1:11" x14ac:dyDescent="0.25">
      <c r="A14" s="10" t="s">
        <v>46</v>
      </c>
      <c r="B14" s="5">
        <f>COUNTIFS($C$2:$C$5, "=есть", $K$2:$K$5, "=не погашен")</f>
        <v>1</v>
      </c>
      <c r="C14" s="11">
        <f>COUNTIFS($C$2:$C$5, "=есть", $K$2:$K$5, "=погашен")</f>
        <v>2</v>
      </c>
      <c r="D14" s="37">
        <f>SUM(B14:C14)</f>
        <v>3</v>
      </c>
      <c r="E14" s="38">
        <f>D14/$B$7</f>
        <v>0.75</v>
      </c>
      <c r="F14" s="39">
        <f>MAX(B14:C14)/D14</f>
        <v>0.66666666666666663</v>
      </c>
      <c r="G14" s="38">
        <f>1-F14</f>
        <v>0.33333333333333337</v>
      </c>
      <c r="H14" s="47">
        <f>SUMPRODUCT(E14:E15, G14:G15)</f>
        <v>0.25</v>
      </c>
    </row>
    <row r="15" spans="1:11" ht="15.75" thickBot="1" x14ac:dyDescent="0.3">
      <c r="A15" s="12" t="s">
        <v>47</v>
      </c>
      <c r="B15" s="13">
        <f>COUNTIFS($C$2:$C$5, "=нет", $K$2:$K$5, "=не погашен")</f>
        <v>1</v>
      </c>
      <c r="C15" s="13">
        <f>COUNTIFS($C$2:$C$5, "=нет", $K$2:$K$5, "=погашен")</f>
        <v>0</v>
      </c>
      <c r="D15" s="41">
        <f>SUM(B15:C15)</f>
        <v>1</v>
      </c>
      <c r="E15" s="42">
        <f>D15/$B$7</f>
        <v>0.25</v>
      </c>
      <c r="F15" s="43">
        <f>MAX(B15:C15)/D15</f>
        <v>1</v>
      </c>
      <c r="G15" s="42">
        <f>1-F15</f>
        <v>0</v>
      </c>
    </row>
    <row r="16" spans="1:11" ht="15.75" thickBot="1" x14ac:dyDescent="0.3">
      <c r="D16" s="45"/>
      <c r="E16" s="5"/>
      <c r="F16" s="1"/>
      <c r="G16" s="1"/>
      <c r="H16" s="44"/>
    </row>
    <row r="17" spans="1:8" ht="60.75" thickBot="1" x14ac:dyDescent="0.3">
      <c r="A17" s="2" t="s">
        <v>31</v>
      </c>
      <c r="B17" s="8" t="s">
        <v>28</v>
      </c>
      <c r="C17" s="9" t="s">
        <v>1</v>
      </c>
      <c r="D17" s="32" t="s">
        <v>76</v>
      </c>
      <c r="E17" s="33" t="s">
        <v>77</v>
      </c>
      <c r="F17" s="34" t="s">
        <v>78</v>
      </c>
      <c r="G17" s="35" t="s">
        <v>79</v>
      </c>
      <c r="H17" s="36" t="s">
        <v>80</v>
      </c>
    </row>
    <row r="18" spans="1:8" x14ac:dyDescent="0.25">
      <c r="A18" s="10" t="s">
        <v>48</v>
      </c>
      <c r="B18" s="5">
        <f>COUNTIFS($D$2:$D$5, "=&lt;= 2", $K$2:$K$5, "=не погашен")</f>
        <v>1</v>
      </c>
      <c r="C18" s="11">
        <f>COUNTIFS($D$2:$D$5, "=&lt;= 2", $K$2:$K$5, "=погашен")</f>
        <v>1</v>
      </c>
      <c r="D18" s="37">
        <f>SUM(B18:C18)</f>
        <v>2</v>
      </c>
      <c r="E18" s="38">
        <f>D18/$B$7</f>
        <v>0.5</v>
      </c>
      <c r="F18" s="39">
        <f>MAX(B18:C18)/D18</f>
        <v>0.5</v>
      </c>
      <c r="G18" s="38">
        <f>1-F18</f>
        <v>0.5</v>
      </c>
      <c r="H18" s="40">
        <f>SUMPRODUCT(E18:E19, G18:G19)</f>
        <v>0.75</v>
      </c>
    </row>
    <row r="19" spans="1:8" ht="15.75" thickBot="1" x14ac:dyDescent="0.3">
      <c r="A19" s="12" t="s">
        <v>49</v>
      </c>
      <c r="B19" s="13">
        <f>COUNTIFS($D$2:$D$5, "=&gt; 2", $K$2:$K$5, "=не погашен")</f>
        <v>1</v>
      </c>
      <c r="C19" s="14">
        <f>COUNTIFS($D$2:$D$5, "=&gt; 2", $K$2:$K$5, "=погашен")</f>
        <v>1</v>
      </c>
      <c r="D19" s="37">
        <f t="shared" ref="D19" si="0">SUM(B19:C19)</f>
        <v>2</v>
      </c>
      <c r="E19" s="38">
        <f>D19/$B$7</f>
        <v>0.5</v>
      </c>
      <c r="F19" s="39">
        <v>0</v>
      </c>
      <c r="G19" s="38">
        <f>1-F19</f>
        <v>1</v>
      </c>
    </row>
    <row r="20" spans="1:8" ht="15.75" thickBot="1" x14ac:dyDescent="0.3">
      <c r="D20" s="5"/>
      <c r="E20" s="5"/>
      <c r="F20" s="46"/>
      <c r="G20" s="5"/>
    </row>
    <row r="21" spans="1:8" ht="60.75" thickBot="1" x14ac:dyDescent="0.3">
      <c r="A21" s="2" t="s">
        <v>33</v>
      </c>
      <c r="B21" s="8" t="s">
        <v>28</v>
      </c>
      <c r="C21" s="9" t="s">
        <v>1</v>
      </c>
      <c r="D21" s="32" t="s">
        <v>76</v>
      </c>
      <c r="E21" s="33" t="s">
        <v>77</v>
      </c>
      <c r="F21" s="34" t="s">
        <v>78</v>
      </c>
      <c r="G21" s="35" t="s">
        <v>79</v>
      </c>
      <c r="H21" s="36" t="s">
        <v>80</v>
      </c>
    </row>
    <row r="22" spans="1:8" x14ac:dyDescent="0.25">
      <c r="A22" s="10" t="s">
        <v>56</v>
      </c>
      <c r="B22" s="5">
        <f>COUNTIFS($F$2:$F$5, "=отсутствует", $K$2:$K$5, "=не погашен")</f>
        <v>1</v>
      </c>
      <c r="C22" s="5">
        <f>COUNTIFS($F$2:$F$5, "=отсутствует", $K$2:$K$5, "=погашен")</f>
        <v>2</v>
      </c>
      <c r="D22" s="37">
        <f>SUM(B22:C22)</f>
        <v>3</v>
      </c>
      <c r="E22" s="38">
        <f>D22/$B$7</f>
        <v>0.75</v>
      </c>
      <c r="F22" s="39">
        <f>MAX(B22:C22)/D22</f>
        <v>0.66666666666666663</v>
      </c>
      <c r="G22" s="38">
        <f>1-F22</f>
        <v>0.33333333333333337</v>
      </c>
      <c r="H22" s="40">
        <f>SUMPRODUCT(E22:E24, G22:G24)</f>
        <v>0.25</v>
      </c>
    </row>
    <row r="23" spans="1:8" x14ac:dyDescent="0.25">
      <c r="A23" s="18" t="s">
        <v>57</v>
      </c>
      <c r="B23" s="5">
        <f>COUNTIFS($F$2:$F$5, "=в ипотеке", $K$2:$K$5, "=не погашен")</f>
        <v>0</v>
      </c>
      <c r="C23" s="5">
        <f>COUNTIFS($F$2:$F$5, "=в ипотеке", $K$2:$K$5, "=погашен")</f>
        <v>0</v>
      </c>
      <c r="D23" s="37">
        <f>SUM(B23:C23)</f>
        <v>0</v>
      </c>
      <c r="E23" s="38">
        <f>D23/$B$7</f>
        <v>0</v>
      </c>
      <c r="F23" s="39">
        <v>0</v>
      </c>
      <c r="G23" s="38">
        <f t="shared" ref="G23:G24" si="1">1-F23</f>
        <v>1</v>
      </c>
    </row>
    <row r="24" spans="1:8" ht="15.75" thickBot="1" x14ac:dyDescent="0.3">
      <c r="A24" s="12" t="s">
        <v>58</v>
      </c>
      <c r="B24" s="5">
        <f>COUNTIFS($F$2:$F$5, "=в собственности", $K$2:$K$5, "=не погашен")</f>
        <v>1</v>
      </c>
      <c r="C24" s="5">
        <f>COUNTIFS($F$2:$F$5, "=в собственности", $K$2:$K$5, "=погашен")</f>
        <v>0</v>
      </c>
      <c r="D24" s="37">
        <f>SUM(B24:C24)</f>
        <v>1</v>
      </c>
      <c r="E24" s="38">
        <f>D24/$B$7</f>
        <v>0.25</v>
      </c>
      <c r="F24" s="39">
        <f>MAX(B24:C24)/D24</f>
        <v>1</v>
      </c>
      <c r="G24" s="38">
        <f t="shared" si="1"/>
        <v>0</v>
      </c>
    </row>
    <row r="25" spans="1:8" ht="15.75" thickBot="1" x14ac:dyDescent="0.3"/>
    <row r="26" spans="1:8" ht="60.75" thickBot="1" x14ac:dyDescent="0.3">
      <c r="A26" s="2" t="s">
        <v>34</v>
      </c>
      <c r="B26" s="8" t="s">
        <v>28</v>
      </c>
      <c r="C26" s="9" t="s">
        <v>1</v>
      </c>
      <c r="D26" s="32" t="s">
        <v>76</v>
      </c>
      <c r="E26" s="33" t="s">
        <v>77</v>
      </c>
      <c r="F26" s="34" t="s">
        <v>78</v>
      </c>
      <c r="G26" s="35" t="s">
        <v>79</v>
      </c>
      <c r="H26" s="36" t="s">
        <v>80</v>
      </c>
    </row>
    <row r="27" spans="1:8" x14ac:dyDescent="0.25">
      <c r="A27" s="10" t="s">
        <v>46</v>
      </c>
      <c r="B27" s="5">
        <f>COUNTIFS($G$2:$G$5, "=есть", $K$2:$K$5, "=не погашен")</f>
        <v>0</v>
      </c>
      <c r="C27" s="5">
        <f>COUNTIFS($G$2:$G$5, "=есть", $K$2:$K$5, "=погашен")</f>
        <v>0</v>
      </c>
      <c r="D27" s="37">
        <f>SUM(B27:C27)</f>
        <v>0</v>
      </c>
      <c r="E27" s="38">
        <f>D27/$B$7</f>
        <v>0</v>
      </c>
      <c r="F27" s="39">
        <v>0</v>
      </c>
      <c r="G27" s="38">
        <f>1-F27</f>
        <v>1</v>
      </c>
      <c r="H27" s="40">
        <f>SUMPRODUCT(E27:E28, G27:G28)</f>
        <v>0.5</v>
      </c>
    </row>
    <row r="28" spans="1:8" ht="15.75" thickBot="1" x14ac:dyDescent="0.3">
      <c r="A28" s="12" t="s">
        <v>47</v>
      </c>
      <c r="B28" s="5">
        <f>COUNTIFS($G$2:$G$5, "=нет", $K$2:$K$5, "=не погашен")</f>
        <v>2</v>
      </c>
      <c r="C28" s="5">
        <f>COUNTIFS($G$2:$G$5, "=нет", $K$2:$K$5, "=погашен")</f>
        <v>2</v>
      </c>
      <c r="D28" s="37">
        <f>SUM(B28:C28)</f>
        <v>4</v>
      </c>
      <c r="E28" s="38">
        <f>D28/$B$7</f>
        <v>1</v>
      </c>
      <c r="F28" s="39">
        <f>MAX(B28:C28)/D28</f>
        <v>0.5</v>
      </c>
      <c r="G28" s="38">
        <f t="shared" ref="G28" si="2">1-F28</f>
        <v>0.5</v>
      </c>
    </row>
    <row r="29" spans="1:8" ht="15.75" thickBot="1" x14ac:dyDescent="0.3"/>
    <row r="30" spans="1:8" ht="60.75" thickBot="1" x14ac:dyDescent="0.3">
      <c r="A30" s="2" t="s">
        <v>35</v>
      </c>
      <c r="B30" s="8" t="s">
        <v>28</v>
      </c>
      <c r="C30" s="9" t="s">
        <v>1</v>
      </c>
      <c r="D30" s="32" t="s">
        <v>76</v>
      </c>
      <c r="E30" s="33" t="s">
        <v>77</v>
      </c>
      <c r="F30" s="34" t="s">
        <v>78</v>
      </c>
      <c r="G30" s="35" t="s">
        <v>79</v>
      </c>
      <c r="H30" s="36" t="s">
        <v>80</v>
      </c>
    </row>
    <row r="31" spans="1:8" x14ac:dyDescent="0.25">
      <c r="A31" s="10" t="s">
        <v>59</v>
      </c>
      <c r="B31" s="5">
        <f>COUNTIFS($H$2:$H$5, "=менеджер", $K$2:$K$5, "=не погашен")</f>
        <v>0</v>
      </c>
      <c r="C31" s="5">
        <f>COUNTIFS($H$2:$H$5, "=менеджер", $K$2:$K$5, "=погашен")</f>
        <v>0</v>
      </c>
      <c r="D31" s="37">
        <f>SUM(B31:C31)</f>
        <v>0</v>
      </c>
      <c r="E31" s="38">
        <f>D31/$B$7</f>
        <v>0</v>
      </c>
      <c r="F31" s="39">
        <v>0</v>
      </c>
      <c r="G31" s="38">
        <f>1-F31</f>
        <v>1</v>
      </c>
      <c r="H31" s="40">
        <f>SUMPRODUCT(E31:E34, G31:G34)</f>
        <v>0.25</v>
      </c>
    </row>
    <row r="32" spans="1:8" x14ac:dyDescent="0.25">
      <c r="A32" s="18" t="s">
        <v>60</v>
      </c>
      <c r="B32" s="5">
        <f>COUNTIFS($H$2:$H$5, "=продавец", $K$2:$K$5, "=не погашен")</f>
        <v>1</v>
      </c>
      <c r="C32" s="5">
        <f>COUNTIFS($H$2:$H$5, "=продавец", $K$2:$K$5, "=погашен")</f>
        <v>1</v>
      </c>
      <c r="D32" s="37">
        <f>SUM(B32:C32)</f>
        <v>2</v>
      </c>
      <c r="E32" s="38">
        <f>D32/$B$7</f>
        <v>0.5</v>
      </c>
      <c r="F32" s="39">
        <f>MAX(B32:C32)/D32</f>
        <v>0.5</v>
      </c>
      <c r="G32" s="38">
        <f t="shared" ref="G32:G34" si="3">1-F32</f>
        <v>0.5</v>
      </c>
    </row>
    <row r="33" spans="1:8" x14ac:dyDescent="0.25">
      <c r="A33" s="18" t="s">
        <v>61</v>
      </c>
      <c r="B33" s="5">
        <f>COUNTIFS($H$2:$H$5, "=инженер", $K$2:$K$5, "=не погашен")</f>
        <v>0</v>
      </c>
      <c r="C33" s="5">
        <f>COUNTIFS($H$2:$H$5, "=инженер", $K$2:$K$5, "=погашен")</f>
        <v>1</v>
      </c>
      <c r="D33" s="37">
        <f>SUM(B33:C33)</f>
        <v>1</v>
      </c>
      <c r="E33" s="38">
        <f>D33/$B$7</f>
        <v>0.25</v>
      </c>
      <c r="F33" s="39">
        <f>MAX(B33:C33)/D33</f>
        <v>1</v>
      </c>
      <c r="G33" s="38">
        <f t="shared" si="3"/>
        <v>0</v>
      </c>
    </row>
    <row r="34" spans="1:8" ht="15.75" thickBot="1" x14ac:dyDescent="0.3">
      <c r="A34" s="12" t="s">
        <v>62</v>
      </c>
      <c r="B34" s="5">
        <f>COUNTIFS($H$2:$H$5, "=предприниматель", $K$2:$K$5, "=не погашен")</f>
        <v>1</v>
      </c>
      <c r="C34" s="5">
        <f>COUNTIFS($H$2:$H$5, "=предприниматель", $K$2:$K$5, "=погашен")</f>
        <v>0</v>
      </c>
      <c r="D34" s="37">
        <f>SUM(B34:C34)</f>
        <v>1</v>
      </c>
      <c r="E34" s="38">
        <f>D34/$B$7</f>
        <v>0.25</v>
      </c>
      <c r="F34" s="39">
        <f>MAX(B34:C34)/D34</f>
        <v>1</v>
      </c>
      <c r="G34" s="38">
        <f t="shared" si="3"/>
        <v>0</v>
      </c>
    </row>
    <row r="35" spans="1:8" ht="15.75" thickBot="1" x14ac:dyDescent="0.3"/>
    <row r="36" spans="1:8" ht="60.75" thickBot="1" x14ac:dyDescent="0.3">
      <c r="A36" s="2" t="s">
        <v>36</v>
      </c>
      <c r="B36" s="8" t="s">
        <v>28</v>
      </c>
      <c r="C36" s="9" t="s">
        <v>1</v>
      </c>
      <c r="D36" s="32" t="s">
        <v>76</v>
      </c>
      <c r="E36" s="33" t="s">
        <v>77</v>
      </c>
      <c r="F36" s="34" t="s">
        <v>78</v>
      </c>
      <c r="G36" s="35" t="s">
        <v>79</v>
      </c>
      <c r="H36" s="36" t="s">
        <v>80</v>
      </c>
    </row>
    <row r="37" spans="1:8" x14ac:dyDescent="0.25">
      <c r="A37" s="10" t="s">
        <v>52</v>
      </c>
      <c r="B37" s="5">
        <f>COUNTIFS($I$2:$I$5, "=41-70", $K$2:$K$5, "=не погашен")</f>
        <v>0</v>
      </c>
      <c r="C37" s="5">
        <f>COUNTIFS($I$2:$I$5, "=41-70", $K$2:$K$5, "=погашен")</f>
        <v>0</v>
      </c>
      <c r="D37" s="37">
        <f>SUM(B37:C37)</f>
        <v>0</v>
      </c>
      <c r="E37" s="38">
        <f>D37/$B$7</f>
        <v>0</v>
      </c>
      <c r="F37" s="39">
        <v>0</v>
      </c>
      <c r="G37" s="38">
        <f>1-F37</f>
        <v>1</v>
      </c>
      <c r="H37" s="40">
        <f>SUMPRODUCT(E37:E40, G37:G40)</f>
        <v>0.5</v>
      </c>
    </row>
    <row r="38" spans="1:8" x14ac:dyDescent="0.25">
      <c r="A38" s="18" t="s">
        <v>53</v>
      </c>
      <c r="B38" s="5">
        <f>COUNTIFS($I$2:$I$5, "=71-100", $K$2:$K$5, "=не погашен")</f>
        <v>1</v>
      </c>
      <c r="C38" s="5">
        <f>COUNTIFS($I$2:$I$5, "=71-100", $K$2:$K$5, "=погашен")</f>
        <v>1</v>
      </c>
      <c r="D38" s="37">
        <f>SUM(B38:C38)</f>
        <v>2</v>
      </c>
      <c r="E38" s="38">
        <f>D38/$B$7</f>
        <v>0.5</v>
      </c>
      <c r="F38" s="39">
        <f>MAX(B38:C38)/D38</f>
        <v>0.5</v>
      </c>
      <c r="G38" s="38">
        <f t="shared" ref="G38:G40" si="4">1-F38</f>
        <v>0.5</v>
      </c>
    </row>
    <row r="39" spans="1:8" x14ac:dyDescent="0.25">
      <c r="A39" s="18" t="s">
        <v>54</v>
      </c>
      <c r="B39" s="5">
        <f>COUNTIFS($I$2:$I$5, "=100-130", $K$2:$K$5, "=не погашен")</f>
        <v>1</v>
      </c>
      <c r="C39" s="5">
        <f>COUNTIFS($I$2:$I$5, "=100-130", $K$2:$K$5, "=погашен")</f>
        <v>1</v>
      </c>
      <c r="D39" s="37">
        <f>SUM(B39:C39)</f>
        <v>2</v>
      </c>
      <c r="E39" s="38">
        <f>D39/$B$7</f>
        <v>0.5</v>
      </c>
      <c r="F39" s="39">
        <f>MAX(B39:C39)/D39</f>
        <v>0.5</v>
      </c>
      <c r="G39" s="38">
        <f t="shared" si="4"/>
        <v>0.5</v>
      </c>
    </row>
    <row r="40" spans="1:8" ht="15.75" thickBot="1" x14ac:dyDescent="0.3">
      <c r="A40" s="12" t="s">
        <v>55</v>
      </c>
      <c r="B40" s="5">
        <f>COUNTIFS($I$2:$I$5, "=&gt; 130", $K$2:$K$5, "=не погашен")</f>
        <v>0</v>
      </c>
      <c r="C40" s="5">
        <f>COUNTIFS($I$2:$I$5, "=&gt; 130", $K$2:$K$5, "=погашен")</f>
        <v>0</v>
      </c>
      <c r="D40" s="37">
        <f>SUM(B40:C40)</f>
        <v>0</v>
      </c>
      <c r="E40" s="38">
        <f>D40/$B$7</f>
        <v>0</v>
      </c>
      <c r="F40" s="39">
        <v>0</v>
      </c>
      <c r="G40" s="38">
        <f t="shared" si="4"/>
        <v>1</v>
      </c>
    </row>
  </sheetData>
  <conditionalFormatting sqref="A2:K5">
    <cfRule type="expression" dxfId="7" priority="5">
      <formula>$K2="не погашен"</formula>
    </cfRule>
  </conditionalFormatting>
  <conditionalFormatting sqref="E12">
    <cfRule type="expression" dxfId="6" priority="3">
      <formula>$G12="не_погашен"</formula>
    </cfRule>
  </conditionalFormatting>
  <conditionalFormatting sqref="E16">
    <cfRule type="expression" dxfId="5" priority="1">
      <formula>$G16="не_погашен"</formula>
    </cfRule>
  </conditionalFormatting>
  <conditionalFormatting sqref="F12:G12">
    <cfRule type="expression" dxfId="4" priority="4">
      <formula>#REF!="не_погашен"</formula>
    </cfRule>
  </conditionalFormatting>
  <conditionalFormatting sqref="F16:G16">
    <cfRule type="expression" dxfId="3" priority="2">
      <formula>#REF!="не_погашен"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CBD4-B65F-4549-BFB5-FB5CC8FBDAF2}">
  <dimension ref="A1:K35"/>
  <sheetViews>
    <sheetView workbookViewId="0">
      <selection activeCell="A17" sqref="A17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8.85546875" bestFit="1" customWidth="1"/>
    <col min="4" max="4" width="15.28515625" bestFit="1" customWidth="1"/>
    <col min="5" max="5" width="15.42578125" bestFit="1" customWidth="1"/>
    <col min="6" max="6" width="15.85546875" bestFit="1" customWidth="1"/>
    <col min="7" max="7" width="8.7109375" bestFit="1" customWidth="1"/>
    <col min="8" max="8" width="18.140625" bestFit="1" customWidth="1"/>
    <col min="9" max="9" width="9" bestFit="1" customWidth="1"/>
    <col min="10" max="10" width="8.140625" bestFit="1" customWidth="1"/>
    <col min="11" max="11" width="11.5703125" bestFit="1" customWidth="1"/>
  </cols>
  <sheetData>
    <row r="1" spans="1:11" ht="90" x14ac:dyDescent="0.2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spans="1:11" x14ac:dyDescent="0.25">
      <c r="A2" s="4">
        <v>4</v>
      </c>
      <c r="B2" s="4" t="s">
        <v>3</v>
      </c>
      <c r="C2" s="4" t="s">
        <v>6</v>
      </c>
      <c r="D2" s="4" t="s">
        <v>7</v>
      </c>
      <c r="E2" s="4" t="s">
        <v>9</v>
      </c>
      <c r="F2" s="4" t="s">
        <v>12</v>
      </c>
      <c r="G2" s="4" t="s">
        <v>5</v>
      </c>
      <c r="H2" s="4" t="s">
        <v>15</v>
      </c>
      <c r="I2" s="4" t="s">
        <v>20</v>
      </c>
      <c r="J2" s="4" t="s">
        <v>23</v>
      </c>
      <c r="K2" s="4" t="s">
        <v>1</v>
      </c>
    </row>
    <row r="3" spans="1:11" x14ac:dyDescent="0.25">
      <c r="A3" s="4">
        <v>10</v>
      </c>
      <c r="B3" s="4" t="s">
        <v>3</v>
      </c>
      <c r="C3" s="4" t="s">
        <v>6</v>
      </c>
      <c r="D3" s="4" t="s">
        <v>8</v>
      </c>
      <c r="E3" s="4" t="s">
        <v>9</v>
      </c>
      <c r="F3" s="4" t="s">
        <v>11</v>
      </c>
      <c r="G3" s="4" t="s">
        <v>5</v>
      </c>
      <c r="H3" s="4" t="s">
        <v>17</v>
      </c>
      <c r="I3" s="4" t="s">
        <v>20</v>
      </c>
      <c r="J3" s="4" t="s">
        <v>23</v>
      </c>
      <c r="K3" s="4" t="s">
        <v>2</v>
      </c>
    </row>
    <row r="4" spans="1:11" x14ac:dyDescent="0.25">
      <c r="A4" s="4">
        <v>12</v>
      </c>
      <c r="B4" s="4" t="s">
        <v>3</v>
      </c>
      <c r="C4" s="4" t="s">
        <v>6</v>
      </c>
      <c r="D4" s="4" t="s">
        <v>8</v>
      </c>
      <c r="E4" s="4" t="s">
        <v>9</v>
      </c>
      <c r="F4" s="4" t="s">
        <v>12</v>
      </c>
      <c r="G4" s="4" t="s">
        <v>5</v>
      </c>
      <c r="H4" s="4" t="s">
        <v>16</v>
      </c>
      <c r="I4" s="4" t="s">
        <v>19</v>
      </c>
      <c r="J4" s="4" t="s">
        <v>23</v>
      </c>
      <c r="K4" s="4" t="s">
        <v>1</v>
      </c>
    </row>
    <row r="6" spans="1:11" x14ac:dyDescent="0.25">
      <c r="A6" t="s">
        <v>81</v>
      </c>
      <c r="B6">
        <f>COUNT(A2:A4)</f>
        <v>3</v>
      </c>
    </row>
    <row r="7" spans="1:11" ht="15.75" thickBot="1" x14ac:dyDescent="0.3"/>
    <row r="8" spans="1:11" ht="60.75" thickBot="1" x14ac:dyDescent="0.3">
      <c r="A8" s="2" t="s">
        <v>29</v>
      </c>
      <c r="B8" s="8" t="s">
        <v>28</v>
      </c>
      <c r="C8" s="9" t="s">
        <v>1</v>
      </c>
      <c r="D8" s="32" t="s">
        <v>76</v>
      </c>
      <c r="E8" s="33" t="s">
        <v>77</v>
      </c>
      <c r="F8" s="34" t="s">
        <v>78</v>
      </c>
      <c r="G8" s="35" t="s">
        <v>79</v>
      </c>
      <c r="H8" s="36" t="s">
        <v>80</v>
      </c>
    </row>
    <row r="9" spans="1:11" x14ac:dyDescent="0.25">
      <c r="A9" s="10" t="s">
        <v>44</v>
      </c>
      <c r="B9" s="5">
        <f>COUNTIFS($B$2:$B$4, "=в браке", $K$2:$K$4, "=не погашен")</f>
        <v>1</v>
      </c>
      <c r="C9" s="11">
        <f>COUNTIFS($B$2:$B$4, "=в браке", $K$2:$K$4, "=погашен")</f>
        <v>2</v>
      </c>
      <c r="D9" s="37">
        <f>SUM(B9:C9)</f>
        <v>3</v>
      </c>
      <c r="E9" s="38">
        <f>D9/$B$6</f>
        <v>1</v>
      </c>
      <c r="F9" s="39">
        <f>MAX(B9:C9)/D9</f>
        <v>0.66666666666666663</v>
      </c>
      <c r="G9" s="38">
        <f>1-F9</f>
        <v>0.33333333333333337</v>
      </c>
      <c r="H9" s="40">
        <f>SUMPRODUCT(E9:E10, G9:G10)</f>
        <v>0.33333333333333337</v>
      </c>
    </row>
    <row r="10" spans="1:11" ht="15.75" thickBot="1" x14ac:dyDescent="0.3">
      <c r="A10" s="12" t="s">
        <v>45</v>
      </c>
      <c r="B10" s="13">
        <f>COUNTIFS($B$2:$B$4, "=не в браке", $K$2:$K$4, "=не погашен")</f>
        <v>0</v>
      </c>
      <c r="C10" s="13">
        <f>COUNTIFS($B$2:$B$4, "=не в браке", $K$2:$K$4, "=погашен")</f>
        <v>0</v>
      </c>
      <c r="D10" s="41">
        <f>SUM(B10:C10)</f>
        <v>0</v>
      </c>
      <c r="E10" s="42">
        <f>D10/$B$6</f>
        <v>0</v>
      </c>
      <c r="F10" s="43">
        <v>0</v>
      </c>
      <c r="G10" s="42">
        <f>1-F10</f>
        <v>1</v>
      </c>
    </row>
    <row r="11" spans="1:11" ht="15.75" thickBot="1" x14ac:dyDescent="0.3">
      <c r="D11" s="5"/>
      <c r="E11" s="5"/>
      <c r="F11" s="1"/>
      <c r="G11" s="1"/>
      <c r="H11" s="44"/>
    </row>
    <row r="12" spans="1:11" ht="60.75" thickBot="1" x14ac:dyDescent="0.3">
      <c r="A12" s="2" t="s">
        <v>31</v>
      </c>
      <c r="B12" s="8" t="s">
        <v>28</v>
      </c>
      <c r="C12" s="9" t="s">
        <v>1</v>
      </c>
      <c r="D12" s="32" t="s">
        <v>76</v>
      </c>
      <c r="E12" s="33" t="s">
        <v>77</v>
      </c>
      <c r="F12" s="34" t="s">
        <v>78</v>
      </c>
      <c r="G12" s="35" t="s">
        <v>79</v>
      </c>
      <c r="H12" s="36" t="s">
        <v>80</v>
      </c>
    </row>
    <row r="13" spans="1:11" x14ac:dyDescent="0.25">
      <c r="A13" s="10" t="s">
        <v>48</v>
      </c>
      <c r="B13" s="5">
        <f>COUNTIFS($D$2:$D$4, "=&lt;= 2", $K$2:$K$4, "=не погашен")</f>
        <v>0</v>
      </c>
      <c r="C13" s="11">
        <f>COUNTIFS($D$2:$D$4, "=&lt;= 2", $K$2:$K$4, "=погашен")</f>
        <v>1</v>
      </c>
      <c r="D13" s="37">
        <f>SUM(B13:C13)</f>
        <v>1</v>
      </c>
      <c r="E13" s="38">
        <f>D13/$B$6</f>
        <v>0.33333333333333331</v>
      </c>
      <c r="F13" s="39">
        <f>MAX(B13:C13)/D13</f>
        <v>1</v>
      </c>
      <c r="G13" s="38">
        <f>1-F13</f>
        <v>0</v>
      </c>
      <c r="H13" s="40">
        <f>SUMPRODUCT(E13:E14, G13:G14)</f>
        <v>0.66666666666666663</v>
      </c>
    </row>
    <row r="14" spans="1:11" ht="15.75" thickBot="1" x14ac:dyDescent="0.3">
      <c r="A14" s="12" t="s">
        <v>49</v>
      </c>
      <c r="B14" s="13">
        <f>COUNTIFS($D$2:$D$4, "=&gt; 2", $K$2:$K$4, "=не погашен")</f>
        <v>1</v>
      </c>
      <c r="C14" s="14">
        <f>COUNTIFS($D$2:$D$4, "=&gt; 2", $K$2:$K$4, "=погашен")</f>
        <v>1</v>
      </c>
      <c r="D14" s="37">
        <f t="shared" ref="D14" si="0">SUM(B14:C14)</f>
        <v>2</v>
      </c>
      <c r="E14" s="38">
        <f>D14/$B$6</f>
        <v>0.66666666666666663</v>
      </c>
      <c r="F14" s="39">
        <v>0</v>
      </c>
      <c r="G14" s="38">
        <f>1-F14</f>
        <v>1</v>
      </c>
    </row>
    <row r="15" spans="1:11" ht="15.75" thickBot="1" x14ac:dyDescent="0.3">
      <c r="D15" s="5"/>
      <c r="E15" s="5"/>
      <c r="F15" s="46"/>
      <c r="G15" s="5"/>
    </row>
    <row r="16" spans="1:11" ht="60.75" thickBot="1" x14ac:dyDescent="0.3">
      <c r="A16" s="2" t="s">
        <v>33</v>
      </c>
      <c r="B16" s="8" t="s">
        <v>28</v>
      </c>
      <c r="C16" s="9" t="s">
        <v>1</v>
      </c>
      <c r="D16" s="32" t="s">
        <v>76</v>
      </c>
      <c r="E16" s="33" t="s">
        <v>77</v>
      </c>
      <c r="F16" s="34" t="s">
        <v>78</v>
      </c>
      <c r="G16" s="35" t="s">
        <v>79</v>
      </c>
      <c r="H16" s="36" t="s">
        <v>80</v>
      </c>
    </row>
    <row r="17" spans="1:8" x14ac:dyDescent="0.25">
      <c r="A17" s="10" t="s">
        <v>56</v>
      </c>
      <c r="B17" s="5">
        <f>COUNTIFS($F$2:$F$4, "=отсутствует", $K$2:$K$4, "=не погашен")</f>
        <v>0</v>
      </c>
      <c r="C17" s="5">
        <f>COUNTIFS($F$2:$F$4, "=отсутствует", $K$2:$K$4, "=погашен")</f>
        <v>2</v>
      </c>
      <c r="D17" s="37">
        <f>SUM(B17:C17)</f>
        <v>2</v>
      </c>
      <c r="E17" s="38">
        <f>D17/$B$6</f>
        <v>0.66666666666666663</v>
      </c>
      <c r="F17" s="39">
        <f>MAX(B17:C17)/D17</f>
        <v>1</v>
      </c>
      <c r="G17" s="38">
        <f>1-F17</f>
        <v>0</v>
      </c>
      <c r="H17" s="40">
        <f>SUMPRODUCT(E17:E19, G17:G19)</f>
        <v>0</v>
      </c>
    </row>
    <row r="18" spans="1:8" x14ac:dyDescent="0.25">
      <c r="A18" s="18" t="s">
        <v>57</v>
      </c>
      <c r="B18" s="5">
        <f>COUNTIFS($F$2:$F$4, "=в ипотеке", $K$2:$K$4, "=не погашен")</f>
        <v>0</v>
      </c>
      <c r="C18" s="5">
        <f>COUNTIFS($F$2:$F$4, "=в ипотеке", $K$2:$K$4, "=погашен")</f>
        <v>0</v>
      </c>
      <c r="D18" s="37">
        <f>SUM(B18:C18)</f>
        <v>0</v>
      </c>
      <c r="E18" s="38">
        <f>D18/$B$6</f>
        <v>0</v>
      </c>
      <c r="F18" s="39">
        <v>0</v>
      </c>
      <c r="G18" s="38">
        <f t="shared" ref="G18:G19" si="1">1-F18</f>
        <v>1</v>
      </c>
    </row>
    <row r="19" spans="1:8" ht="15.75" thickBot="1" x14ac:dyDescent="0.3">
      <c r="A19" s="12" t="s">
        <v>58</v>
      </c>
      <c r="B19" s="5">
        <f>COUNTIFS($F$2:$F$4, "=в собственности", $K$2:$K$4, "=не погашен")</f>
        <v>1</v>
      </c>
      <c r="C19" s="5">
        <f>COUNTIFS($F$2:$F$4, "=в собственности", $K$2:$K$4, "=погашен")</f>
        <v>0</v>
      </c>
      <c r="D19" s="37">
        <f>SUM(B19:C19)</f>
        <v>1</v>
      </c>
      <c r="E19" s="38">
        <f>D19/$B$6</f>
        <v>0.33333333333333331</v>
      </c>
      <c r="F19" s="39">
        <f>MAX(B19:C19)/D19</f>
        <v>1</v>
      </c>
      <c r="G19" s="38">
        <f t="shared" si="1"/>
        <v>0</v>
      </c>
    </row>
    <row r="20" spans="1:8" ht="15.75" thickBot="1" x14ac:dyDescent="0.3"/>
    <row r="21" spans="1:8" ht="60.75" thickBot="1" x14ac:dyDescent="0.3">
      <c r="A21" s="2" t="s">
        <v>34</v>
      </c>
      <c r="B21" s="8" t="s">
        <v>28</v>
      </c>
      <c r="C21" s="9" t="s">
        <v>1</v>
      </c>
      <c r="D21" s="32" t="s">
        <v>76</v>
      </c>
      <c r="E21" s="33" t="s">
        <v>77</v>
      </c>
      <c r="F21" s="34" t="s">
        <v>78</v>
      </c>
      <c r="G21" s="35" t="s">
        <v>79</v>
      </c>
      <c r="H21" s="36" t="s">
        <v>80</v>
      </c>
    </row>
    <row r="22" spans="1:8" x14ac:dyDescent="0.25">
      <c r="A22" s="10" t="s">
        <v>46</v>
      </c>
      <c r="B22" s="5">
        <f>COUNTIFS($G$2:$G$4, "=есть", $K$2:$K$4, "=не погашен")</f>
        <v>0</v>
      </c>
      <c r="C22" s="5">
        <f>COUNTIFS($G$2:$G$4, "=есть", $K$2:$K$4, "=погашен")</f>
        <v>0</v>
      </c>
      <c r="D22" s="37">
        <f>SUM(B22:C22)</f>
        <v>0</v>
      </c>
      <c r="E22" s="38">
        <f>D22/$B$6</f>
        <v>0</v>
      </c>
      <c r="F22" s="39">
        <v>0</v>
      </c>
      <c r="G22" s="38">
        <f>1-F22</f>
        <v>1</v>
      </c>
      <c r="H22" s="40">
        <f>SUMPRODUCT(E22:E23, G22:G23)</f>
        <v>0.33333333333333337</v>
      </c>
    </row>
    <row r="23" spans="1:8" ht="15.75" thickBot="1" x14ac:dyDescent="0.3">
      <c r="A23" s="12" t="s">
        <v>47</v>
      </c>
      <c r="B23" s="5">
        <f>COUNTIFS($G$2:$G$4, "=нет", $K$2:$K$4, "=не погашен")</f>
        <v>1</v>
      </c>
      <c r="C23" s="5">
        <f>COUNTIFS($G$2:$G$4, "=нет", $K$2:$K$4, "=погашен")</f>
        <v>2</v>
      </c>
      <c r="D23" s="37">
        <f>SUM(B23:C23)</f>
        <v>3</v>
      </c>
      <c r="E23" s="38">
        <f>D23/$B$6</f>
        <v>1</v>
      </c>
      <c r="F23" s="39">
        <f>MAX(B23:C23)/D23</f>
        <v>0.66666666666666663</v>
      </c>
      <c r="G23" s="38">
        <f t="shared" ref="G23" si="2">1-F23</f>
        <v>0.33333333333333337</v>
      </c>
    </row>
    <row r="24" spans="1:8" ht="15.75" thickBot="1" x14ac:dyDescent="0.3"/>
    <row r="25" spans="1:8" ht="60.75" thickBot="1" x14ac:dyDescent="0.3">
      <c r="A25" s="2" t="s">
        <v>35</v>
      </c>
      <c r="B25" s="8" t="s">
        <v>28</v>
      </c>
      <c r="C25" s="9" t="s">
        <v>1</v>
      </c>
      <c r="D25" s="32" t="s">
        <v>76</v>
      </c>
      <c r="E25" s="33" t="s">
        <v>77</v>
      </c>
      <c r="F25" s="34" t="s">
        <v>78</v>
      </c>
      <c r="G25" s="35" t="s">
        <v>79</v>
      </c>
      <c r="H25" s="36" t="s">
        <v>80</v>
      </c>
    </row>
    <row r="26" spans="1:8" x14ac:dyDescent="0.25">
      <c r="A26" s="10" t="s">
        <v>59</v>
      </c>
      <c r="B26" s="5">
        <f>COUNTIFS($H$2:$H$4, "=менеджер", $K$2:$K$4, "=не погашен")</f>
        <v>0</v>
      </c>
      <c r="C26" s="5">
        <f>COUNTIFS($H$2:$H$4, "=менеджер", $K$2:$K$4, "=погашен")</f>
        <v>0</v>
      </c>
      <c r="D26" s="37">
        <f>SUM(B26:C26)</f>
        <v>0</v>
      </c>
      <c r="E26" s="38">
        <f>D26/$B$6</f>
        <v>0</v>
      </c>
      <c r="F26" s="39">
        <v>0</v>
      </c>
      <c r="G26" s="38">
        <f>1-F26</f>
        <v>1</v>
      </c>
      <c r="H26" s="40">
        <f>SUMPRODUCT(E26:E29, G26:G29)</f>
        <v>0</v>
      </c>
    </row>
    <row r="27" spans="1:8" x14ac:dyDescent="0.25">
      <c r="A27" s="18" t="s">
        <v>60</v>
      </c>
      <c r="B27" s="5">
        <f>COUNTIFS($H$2:$H$4, "=продавец", $K$2:$K$4, "=не погашен")</f>
        <v>0</v>
      </c>
      <c r="C27" s="5">
        <f>COUNTIFS($H$2:$H$4, "=продавец", $K$2:$K$4, "=погашен")</f>
        <v>1</v>
      </c>
      <c r="D27" s="37">
        <f>SUM(B27:C27)</f>
        <v>1</v>
      </c>
      <c r="E27" s="38">
        <f>D27/$B$6</f>
        <v>0.33333333333333331</v>
      </c>
      <c r="F27" s="39">
        <f>MAX(B27:C27)/D27</f>
        <v>1</v>
      </c>
      <c r="G27" s="38">
        <f t="shared" ref="G27:G29" si="3">1-F27</f>
        <v>0</v>
      </c>
    </row>
    <row r="28" spans="1:8" x14ac:dyDescent="0.25">
      <c r="A28" s="18" t="s">
        <v>61</v>
      </c>
      <c r="B28" s="5">
        <f>COUNTIFS($H$2:$H$4, "=инженер", $K$2:$K$4, "=не погашен")</f>
        <v>0</v>
      </c>
      <c r="C28" s="5">
        <f>COUNTIFS($H$2:$H$4, "=инженер", $K$2:$K$4, "=погашен")</f>
        <v>1</v>
      </c>
      <c r="D28" s="37">
        <f>SUM(B28:C28)</f>
        <v>1</v>
      </c>
      <c r="E28" s="38">
        <f>D28/$B$6</f>
        <v>0.33333333333333331</v>
      </c>
      <c r="F28" s="39">
        <f>MAX(B28:C28)/D28</f>
        <v>1</v>
      </c>
      <c r="G28" s="38">
        <f t="shared" si="3"/>
        <v>0</v>
      </c>
    </row>
    <row r="29" spans="1:8" ht="15.75" thickBot="1" x14ac:dyDescent="0.3">
      <c r="A29" s="12" t="s">
        <v>62</v>
      </c>
      <c r="B29" s="5">
        <f>COUNTIFS($H$2:$H$4, "=предприниматель", $K$2:$K$4, "=не погашен")</f>
        <v>1</v>
      </c>
      <c r="C29" s="5">
        <f>COUNTIFS($H$2:$H$4, "=предприниматель", $K$2:$K$4, "=погашен")</f>
        <v>0</v>
      </c>
      <c r="D29" s="37">
        <f>SUM(B29:C29)</f>
        <v>1</v>
      </c>
      <c r="E29" s="38">
        <f>D29/$B$6</f>
        <v>0.33333333333333331</v>
      </c>
      <c r="F29" s="39">
        <f>MAX(B29:C29)/D29</f>
        <v>1</v>
      </c>
      <c r="G29" s="38">
        <f t="shared" si="3"/>
        <v>0</v>
      </c>
    </row>
    <row r="30" spans="1:8" ht="15.75" thickBot="1" x14ac:dyDescent="0.3"/>
    <row r="31" spans="1:8" ht="60.75" thickBot="1" x14ac:dyDescent="0.3">
      <c r="A31" s="2" t="s">
        <v>36</v>
      </c>
      <c r="B31" s="8" t="s">
        <v>28</v>
      </c>
      <c r="C31" s="9" t="s">
        <v>1</v>
      </c>
      <c r="D31" s="32" t="s">
        <v>76</v>
      </c>
      <c r="E31" s="33" t="s">
        <v>77</v>
      </c>
      <c r="F31" s="34" t="s">
        <v>78</v>
      </c>
      <c r="G31" s="35" t="s">
        <v>79</v>
      </c>
      <c r="H31" s="36" t="s">
        <v>80</v>
      </c>
    </row>
    <row r="32" spans="1:8" x14ac:dyDescent="0.25">
      <c r="A32" s="10" t="s">
        <v>52</v>
      </c>
      <c r="B32" s="5">
        <f>COUNTIFS($I$2:$I$4, "=41-70", $K$2:$K$4, "=не погашен")</f>
        <v>0</v>
      </c>
      <c r="C32" s="5">
        <f>COUNTIFS($I$2:$I$4, "=41-70", $K$2:$K$4, "=погашен")</f>
        <v>0</v>
      </c>
      <c r="D32" s="37">
        <f>SUM(B32:C32)</f>
        <v>0</v>
      </c>
      <c r="E32" s="38">
        <f>D32/$B$6</f>
        <v>0</v>
      </c>
      <c r="F32" s="39">
        <v>0</v>
      </c>
      <c r="G32" s="38">
        <f>1-F32</f>
        <v>1</v>
      </c>
      <c r="H32" s="40">
        <f>SUMPRODUCT(E32:E35, G32:G35)</f>
        <v>0.33333333333333331</v>
      </c>
    </row>
    <row r="33" spans="1:7" x14ac:dyDescent="0.25">
      <c r="A33" s="18" t="s">
        <v>53</v>
      </c>
      <c r="B33" s="5">
        <f>COUNTIFS($I$2:$I$4, "=71-100", $K$2:$K$4, "=не погашен")</f>
        <v>1</v>
      </c>
      <c r="C33" s="5">
        <f>COUNTIFS($I$2:$I$4, "=71-100", $K$2:$K$4, "=погашен")</f>
        <v>1</v>
      </c>
      <c r="D33" s="37">
        <f>SUM(B33:C33)</f>
        <v>2</v>
      </c>
      <c r="E33" s="38">
        <f>D33/$B$6</f>
        <v>0.66666666666666663</v>
      </c>
      <c r="F33" s="39">
        <f>MAX(B33:C33)/D33</f>
        <v>0.5</v>
      </c>
      <c r="G33" s="38">
        <f t="shared" ref="G33:G35" si="4">1-F33</f>
        <v>0.5</v>
      </c>
    </row>
    <row r="34" spans="1:7" x14ac:dyDescent="0.25">
      <c r="A34" s="18" t="s">
        <v>54</v>
      </c>
      <c r="B34" s="5">
        <f>COUNTIFS($I$2:$I$4, "=100-130", $K$2:$K$4, "=не погашен")</f>
        <v>0</v>
      </c>
      <c r="C34" s="5">
        <f>COUNTIFS($I$2:$I$4, "=100-130", $K$2:$K$4, "=погашен")</f>
        <v>1</v>
      </c>
      <c r="D34" s="37">
        <f>SUM(B34:C34)</f>
        <v>1</v>
      </c>
      <c r="E34" s="38">
        <f>D34/$B$6</f>
        <v>0.33333333333333331</v>
      </c>
      <c r="F34" s="39">
        <f>MAX(B34:C34)/D34</f>
        <v>1</v>
      </c>
      <c r="G34" s="38">
        <f t="shared" si="4"/>
        <v>0</v>
      </c>
    </row>
    <row r="35" spans="1:7" ht="15.75" thickBot="1" x14ac:dyDescent="0.3">
      <c r="A35" s="12" t="s">
        <v>55</v>
      </c>
      <c r="B35" s="5">
        <f>COUNTIFS($I$2:$I$4, "=&gt; 130", $K$2:$K$4, "=не погашен")</f>
        <v>0</v>
      </c>
      <c r="C35" s="5">
        <f>COUNTIFS($I$2:$I$4, "=&gt; 130", $K$2:$K$4, "=погашен")</f>
        <v>0</v>
      </c>
      <c r="D35" s="37">
        <f>SUM(B35:C35)</f>
        <v>0</v>
      </c>
      <c r="E35" s="38">
        <f>D35/$B$6</f>
        <v>0</v>
      </c>
      <c r="F35" s="39">
        <v>0</v>
      </c>
      <c r="G35" s="38">
        <f t="shared" si="4"/>
        <v>1</v>
      </c>
    </row>
  </sheetData>
  <conditionalFormatting sqref="A2:K4">
    <cfRule type="expression" dxfId="2" priority="5">
      <formula>$K2="не погашен"</formula>
    </cfRule>
  </conditionalFormatting>
  <conditionalFormatting sqref="E11">
    <cfRule type="expression" dxfId="1" priority="3">
      <formula>$G11="не_погашен"</formula>
    </cfRule>
  </conditionalFormatting>
  <conditionalFormatting sqref="F11:G11">
    <cfRule type="expression" dxfId="0" priority="4">
      <formula>#REF!="не_погашен"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</vt:lpstr>
      <vt:lpstr>Данные</vt:lpstr>
      <vt:lpstr>Ветвление 1</vt:lpstr>
      <vt:lpstr>Ветвление 2</vt:lpstr>
      <vt:lpstr>Ветвление 3</vt:lpstr>
      <vt:lpstr>Ветвление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</dc:creator>
  <cp:lastModifiedBy>Кононенко Павел Геннадьевич</cp:lastModifiedBy>
  <dcterms:created xsi:type="dcterms:W3CDTF">2025-05-21T18:46:31Z</dcterms:created>
  <dcterms:modified xsi:type="dcterms:W3CDTF">2025-05-22T08:39:18Z</dcterms:modified>
</cp:coreProperties>
</file>